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mc:AlternateContent xmlns:mc="http://schemas.openxmlformats.org/markup-compatibility/2006">
    <mc:Choice Requires="x15">
      <x15ac:absPath xmlns:x15ac="http://schemas.microsoft.com/office/spreadsheetml/2010/11/ac" url="T:\Staging\TAAD - PPMAS Financial Estimates\Utilisation and cost model\"/>
    </mc:Choice>
  </mc:AlternateContent>
  <bookViews>
    <workbookView xWindow="-15" yWindow="-15" windowWidth="19320" windowHeight="13200" tabRatio="911"/>
  </bookViews>
  <sheets>
    <sheet name="0. Title" sheetId="1" r:id="rId1"/>
    <sheet name="1. Overview" sheetId="41" r:id="rId2"/>
    <sheet name="2a. Patients - incident" sheetId="56" r:id="rId3"/>
    <sheet name="2b. Patients - prevalent" sheetId="3" r:id="rId4"/>
    <sheet name="2c. Patients - GF" sheetId="53" r:id="rId5"/>
    <sheet name="2d. Patients - DTG" sheetId="60" r:id="rId6"/>
    <sheet name="2e. Scripts - market" sheetId="38" r:id="rId7"/>
    <sheet name="3a. Scripts - proposed" sheetId="37" r:id="rId8"/>
    <sheet name="3b. Impact - proposed (pub)" sheetId="34" r:id="rId9"/>
    <sheet name="3c. Impact - proposed (eff)" sheetId="43" r:id="rId10"/>
    <sheet name="4a. Scripts - affected" sheetId="15" r:id="rId11"/>
    <sheet name="4b. Impact - affected (pub)" sheetId="44" r:id="rId12"/>
    <sheet name="4c. Impact - affected (eff)" sheetId="45" r:id="rId13"/>
    <sheet name="5. Impact - net" sheetId="46" r:id="rId14"/>
    <sheet name="6. Net changes - SA" sheetId="7" r:id="rId15"/>
    <sheet name="7. Net changes - MBS" sheetId="50" r:id="rId16"/>
    <sheet name="8. ABS population" sheetId="47" r:id="rId17"/>
    <sheet name="9. AIHW population" sheetId="49" r:id="rId18"/>
    <sheet name="10. Registry population" sheetId="51" r:id="rId19"/>
    <sheet name="11. Persistent population" sheetId="58" r:id="rId20"/>
    <sheet name="12. Copies of data -&gt;" sheetId="57" r:id="rId21"/>
    <sheet name="Template" sheetId="59" r:id="rId22"/>
    <sheet name="References" sheetId="14" state="hidden" r:id="rId23"/>
    <sheet name="ChangeLog" sheetId="22" state="hidden" r:id="rId24"/>
  </sheets>
  <definedNames>
    <definedName name="ABSRate" comment="Values - ABS rate type">References!$E$78:$E$79</definedName>
    <definedName name="ABSRateCode" comment="Values - ABS rate type code">References!$E$78:$F$79</definedName>
    <definedName name="ABSValues" comment="Values - ABS populations summary">'8. ABS population'!$D$8:$J$17</definedName>
    <definedName name="Authority" comment="Values - schedule authority level">References!$B$30:$B$34</definedName>
    <definedName name="AuthorityCode" comment="Values - schedule authority level with codes">References!$B$30:$C$34</definedName>
    <definedName name="CalculationMethod" comment="Values - method of calculating costs (course of treatment or annually)">References!$E$90:$E$92</definedName>
    <definedName name="CalculationMethodCode" comment="Values - method of calculating costs with codes (course of treatment or annually)">References!$E$90:$F$92</definedName>
    <definedName name="CalendarYear" comment="Values - calendar years">References!$J$42:$J$46</definedName>
    <definedName name="CoDep" comment="Value - identified co-dependant PBAC/MSAC listings">'1. Overview'!$N$7</definedName>
    <definedName name="ComplexAuthCount" comment="Value - number of new restrictions that are complex">'6. Net changes - SA'!$L$124</definedName>
    <definedName name="CoPayBandChanged" comment="Values - co-payment band for changed medicines">'4a. Scripts - affected'!$Y$16:$Y$35</definedName>
    <definedName name="CoPayBandLink" comment="Values - co-payment group when old and new medicines are linked">'3a. Scripts - proposed'!$AI$144:$AN$163</definedName>
    <definedName name="CoPayBandMS" comment="Values - co-payment band for an existing  medicine">'2e. Scripts - market'!$O$50:$O$69</definedName>
    <definedName name="CoPayBandMSAdditional" comment="Values - co-payment band for additional market-share medicines">'4a. Scripts - affected'!$P$133:$P$152</definedName>
    <definedName name="CoPayBands" comment="Values - co-payment bands for PBS / RPBS">References!$J$66:$J$70</definedName>
    <definedName name="CoPayC0" comment="Value - co-payment: Concessional Free">References!$N$9</definedName>
    <definedName name="CoPayC1" comment="Value - co-payment: Concessional Ordinary">References!$N$8</definedName>
    <definedName name="CoPayCountChanged" comment="Values - number of co-payments for existing PBS items that will change with this listing">'6. Net changes - SA'!$K$338:$K$357</definedName>
    <definedName name="CoPayCountNew" comment="Values - number of co-payments for new PBS items associated with this listing">'6. Net changes - SA'!$K$104:$K$123</definedName>
    <definedName name="CoPayG1" comment="Value - co-payment: Safety Net">References!$N$7</definedName>
    <definedName name="CoPayG2" comment="Value - co-payment: General Ordinary">References!$N$6</definedName>
    <definedName name="CoPayMethod" comment="Values - co-payment methods (once per course of treatment or per script)">References!$P$6:$P$7</definedName>
    <definedName name="CoPayPBS" comment="Values - PBS co-payments for each group">'2e. Scripts - market'!$U$73:$U$77</definedName>
    <definedName name="CoPayR0" comment="Value - co-payment: RPBS Safety Net">References!$N$11</definedName>
    <definedName name="CoPayR1" comment="Value - co-payment: RPBS Ordinary">References!$N$10</definedName>
    <definedName name="CoPayRPBS" comment="Values - RPBS co-payments for each group">'2e. Scripts - market'!$V$73:$V$77</definedName>
    <definedName name="CostType" comment="Values - outcomes cost categories">References!$B$54:$B$56</definedName>
    <definedName name="CostTypeCode" comment="Values - outcomes cost categories with codes">References!$B$54:$C$56</definedName>
    <definedName name="CostTypePBS" comment="Values - PBS outcomes cost categories">References!$B$66:$B$70</definedName>
    <definedName name="CostTypePBSCode" comment="Values - PBS outcomes cost categories with codes">References!$B$66:$C$70</definedName>
    <definedName name="DataSource" comment="Values - source of modelling data">References!$H$6:$H$9</definedName>
    <definedName name="DisplaceType" comment="Values - displacement type (increase or decrease)">References!$E$6:$E$7</definedName>
    <definedName name="DisplaceTypeCode" comment="Values - displacement type (increase or decrease) with code">References!$E$6:$F$7</definedName>
    <definedName name="DPMQCoPayChangedEff" comment="Values - weighted DPMQ and co-payments for changed medicines at the effective price">'4c. Impact - affected (eff)'!$J$274:$M$293</definedName>
    <definedName name="DPMQCoPayChangedPub" comment="Values - weighted DPMQ and co-payments for changed medicines at the published price">'4b. Impact - affected (pub)'!$J$274:$N$293</definedName>
    <definedName name="DPMQCoPayNewEff" comment="Values - weighted DPMQ and co-payments for new medicines at the effective price">'3c. Impact - proposed (eff)'!$J$274:$M$293</definedName>
    <definedName name="DPMQCoPayNewPub" comment="Values - weighted DPMQ and co-payments for new medicines at the published price">'3b. Impact - proposed (pub)'!$J$274:$N$293</definedName>
    <definedName name="DTGPops" comment="Values - list of duration of treatment groups">OFFSET(References!$AE$38,0,0,References!$AF$63,1)</definedName>
    <definedName name="DTGPops01" comment="Values - Available DTG population 01">OFFSET(References!$AE$23,0,'2d. Patients - DTG'!$C$26,'2d. Patients - DTG'!$C$27)</definedName>
    <definedName name="DTGPops02" comment="Values - Available DTG population 02">OFFSET(References!$AE$23,0,'2d. Patients - DTG'!$C$48,'2d. Patients - DTG'!$C$49)</definedName>
    <definedName name="DTGPops03" comment="Values - Available DTG population 03">OFFSET(References!$AE$23,0,'2d. Patients - DTG'!$C$70,'2d. Patients - DTG'!$C$71)</definedName>
    <definedName name="DTGPops04" comment="Values - Available DTG population 04">OFFSET(References!$AE$23,0,'2d. Patients - DTG'!$C$92,'2d. Patients - DTG'!$C$93)</definedName>
    <definedName name="DTGPops05" comment="Values - Available DTG population 05">OFFSET(References!$AE$23,0,'2d. Patients - DTG'!$C$114,'2d. Patients - DTG'!$C$115)</definedName>
    <definedName name="DTGPops06" comment="Values - Available DTG population 06">OFFSET(References!$AE$23,0,'2d. Patients - DTG'!$C$136,'2d. Patients - DTG'!$C$137)</definedName>
    <definedName name="DTGPops07" comment="Values - Available DTG population 07">OFFSET(References!$AE$23,0,'2d. Patients - DTG'!$C$158,'2d. Patients - DTG'!$C$159)</definedName>
    <definedName name="DTGPops08" comment="Values - Available DTG population 08">OFFSET(References!$AE$23,0,'2d. Patients - DTG'!$C$180,'2d. Patients - DTG'!$C$181)</definedName>
    <definedName name="DTGPops09" comment="Values - Available DTG population 09">OFFSET(References!$AE$23,0,'2d. Patients - DTG'!$C$202,'2d. Patients - DTG'!$C$203)</definedName>
    <definedName name="DTGPops10" comment="Values - Available DTG population 10">OFFSET(References!$AE$23,0,'2d. Patients - DTG'!$C$224,'2d. Patients - DTG'!$C$225)</definedName>
    <definedName name="DTGPops11" comment="Values - Available DTG population 11">OFFSET(References!$AE$23,0,'2d. Patients - DTG'!$C$246,'2d. Patients - DTG'!$C$247)</definedName>
    <definedName name="DTGPops12" comment="Values - Available DTG population 12">OFFSET(References!$AE$23,0,'2d. Patients - DTG'!$C$268,'2d. Patients - DTG'!$C$269)</definedName>
    <definedName name="DTGPops13" comment="Values - Available DTG population 13">OFFSET(References!$AE$23,0,'2d. Patients - DTG'!$C$290,'2d. Patients - DTG'!$C$291)</definedName>
    <definedName name="DTGPops14" comment="Values - Available DTG population 14">OFFSET(References!$AE$23,0,'2d. Patients - DTG'!$C$312,'2d. Patients - DTG'!$C$313)</definedName>
    <definedName name="DTGPops15" comment="Values - Available DTG population 15">OFFSET(References!$AE$23,0,'2d. Patients - DTG'!$C$334,'2d. Patients - DTG'!$C$335)</definedName>
    <definedName name="DTGPops16" comment="Values - Available DTG population 16">OFFSET(References!$AE$23,0,'2d. Patients - DTG'!$C$356,'2d. Patients - DTG'!$C$357)</definedName>
    <definedName name="DTGPops17" comment="Values - Available DTG population 17">OFFSET(References!$AE$23,0,'2d. Patients - DTG'!$C$378,'2d. Patients - DTG'!$C$379)</definedName>
    <definedName name="DTGPops18" comment="Values - Available DTG population 18">OFFSET(References!$AE$23,0,'2d. Patients - DTG'!$C$400,'2d. Patients - DTG'!$C$401)</definedName>
    <definedName name="DTGPops19" comment="Values - Available DTG population 19">OFFSET(References!$AE$23,0,'2d. Patients - DTG'!$C$422,'2d. Patients - DTG'!$C$423)</definedName>
    <definedName name="DTGPops20" comment="Values - Available DTG population 20">OFFSET(References!$AE$23,0,'2d. Patients - DTG'!$C$444,'2d. Patients - DTG'!$C$445)</definedName>
    <definedName name="DTGPops21" comment="Values - Available DTG population 21">OFFSET(References!$AE$23,0,'2d. Patients - DTG'!$C$466,'2d. Patients - DTG'!$C$467)</definedName>
    <definedName name="DTGPops22" comment="Values - Available DTG population 22">OFFSET(References!$AE$23,0,'2d. Patients - DTG'!$C$488,'2d. Patients - DTG'!$C$489)</definedName>
    <definedName name="DTGPops23" comment="Values - Available DTG population 23">OFFSET(References!$AE$23,0,'2d. Patients - DTG'!$C$510,'2d. Patients - DTG'!$C$511)</definedName>
    <definedName name="DTGPops24" comment="Values - Available DTG population 24">OFFSET(References!$AE$23,0,'2d. Patients - DTG'!$C$532,'2d. Patients - DTG'!$C$533)</definedName>
    <definedName name="DTGPops25" comment="Values - Available DTG population 25">OFFSET(References!$AE$23,0,'2d. Patients - DTG'!$C$554,'2d. Patients - DTG'!$C$555)</definedName>
    <definedName name="EconomicAnalysis" comment="Values - methods of economic analysis used in the modelling">References!$H$54:$H$56</definedName>
    <definedName name="Electronic" comment="Values - electronic prescribing or not allowed for this restriction">References!$B$37:$B$38</definedName>
    <definedName name="EPISource" comment="Values - source of epidemiology data">References!$E$18:$E$21</definedName>
    <definedName name="EPISourceCode" comment="Values - source of epidemiology data with codes">References!$E$18:$F$21</definedName>
    <definedName name="EpiType" comment="Values - incidence calculation method">References!$B$18:$B$20</definedName>
    <definedName name="EpiTypeCode" comment="Values - incidence calculation method with codes">References!$B$18:$C$20</definedName>
    <definedName name="ErrorMessages" comment="Values - error message text">References!$AA$44:$AB$63</definedName>
    <definedName name="FirstYear" comment="Value - first year of listing">'1. Overview'!$K$8</definedName>
    <definedName name="Gender" comment="Values - population categories (male / female / all)">References!$B$42:$B$45</definedName>
    <definedName name="GenderCode" comment="Values - population categories (male / female / all) with codes">References!$B$42:$C$45</definedName>
    <definedName name="GFPops01" comment="Values - Available grandfathered patient populations - population 01" localSheetId="4">OFFSET(References!$AE$7,0,'2c. Patients - GF'!$B$25,'2c. Patients - GF'!$B$26)</definedName>
    <definedName name="GFPops02" comment="Values - Available grandfathered patient populations - population 02" localSheetId="4">OFFSET(References!$AE$7,0,'2c. Patients - GF'!$B$54,'2c. Patients - GF'!$B$55)</definedName>
    <definedName name="GFPops03" comment="Values - Available grandfathered patient populations - population 03" localSheetId="4">OFFSET(References!$AE$7,0,'2c. Patients - GF'!$B$83,'2c. Patients - GF'!$B$84)</definedName>
    <definedName name="GFPops04" comment="Values - Available grandfathered patient populations - population 04" localSheetId="4">OFFSET(References!$AE$7,0,'2c. Patients - GF'!$B$112,'2c. Patients - GF'!$B$113)</definedName>
    <definedName name="GFPops05" comment="Values - Available grandfathered patient populations - population 05" localSheetId="4">OFFSET(References!$AE$7,0,'2c. Patients - GF'!$B$141,'2c. Patients - GF'!$B$142)</definedName>
    <definedName name="Indication" comment="Value - indication for which the medicine is listing">'1. Overview'!$E$73</definedName>
    <definedName name="IPops01" comment="Values - Available incident patient populations - population 01" localSheetId="2">OFFSET(References!$AE$7,0,'2a. Patients - incident'!$B$24,'2a. Patients - incident'!$B$25)</definedName>
    <definedName name="IPops02" comment="Values - Available incident patient populations - population 02" localSheetId="2">OFFSET(References!$AE$7,0,'2a. Patients - incident'!$B$62,'2a. Patients - incident'!$B$63)</definedName>
    <definedName name="IPops03" comment="Values - Available incident patient populations - population 03" localSheetId="2">OFFSET(References!$AE$7,0,'2a. Patients - incident'!$B$100,'2a. Patients - incident'!$B$101)</definedName>
    <definedName name="IPops04" comment="Values - Available incident patient populations - population 04" localSheetId="2">OFFSET(References!$AE$7,0,'2a. Patients - incident'!$B$138,'2a. Patients - incident'!$B$139)</definedName>
    <definedName name="IPops05" comment="Values - Available incident patient populations - population 05" localSheetId="2">OFFSET(References!$AE$7,0,'2a. Patients - incident'!$B$176,'2a. Patients - incident'!$B$177)</definedName>
    <definedName name="IPops06" comment="Values - Available incident patient populations - population 06" localSheetId="2">OFFSET(References!$AE$7,0,'2a. Patients - incident'!$B$214,'2a. Patients - incident'!$B$215)</definedName>
    <definedName name="IPops07" comment="Values - Available incident patient populations - population 07" localSheetId="2">OFFSET(References!$AE$7,0,'2a. Patients - incident'!$B$252,'2a. Patients - incident'!$B$253)</definedName>
    <definedName name="IPops08" comment="Values - Available incident patient populations - population 08" localSheetId="2">OFFSET(References!$AE$7,0,'2a. Patients - incident'!$B$290,'2a. Patients - incident'!$B$291)</definedName>
    <definedName name="IPops09" comment="Values - Available incident patient populations - population 09" localSheetId="2">OFFSET(References!$AE$7,0,'2a. Patients - incident'!$B$328,'2a. Patients - incident'!$B$329)</definedName>
    <definedName name="IPops10" comment="Values - Available incident patient populations - population 10" localSheetId="2">OFFSET(References!$AE$7,0,'2a. Patients - incident'!$B$366,'2a. Patients - incident'!$B$367)</definedName>
    <definedName name="List">Template!$BE$7:$BE$12</definedName>
    <definedName name="ListingType" comment="Values - type of listing covered by the model">References!$H$42:$H$45</definedName>
    <definedName name="MarketImpact" comment="Flag - is this listing replacement or adjunctive therapy">'0. Title'!$C$50</definedName>
    <definedName name="MarketImpactCode" comment="Values - impact of the listing on the market (replacement of existing medicine or adjunctive treatment) with code">References!$E$54:$F$55</definedName>
    <definedName name="MarketImpactType" comment="Values - impact of the listing on the market (replacement of existing medicine or adjunctive treatment)">References!$E$54:$E$55</definedName>
    <definedName name="MaxQ" comment="Values - maximum quantity (units or mg)">References!$B$126:$C$127</definedName>
    <definedName name="MBSBasis" comment="Values - basis of MBS cost calculation">References!$E$126:$E$127</definedName>
    <definedName name="MBSBasisCode" comment="Values - basis of MBS cost calculation including code">References!$E$126:$F$127</definedName>
    <definedName name="MBSDecCalc" comment="Values - calculation method for MBS items that will decrease in volume with this listing">'7. Net changes - MBS'!$Y$483:$AA$502</definedName>
    <definedName name="MBSDecItems" comment="Values - details of MBS items that will decrease in volume with this listing">'7. Net changes - MBS'!$D$458:$J$477</definedName>
    <definedName name="MBSDecNames" comment="Values - item code and name of MBS items that will decrease with this listing">'7. Net changes - MBS'!$AB$458:$AB$477</definedName>
    <definedName name="MBSDecPopSplit" comment="Values - population split of MBS items that will decrease with this listing">'7. Net changes - MBS'!$Q$458:$Q$477</definedName>
    <definedName name="MBSDecRate" comment="Values - phase and rate of MBS items that will decrease with this listing">'7. Net changes - MBS'!$AC$458:$AF$477</definedName>
    <definedName name="MBSIncCalc" comment="Values - calculation method for MBS items that will increase in volume with this listing">'7. Net changes - MBS'!$Y$88:$AA$107</definedName>
    <definedName name="MBSIncItems" comment="Values - details of MBS items that will increase in volume with this listing">'7. Net changes - MBS'!$D$63:$J$82</definedName>
    <definedName name="MBSIncNames" comment="Values - item code and name of MBS items that will increase with this listing">'7. Net changes - MBS'!$AB$63:$AB$82</definedName>
    <definedName name="MBSIncPopSplit" comment="Values - population split of MBS items that will increase with this listing">'7. Net changes - MBS'!$Q$63:$Q$82</definedName>
    <definedName name="MBSIncRate" comment="Values - phase and rate of MBS items that will increase with this listing">'7. Net changes - MBS'!$AC$63:$AF$82</definedName>
    <definedName name="MBSItemsAll" comment="Values - all MBS items used in the model">References!$AV$7:$AV$46</definedName>
    <definedName name="MBSPBSDec" comment="Values - PBS treated population for MBS decreased population">'7. Net changes - MBS'!$AH$487:$BB$506</definedName>
    <definedName name="MBSPBSInc" comment="Values - PBS treated population for MBS increased population">'7. Net changes - MBS'!$AH$90:$BB$109</definedName>
    <definedName name="MBSRebateRate" comment="Value - the proportion of the MBS Scheduled fee used to calculate the cost to the MBS">References!$J$78</definedName>
    <definedName name="MBSRPBSDec" comment="Values - RPBS treated population for MBS decreased population">'7. Net changes - MBS'!$AH$511:$BB$530</definedName>
    <definedName name="MBSRPBSInc" comment="Values - RPBS treated population for MBS increased population">'7. Net changes - MBS'!$AH$114:$BB$133</definedName>
    <definedName name="MedicineBrand" comment="Value - medicine and brand names concatenated">'1. Overview'!$E$10</definedName>
    <definedName name="MedicineName" comment="Value - name of the medicine">'1. Overview'!$E$7</definedName>
    <definedName name="MsgConfirm" comment="Value - message displayed when confirmation is required">References!$H$70</definedName>
    <definedName name="MsgError" comment="Value - message displayed when error is encountered">References!$H$68</definedName>
    <definedName name="MsgNote" comment="Value - message displayed when note is required">References!$H$71</definedName>
    <definedName name="MsgNotRequired" comment="Value - message displayed when an element is not required">References!$H$67</definedName>
    <definedName name="MsgNotUsed" comment="Value - message displayed when an element is not used">References!$H$66</definedName>
    <definedName name="MsgWarn" comment="Value - message displayed when warning is required">References!$H$69</definedName>
    <definedName name="NamesEpiAdditional" comment="Values - item code / drug name / form / treatment phase concatenated for additional eip-based scripts">'4a. Scripts - affected'!$AB$105:$AC$124</definedName>
    <definedName name="NamesLinkNew" comment="Values - new drug name linked to replaced drug name">'3a. Scripts - proposed'!$AF$144:$AF$163</definedName>
    <definedName name="NamesMS" comment="Values - item code / drug name / form / treatment phase concatenated for current  market share drug">'2e. Scripts - market'!$AA$50:$AA$69</definedName>
    <definedName name="NamesMSAdditional" comment="Values - item code / drug name / form / treatment phase concatenated for additional market share drug">'4a. Scripts - affected'!$AB$133:$AD$152</definedName>
    <definedName name="NamesNew" comment="Values - item code / drug name / form / treatment phase concatenated for new drug">'3a. Scripts - proposed'!$AF$117:$AF$136</definedName>
    <definedName name="NamesNewTx" comment="Values - new medicine names &amp; tx phase">OFFSET('3a. Scripts - proposed'!$AF$117,0,0,COUNTIF(NamesNew,"&lt;&gt;** NOT USED **"))</definedName>
    <definedName name="NamesOverallChanged" comment="Values - item code / drug name / form / treatment phase concatenated for scripts that change (displaced)">'4a. Scripts - affected'!$D$16:$D$35</definedName>
    <definedName name="NamesOverallChangedCode" comment="Values - item code / drug name / form / treatment phase concatenated for scripts that change (displaced)">'4a. Scripts - affected'!$AB$16:$AC$35</definedName>
    <definedName name="NamesScriptsChangedTx" comment="Values - changed medicine names &amp; tx phase">OFFSET('4a. Scripts - affected'!$D$16,0,0,COUNTIF(NamesOverallChanged,"&lt;&gt;** NOT USED **"))</definedName>
    <definedName name="NewAdjunct" comment="Values - descriptions for new and adjunctive therapies">References!$AA$66:$AB$67</definedName>
    <definedName name="Pathway" comment="Values - resubmission pathways">References!$B$114:$B$117</definedName>
    <definedName name="PathwayCode" comment="Values - resubmission pathways with codes">References!$B$114:$C$117</definedName>
    <definedName name="PBACMeetingDate" comment="Values - list of valid PBAC Meetings">References!$J$6:$J$24</definedName>
    <definedName name="PBSScriptsChanged" comment="Values - existing PBS script volumes">'4a. Scripts - affected'!$D$16:$J$36</definedName>
    <definedName name="PBSScriptsNew" comment="Values - new PBS script volumes">'3a. Scripts - proposed'!$E$16:$K$36</definedName>
    <definedName name="PBSScriptsOld" comment="Values - existing PBS script volumes">'2e. Scripts - market'!$C$16:$I$35</definedName>
    <definedName name="PPops01" comment="Values - Available prevalent patient populations - population 01" localSheetId="3">OFFSET(References!$AE$7,0,'2b. Patients - prevalent'!$B$24,'2b. Patients - prevalent'!$B$25)</definedName>
    <definedName name="PPops02" comment="Values - Available prevalent patient populations - population 02" localSheetId="3">OFFSET(References!$AE$7,0,'2b. Patients - prevalent'!$B$62,'2b. Patients - prevalent'!$B$63)</definedName>
    <definedName name="PPops03" comment="Values - Available prevalent patient populations - population 03" localSheetId="3">OFFSET(References!$AE$7,0,'2b. Patients - prevalent'!$B$100,'2b. Patients - prevalent'!$B$101)</definedName>
    <definedName name="PPops04" comment="Values - Available prevalent patient populations - population 04" localSheetId="3">OFFSET(References!$AE$7,0,'2b. Patients - prevalent'!$B$138,'2b. Patients - prevalent'!$B$139)</definedName>
    <definedName name="PPops05" comment="Values - Available prevalent patient populations - population 05" localSheetId="3">OFFSET(References!$AE$7,0,'2b. Patients - prevalent'!$B$176,'2b. Patients - prevalent'!$B$177)</definedName>
    <definedName name="PPops06" comment="Values - Available prevalent patient populations - population 06" localSheetId="3">OFFSET(References!$AE$7,0,'2b. Patients - prevalent'!$B$214,'2b. Patients - prevalent'!$B$215)</definedName>
    <definedName name="PPops07" comment="Values - Available prevalent patient populations - population 07" localSheetId="3">OFFSET(References!$AE$7,0,'2b. Patients - prevalent'!$B$252,'2b. Patients - prevalent'!$B$253)</definedName>
    <definedName name="PPops08" comment="Values - Available prevalent patient populations - population 08" localSheetId="3">OFFSET(References!$AE$7,0,'2b. Patients - prevalent'!$B$290,'2b. Patients - prevalent'!$B$291)</definedName>
    <definedName name="PPops09" comment="Values - Available prevalent patient populations - population 09" localSheetId="3">OFFSET(References!$AE$7,0,'2b. Patients - prevalent'!$B$328,'2b. Patients - prevalent'!$B$329)</definedName>
    <definedName name="PPops10" comment="Values - Available prevalent patient populations - population 10" localSheetId="3">OFFSET(References!$AE$7,0,'2b. Patients - prevalent'!$B$366,'2b. Patients - prevalent'!$B$367)</definedName>
    <definedName name="PRate01" comment="Values - persistence and uptake rates - population 1" localSheetId="19">'11. Persistent population'!$V$26:$X$37</definedName>
    <definedName name="PRate02" comment="Values - persistence and uptake rates - population 2" localSheetId="19">'11. Persistent population'!$V$64:$X$75</definedName>
    <definedName name="PRate03" comment="Values - persistence and uptake rates - population 3" localSheetId="19">'11. Persistent population'!$V$102:$X$113</definedName>
    <definedName name="PRate04" comment="Values - persistence and uptake rates - population 4" localSheetId="19">'11. Persistent population'!$V$140:$X$151</definedName>
    <definedName name="PRate05" comment="Values - persistence and uptake rates - population 5" localSheetId="19">'11. Persistent population'!$V$178:$X$189</definedName>
    <definedName name="PRate06" comment="Values - persistence and uptake rates - population 6" localSheetId="19">'11. Persistent population'!$V$216:$X$227</definedName>
    <definedName name="PRate07" comment="Values - persistence and uptake rates - population 7" localSheetId="19">'11. Persistent population'!$V$254:$X$265</definedName>
    <definedName name="PRate08" comment="Values - persistence and uptake rates - population 8" localSheetId="19">'11. Persistent population'!$V$292:$X$303</definedName>
    <definedName name="PRate09" comment="Values - persistence and uptake rates - population 9" localSheetId="19">'11. Persistent population'!$V$330:$X$341</definedName>
    <definedName name="PRate10" comment="Values - persistence and uptake rates - population 10" localSheetId="19">'11. Persistent population'!$V$368:$X$379</definedName>
    <definedName name="_xlnm.Print_Area" localSheetId="1">'1. Overview'!$C$4:$M$408</definedName>
    <definedName name="Programme" comment="Values - PBS program codes">References!$W$6:$W$22</definedName>
    <definedName name="ProgrammeCode" comment="Values - PBS program codes and descriptions">References!$W$6:$Y$22</definedName>
    <definedName name="PxGrandfathered" comment="Flag - grandfathered patients are included">'0. Title'!$C$44</definedName>
    <definedName name="PxIncident" comment="Flag - incident patients are included">'0. Title'!$C$42</definedName>
    <definedName name="PxPopMaxCount" comment="Value - number of patient populations available for selection">References!$AI$18</definedName>
    <definedName name="PxPopNames" comment="Values - patient population names">References!$AE$6:$AH$16</definedName>
    <definedName name="PxPopNumbers" comment="Values - patient populations in a matrix by category and year">References!$AL$7:$AQ$41</definedName>
    <definedName name="PxPopSource" comment="Values - population source">References!$B$78:$B$81</definedName>
    <definedName name="PxPopSourceCode" comment="Values - population source with codes">References!$B$78:$C$81</definedName>
    <definedName name="PxPopValid" comment="Values - number of valid patient populations for each source">References!$AE$17:$AH$17</definedName>
    <definedName name="PxPrevalent" comment="Flag - prevalent patients are included">'0. Title'!$C$43</definedName>
    <definedName name="PxTxCount" comment="Value - number of treatment populations available for selection">References!$AI$34</definedName>
    <definedName name="PxTxNames" comment="Values - treatment population names">References!$AE$23:$AH$32</definedName>
    <definedName name="PxTxPhase1" comment="Values - phase 1 treatment populations in a matrix by category and year">References!$AL$50:$AR$84</definedName>
    <definedName name="PxTxPhase1Adj" comment="Values - phase 1 treatment populations in a matrix by category and year, adjusted for treatment duration">References!$AU$50:$BC$80</definedName>
    <definedName name="PxTxPhase2" comment="Values - phase 2 treatment populations in a matrix by category and year">References!$AL$89:$AR$123</definedName>
    <definedName name="PxTxPhase2Adj" comment="Values - phase 2 treatment populations in a matrix by category and year, adjusted for treatment duration">References!$AU$89:$BC$119</definedName>
    <definedName name="PxTxSource" comment="Values - source of treated patient populations">References!$E$66:$E$69</definedName>
    <definedName name="PxTxSourceCode" comment="Values - source of treated patient populations with code">References!$E$66:$F$69</definedName>
    <definedName name="PxTxValid" comment="Values - number of valid treatment populations for each source">References!$AE$33:$AH$33</definedName>
    <definedName name="Reporting" comment="Values - SA reporting options">References!$J$54:$J$56</definedName>
    <definedName name="RestrictionCount" comment="Value - number of forms / strengths / treatment phases of the new medicine">'3a. Scripts - proposed'!$D$137</definedName>
    <definedName name="RPBSScriptsChanged" comment="Values - existing RPBS scripts volumes">'4a. Scripts - affected'!$K$16:$Q$36</definedName>
    <definedName name="RPBSScriptsNew" comment="Values - new RPBS script volumes">'3a. Scripts - proposed'!$L$16:$R$36</definedName>
    <definedName name="RPBSScriptsOld" comment="Values - existing RPBS scripts volumes">'2e. Scripts - market'!$K$16:$P$35</definedName>
    <definedName name="RSAFlag" comment="Flag - RSA required for this listing">'1. Overview'!$N$397</definedName>
    <definedName name="RSAJoinFlag" comment="Flag - listing will join existing RSA">'1. Overview'!$N$398</definedName>
    <definedName name="SAChanged" comment="Values - SA authority data for changed medicines">'6. Net changes - SA'!$F$338:$M$357</definedName>
    <definedName name="SANew" comment="Values - SA authority data for new medicines">'6. Net changes - SA'!$F$104:$M$123</definedName>
    <definedName name="ScheduleType" comment="Values - PBS schedules on which the listing will appear">References!$E$30:$E$31</definedName>
    <definedName name="ScheduleTypeCode" comment="Values - PBS schedules on which the listing will appear with codes">References!$E$30:$F$31</definedName>
    <definedName name="ScriptsMSAdditional" comment="Values - total additional scripts">'4a. Scripts - affected'!$R$158:$R$177</definedName>
    <definedName name="ScriptsOldTotal" comment="Values - proportion of of current market by initial / continuing / initial and continuing" localSheetId="6">'2e. Scripts - market'!$Y$73:$Z$77</definedName>
    <definedName name="ScriptSource" comment="Value - source of script volumes - epi / market share / mixed model">'0. Title'!$E$39</definedName>
    <definedName name="ScriptSourceCode" comment="Value - source of script volumes as a code">'0. Title'!$C$39</definedName>
    <definedName name="ScriptSplit" comment="Value - source of the script split">'0. Title'!$C$48</definedName>
    <definedName name="ScriptSplitCode" comment="Values - script split">References!$E$102:$F$103</definedName>
    <definedName name="ScriptSplitType" comment="Values - script split (I/C or IC)">References!$E$102:$E$103</definedName>
    <definedName name="ServiceSplitPBS" comment="Values - proportion of current market scripts that are PBS">'2e. Scripts - market'!$S$73:$S$77</definedName>
    <definedName name="ServiceSplitPrivate" comment="Values - proportion of current market scripts that are private hospital">'2e. Scripts - market'!$J$90:$J$94</definedName>
    <definedName name="ServiceSplitPublic" comment="Values - proportion of current market scripts that are public hospital">'2e. Scripts - market'!$I$90:$I$94</definedName>
    <definedName name="ServiceSplitRPBS" comment="Values - proportion of current market scripts that are RPBS">'2e. Scripts - market'!$T$73:$T$77</definedName>
    <definedName name="SPAChangeFlag" comment="Flag - SPA exists for changed medicines">'0. Title'!$C$52</definedName>
    <definedName name="SPANewFlag" comment="Flag - SPA required for this listing">'1. Overview'!$N$396</definedName>
    <definedName name="SubmissionCategory" comment="Values - submission categories">References!$B$102:$B$105</definedName>
    <definedName name="SubmissionCategoryCode" comment="Values - submission categories with codes">References!$B$102:$C$105</definedName>
    <definedName name="SubmissionType" comment="Values - PBAC submission type">References!$B$90:$B$92</definedName>
    <definedName name="SubmissionTypeCode" comment="Values - PBAC submission type with code">References!$B$90:$C$92</definedName>
    <definedName name="SubResubType" comment="Values - validation values for submission / resubmission types">IF('1. Overview'!$N$9=1,SubmissionCategory,IF('1. Overview'!$N$9=2,Pathway,""))</definedName>
    <definedName name="Switch" comment="Values - yes/no switch">References!$H$30:$H$31</definedName>
    <definedName name="TimeUnit" comment="Values - units of time for treatment">References!$L$18:$L$20</definedName>
    <definedName name="TimeUnitCode" comment="Values - units of time for treatment with code">References!$L$18:$M$20</definedName>
    <definedName name="TimeUnitCount" comment="Values - number of time units in a year">References!$M$18:$N$20</definedName>
    <definedName name="TPAll" comment="Flag - patients are included in all treatment phases (there are no distinction between initial and continuing restrictions)">'2e. Scripts - market'!$X$84</definedName>
    <definedName name="TPCont" comment="Flag - patients are only included in the continuing treatment phase">'2e. Scripts - market'!$W$84</definedName>
    <definedName name="TPInit" comment="Flag - patients are only included in the initial treatment phase">'2e. Scripts - market'!$V$84</definedName>
    <definedName name="TPLong" comment="Values - treatment phase (for restriction)">References!$E$42:$E$46</definedName>
    <definedName name="TPLongCode" comment="Values - treatment phase (for restriction) with code">References!$E$42:$F$46</definedName>
    <definedName name="TPShort" comment="Values - treatment phases">References!$S$6:$S$8</definedName>
    <definedName name="TPShortCode" comment="Values - treatment phase and codes">References!$S$6:$U$9</definedName>
    <definedName name="TPShortReverse" comment="Values - reverse treatment phase and codes">References!$R$6:$T$8</definedName>
    <definedName name="TxDuration" comment="Flag - treatment is define as: chronic (open ended), extended (finite period &gt; 12 months) or episodic (finite &lt; 12 months)">'1. Overview'!$N$405</definedName>
    <definedName name="TxPhase1" comment="Value - name of first phase of treatment">References!$B$139</definedName>
    <definedName name="TxPhase1Code" comment="Value - phase 1 code">References!$B$147</definedName>
    <definedName name="TxPhase1Px" comment="Value - phase 1 patient count label">References!$B$141</definedName>
    <definedName name="TxPhase1PxTotal" comment="Value - total phase 1 patient label">References!$B$142</definedName>
    <definedName name="TxPhase1PxUnitsTx" comment="Value - phase 1 patient time units of treatment label">References!$B$143</definedName>
    <definedName name="TxPhase1Rx" comment="Value - phase 1 script count label">References!$B$145</definedName>
    <definedName name="TxPhase1RxTotal" comment="Value - total phase 1 script label">References!$B$146</definedName>
    <definedName name="TxPhase1Tx" comment="Value - phase 1 treatment label">References!$B$144</definedName>
    <definedName name="TxPhase2" comment="Value - name of second phase of treatment">References!$C$139</definedName>
    <definedName name="TxPhase2Code" comment="Value - phase 2 code">References!$C$147</definedName>
    <definedName name="TxPhase2Px" comment="Value - phase 2 patient count label">References!$C$141</definedName>
    <definedName name="TxPhase2PxTotal" comment="Value - total phase 2 patient label">References!$C$142</definedName>
    <definedName name="TxPhase2PxUnitsTx" comment="Value - phase 2 patient time units of treatment label">References!$C$143</definedName>
    <definedName name="TxPhase2Rx" comment="Value - phase 2 script count label">References!$C$145</definedName>
    <definedName name="TxPhase2RxTotal" comment="Value - total phase 2 script label">References!$C$146</definedName>
    <definedName name="TxPhase2Source" comment="Values - source of phase 2 patients">References!$E$114:$E$115</definedName>
    <definedName name="TxPhase2SourceCode" comment="Values - source of phase 2 patients with code">References!$E$114:$F$115</definedName>
    <definedName name="TXPhase2Tx" comment="Value - phase 2 treatment label">References!$C$144</definedName>
    <definedName name="TxPhaseLinkNew" comment="Values - new drug name linked to replaced drug name with treatment phase">'3a. Scripts - proposed'!$AF$144:$AG$163</definedName>
    <definedName name="TxPhaseNew" comment="Values - item code / drug name / form / treatment phase concatenated for new drug">'3a. Scripts - proposed'!$AF$117:$AG$136</definedName>
    <definedName name="WarningMessages" comment="Values - warning message text">References!$AA$22:$AB$41</definedName>
  </definedNames>
  <calcPr calcId="162913"/>
</workbook>
</file>

<file path=xl/calcChain.xml><?xml version="1.0" encoding="utf-8"?>
<calcChain xmlns="http://schemas.openxmlformats.org/spreadsheetml/2006/main">
  <c r="X369" i="58" l="1"/>
  <c r="X370" i="58"/>
  <c r="X371" i="58"/>
  <c r="X372" i="58"/>
  <c r="X373" i="58"/>
  <c r="X374" i="58"/>
  <c r="X375" i="58"/>
  <c r="X376" i="58"/>
  <c r="X377" i="58"/>
  <c r="X378" i="58"/>
  <c r="X379" i="58"/>
  <c r="X368" i="58"/>
  <c r="W369" i="58"/>
  <c r="W370" i="58"/>
  <c r="W371" i="58"/>
  <c r="W372" i="58"/>
  <c r="W373" i="58"/>
  <c r="W374" i="58"/>
  <c r="W375" i="58"/>
  <c r="W376" i="58"/>
  <c r="W377" i="58"/>
  <c r="W378" i="58"/>
  <c r="W368" i="58"/>
  <c r="X331" i="58"/>
  <c r="X332" i="58"/>
  <c r="X333" i="58"/>
  <c r="X334" i="58"/>
  <c r="X335" i="58"/>
  <c r="X336" i="58"/>
  <c r="X337" i="58"/>
  <c r="X338" i="58"/>
  <c r="X339" i="58"/>
  <c r="X340" i="58"/>
  <c r="X341" i="58"/>
  <c r="X330" i="58"/>
  <c r="W331" i="58"/>
  <c r="W332" i="58"/>
  <c r="W333" i="58"/>
  <c r="W334" i="58"/>
  <c r="W335" i="58"/>
  <c r="W336" i="58"/>
  <c r="W337" i="58"/>
  <c r="W338" i="58"/>
  <c r="W339" i="58"/>
  <c r="W340" i="58"/>
  <c r="W330" i="58"/>
  <c r="X293" i="58"/>
  <c r="X294" i="58"/>
  <c r="X295" i="58"/>
  <c r="X296" i="58"/>
  <c r="X297" i="58"/>
  <c r="X298" i="58"/>
  <c r="X299" i="58"/>
  <c r="X300" i="58"/>
  <c r="X301" i="58"/>
  <c r="X302" i="58"/>
  <c r="X303" i="58"/>
  <c r="X292" i="58"/>
  <c r="W293" i="58"/>
  <c r="W294" i="58"/>
  <c r="W295" i="58"/>
  <c r="W296" i="58"/>
  <c r="W297" i="58"/>
  <c r="W298" i="58"/>
  <c r="W299" i="58"/>
  <c r="W300" i="58"/>
  <c r="W301" i="58"/>
  <c r="W302" i="58"/>
  <c r="W292" i="58"/>
  <c r="X255" i="58"/>
  <c r="X256" i="58"/>
  <c r="X257" i="58"/>
  <c r="X258" i="58"/>
  <c r="X259" i="58"/>
  <c r="X260" i="58"/>
  <c r="X261" i="58"/>
  <c r="X262" i="58"/>
  <c r="X263" i="58"/>
  <c r="X264" i="58"/>
  <c r="X265" i="58"/>
  <c r="X254" i="58"/>
  <c r="W255" i="58"/>
  <c r="W256" i="58"/>
  <c r="W257" i="58"/>
  <c r="W258" i="58"/>
  <c r="W259" i="58"/>
  <c r="W260" i="58"/>
  <c r="W261" i="58"/>
  <c r="W262" i="58"/>
  <c r="W263" i="58"/>
  <c r="W264" i="58"/>
  <c r="W254" i="58"/>
  <c r="X217" i="58"/>
  <c r="X218" i="58"/>
  <c r="X219" i="58"/>
  <c r="X220" i="58"/>
  <c r="X221" i="58"/>
  <c r="X222" i="58"/>
  <c r="X223" i="58"/>
  <c r="X224" i="58"/>
  <c r="X225" i="58"/>
  <c r="X226" i="58"/>
  <c r="X227" i="58"/>
  <c r="X216" i="58"/>
  <c r="W217" i="58"/>
  <c r="W218" i="58"/>
  <c r="W219" i="58"/>
  <c r="W220" i="58"/>
  <c r="W221" i="58"/>
  <c r="W222" i="58"/>
  <c r="W223" i="58"/>
  <c r="W224" i="58"/>
  <c r="W225" i="58"/>
  <c r="W226" i="58"/>
  <c r="W216" i="58"/>
  <c r="X179" i="58"/>
  <c r="X180" i="58"/>
  <c r="X181" i="58"/>
  <c r="X182" i="58"/>
  <c r="X183" i="58"/>
  <c r="X184" i="58"/>
  <c r="X185" i="58"/>
  <c r="X186" i="58"/>
  <c r="X187" i="58"/>
  <c r="X188" i="58"/>
  <c r="X189" i="58"/>
  <c r="X178" i="58"/>
  <c r="W179" i="58"/>
  <c r="W180" i="58"/>
  <c r="W181" i="58"/>
  <c r="W182" i="58"/>
  <c r="W183" i="58"/>
  <c r="W184" i="58"/>
  <c r="W185" i="58"/>
  <c r="W186" i="58"/>
  <c r="W187" i="58"/>
  <c r="W188" i="58"/>
  <c r="W178" i="58"/>
  <c r="X141" i="58"/>
  <c r="X142" i="58"/>
  <c r="X143" i="58"/>
  <c r="X144" i="58"/>
  <c r="X145" i="58"/>
  <c r="X146" i="58"/>
  <c r="X147" i="58"/>
  <c r="X148" i="58"/>
  <c r="X149" i="58"/>
  <c r="X150" i="58"/>
  <c r="X151" i="58"/>
  <c r="X140" i="58"/>
  <c r="W141" i="58"/>
  <c r="W142" i="58"/>
  <c r="W143" i="58"/>
  <c r="W144" i="58"/>
  <c r="W145" i="58"/>
  <c r="W146" i="58"/>
  <c r="W147" i="58"/>
  <c r="W148" i="58"/>
  <c r="W149" i="58"/>
  <c r="W150" i="58"/>
  <c r="W140" i="58"/>
  <c r="X103" i="58"/>
  <c r="X104" i="58"/>
  <c r="X105" i="58"/>
  <c r="X106" i="58"/>
  <c r="X107" i="58"/>
  <c r="X108" i="58"/>
  <c r="X109" i="58"/>
  <c r="X110" i="58"/>
  <c r="X111" i="58"/>
  <c r="X112" i="58"/>
  <c r="X113" i="58"/>
  <c r="W103" i="58"/>
  <c r="W104" i="58"/>
  <c r="W105" i="58"/>
  <c r="W106" i="58"/>
  <c r="W107" i="58"/>
  <c r="W108" i="58"/>
  <c r="W109" i="58"/>
  <c r="W110" i="58"/>
  <c r="W111" i="58"/>
  <c r="W112" i="58"/>
  <c r="X102" i="58"/>
  <c r="W102" i="58"/>
  <c r="X75" i="58"/>
  <c r="W65" i="58"/>
  <c r="X65" i="58"/>
  <c r="W66" i="58"/>
  <c r="X66" i="58"/>
  <c r="W67" i="58"/>
  <c r="X67" i="58"/>
  <c r="W68" i="58"/>
  <c r="X68" i="58"/>
  <c r="W69" i="58"/>
  <c r="X69" i="58"/>
  <c r="W70" i="58"/>
  <c r="X70" i="58"/>
  <c r="W71" i="58"/>
  <c r="X71" i="58"/>
  <c r="W72" i="58"/>
  <c r="X72" i="58"/>
  <c r="W73" i="58"/>
  <c r="X73" i="58"/>
  <c r="W74" i="58"/>
  <c r="X74" i="58"/>
  <c r="X64" i="58"/>
  <c r="W64" i="58"/>
  <c r="M41" i="60" l="1"/>
  <c r="X832" i="50" l="1"/>
  <c r="X815" i="50"/>
  <c r="X798" i="50"/>
  <c r="X781" i="50"/>
  <c r="X764" i="50"/>
  <c r="X747" i="50"/>
  <c r="X730" i="50"/>
  <c r="X713" i="50"/>
  <c r="X696" i="50"/>
  <c r="X679" i="50"/>
  <c r="X662" i="50"/>
  <c r="X645" i="50"/>
  <c r="X628" i="50"/>
  <c r="X611" i="50"/>
  <c r="X594" i="50"/>
  <c r="X577" i="50"/>
  <c r="X560" i="50"/>
  <c r="X543" i="50"/>
  <c r="X526" i="50"/>
  <c r="X509" i="50"/>
  <c r="F64" i="58" l="1"/>
  <c r="AA482" i="50" l="1"/>
  <c r="AA87" i="50"/>
  <c r="AA88" i="50" l="1"/>
  <c r="AA89" i="50"/>
  <c r="F839" i="50" l="1"/>
  <c r="G839" i="50" s="1"/>
  <c r="H839" i="50" s="1"/>
  <c r="I839" i="50" s="1"/>
  <c r="J839" i="50" s="1"/>
  <c r="K839" i="50" s="1"/>
  <c r="Y832" i="50"/>
  <c r="Y833" i="50" s="1"/>
  <c r="Y834" i="50" s="1"/>
  <c r="Y835" i="50" s="1"/>
  <c r="Y836" i="50" s="1"/>
  <c r="Y837" i="50" s="1"/>
  <c r="X833" i="50"/>
  <c r="X834" i="50" s="1"/>
  <c r="X835" i="50" s="1"/>
  <c r="X836" i="50" s="1"/>
  <c r="X837" i="50" s="1"/>
  <c r="F822" i="50"/>
  <c r="G822" i="50" s="1"/>
  <c r="H822" i="50" s="1"/>
  <c r="I822" i="50" s="1"/>
  <c r="J822" i="50" s="1"/>
  <c r="K822" i="50" s="1"/>
  <c r="Y815" i="50"/>
  <c r="Y816" i="50" s="1"/>
  <c r="Y817" i="50" s="1"/>
  <c r="Y818" i="50" s="1"/>
  <c r="Y819" i="50" s="1"/>
  <c r="Y820" i="50" s="1"/>
  <c r="X816" i="50"/>
  <c r="X817" i="50" s="1"/>
  <c r="X818" i="50" s="1"/>
  <c r="X819" i="50" s="1"/>
  <c r="X820" i="50" s="1"/>
  <c r="F805" i="50"/>
  <c r="G805" i="50" s="1"/>
  <c r="H805" i="50" s="1"/>
  <c r="I805" i="50" s="1"/>
  <c r="J805" i="50" s="1"/>
  <c r="K805" i="50" s="1"/>
  <c r="Y798" i="50"/>
  <c r="Y799" i="50" s="1"/>
  <c r="Y800" i="50" s="1"/>
  <c r="Y801" i="50" s="1"/>
  <c r="Y802" i="50" s="1"/>
  <c r="Y803" i="50" s="1"/>
  <c r="X799" i="50"/>
  <c r="X800" i="50" s="1"/>
  <c r="X801" i="50" s="1"/>
  <c r="X802" i="50" s="1"/>
  <c r="X803" i="50" s="1"/>
  <c r="F788" i="50"/>
  <c r="G788" i="50" s="1"/>
  <c r="H788" i="50" s="1"/>
  <c r="I788" i="50" s="1"/>
  <c r="J788" i="50" s="1"/>
  <c r="K788" i="50" s="1"/>
  <c r="Y781" i="50"/>
  <c r="Y782" i="50" s="1"/>
  <c r="Y783" i="50" s="1"/>
  <c r="Y784" i="50" s="1"/>
  <c r="Y785" i="50" s="1"/>
  <c r="Y786" i="50" s="1"/>
  <c r="X782" i="50"/>
  <c r="X783" i="50" s="1"/>
  <c r="X784" i="50" s="1"/>
  <c r="X785" i="50" s="1"/>
  <c r="X786" i="50" s="1"/>
  <c r="F771" i="50"/>
  <c r="G771" i="50" s="1"/>
  <c r="H771" i="50" s="1"/>
  <c r="I771" i="50" s="1"/>
  <c r="J771" i="50" s="1"/>
  <c r="K771" i="50" s="1"/>
  <c r="Y764" i="50"/>
  <c r="Y765" i="50" s="1"/>
  <c r="Y766" i="50" s="1"/>
  <c r="Y767" i="50" s="1"/>
  <c r="Y768" i="50" s="1"/>
  <c r="Y769" i="50" s="1"/>
  <c r="X765" i="50"/>
  <c r="X766" i="50" s="1"/>
  <c r="X767" i="50" s="1"/>
  <c r="X768" i="50" s="1"/>
  <c r="X769" i="50" s="1"/>
  <c r="F754" i="50"/>
  <c r="G754" i="50" s="1"/>
  <c r="H754" i="50" s="1"/>
  <c r="I754" i="50" s="1"/>
  <c r="J754" i="50" s="1"/>
  <c r="K754" i="50" s="1"/>
  <c r="Y747" i="50"/>
  <c r="Y748" i="50" s="1"/>
  <c r="Y749" i="50" s="1"/>
  <c r="Y750" i="50" s="1"/>
  <c r="Y751" i="50" s="1"/>
  <c r="Y752" i="50" s="1"/>
  <c r="X748" i="50"/>
  <c r="X749" i="50" s="1"/>
  <c r="X750" i="50" s="1"/>
  <c r="X751" i="50" s="1"/>
  <c r="X752" i="50" s="1"/>
  <c r="F737" i="50"/>
  <c r="G737" i="50" s="1"/>
  <c r="H737" i="50" s="1"/>
  <c r="I737" i="50" s="1"/>
  <c r="J737" i="50" s="1"/>
  <c r="K737" i="50" s="1"/>
  <c r="Y730" i="50"/>
  <c r="Y731" i="50" s="1"/>
  <c r="Y732" i="50" s="1"/>
  <c r="Y733" i="50" s="1"/>
  <c r="Y734" i="50" s="1"/>
  <c r="Y735" i="50" s="1"/>
  <c r="X731" i="50"/>
  <c r="X732" i="50" s="1"/>
  <c r="X733" i="50" s="1"/>
  <c r="X734" i="50" s="1"/>
  <c r="X735" i="50" s="1"/>
  <c r="F720" i="50"/>
  <c r="G720" i="50" s="1"/>
  <c r="H720" i="50" s="1"/>
  <c r="I720" i="50" s="1"/>
  <c r="J720" i="50" s="1"/>
  <c r="K720" i="50" s="1"/>
  <c r="Y713" i="50"/>
  <c r="Y714" i="50" s="1"/>
  <c r="Y715" i="50" s="1"/>
  <c r="Y716" i="50" s="1"/>
  <c r="Y717" i="50" s="1"/>
  <c r="Y718" i="50" s="1"/>
  <c r="X714" i="50"/>
  <c r="X715" i="50" s="1"/>
  <c r="X716" i="50" s="1"/>
  <c r="X717" i="50" s="1"/>
  <c r="X718" i="50" s="1"/>
  <c r="F703" i="50"/>
  <c r="G703" i="50" s="1"/>
  <c r="H703" i="50" s="1"/>
  <c r="I703" i="50" s="1"/>
  <c r="J703" i="50" s="1"/>
  <c r="K703" i="50" s="1"/>
  <c r="Y696" i="50"/>
  <c r="Y697" i="50" s="1"/>
  <c r="Y698" i="50" s="1"/>
  <c r="Y699" i="50" s="1"/>
  <c r="Y700" i="50" s="1"/>
  <c r="Y701" i="50" s="1"/>
  <c r="X697" i="50"/>
  <c r="X698" i="50" s="1"/>
  <c r="X699" i="50" s="1"/>
  <c r="X700" i="50" s="1"/>
  <c r="X701" i="50" s="1"/>
  <c r="F686" i="50"/>
  <c r="G686" i="50" s="1"/>
  <c r="H686" i="50" s="1"/>
  <c r="I686" i="50" s="1"/>
  <c r="J686" i="50" s="1"/>
  <c r="K686" i="50" s="1"/>
  <c r="Y679" i="50"/>
  <c r="Y680" i="50" s="1"/>
  <c r="Y681" i="50" s="1"/>
  <c r="Y682" i="50" s="1"/>
  <c r="Y683" i="50" s="1"/>
  <c r="Y684" i="50" s="1"/>
  <c r="X680" i="50"/>
  <c r="X681" i="50" s="1"/>
  <c r="X682" i="50" s="1"/>
  <c r="X683" i="50" s="1"/>
  <c r="X684" i="50" s="1"/>
  <c r="F669" i="50"/>
  <c r="G669" i="50" s="1"/>
  <c r="H669" i="50" s="1"/>
  <c r="I669" i="50" s="1"/>
  <c r="J669" i="50" s="1"/>
  <c r="K669" i="50" s="1"/>
  <c r="Y662" i="50"/>
  <c r="Y663" i="50" s="1"/>
  <c r="Y664" i="50" s="1"/>
  <c r="Y665" i="50" s="1"/>
  <c r="Y666" i="50" s="1"/>
  <c r="Y667" i="50" s="1"/>
  <c r="X663" i="50"/>
  <c r="X664" i="50" s="1"/>
  <c r="X665" i="50" s="1"/>
  <c r="X666" i="50" s="1"/>
  <c r="X667" i="50" s="1"/>
  <c r="F652" i="50"/>
  <c r="G652" i="50" s="1"/>
  <c r="H652" i="50" s="1"/>
  <c r="I652" i="50" s="1"/>
  <c r="J652" i="50" s="1"/>
  <c r="K652" i="50" s="1"/>
  <c r="Y645" i="50"/>
  <c r="Y646" i="50" s="1"/>
  <c r="Y647" i="50" s="1"/>
  <c r="Y648" i="50" s="1"/>
  <c r="Y649" i="50" s="1"/>
  <c r="Y650" i="50" s="1"/>
  <c r="X646" i="50"/>
  <c r="X647" i="50" s="1"/>
  <c r="X648" i="50" s="1"/>
  <c r="X649" i="50" s="1"/>
  <c r="X650" i="50" s="1"/>
  <c r="F635" i="50"/>
  <c r="G635" i="50" s="1"/>
  <c r="H635" i="50" s="1"/>
  <c r="I635" i="50" s="1"/>
  <c r="J635" i="50" s="1"/>
  <c r="K635" i="50" s="1"/>
  <c r="Y628" i="50"/>
  <c r="Y629" i="50" s="1"/>
  <c r="Y630" i="50" s="1"/>
  <c r="Y631" i="50" s="1"/>
  <c r="Y632" i="50" s="1"/>
  <c r="Y633" i="50" s="1"/>
  <c r="X629" i="50"/>
  <c r="X630" i="50" s="1"/>
  <c r="X631" i="50" s="1"/>
  <c r="X632" i="50" s="1"/>
  <c r="X633" i="50" s="1"/>
  <c r="F618" i="50"/>
  <c r="G618" i="50" s="1"/>
  <c r="H618" i="50" s="1"/>
  <c r="I618" i="50" s="1"/>
  <c r="J618" i="50" s="1"/>
  <c r="K618" i="50" s="1"/>
  <c r="Y611" i="50"/>
  <c r="Y612" i="50" s="1"/>
  <c r="Y613" i="50" s="1"/>
  <c r="Y614" i="50" s="1"/>
  <c r="Y615" i="50" s="1"/>
  <c r="Y616" i="50" s="1"/>
  <c r="X612" i="50"/>
  <c r="X613" i="50" s="1"/>
  <c r="X614" i="50" s="1"/>
  <c r="X615" i="50" s="1"/>
  <c r="X616" i="50" s="1"/>
  <c r="F601" i="50"/>
  <c r="G601" i="50" s="1"/>
  <c r="H601" i="50" s="1"/>
  <c r="I601" i="50" s="1"/>
  <c r="J601" i="50" s="1"/>
  <c r="K601" i="50" s="1"/>
  <c r="Y594" i="50"/>
  <c r="Y595" i="50" s="1"/>
  <c r="Y596" i="50" s="1"/>
  <c r="Y597" i="50" s="1"/>
  <c r="Y598" i="50" s="1"/>
  <c r="Y599" i="50" s="1"/>
  <c r="X595" i="50"/>
  <c r="X596" i="50" s="1"/>
  <c r="X597" i="50" s="1"/>
  <c r="X598" i="50" s="1"/>
  <c r="X599" i="50" s="1"/>
  <c r="F584" i="50"/>
  <c r="G584" i="50" s="1"/>
  <c r="H584" i="50" s="1"/>
  <c r="I584" i="50" s="1"/>
  <c r="J584" i="50" s="1"/>
  <c r="K584" i="50" s="1"/>
  <c r="Y577" i="50"/>
  <c r="Y578" i="50" s="1"/>
  <c r="Y579" i="50" s="1"/>
  <c r="Y580" i="50" s="1"/>
  <c r="Y581" i="50" s="1"/>
  <c r="Y582" i="50" s="1"/>
  <c r="X578" i="50"/>
  <c r="X579" i="50" s="1"/>
  <c r="X580" i="50" s="1"/>
  <c r="X581" i="50" s="1"/>
  <c r="X582" i="50" s="1"/>
  <c r="F567" i="50"/>
  <c r="G567" i="50" s="1"/>
  <c r="H567" i="50" s="1"/>
  <c r="I567" i="50" s="1"/>
  <c r="J567" i="50" s="1"/>
  <c r="K567" i="50" s="1"/>
  <c r="Y560" i="50"/>
  <c r="Y561" i="50" s="1"/>
  <c r="Y562" i="50" s="1"/>
  <c r="Y563" i="50" s="1"/>
  <c r="Y564" i="50" s="1"/>
  <c r="Y565" i="50" s="1"/>
  <c r="X561" i="50"/>
  <c r="X562" i="50" s="1"/>
  <c r="X563" i="50" s="1"/>
  <c r="X564" i="50" s="1"/>
  <c r="X565" i="50" s="1"/>
  <c r="F550" i="50"/>
  <c r="G550" i="50" s="1"/>
  <c r="H550" i="50" s="1"/>
  <c r="I550" i="50" s="1"/>
  <c r="J550" i="50" s="1"/>
  <c r="K550" i="50" s="1"/>
  <c r="Y543" i="50"/>
  <c r="Y544" i="50" s="1"/>
  <c r="Y545" i="50" s="1"/>
  <c r="Y546" i="50" s="1"/>
  <c r="Y547" i="50" s="1"/>
  <c r="Y548" i="50" s="1"/>
  <c r="X544" i="50"/>
  <c r="X545" i="50" s="1"/>
  <c r="X546" i="50" s="1"/>
  <c r="X547" i="50" s="1"/>
  <c r="X548" i="50" s="1"/>
  <c r="F533" i="50"/>
  <c r="G533" i="50" s="1"/>
  <c r="H533" i="50" s="1"/>
  <c r="I533" i="50" s="1"/>
  <c r="J533" i="50" s="1"/>
  <c r="K533" i="50" s="1"/>
  <c r="Y526" i="50"/>
  <c r="Y527" i="50" s="1"/>
  <c r="Y528" i="50" s="1"/>
  <c r="Y529" i="50" s="1"/>
  <c r="Y530" i="50" s="1"/>
  <c r="Y531" i="50" s="1"/>
  <c r="X527" i="50"/>
  <c r="X528" i="50" s="1"/>
  <c r="X529" i="50" s="1"/>
  <c r="X530" i="50" s="1"/>
  <c r="X531" i="50" s="1"/>
  <c r="F516" i="50"/>
  <c r="G516" i="50" s="1"/>
  <c r="H516" i="50" s="1"/>
  <c r="I516" i="50" s="1"/>
  <c r="J516" i="50" s="1"/>
  <c r="K516" i="50" s="1"/>
  <c r="Y509" i="50"/>
  <c r="Y510" i="50" s="1"/>
  <c r="Y511" i="50" s="1"/>
  <c r="Y512" i="50" s="1"/>
  <c r="Y513" i="50" s="1"/>
  <c r="Y514" i="50" s="1"/>
  <c r="X510" i="50"/>
  <c r="X511" i="50" s="1"/>
  <c r="X512" i="50" s="1"/>
  <c r="X513" i="50" s="1"/>
  <c r="X514" i="50" s="1"/>
  <c r="F444" i="50"/>
  <c r="G444" i="50" s="1"/>
  <c r="H444" i="50" s="1"/>
  <c r="I444" i="50" s="1"/>
  <c r="J444" i="50" s="1"/>
  <c r="K444" i="50" s="1"/>
  <c r="Y437" i="50"/>
  <c r="Y438" i="50" s="1"/>
  <c r="Y439" i="50" s="1"/>
  <c r="Y440" i="50" s="1"/>
  <c r="Y441" i="50" s="1"/>
  <c r="Y442" i="50" s="1"/>
  <c r="X437" i="50"/>
  <c r="X438" i="50" s="1"/>
  <c r="X439" i="50" s="1"/>
  <c r="X440" i="50" s="1"/>
  <c r="X441" i="50" s="1"/>
  <c r="X442" i="50" s="1"/>
  <c r="F427" i="50"/>
  <c r="G427" i="50" s="1"/>
  <c r="H427" i="50" s="1"/>
  <c r="I427" i="50" s="1"/>
  <c r="J427" i="50" s="1"/>
  <c r="K427" i="50" s="1"/>
  <c r="Y420" i="50"/>
  <c r="Y421" i="50" s="1"/>
  <c r="Y422" i="50" s="1"/>
  <c r="Y423" i="50" s="1"/>
  <c r="Y424" i="50" s="1"/>
  <c r="Y425" i="50" s="1"/>
  <c r="X420" i="50"/>
  <c r="X421" i="50" s="1"/>
  <c r="X422" i="50" s="1"/>
  <c r="X423" i="50" s="1"/>
  <c r="X424" i="50" s="1"/>
  <c r="X425" i="50" s="1"/>
  <c r="F410" i="50"/>
  <c r="G410" i="50" s="1"/>
  <c r="H410" i="50" s="1"/>
  <c r="I410" i="50" s="1"/>
  <c r="J410" i="50" s="1"/>
  <c r="K410" i="50" s="1"/>
  <c r="Y403" i="50"/>
  <c r="Y404" i="50" s="1"/>
  <c r="Y405" i="50" s="1"/>
  <c r="Y406" i="50" s="1"/>
  <c r="Y407" i="50" s="1"/>
  <c r="Y408" i="50" s="1"/>
  <c r="X403" i="50"/>
  <c r="X404" i="50" s="1"/>
  <c r="X405" i="50" s="1"/>
  <c r="X406" i="50" s="1"/>
  <c r="X407" i="50" s="1"/>
  <c r="X408" i="50" s="1"/>
  <c r="F393" i="50"/>
  <c r="G393" i="50" s="1"/>
  <c r="H393" i="50" s="1"/>
  <c r="I393" i="50" s="1"/>
  <c r="J393" i="50" s="1"/>
  <c r="K393" i="50" s="1"/>
  <c r="Y386" i="50"/>
  <c r="Y387" i="50" s="1"/>
  <c r="Y388" i="50" s="1"/>
  <c r="Y389" i="50" s="1"/>
  <c r="Y390" i="50" s="1"/>
  <c r="Y391" i="50" s="1"/>
  <c r="X386" i="50"/>
  <c r="X387" i="50" s="1"/>
  <c r="X388" i="50" s="1"/>
  <c r="X389" i="50" s="1"/>
  <c r="X390" i="50" s="1"/>
  <c r="X391" i="50" s="1"/>
  <c r="F376" i="50"/>
  <c r="G376" i="50" s="1"/>
  <c r="H376" i="50" s="1"/>
  <c r="I376" i="50" s="1"/>
  <c r="J376" i="50" s="1"/>
  <c r="K376" i="50" s="1"/>
  <c r="Y369" i="50"/>
  <c r="Y370" i="50" s="1"/>
  <c r="Y371" i="50" s="1"/>
  <c r="Y372" i="50" s="1"/>
  <c r="Y373" i="50" s="1"/>
  <c r="Y374" i="50" s="1"/>
  <c r="X369" i="50"/>
  <c r="X370" i="50" s="1"/>
  <c r="X371" i="50" s="1"/>
  <c r="X372" i="50" s="1"/>
  <c r="X373" i="50" s="1"/>
  <c r="X374" i="50" s="1"/>
  <c r="F359" i="50"/>
  <c r="G359" i="50" s="1"/>
  <c r="H359" i="50" s="1"/>
  <c r="I359" i="50" s="1"/>
  <c r="J359" i="50" s="1"/>
  <c r="K359" i="50" s="1"/>
  <c r="Y352" i="50"/>
  <c r="Y353" i="50" s="1"/>
  <c r="Y354" i="50" s="1"/>
  <c r="Y355" i="50" s="1"/>
  <c r="Y356" i="50" s="1"/>
  <c r="Y357" i="50" s="1"/>
  <c r="X352" i="50"/>
  <c r="X353" i="50" s="1"/>
  <c r="X354" i="50" s="1"/>
  <c r="X355" i="50" s="1"/>
  <c r="X356" i="50" s="1"/>
  <c r="X357" i="50" s="1"/>
  <c r="F342" i="50"/>
  <c r="G342" i="50" s="1"/>
  <c r="H342" i="50" s="1"/>
  <c r="I342" i="50" s="1"/>
  <c r="J342" i="50" s="1"/>
  <c r="K342" i="50" s="1"/>
  <c r="Y335" i="50"/>
  <c r="Y336" i="50" s="1"/>
  <c r="Y337" i="50" s="1"/>
  <c r="Y338" i="50" s="1"/>
  <c r="Y339" i="50" s="1"/>
  <c r="Y340" i="50" s="1"/>
  <c r="X335" i="50"/>
  <c r="X336" i="50" s="1"/>
  <c r="X337" i="50" s="1"/>
  <c r="X338" i="50" s="1"/>
  <c r="X339" i="50" s="1"/>
  <c r="X340" i="50" s="1"/>
  <c r="F325" i="50"/>
  <c r="G325" i="50" s="1"/>
  <c r="H325" i="50" s="1"/>
  <c r="I325" i="50" s="1"/>
  <c r="J325" i="50" s="1"/>
  <c r="K325" i="50" s="1"/>
  <c r="Y318" i="50"/>
  <c r="Y319" i="50" s="1"/>
  <c r="Y320" i="50" s="1"/>
  <c r="Y321" i="50" s="1"/>
  <c r="Y322" i="50" s="1"/>
  <c r="Y323" i="50" s="1"/>
  <c r="X318" i="50"/>
  <c r="X319" i="50" s="1"/>
  <c r="X320" i="50" s="1"/>
  <c r="X321" i="50" s="1"/>
  <c r="X322" i="50" s="1"/>
  <c r="X323" i="50" s="1"/>
  <c r="F308" i="50"/>
  <c r="G308" i="50" s="1"/>
  <c r="H308" i="50" s="1"/>
  <c r="I308" i="50" s="1"/>
  <c r="J308" i="50" s="1"/>
  <c r="K308" i="50" s="1"/>
  <c r="Y301" i="50"/>
  <c r="Y302" i="50" s="1"/>
  <c r="Y303" i="50" s="1"/>
  <c r="Y304" i="50" s="1"/>
  <c r="Y305" i="50" s="1"/>
  <c r="Y306" i="50" s="1"/>
  <c r="X301" i="50"/>
  <c r="X302" i="50" s="1"/>
  <c r="X303" i="50" s="1"/>
  <c r="X304" i="50" s="1"/>
  <c r="X305" i="50" s="1"/>
  <c r="X306" i="50" s="1"/>
  <c r="F291" i="50"/>
  <c r="G291" i="50" s="1"/>
  <c r="H291" i="50" s="1"/>
  <c r="I291" i="50" s="1"/>
  <c r="J291" i="50" s="1"/>
  <c r="K291" i="50" s="1"/>
  <c r="Y284" i="50"/>
  <c r="Y285" i="50" s="1"/>
  <c r="Y286" i="50" s="1"/>
  <c r="Y287" i="50" s="1"/>
  <c r="Y288" i="50" s="1"/>
  <c r="Y289" i="50" s="1"/>
  <c r="X284" i="50"/>
  <c r="X285" i="50" s="1"/>
  <c r="X286" i="50" s="1"/>
  <c r="X287" i="50" s="1"/>
  <c r="X288" i="50" s="1"/>
  <c r="X289" i="50" s="1"/>
  <c r="F274" i="50"/>
  <c r="G274" i="50" s="1"/>
  <c r="H274" i="50" s="1"/>
  <c r="I274" i="50" s="1"/>
  <c r="J274" i="50" s="1"/>
  <c r="K274" i="50" s="1"/>
  <c r="Y267" i="50"/>
  <c r="Y268" i="50" s="1"/>
  <c r="Y269" i="50" s="1"/>
  <c r="Y270" i="50" s="1"/>
  <c r="Y271" i="50" s="1"/>
  <c r="Y272" i="50" s="1"/>
  <c r="X267" i="50"/>
  <c r="X268" i="50" s="1"/>
  <c r="X269" i="50" s="1"/>
  <c r="X270" i="50" s="1"/>
  <c r="X271" i="50" s="1"/>
  <c r="X272" i="50" s="1"/>
  <c r="F257" i="50"/>
  <c r="G257" i="50" s="1"/>
  <c r="H257" i="50" s="1"/>
  <c r="I257" i="50" s="1"/>
  <c r="J257" i="50" s="1"/>
  <c r="K257" i="50" s="1"/>
  <c r="Y250" i="50"/>
  <c r="Y251" i="50" s="1"/>
  <c r="Y252" i="50" s="1"/>
  <c r="Y253" i="50" s="1"/>
  <c r="Y254" i="50" s="1"/>
  <c r="Y255" i="50" s="1"/>
  <c r="X250" i="50"/>
  <c r="X251" i="50" s="1"/>
  <c r="X252" i="50" s="1"/>
  <c r="X253" i="50" s="1"/>
  <c r="X254" i="50" s="1"/>
  <c r="X255" i="50" s="1"/>
  <c r="F240" i="50"/>
  <c r="G240" i="50" s="1"/>
  <c r="H240" i="50" s="1"/>
  <c r="I240" i="50" s="1"/>
  <c r="J240" i="50" s="1"/>
  <c r="K240" i="50" s="1"/>
  <c r="Y233" i="50"/>
  <c r="Y234" i="50" s="1"/>
  <c r="Y235" i="50" s="1"/>
  <c r="Y236" i="50" s="1"/>
  <c r="Y237" i="50" s="1"/>
  <c r="Y238" i="50" s="1"/>
  <c r="X233" i="50"/>
  <c r="X234" i="50" s="1"/>
  <c r="X235" i="50" s="1"/>
  <c r="X236" i="50" s="1"/>
  <c r="X237" i="50" s="1"/>
  <c r="X238" i="50" s="1"/>
  <c r="F223" i="50"/>
  <c r="G223" i="50" s="1"/>
  <c r="H223" i="50" s="1"/>
  <c r="I223" i="50" s="1"/>
  <c r="J223" i="50" s="1"/>
  <c r="K223" i="50" s="1"/>
  <c r="Y216" i="50"/>
  <c r="Y217" i="50" s="1"/>
  <c r="Y218" i="50" s="1"/>
  <c r="Y219" i="50" s="1"/>
  <c r="Y220" i="50" s="1"/>
  <c r="Y221" i="50" s="1"/>
  <c r="X216" i="50"/>
  <c r="X217" i="50" s="1"/>
  <c r="X218" i="50" s="1"/>
  <c r="X219" i="50" s="1"/>
  <c r="X220" i="50" s="1"/>
  <c r="X221" i="50" s="1"/>
  <c r="F206" i="50"/>
  <c r="G206" i="50" s="1"/>
  <c r="H206" i="50" s="1"/>
  <c r="I206" i="50" s="1"/>
  <c r="J206" i="50" s="1"/>
  <c r="K206" i="50" s="1"/>
  <c r="Y199" i="50"/>
  <c r="Y200" i="50" s="1"/>
  <c r="Y201" i="50" s="1"/>
  <c r="Y202" i="50" s="1"/>
  <c r="Y203" i="50" s="1"/>
  <c r="Y204" i="50" s="1"/>
  <c r="X199" i="50"/>
  <c r="X200" i="50" s="1"/>
  <c r="X201" i="50" s="1"/>
  <c r="X202" i="50" s="1"/>
  <c r="X203" i="50" s="1"/>
  <c r="X204" i="50" s="1"/>
  <c r="F189" i="50"/>
  <c r="G189" i="50" s="1"/>
  <c r="H189" i="50" s="1"/>
  <c r="I189" i="50" s="1"/>
  <c r="J189" i="50" s="1"/>
  <c r="K189" i="50" s="1"/>
  <c r="Y182" i="50"/>
  <c r="Y183" i="50" s="1"/>
  <c r="Y184" i="50" s="1"/>
  <c r="Y185" i="50" s="1"/>
  <c r="Y186" i="50" s="1"/>
  <c r="Y187" i="50" s="1"/>
  <c r="X182" i="50"/>
  <c r="X183" i="50" s="1"/>
  <c r="X184" i="50" s="1"/>
  <c r="X185" i="50" s="1"/>
  <c r="X186" i="50" s="1"/>
  <c r="X187" i="50" s="1"/>
  <c r="F172" i="50"/>
  <c r="G172" i="50" s="1"/>
  <c r="H172" i="50" s="1"/>
  <c r="I172" i="50" s="1"/>
  <c r="J172" i="50" s="1"/>
  <c r="K172" i="50" s="1"/>
  <c r="Y165" i="50"/>
  <c r="Y166" i="50" s="1"/>
  <c r="Y167" i="50" s="1"/>
  <c r="Y168" i="50" s="1"/>
  <c r="Y169" i="50" s="1"/>
  <c r="Y170" i="50" s="1"/>
  <c r="X165" i="50"/>
  <c r="X166" i="50" s="1"/>
  <c r="X167" i="50" s="1"/>
  <c r="X168" i="50" s="1"/>
  <c r="X169" i="50" s="1"/>
  <c r="X170" i="50" s="1"/>
  <c r="F155" i="50"/>
  <c r="G155" i="50" s="1"/>
  <c r="H155" i="50" s="1"/>
  <c r="I155" i="50" s="1"/>
  <c r="J155" i="50" s="1"/>
  <c r="K155" i="50" s="1"/>
  <c r="Y148" i="50"/>
  <c r="Y149" i="50" s="1"/>
  <c r="Y150" i="50" s="1"/>
  <c r="Y151" i="50" s="1"/>
  <c r="Y152" i="50" s="1"/>
  <c r="Y153" i="50" s="1"/>
  <c r="X148" i="50"/>
  <c r="X149" i="50" s="1"/>
  <c r="X150" i="50" s="1"/>
  <c r="X151" i="50" s="1"/>
  <c r="X152" i="50" s="1"/>
  <c r="X153" i="50" s="1"/>
  <c r="F138" i="50"/>
  <c r="G138" i="50" s="1"/>
  <c r="H138" i="50" s="1"/>
  <c r="I138" i="50" s="1"/>
  <c r="J138" i="50" s="1"/>
  <c r="K138" i="50" s="1"/>
  <c r="Y131" i="50"/>
  <c r="Y132" i="50" s="1"/>
  <c r="Y133" i="50" s="1"/>
  <c r="Y134" i="50" s="1"/>
  <c r="Y135" i="50" s="1"/>
  <c r="Y136" i="50" s="1"/>
  <c r="X131" i="50"/>
  <c r="X132" i="50" s="1"/>
  <c r="X133" i="50" s="1"/>
  <c r="X134" i="50" s="1"/>
  <c r="X135" i="50" s="1"/>
  <c r="X136" i="50" s="1"/>
  <c r="F130" i="50"/>
  <c r="G130" i="50" s="1"/>
  <c r="H130" i="50" s="1"/>
  <c r="I130" i="50" s="1"/>
  <c r="J130" i="50" s="1"/>
  <c r="K130" i="50" s="1"/>
  <c r="AV17" i="14" l="1"/>
  <c r="AV18" i="14"/>
  <c r="AV19" i="14"/>
  <c r="AV20" i="14"/>
  <c r="AV21" i="14"/>
  <c r="AV22" i="14"/>
  <c r="AV23" i="14"/>
  <c r="AV24" i="14"/>
  <c r="AV25" i="14"/>
  <c r="AV26" i="14"/>
  <c r="AB73" i="50"/>
  <c r="AD73" i="50"/>
  <c r="AE73" i="50"/>
  <c r="AF73" i="50"/>
  <c r="AB74" i="50"/>
  <c r="D99" i="50" s="1"/>
  <c r="Y99" i="50" s="1"/>
  <c r="AD74" i="50"/>
  <c r="AE74" i="50"/>
  <c r="AF74" i="50"/>
  <c r="AB75" i="50"/>
  <c r="D100" i="50" s="1"/>
  <c r="Y100" i="50" s="1"/>
  <c r="AD75" i="50"/>
  <c r="AE75" i="50"/>
  <c r="AF75" i="50"/>
  <c r="AB76" i="50"/>
  <c r="D101" i="50" s="1"/>
  <c r="Y101" i="50" s="1"/>
  <c r="AD76" i="50"/>
  <c r="AE76" i="50"/>
  <c r="AF76" i="50"/>
  <c r="AB77" i="50"/>
  <c r="D102" i="50" s="1"/>
  <c r="Y102" i="50" s="1"/>
  <c r="AD77" i="50"/>
  <c r="AE77" i="50"/>
  <c r="AF77" i="50"/>
  <c r="AB78" i="50"/>
  <c r="D103" i="50" s="1"/>
  <c r="Y103" i="50" s="1"/>
  <c r="AD78" i="50"/>
  <c r="AE78" i="50"/>
  <c r="AF78" i="50"/>
  <c r="AB79" i="50"/>
  <c r="D104" i="50" s="1"/>
  <c r="Y104" i="50" s="1"/>
  <c r="AD79" i="50"/>
  <c r="AE79" i="50"/>
  <c r="AF79" i="50"/>
  <c r="AB80" i="50"/>
  <c r="D105" i="50" s="1"/>
  <c r="Y105" i="50" s="1"/>
  <c r="AD80" i="50"/>
  <c r="AE80" i="50"/>
  <c r="AF80" i="50"/>
  <c r="AB81" i="50"/>
  <c r="D106" i="50" s="1"/>
  <c r="Y106" i="50" s="1"/>
  <c r="AD81" i="50"/>
  <c r="AE81" i="50"/>
  <c r="AF81" i="50"/>
  <c r="AB82" i="50"/>
  <c r="D107" i="50" s="1"/>
  <c r="Y107" i="50" s="1"/>
  <c r="AD82" i="50"/>
  <c r="AE82" i="50"/>
  <c r="AF82" i="50"/>
  <c r="G73" i="50"/>
  <c r="H73" i="50"/>
  <c r="J73" i="50"/>
  <c r="AA98" i="50"/>
  <c r="G74" i="50"/>
  <c r="H74" i="50"/>
  <c r="J74" i="50"/>
  <c r="AA99" i="50"/>
  <c r="G75" i="50"/>
  <c r="H75" i="50"/>
  <c r="J75" i="50"/>
  <c r="AA100" i="50"/>
  <c r="G76" i="50"/>
  <c r="H76" i="50"/>
  <c r="J76" i="50"/>
  <c r="AA101" i="50"/>
  <c r="G77" i="50"/>
  <c r="H77" i="50"/>
  <c r="J77" i="50"/>
  <c r="AA102" i="50"/>
  <c r="G78" i="50"/>
  <c r="H78" i="50"/>
  <c r="J78" i="50"/>
  <c r="AA103" i="50"/>
  <c r="G79" i="50"/>
  <c r="H79" i="50"/>
  <c r="J79" i="50"/>
  <c r="AA104" i="50"/>
  <c r="G80" i="50"/>
  <c r="H80" i="50"/>
  <c r="J80" i="50"/>
  <c r="AA105" i="50"/>
  <c r="G81" i="50"/>
  <c r="H81" i="50"/>
  <c r="J81" i="50"/>
  <c r="AA106" i="50"/>
  <c r="G82" i="50"/>
  <c r="H82" i="50"/>
  <c r="J82" i="50"/>
  <c r="AA107" i="50"/>
  <c r="D98" i="50"/>
  <c r="J98" i="50"/>
  <c r="Z98" i="50" s="1"/>
  <c r="C285" i="50" s="1"/>
  <c r="C293" i="50" s="1"/>
  <c r="J99" i="50"/>
  <c r="Z99" i="50" s="1"/>
  <c r="C302" i="50" s="1"/>
  <c r="C310" i="50" s="1"/>
  <c r="J100" i="50"/>
  <c r="Z100" i="50" s="1"/>
  <c r="C319" i="50" s="1"/>
  <c r="C327" i="50" s="1"/>
  <c r="J101" i="50"/>
  <c r="Z101" i="50" s="1"/>
  <c r="C336" i="50" s="1"/>
  <c r="C344" i="50" s="1"/>
  <c r="J102" i="50"/>
  <c r="Z102" i="50" s="1"/>
  <c r="C353" i="50" s="1"/>
  <c r="C361" i="50" s="1"/>
  <c r="J103" i="50"/>
  <c r="Z103" i="50" s="1"/>
  <c r="C370" i="50" s="1"/>
  <c r="C378" i="50" s="1"/>
  <c r="J104" i="50"/>
  <c r="Z104" i="50" s="1"/>
  <c r="C387" i="50" s="1"/>
  <c r="C395" i="50" s="1"/>
  <c r="J105" i="50"/>
  <c r="Z105" i="50" s="1"/>
  <c r="C404" i="50" s="1"/>
  <c r="C412" i="50" s="1"/>
  <c r="J106" i="50"/>
  <c r="Z106" i="50" s="1"/>
  <c r="C421" i="50" s="1"/>
  <c r="C429" i="50" s="1"/>
  <c r="J107" i="50"/>
  <c r="Z107" i="50" s="1"/>
  <c r="C438" i="50" s="1"/>
  <c r="C446" i="50" s="1"/>
  <c r="F436" i="50"/>
  <c r="G436" i="50" s="1"/>
  <c r="H436" i="50" s="1"/>
  <c r="I436" i="50" s="1"/>
  <c r="J436" i="50" s="1"/>
  <c r="K436" i="50" s="1"/>
  <c r="F419" i="50"/>
  <c r="G419" i="50" s="1"/>
  <c r="H419" i="50" s="1"/>
  <c r="I419" i="50" s="1"/>
  <c r="J419" i="50" s="1"/>
  <c r="K419" i="50" s="1"/>
  <c r="F402" i="50"/>
  <c r="G402" i="50" s="1"/>
  <c r="H402" i="50" s="1"/>
  <c r="I402" i="50" s="1"/>
  <c r="J402" i="50" s="1"/>
  <c r="K402" i="50" s="1"/>
  <c r="F385" i="50"/>
  <c r="G385" i="50" s="1"/>
  <c r="H385" i="50" s="1"/>
  <c r="I385" i="50" s="1"/>
  <c r="J385" i="50" s="1"/>
  <c r="K385" i="50" s="1"/>
  <c r="F368" i="50"/>
  <c r="G368" i="50" s="1"/>
  <c r="H368" i="50" s="1"/>
  <c r="I368" i="50" s="1"/>
  <c r="J368" i="50" s="1"/>
  <c r="K368" i="50" s="1"/>
  <c r="F351" i="50"/>
  <c r="G351" i="50" s="1"/>
  <c r="H351" i="50" s="1"/>
  <c r="I351" i="50" s="1"/>
  <c r="J351" i="50" s="1"/>
  <c r="K351" i="50" s="1"/>
  <c r="F334" i="50"/>
  <c r="G334" i="50" s="1"/>
  <c r="H334" i="50" s="1"/>
  <c r="I334" i="50" s="1"/>
  <c r="J334" i="50" s="1"/>
  <c r="K334" i="50" s="1"/>
  <c r="F317" i="50"/>
  <c r="G317" i="50" s="1"/>
  <c r="H317" i="50" s="1"/>
  <c r="I317" i="50" s="1"/>
  <c r="J317" i="50" s="1"/>
  <c r="K317" i="50" s="1"/>
  <c r="F300" i="50"/>
  <c r="G300" i="50" s="1"/>
  <c r="H300" i="50" s="1"/>
  <c r="I300" i="50" s="1"/>
  <c r="J300" i="50" s="1"/>
  <c r="K300" i="50" s="1"/>
  <c r="F283" i="50"/>
  <c r="G283" i="50" s="1"/>
  <c r="H283" i="50" s="1"/>
  <c r="I283" i="50" s="1"/>
  <c r="J283" i="50" s="1"/>
  <c r="K283" i="50" s="1"/>
  <c r="AV37" i="14"/>
  <c r="AV38" i="14"/>
  <c r="AV39" i="14"/>
  <c r="AV40" i="14"/>
  <c r="AV41" i="14"/>
  <c r="AV42" i="14"/>
  <c r="AV43" i="14"/>
  <c r="AV44" i="14"/>
  <c r="AV45" i="14"/>
  <c r="AV46" i="14"/>
  <c r="L383" i="58"/>
  <c r="Z381" i="58"/>
  <c r="Q379" i="58"/>
  <c r="P378" i="58"/>
  <c r="O377" i="58"/>
  <c r="N376" i="58"/>
  <c r="M375" i="58"/>
  <c r="L374" i="58"/>
  <c r="K373" i="58"/>
  <c r="J372" i="58"/>
  <c r="I371" i="58"/>
  <c r="H370" i="58"/>
  <c r="G369" i="58"/>
  <c r="F368" i="58"/>
  <c r="L367" i="58"/>
  <c r="Z365" i="58"/>
  <c r="B361" i="58"/>
  <c r="D361" i="58" s="1"/>
  <c r="L345" i="58"/>
  <c r="Z343" i="58"/>
  <c r="Q341" i="58"/>
  <c r="P340" i="58"/>
  <c r="O339" i="58"/>
  <c r="N338" i="58"/>
  <c r="M337" i="58"/>
  <c r="L336" i="58"/>
  <c r="K335" i="58"/>
  <c r="J334" i="58"/>
  <c r="I333" i="58"/>
  <c r="H332" i="58"/>
  <c r="G331" i="58"/>
  <c r="F330" i="58"/>
  <c r="L329" i="58"/>
  <c r="Z327" i="58"/>
  <c r="B323" i="58"/>
  <c r="D323" i="58" s="1"/>
  <c r="L307" i="58"/>
  <c r="Z305" i="58"/>
  <c r="Q303" i="58"/>
  <c r="P302" i="58"/>
  <c r="O301" i="58"/>
  <c r="N300" i="58"/>
  <c r="M299" i="58"/>
  <c r="L298" i="58"/>
  <c r="K297" i="58"/>
  <c r="J296" i="58"/>
  <c r="I295" i="58"/>
  <c r="H294" i="58"/>
  <c r="G293" i="58"/>
  <c r="F292" i="58"/>
  <c r="L291" i="58"/>
  <c r="Z289" i="58"/>
  <c r="B285" i="58"/>
  <c r="D285" i="58" s="1"/>
  <c r="L269" i="58"/>
  <c r="Z267" i="58"/>
  <c r="Q265" i="58"/>
  <c r="P264" i="58"/>
  <c r="O263" i="58"/>
  <c r="N262" i="58"/>
  <c r="M261" i="58"/>
  <c r="L260" i="58"/>
  <c r="K259" i="58"/>
  <c r="J258" i="58"/>
  <c r="I257" i="58"/>
  <c r="H256" i="58"/>
  <c r="G255" i="58"/>
  <c r="F254" i="58"/>
  <c r="L253" i="58"/>
  <c r="Z251" i="58"/>
  <c r="B247" i="58"/>
  <c r="D247" i="58" s="1"/>
  <c r="L231" i="58"/>
  <c r="Z229" i="58"/>
  <c r="Q227" i="58"/>
  <c r="P226" i="58"/>
  <c r="O225" i="58"/>
  <c r="N224" i="58"/>
  <c r="M223" i="58"/>
  <c r="L222" i="58"/>
  <c r="K221" i="58"/>
  <c r="J220" i="58"/>
  <c r="I219" i="58"/>
  <c r="H218" i="58"/>
  <c r="G217" i="58"/>
  <c r="F216" i="58"/>
  <c r="L215" i="58"/>
  <c r="Z213" i="58"/>
  <c r="B209" i="58"/>
  <c r="D209" i="58" s="1"/>
  <c r="L193" i="58"/>
  <c r="Z191" i="58"/>
  <c r="Q189" i="58"/>
  <c r="P188" i="58"/>
  <c r="O187" i="58"/>
  <c r="N186" i="58"/>
  <c r="M185" i="58"/>
  <c r="L184" i="58"/>
  <c r="K183" i="58"/>
  <c r="J182" i="58"/>
  <c r="I181" i="58"/>
  <c r="H180" i="58"/>
  <c r="G179" i="58"/>
  <c r="F178" i="58"/>
  <c r="L177" i="58"/>
  <c r="Z175" i="58"/>
  <c r="B171" i="58"/>
  <c r="D171" i="58" s="1"/>
  <c r="L155" i="58"/>
  <c r="Z153" i="58"/>
  <c r="Q151" i="58"/>
  <c r="P150" i="58"/>
  <c r="O149" i="58"/>
  <c r="N148" i="58"/>
  <c r="M147" i="58"/>
  <c r="L146" i="58"/>
  <c r="K145" i="58"/>
  <c r="J144" i="58"/>
  <c r="I143" i="58"/>
  <c r="H142" i="58"/>
  <c r="G141" i="58"/>
  <c r="F140" i="58"/>
  <c r="L139" i="58"/>
  <c r="Z137" i="58"/>
  <c r="B133" i="58"/>
  <c r="D133" i="58" s="1"/>
  <c r="L117" i="58"/>
  <c r="M117" i="58" s="1"/>
  <c r="N117" i="58" s="1"/>
  <c r="O117" i="58" s="1"/>
  <c r="P117" i="58" s="1"/>
  <c r="Q117" i="58" s="1"/>
  <c r="Z115" i="58"/>
  <c r="Q113" i="58"/>
  <c r="P112" i="58"/>
  <c r="O111" i="58"/>
  <c r="N110" i="58"/>
  <c r="M109" i="58"/>
  <c r="L108" i="58"/>
  <c r="K107" i="58"/>
  <c r="J106" i="58"/>
  <c r="I105" i="58"/>
  <c r="H104" i="58"/>
  <c r="G103" i="58"/>
  <c r="F102" i="58"/>
  <c r="L101" i="58"/>
  <c r="M101" i="58" s="1"/>
  <c r="N101" i="58" s="1"/>
  <c r="O101" i="58" s="1"/>
  <c r="P101" i="58" s="1"/>
  <c r="Q101" i="58" s="1"/>
  <c r="Z99" i="58"/>
  <c r="B95" i="58"/>
  <c r="D95" i="58" s="1"/>
  <c r="L79" i="58"/>
  <c r="Z77" i="58"/>
  <c r="Q75" i="58"/>
  <c r="P74" i="58"/>
  <c r="O73" i="58"/>
  <c r="N72" i="58"/>
  <c r="M71" i="58"/>
  <c r="L70" i="58"/>
  <c r="K69" i="58"/>
  <c r="J68" i="58"/>
  <c r="I67" i="58"/>
  <c r="H66" i="58"/>
  <c r="G65" i="58"/>
  <c r="L63" i="58"/>
  <c r="Z61" i="58"/>
  <c r="B57" i="58"/>
  <c r="K101" i="58" l="1"/>
  <c r="J101" i="58" s="1"/>
  <c r="I101" i="58" s="1"/>
  <c r="H101" i="58" s="1"/>
  <c r="G101" i="58" s="1"/>
  <c r="F101" i="58" s="1"/>
  <c r="Y98" i="50"/>
  <c r="M367" i="58"/>
  <c r="N367" i="58" s="1"/>
  <c r="O367" i="58" s="1"/>
  <c r="P367" i="58" s="1"/>
  <c r="Q367" i="58" s="1"/>
  <c r="K367" i="58"/>
  <c r="J367" i="58" s="1"/>
  <c r="I367" i="58" s="1"/>
  <c r="H367" i="58" s="1"/>
  <c r="G367" i="58" s="1"/>
  <c r="F367" i="58" s="1"/>
  <c r="M383" i="58"/>
  <c r="N383" i="58" s="1"/>
  <c r="O383" i="58" s="1"/>
  <c r="P383" i="58" s="1"/>
  <c r="Q383" i="58" s="1"/>
  <c r="K383" i="58"/>
  <c r="J383" i="58" s="1"/>
  <c r="I383" i="58" s="1"/>
  <c r="H383" i="58" s="1"/>
  <c r="G383" i="58" s="1"/>
  <c r="F383" i="58" s="1"/>
  <c r="M329" i="58"/>
  <c r="N329" i="58" s="1"/>
  <c r="O329" i="58" s="1"/>
  <c r="P329" i="58" s="1"/>
  <c r="Q329" i="58" s="1"/>
  <c r="K329" i="58"/>
  <c r="J329" i="58" s="1"/>
  <c r="I329" i="58" s="1"/>
  <c r="H329" i="58" s="1"/>
  <c r="G329" i="58" s="1"/>
  <c r="F329" i="58" s="1"/>
  <c r="M345" i="58"/>
  <c r="N345" i="58" s="1"/>
  <c r="O345" i="58" s="1"/>
  <c r="P345" i="58" s="1"/>
  <c r="Q345" i="58" s="1"/>
  <c r="K345" i="58"/>
  <c r="J345" i="58" s="1"/>
  <c r="I345" i="58" s="1"/>
  <c r="H345" i="58" s="1"/>
  <c r="G345" i="58" s="1"/>
  <c r="F345" i="58" s="1"/>
  <c r="M291" i="58"/>
  <c r="N291" i="58" s="1"/>
  <c r="O291" i="58" s="1"/>
  <c r="P291" i="58" s="1"/>
  <c r="Q291" i="58" s="1"/>
  <c r="K291" i="58"/>
  <c r="J291" i="58" s="1"/>
  <c r="I291" i="58" s="1"/>
  <c r="H291" i="58" s="1"/>
  <c r="G291" i="58" s="1"/>
  <c r="F291" i="58" s="1"/>
  <c r="M307" i="58"/>
  <c r="N307" i="58" s="1"/>
  <c r="O307" i="58" s="1"/>
  <c r="P307" i="58" s="1"/>
  <c r="Q307" i="58" s="1"/>
  <c r="K307" i="58"/>
  <c r="J307" i="58" s="1"/>
  <c r="I307" i="58" s="1"/>
  <c r="H307" i="58" s="1"/>
  <c r="G307" i="58" s="1"/>
  <c r="F307" i="58" s="1"/>
  <c r="M269" i="58"/>
  <c r="N269" i="58" s="1"/>
  <c r="O269" i="58" s="1"/>
  <c r="P269" i="58" s="1"/>
  <c r="Q269" i="58" s="1"/>
  <c r="K269" i="58"/>
  <c r="J269" i="58" s="1"/>
  <c r="I269" i="58" s="1"/>
  <c r="H269" i="58" s="1"/>
  <c r="G269" i="58" s="1"/>
  <c r="F269" i="58" s="1"/>
  <c r="M253" i="58"/>
  <c r="N253" i="58" s="1"/>
  <c r="O253" i="58" s="1"/>
  <c r="P253" i="58" s="1"/>
  <c r="Q253" i="58" s="1"/>
  <c r="K253" i="58"/>
  <c r="J253" i="58" s="1"/>
  <c r="I253" i="58" s="1"/>
  <c r="H253" i="58" s="1"/>
  <c r="G253" i="58" s="1"/>
  <c r="F253" i="58" s="1"/>
  <c r="M231" i="58"/>
  <c r="N231" i="58" s="1"/>
  <c r="O231" i="58" s="1"/>
  <c r="P231" i="58" s="1"/>
  <c r="Q231" i="58" s="1"/>
  <c r="K231" i="58"/>
  <c r="J231" i="58" s="1"/>
  <c r="I231" i="58" s="1"/>
  <c r="H231" i="58" s="1"/>
  <c r="G231" i="58" s="1"/>
  <c r="F231" i="58" s="1"/>
  <c r="M215" i="58"/>
  <c r="N215" i="58" s="1"/>
  <c r="O215" i="58" s="1"/>
  <c r="P215" i="58" s="1"/>
  <c r="Q215" i="58" s="1"/>
  <c r="K215" i="58"/>
  <c r="J215" i="58" s="1"/>
  <c r="I215" i="58" s="1"/>
  <c r="H215" i="58" s="1"/>
  <c r="G215" i="58" s="1"/>
  <c r="F215" i="58" s="1"/>
  <c r="M177" i="58"/>
  <c r="N177" i="58" s="1"/>
  <c r="O177" i="58" s="1"/>
  <c r="P177" i="58" s="1"/>
  <c r="Q177" i="58" s="1"/>
  <c r="K177" i="58"/>
  <c r="J177" i="58" s="1"/>
  <c r="I177" i="58" s="1"/>
  <c r="H177" i="58" s="1"/>
  <c r="G177" i="58" s="1"/>
  <c r="F177" i="58" s="1"/>
  <c r="M193" i="58"/>
  <c r="N193" i="58" s="1"/>
  <c r="O193" i="58" s="1"/>
  <c r="P193" i="58" s="1"/>
  <c r="Q193" i="58" s="1"/>
  <c r="K193" i="58"/>
  <c r="J193" i="58" s="1"/>
  <c r="I193" i="58" s="1"/>
  <c r="H193" i="58" s="1"/>
  <c r="G193" i="58" s="1"/>
  <c r="F193" i="58" s="1"/>
  <c r="M139" i="58"/>
  <c r="N139" i="58" s="1"/>
  <c r="O139" i="58" s="1"/>
  <c r="P139" i="58" s="1"/>
  <c r="Q139" i="58" s="1"/>
  <c r="K139" i="58"/>
  <c r="J139" i="58" s="1"/>
  <c r="I139" i="58" s="1"/>
  <c r="H139" i="58" s="1"/>
  <c r="G139" i="58" s="1"/>
  <c r="F139" i="58" s="1"/>
  <c r="M155" i="58"/>
  <c r="N155" i="58" s="1"/>
  <c r="O155" i="58" s="1"/>
  <c r="P155" i="58" s="1"/>
  <c r="Q155" i="58" s="1"/>
  <c r="K155" i="58"/>
  <c r="J155" i="58" s="1"/>
  <c r="I155" i="58" s="1"/>
  <c r="H155" i="58" s="1"/>
  <c r="G155" i="58" s="1"/>
  <c r="F155" i="58" s="1"/>
  <c r="K117" i="58"/>
  <c r="J117" i="58" s="1"/>
  <c r="I117" i="58" s="1"/>
  <c r="H117" i="58" s="1"/>
  <c r="G117" i="58" s="1"/>
  <c r="F117" i="58" s="1"/>
  <c r="M63" i="58"/>
  <c r="N63" i="58" s="1"/>
  <c r="O63" i="58" s="1"/>
  <c r="P63" i="58" s="1"/>
  <c r="Q63" i="58" s="1"/>
  <c r="K63" i="58"/>
  <c r="J63" i="58" s="1"/>
  <c r="I63" i="58" s="1"/>
  <c r="H63" i="58" s="1"/>
  <c r="G63" i="58" s="1"/>
  <c r="F63" i="58" s="1"/>
  <c r="M79" i="58"/>
  <c r="N79" i="58" s="1"/>
  <c r="O79" i="58" s="1"/>
  <c r="P79" i="58" s="1"/>
  <c r="Q79" i="58" s="1"/>
  <c r="K79" i="58"/>
  <c r="J79" i="58" s="1"/>
  <c r="I79" i="58" s="1"/>
  <c r="H79" i="58" s="1"/>
  <c r="G79" i="58" s="1"/>
  <c r="F79" i="58" s="1"/>
  <c r="AD459" i="50"/>
  <c r="AD460" i="50"/>
  <c r="AD461" i="50"/>
  <c r="AD462" i="50"/>
  <c r="AD463" i="50"/>
  <c r="AD464" i="50"/>
  <c r="AD465" i="50"/>
  <c r="AD466" i="50"/>
  <c r="AD467" i="50"/>
  <c r="AD468" i="50"/>
  <c r="AD469" i="50"/>
  <c r="AD470" i="50"/>
  <c r="AD471" i="50"/>
  <c r="AD472" i="50"/>
  <c r="AD473" i="50"/>
  <c r="AD474" i="50"/>
  <c r="AD475" i="50"/>
  <c r="AD476" i="50"/>
  <c r="AD477" i="50"/>
  <c r="AD458" i="50"/>
  <c r="AB468" i="50"/>
  <c r="AC468" i="50"/>
  <c r="AE468" i="50"/>
  <c r="AF468" i="50"/>
  <c r="AB469" i="50"/>
  <c r="D494" i="50" s="1"/>
  <c r="Y494" i="50" s="1"/>
  <c r="AE469" i="50"/>
  <c r="AB470" i="50"/>
  <c r="D495" i="50" s="1"/>
  <c r="AC470" i="50"/>
  <c r="AE470" i="50"/>
  <c r="AF470" i="50"/>
  <c r="AB471" i="50"/>
  <c r="D496" i="50" s="1"/>
  <c r="Y496" i="50" s="1"/>
  <c r="AE471" i="50"/>
  <c r="AB472" i="50"/>
  <c r="D497" i="50" s="1"/>
  <c r="AC472" i="50"/>
  <c r="AE472" i="50"/>
  <c r="AF472" i="50"/>
  <c r="AB473" i="50"/>
  <c r="D498" i="50" s="1"/>
  <c r="Y498" i="50" s="1"/>
  <c r="AE473" i="50"/>
  <c r="AB474" i="50"/>
  <c r="D499" i="50" s="1"/>
  <c r="AC474" i="50"/>
  <c r="AE474" i="50"/>
  <c r="AF474" i="50"/>
  <c r="AB475" i="50"/>
  <c r="D500" i="50" s="1"/>
  <c r="Y500" i="50" s="1"/>
  <c r="AE475" i="50"/>
  <c r="AB476" i="50"/>
  <c r="D501" i="50" s="1"/>
  <c r="AC476" i="50"/>
  <c r="AE476" i="50"/>
  <c r="AF476" i="50"/>
  <c r="AB477" i="50"/>
  <c r="D502" i="50" s="1"/>
  <c r="Y502" i="50" s="1"/>
  <c r="AE477" i="50"/>
  <c r="G468" i="50"/>
  <c r="H468" i="50"/>
  <c r="J468" i="50"/>
  <c r="AA493" i="50"/>
  <c r="G469" i="50"/>
  <c r="H469" i="50"/>
  <c r="J469" i="50"/>
  <c r="AA494" i="50"/>
  <c r="G470" i="50"/>
  <c r="H470" i="50"/>
  <c r="J470" i="50"/>
  <c r="AA495" i="50"/>
  <c r="G471" i="50"/>
  <c r="H471" i="50"/>
  <c r="J471" i="50"/>
  <c r="AA496" i="50"/>
  <c r="G472" i="50"/>
  <c r="H472" i="50"/>
  <c r="J472" i="50"/>
  <c r="AA497" i="50"/>
  <c r="G473" i="50"/>
  <c r="H473" i="50"/>
  <c r="J473" i="50"/>
  <c r="AA498" i="50"/>
  <c r="G474" i="50"/>
  <c r="H474" i="50"/>
  <c r="J474" i="50"/>
  <c r="AA499" i="50"/>
  <c r="G475" i="50"/>
  <c r="H475" i="50"/>
  <c r="J475" i="50"/>
  <c r="AA500" i="50"/>
  <c r="G476" i="50"/>
  <c r="H476" i="50"/>
  <c r="J476" i="50"/>
  <c r="AA501" i="50"/>
  <c r="G477" i="50"/>
  <c r="H477" i="50"/>
  <c r="J477" i="50"/>
  <c r="AA502" i="50"/>
  <c r="D493" i="50"/>
  <c r="F831" i="50"/>
  <c r="G831" i="50" s="1"/>
  <c r="H831" i="50" s="1"/>
  <c r="I831" i="50" s="1"/>
  <c r="J831" i="50" s="1"/>
  <c r="K831" i="50" s="1"/>
  <c r="F814" i="50"/>
  <c r="G814" i="50" s="1"/>
  <c r="H814" i="50" s="1"/>
  <c r="I814" i="50" s="1"/>
  <c r="J814" i="50" s="1"/>
  <c r="K814" i="50" s="1"/>
  <c r="F797" i="50"/>
  <c r="G797" i="50" s="1"/>
  <c r="H797" i="50" s="1"/>
  <c r="I797" i="50" s="1"/>
  <c r="J797" i="50" s="1"/>
  <c r="K797" i="50" s="1"/>
  <c r="F780" i="50"/>
  <c r="G780" i="50" s="1"/>
  <c r="H780" i="50" s="1"/>
  <c r="I780" i="50" s="1"/>
  <c r="J780" i="50" s="1"/>
  <c r="K780" i="50" s="1"/>
  <c r="F763" i="50"/>
  <c r="G763" i="50" s="1"/>
  <c r="H763" i="50" s="1"/>
  <c r="I763" i="50" s="1"/>
  <c r="J763" i="50" s="1"/>
  <c r="K763" i="50" s="1"/>
  <c r="F746" i="50"/>
  <c r="G746" i="50" s="1"/>
  <c r="H746" i="50" s="1"/>
  <c r="I746" i="50" s="1"/>
  <c r="J746" i="50" s="1"/>
  <c r="K746" i="50" s="1"/>
  <c r="F729" i="50"/>
  <c r="G729" i="50" s="1"/>
  <c r="H729" i="50" s="1"/>
  <c r="I729" i="50" s="1"/>
  <c r="J729" i="50" s="1"/>
  <c r="K729" i="50" s="1"/>
  <c r="F712" i="50"/>
  <c r="G712" i="50" s="1"/>
  <c r="H712" i="50" s="1"/>
  <c r="I712" i="50" s="1"/>
  <c r="J712" i="50" s="1"/>
  <c r="K712" i="50" s="1"/>
  <c r="F695" i="50"/>
  <c r="G695" i="50" s="1"/>
  <c r="H695" i="50" s="1"/>
  <c r="I695" i="50" s="1"/>
  <c r="J695" i="50" s="1"/>
  <c r="K695" i="50" s="1"/>
  <c r="F678" i="50"/>
  <c r="G678" i="50" s="1"/>
  <c r="H678" i="50" s="1"/>
  <c r="I678" i="50" s="1"/>
  <c r="J678" i="50" s="1"/>
  <c r="K678" i="50" s="1"/>
  <c r="J501" i="50" l="1"/>
  <c r="Z501" i="50" s="1"/>
  <c r="C816" i="50" s="1"/>
  <c r="C824" i="50" s="1"/>
  <c r="J499" i="50"/>
  <c r="Z499" i="50" s="1"/>
  <c r="C782" i="50" s="1"/>
  <c r="C790" i="50" s="1"/>
  <c r="J497" i="50"/>
  <c r="Z497" i="50" s="1"/>
  <c r="C748" i="50" s="1"/>
  <c r="C756" i="50" s="1"/>
  <c r="J495" i="50"/>
  <c r="Z495" i="50" s="1"/>
  <c r="C714" i="50" s="1"/>
  <c r="C722" i="50" s="1"/>
  <c r="D57" i="58"/>
  <c r="Y501" i="50"/>
  <c r="Y499" i="50"/>
  <c r="Y497" i="50"/>
  <c r="Y495" i="50"/>
  <c r="AC475" i="50"/>
  <c r="J500" i="50"/>
  <c r="Z500" i="50" s="1"/>
  <c r="C799" i="50" s="1"/>
  <c r="C807" i="50" s="1"/>
  <c r="AC471" i="50"/>
  <c r="J496" i="50"/>
  <c r="Z496" i="50" s="1"/>
  <c r="C731" i="50" s="1"/>
  <c r="C739" i="50" s="1"/>
  <c r="AC477" i="50"/>
  <c r="J502" i="50"/>
  <c r="Z502" i="50" s="1"/>
  <c r="C833" i="50" s="1"/>
  <c r="C841" i="50" s="1"/>
  <c r="AC473" i="50"/>
  <c r="J498" i="50"/>
  <c r="Z498" i="50" s="1"/>
  <c r="C765" i="50" s="1"/>
  <c r="C773" i="50" s="1"/>
  <c r="AC469" i="50"/>
  <c r="J494" i="50"/>
  <c r="Z494" i="50" s="1"/>
  <c r="C697" i="50" s="1"/>
  <c r="C705" i="50" s="1"/>
  <c r="J493" i="50"/>
  <c r="Z493" i="50" s="1"/>
  <c r="C680" i="50" s="1"/>
  <c r="C688" i="50" s="1"/>
  <c r="AF477" i="50"/>
  <c r="AF475" i="50"/>
  <c r="AF473" i="50"/>
  <c r="AF471" i="50"/>
  <c r="AF469" i="50"/>
  <c r="Y493" i="50"/>
  <c r="X114" i="50" l="1"/>
  <c r="X115" i="50" s="1"/>
  <c r="X116" i="50" s="1"/>
  <c r="X117" i="50" s="1"/>
  <c r="X118" i="50" s="1"/>
  <c r="X119" i="50" s="1"/>
  <c r="R29" i="50"/>
  <c r="S29" i="50" s="1"/>
  <c r="F29" i="50"/>
  <c r="G29" i="50" s="1"/>
  <c r="AV28" i="14"/>
  <c r="AV29" i="14"/>
  <c r="AV30" i="14"/>
  <c r="AV31" i="14"/>
  <c r="AV32" i="14"/>
  <c r="AV33" i="14"/>
  <c r="AV34" i="14"/>
  <c r="AV35" i="14"/>
  <c r="AV36" i="14"/>
  <c r="AV27" i="14"/>
  <c r="AV8" i="14"/>
  <c r="AV9" i="14"/>
  <c r="AV10" i="14"/>
  <c r="AV11" i="14"/>
  <c r="AV12" i="14"/>
  <c r="AV13" i="14"/>
  <c r="AV14" i="14"/>
  <c r="AV15" i="14"/>
  <c r="AV16" i="14"/>
  <c r="AV7" i="14"/>
  <c r="T29" i="50" l="1"/>
  <c r="H29" i="50"/>
  <c r="AW7" i="14"/>
  <c r="AW8" i="14" l="1"/>
  <c r="U29" i="50"/>
  <c r="I29" i="50"/>
  <c r="W117" i="37"/>
  <c r="N550" i="60"/>
  <c r="E550" i="60" s="1"/>
  <c r="N528" i="60"/>
  <c r="E528" i="60" s="1"/>
  <c r="N506" i="60"/>
  <c r="E506" i="60" s="1"/>
  <c r="N484" i="60"/>
  <c r="E484" i="60" s="1"/>
  <c r="N462" i="60"/>
  <c r="E462" i="60" s="1"/>
  <c r="N440" i="60"/>
  <c r="E440" i="60" s="1"/>
  <c r="N418" i="60"/>
  <c r="E418" i="60" s="1"/>
  <c r="N396" i="60"/>
  <c r="E396" i="60" s="1"/>
  <c r="N374" i="60"/>
  <c r="E374" i="60" s="1"/>
  <c r="N352" i="60"/>
  <c r="E352" i="60" s="1"/>
  <c r="N330" i="60"/>
  <c r="E330" i="60" s="1"/>
  <c r="N308" i="60"/>
  <c r="E308" i="60" s="1"/>
  <c r="N286" i="60"/>
  <c r="E286" i="60" s="1"/>
  <c r="N264" i="60"/>
  <c r="E264" i="60" s="1"/>
  <c r="N242" i="60"/>
  <c r="E242" i="60" s="1"/>
  <c r="N220" i="60"/>
  <c r="E220" i="60" s="1"/>
  <c r="N198" i="60"/>
  <c r="E198" i="60" s="1"/>
  <c r="N176" i="60"/>
  <c r="E176" i="60" s="1"/>
  <c r="N154" i="60"/>
  <c r="E154" i="60" s="1"/>
  <c r="N132" i="60"/>
  <c r="E132" i="60"/>
  <c r="N110" i="60"/>
  <c r="E110" i="60" s="1"/>
  <c r="N88" i="60"/>
  <c r="E88" i="60" s="1"/>
  <c r="N66" i="60"/>
  <c r="E66" i="60" s="1"/>
  <c r="N44" i="60"/>
  <c r="E44" i="60" s="1"/>
  <c r="N22" i="60"/>
  <c r="E22" i="60" s="1"/>
  <c r="AW9" i="14" l="1"/>
  <c r="V29" i="50"/>
  <c r="J29" i="50"/>
  <c r="V569" i="60"/>
  <c r="W569" i="60" s="1"/>
  <c r="X559" i="60" s="1"/>
  <c r="O560" i="60"/>
  <c r="Z559" i="60"/>
  <c r="N556" i="60"/>
  <c r="O556" i="60" s="1"/>
  <c r="P556" i="60" s="1"/>
  <c r="Q556" i="60" s="1"/>
  <c r="R556" i="60" s="1"/>
  <c r="S556" i="60" s="1"/>
  <c r="F556" i="60"/>
  <c r="G556" i="60" s="1"/>
  <c r="H556" i="60" s="1"/>
  <c r="I556" i="60" s="1"/>
  <c r="J556" i="60" s="1"/>
  <c r="K556" i="60" s="1"/>
  <c r="C554" i="60"/>
  <c r="AE62" i="14"/>
  <c r="B550" i="60"/>
  <c r="BA74" i="14" s="1"/>
  <c r="BA113" i="14" s="1"/>
  <c r="V547" i="60"/>
  <c r="W547" i="60" s="1"/>
  <c r="O538" i="60"/>
  <c r="N534" i="60"/>
  <c r="O534" i="60" s="1"/>
  <c r="P534" i="60" s="1"/>
  <c r="Q534" i="60" s="1"/>
  <c r="R534" i="60" s="1"/>
  <c r="S534" i="60" s="1"/>
  <c r="F534" i="60"/>
  <c r="G534" i="60" s="1"/>
  <c r="H534" i="60" s="1"/>
  <c r="I534" i="60" s="1"/>
  <c r="J534" i="60" s="1"/>
  <c r="K534" i="60" s="1"/>
  <c r="C532" i="60"/>
  <c r="AE61" i="14"/>
  <c r="B528" i="60"/>
  <c r="BA73" i="14" s="1"/>
  <c r="BA112" i="14" s="1"/>
  <c r="V525" i="60"/>
  <c r="W525" i="60" s="1"/>
  <c r="X515" i="60" s="1"/>
  <c r="O516" i="60"/>
  <c r="Z515" i="60"/>
  <c r="N512" i="60"/>
  <c r="O512" i="60" s="1"/>
  <c r="P512" i="60" s="1"/>
  <c r="Q512" i="60" s="1"/>
  <c r="R512" i="60" s="1"/>
  <c r="S512" i="60" s="1"/>
  <c r="F512" i="60"/>
  <c r="G512" i="60" s="1"/>
  <c r="H512" i="60" s="1"/>
  <c r="I512" i="60" s="1"/>
  <c r="J512" i="60" s="1"/>
  <c r="K512" i="60" s="1"/>
  <c r="C510" i="60"/>
  <c r="AE60" i="14"/>
  <c r="B506" i="60"/>
  <c r="BA72" i="14" s="1"/>
  <c r="BA111" i="14" s="1"/>
  <c r="V503" i="60"/>
  <c r="W503" i="60" s="1"/>
  <c r="O494" i="60"/>
  <c r="N490" i="60"/>
  <c r="O490" i="60" s="1"/>
  <c r="P490" i="60" s="1"/>
  <c r="Q490" i="60" s="1"/>
  <c r="R490" i="60" s="1"/>
  <c r="S490" i="60" s="1"/>
  <c r="F490" i="60"/>
  <c r="G490" i="60" s="1"/>
  <c r="H490" i="60" s="1"/>
  <c r="I490" i="60" s="1"/>
  <c r="J490" i="60" s="1"/>
  <c r="K490" i="60" s="1"/>
  <c r="C488" i="60"/>
  <c r="AE59" i="14"/>
  <c r="B484" i="60"/>
  <c r="BA71" i="14" s="1"/>
  <c r="BA110" i="14" s="1"/>
  <c r="V481" i="60"/>
  <c r="W481" i="60" s="1"/>
  <c r="O472" i="60"/>
  <c r="N468" i="60"/>
  <c r="O468" i="60" s="1"/>
  <c r="P468" i="60" s="1"/>
  <c r="Q468" i="60" s="1"/>
  <c r="R468" i="60" s="1"/>
  <c r="S468" i="60" s="1"/>
  <c r="F468" i="60"/>
  <c r="G468" i="60" s="1"/>
  <c r="H468" i="60" s="1"/>
  <c r="I468" i="60" s="1"/>
  <c r="J468" i="60" s="1"/>
  <c r="K468" i="60" s="1"/>
  <c r="C466" i="60"/>
  <c r="AE58" i="14"/>
  <c r="B462" i="60"/>
  <c r="BA70" i="14" s="1"/>
  <c r="BA109" i="14" s="1"/>
  <c r="V459" i="60"/>
  <c r="W459" i="60" s="1"/>
  <c r="O450" i="60"/>
  <c r="X449" i="60"/>
  <c r="N446" i="60"/>
  <c r="O446" i="60" s="1"/>
  <c r="P446" i="60" s="1"/>
  <c r="Q446" i="60" s="1"/>
  <c r="R446" i="60" s="1"/>
  <c r="S446" i="60" s="1"/>
  <c r="F446" i="60"/>
  <c r="G446" i="60" s="1"/>
  <c r="H446" i="60" s="1"/>
  <c r="I446" i="60" s="1"/>
  <c r="J446" i="60" s="1"/>
  <c r="K446" i="60" s="1"/>
  <c r="C444" i="60"/>
  <c r="D444" i="60" s="1"/>
  <c r="D445" i="60" s="1"/>
  <c r="AE57" i="14"/>
  <c r="B440" i="60"/>
  <c r="BA69" i="14" s="1"/>
  <c r="BA108" i="14" s="1"/>
  <c r="V437" i="60"/>
  <c r="W437" i="60" s="1"/>
  <c r="Y427" i="60" s="1"/>
  <c r="O428" i="60"/>
  <c r="AA427" i="60"/>
  <c r="N424" i="60"/>
  <c r="O424" i="60" s="1"/>
  <c r="P424" i="60" s="1"/>
  <c r="Q424" i="60" s="1"/>
  <c r="R424" i="60" s="1"/>
  <c r="S424" i="60" s="1"/>
  <c r="F424" i="60"/>
  <c r="G424" i="60" s="1"/>
  <c r="H424" i="60" s="1"/>
  <c r="I424" i="60" s="1"/>
  <c r="J424" i="60" s="1"/>
  <c r="K424" i="60" s="1"/>
  <c r="C422" i="60"/>
  <c r="AE56" i="14"/>
  <c r="B418" i="60"/>
  <c r="BA68" i="14" s="1"/>
  <c r="BA107" i="14" s="1"/>
  <c r="V415" i="60"/>
  <c r="W415" i="60" s="1"/>
  <c r="Y405" i="60" s="1"/>
  <c r="O406" i="60"/>
  <c r="N402" i="60"/>
  <c r="O402" i="60" s="1"/>
  <c r="P402" i="60" s="1"/>
  <c r="Q402" i="60" s="1"/>
  <c r="R402" i="60" s="1"/>
  <c r="S402" i="60" s="1"/>
  <c r="F402" i="60"/>
  <c r="G402" i="60" s="1"/>
  <c r="H402" i="60" s="1"/>
  <c r="I402" i="60" s="1"/>
  <c r="J402" i="60" s="1"/>
  <c r="K402" i="60" s="1"/>
  <c r="C400" i="60"/>
  <c r="AE55" i="14"/>
  <c r="B396" i="60"/>
  <c r="BA67" i="14" s="1"/>
  <c r="BA106" i="14" s="1"/>
  <c r="V393" i="60"/>
  <c r="W393" i="60" s="1"/>
  <c r="O384" i="60"/>
  <c r="Y383" i="60"/>
  <c r="N380" i="60"/>
  <c r="O380" i="60" s="1"/>
  <c r="P380" i="60" s="1"/>
  <c r="Q380" i="60" s="1"/>
  <c r="R380" i="60" s="1"/>
  <c r="S380" i="60" s="1"/>
  <c r="F380" i="60"/>
  <c r="G380" i="60" s="1"/>
  <c r="H380" i="60" s="1"/>
  <c r="I380" i="60" s="1"/>
  <c r="J380" i="60" s="1"/>
  <c r="K380" i="60" s="1"/>
  <c r="C378" i="60"/>
  <c r="AE54" i="14"/>
  <c r="B374" i="60"/>
  <c r="BA66" i="14" s="1"/>
  <c r="BA105" i="14" s="1"/>
  <c r="V371" i="60"/>
  <c r="W371" i="60" s="1"/>
  <c r="O362" i="60"/>
  <c r="N358" i="60"/>
  <c r="O358" i="60" s="1"/>
  <c r="P358" i="60" s="1"/>
  <c r="Q358" i="60" s="1"/>
  <c r="R358" i="60" s="1"/>
  <c r="S358" i="60" s="1"/>
  <c r="F358" i="60"/>
  <c r="G358" i="60" s="1"/>
  <c r="H358" i="60" s="1"/>
  <c r="I358" i="60" s="1"/>
  <c r="J358" i="60" s="1"/>
  <c r="K358" i="60" s="1"/>
  <c r="C356" i="60"/>
  <c r="AE53" i="14"/>
  <c r="B352" i="60"/>
  <c r="BA65" i="14" s="1"/>
  <c r="BA104" i="14" s="1"/>
  <c r="V349" i="60"/>
  <c r="W349" i="60" s="1"/>
  <c r="W339" i="60" s="1"/>
  <c r="O340" i="60"/>
  <c r="N336" i="60"/>
  <c r="O336" i="60" s="1"/>
  <c r="P336" i="60" s="1"/>
  <c r="Q336" i="60" s="1"/>
  <c r="R336" i="60" s="1"/>
  <c r="S336" i="60" s="1"/>
  <c r="F336" i="60"/>
  <c r="G336" i="60" s="1"/>
  <c r="H336" i="60" s="1"/>
  <c r="I336" i="60" s="1"/>
  <c r="J336" i="60" s="1"/>
  <c r="K336" i="60" s="1"/>
  <c r="C334" i="60"/>
  <c r="AE52" i="14"/>
  <c r="B330" i="60"/>
  <c r="BA64" i="14" s="1"/>
  <c r="BA103" i="14" s="1"/>
  <c r="V327" i="60"/>
  <c r="W327" i="60" s="1"/>
  <c r="AA317" i="60" s="1"/>
  <c r="O318" i="60"/>
  <c r="N314" i="60"/>
  <c r="O314" i="60" s="1"/>
  <c r="P314" i="60" s="1"/>
  <c r="Q314" i="60" s="1"/>
  <c r="R314" i="60" s="1"/>
  <c r="S314" i="60" s="1"/>
  <c r="F314" i="60"/>
  <c r="G314" i="60" s="1"/>
  <c r="H314" i="60" s="1"/>
  <c r="I314" i="60" s="1"/>
  <c r="J314" i="60" s="1"/>
  <c r="K314" i="60" s="1"/>
  <c r="C312" i="60"/>
  <c r="AE51" i="14"/>
  <c r="B308" i="60"/>
  <c r="BA63" i="14" s="1"/>
  <c r="BA102" i="14" s="1"/>
  <c r="V305" i="60"/>
  <c r="W305" i="60" s="1"/>
  <c r="O296" i="60"/>
  <c r="N292" i="60"/>
  <c r="O292" i="60" s="1"/>
  <c r="P292" i="60" s="1"/>
  <c r="Q292" i="60" s="1"/>
  <c r="R292" i="60" s="1"/>
  <c r="S292" i="60" s="1"/>
  <c r="F292" i="60"/>
  <c r="G292" i="60" s="1"/>
  <c r="H292" i="60" s="1"/>
  <c r="I292" i="60" s="1"/>
  <c r="J292" i="60" s="1"/>
  <c r="K292" i="60" s="1"/>
  <c r="C290" i="60"/>
  <c r="AE50" i="14"/>
  <c r="B286" i="60"/>
  <c r="BA62" i="14" s="1"/>
  <c r="BA101" i="14" s="1"/>
  <c r="V283" i="60"/>
  <c r="W283" i="60" s="1"/>
  <c r="AA273" i="60" s="1"/>
  <c r="O274" i="60"/>
  <c r="N270" i="60"/>
  <c r="O270" i="60" s="1"/>
  <c r="P270" i="60" s="1"/>
  <c r="Q270" i="60" s="1"/>
  <c r="R270" i="60" s="1"/>
  <c r="S270" i="60" s="1"/>
  <c r="F270" i="60"/>
  <c r="G270" i="60" s="1"/>
  <c r="H270" i="60" s="1"/>
  <c r="I270" i="60" s="1"/>
  <c r="J270" i="60" s="1"/>
  <c r="K270" i="60" s="1"/>
  <c r="C268" i="60"/>
  <c r="AE49" i="14"/>
  <c r="B264" i="60"/>
  <c r="BA61" i="14" s="1"/>
  <c r="BA100" i="14" s="1"/>
  <c r="V261" i="60"/>
  <c r="W261" i="60" s="1"/>
  <c r="V251" i="60" s="1"/>
  <c r="V252" i="60" s="1"/>
  <c r="V258" i="60" s="1"/>
  <c r="O252" i="60"/>
  <c r="Z251" i="60"/>
  <c r="N248" i="60"/>
  <c r="O248" i="60" s="1"/>
  <c r="P248" i="60" s="1"/>
  <c r="Q248" i="60" s="1"/>
  <c r="R248" i="60" s="1"/>
  <c r="S248" i="60" s="1"/>
  <c r="F248" i="60"/>
  <c r="G248" i="60" s="1"/>
  <c r="H248" i="60" s="1"/>
  <c r="I248" i="60" s="1"/>
  <c r="J248" i="60" s="1"/>
  <c r="K248" i="60" s="1"/>
  <c r="C246" i="60"/>
  <c r="AE48" i="14"/>
  <c r="B242" i="60"/>
  <c r="BA60" i="14" s="1"/>
  <c r="BA99" i="14" s="1"/>
  <c r="V239" i="60"/>
  <c r="W239" i="60" s="1"/>
  <c r="O230" i="60"/>
  <c r="N226" i="60"/>
  <c r="O226" i="60" s="1"/>
  <c r="P226" i="60" s="1"/>
  <c r="Q226" i="60" s="1"/>
  <c r="R226" i="60" s="1"/>
  <c r="S226" i="60" s="1"/>
  <c r="F226" i="60"/>
  <c r="G226" i="60" s="1"/>
  <c r="H226" i="60" s="1"/>
  <c r="I226" i="60" s="1"/>
  <c r="J226" i="60" s="1"/>
  <c r="K226" i="60" s="1"/>
  <c r="C224" i="60"/>
  <c r="AE47" i="14"/>
  <c r="B220" i="60"/>
  <c r="BA59" i="14" s="1"/>
  <c r="BA98" i="14" s="1"/>
  <c r="V217" i="60"/>
  <c r="W217" i="60" s="1"/>
  <c r="AA207" i="60" s="1"/>
  <c r="O208" i="60"/>
  <c r="N204" i="60"/>
  <c r="O204" i="60" s="1"/>
  <c r="P204" i="60" s="1"/>
  <c r="Q204" i="60" s="1"/>
  <c r="R204" i="60" s="1"/>
  <c r="S204" i="60" s="1"/>
  <c r="F204" i="60"/>
  <c r="G204" i="60" s="1"/>
  <c r="H204" i="60" s="1"/>
  <c r="I204" i="60" s="1"/>
  <c r="J204" i="60" s="1"/>
  <c r="K204" i="60" s="1"/>
  <c r="C202" i="60"/>
  <c r="AE46" i="14"/>
  <c r="B198" i="60"/>
  <c r="BA58" i="14" s="1"/>
  <c r="BA97" i="14" s="1"/>
  <c r="V195" i="60"/>
  <c r="W195" i="60" s="1"/>
  <c r="Y185" i="60" s="1"/>
  <c r="O186" i="60"/>
  <c r="N182" i="60"/>
  <c r="O182" i="60" s="1"/>
  <c r="P182" i="60" s="1"/>
  <c r="Q182" i="60" s="1"/>
  <c r="R182" i="60" s="1"/>
  <c r="S182" i="60" s="1"/>
  <c r="F182" i="60"/>
  <c r="G182" i="60" s="1"/>
  <c r="H182" i="60" s="1"/>
  <c r="I182" i="60" s="1"/>
  <c r="J182" i="60" s="1"/>
  <c r="K182" i="60" s="1"/>
  <c r="C180" i="60"/>
  <c r="AE45" i="14"/>
  <c r="B176" i="60"/>
  <c r="BA57" i="14" s="1"/>
  <c r="BA96" i="14" s="1"/>
  <c r="V173" i="60"/>
  <c r="W173" i="60" s="1"/>
  <c r="O164" i="60"/>
  <c r="N160" i="60"/>
  <c r="O160" i="60" s="1"/>
  <c r="P160" i="60" s="1"/>
  <c r="Q160" i="60" s="1"/>
  <c r="R160" i="60" s="1"/>
  <c r="S160" i="60" s="1"/>
  <c r="F160" i="60"/>
  <c r="G160" i="60" s="1"/>
  <c r="H160" i="60" s="1"/>
  <c r="I160" i="60" s="1"/>
  <c r="J160" i="60" s="1"/>
  <c r="K160" i="60" s="1"/>
  <c r="C158" i="60"/>
  <c r="AE44" i="14"/>
  <c r="B154" i="60"/>
  <c r="BA56" i="14" s="1"/>
  <c r="BA95" i="14" s="1"/>
  <c r="V151" i="60"/>
  <c r="W151" i="60" s="1"/>
  <c r="X141" i="60" s="1"/>
  <c r="O142" i="60"/>
  <c r="N138" i="60"/>
  <c r="O138" i="60" s="1"/>
  <c r="P138" i="60" s="1"/>
  <c r="Q138" i="60" s="1"/>
  <c r="R138" i="60" s="1"/>
  <c r="S138" i="60" s="1"/>
  <c r="F138" i="60"/>
  <c r="G138" i="60" s="1"/>
  <c r="H138" i="60" s="1"/>
  <c r="I138" i="60" s="1"/>
  <c r="J138" i="60" s="1"/>
  <c r="K138" i="60" s="1"/>
  <c r="C136" i="60"/>
  <c r="AE43" i="14"/>
  <c r="B132" i="60"/>
  <c r="BA55" i="14" s="1"/>
  <c r="BA94" i="14" s="1"/>
  <c r="V129" i="60"/>
  <c r="W129" i="60" s="1"/>
  <c r="O120" i="60"/>
  <c r="Y119" i="60"/>
  <c r="N116" i="60"/>
  <c r="O116" i="60" s="1"/>
  <c r="P116" i="60" s="1"/>
  <c r="Q116" i="60" s="1"/>
  <c r="R116" i="60" s="1"/>
  <c r="S116" i="60" s="1"/>
  <c r="F116" i="60"/>
  <c r="G116" i="60" s="1"/>
  <c r="H116" i="60" s="1"/>
  <c r="I116" i="60" s="1"/>
  <c r="J116" i="60" s="1"/>
  <c r="K116" i="60" s="1"/>
  <c r="C114" i="60"/>
  <c r="AE42" i="14"/>
  <c r="B110" i="60"/>
  <c r="BA54" i="14" s="1"/>
  <c r="BA93" i="14" s="1"/>
  <c r="V107" i="60"/>
  <c r="W107" i="60" s="1"/>
  <c r="Y97" i="60" s="1"/>
  <c r="O98" i="60"/>
  <c r="N94" i="60"/>
  <c r="O94" i="60" s="1"/>
  <c r="P94" i="60" s="1"/>
  <c r="Q94" i="60" s="1"/>
  <c r="R94" i="60" s="1"/>
  <c r="S94" i="60" s="1"/>
  <c r="F94" i="60"/>
  <c r="G94" i="60" s="1"/>
  <c r="H94" i="60" s="1"/>
  <c r="I94" i="60" s="1"/>
  <c r="J94" i="60" s="1"/>
  <c r="K94" i="60" s="1"/>
  <c r="C92" i="60"/>
  <c r="AE41" i="14"/>
  <c r="B88" i="60"/>
  <c r="BA53" i="14" s="1"/>
  <c r="BA92" i="14" s="1"/>
  <c r="V85" i="60"/>
  <c r="W85" i="60" s="1"/>
  <c r="AA75" i="60" s="1"/>
  <c r="O76" i="60"/>
  <c r="N72" i="60"/>
  <c r="O72" i="60" s="1"/>
  <c r="P72" i="60" s="1"/>
  <c r="Q72" i="60" s="1"/>
  <c r="R72" i="60" s="1"/>
  <c r="S72" i="60" s="1"/>
  <c r="F72" i="60"/>
  <c r="G72" i="60" s="1"/>
  <c r="H72" i="60" s="1"/>
  <c r="I72" i="60" s="1"/>
  <c r="J72" i="60" s="1"/>
  <c r="K72" i="60" s="1"/>
  <c r="C70" i="60"/>
  <c r="AE40" i="14"/>
  <c r="B66" i="60"/>
  <c r="BA52" i="14" s="1"/>
  <c r="BA91" i="14" s="1"/>
  <c r="V63" i="60"/>
  <c r="W63" i="60" s="1"/>
  <c r="O54" i="60"/>
  <c r="N50" i="60"/>
  <c r="O50" i="60" s="1"/>
  <c r="P50" i="60" s="1"/>
  <c r="Q50" i="60" s="1"/>
  <c r="R50" i="60" s="1"/>
  <c r="S50" i="60" s="1"/>
  <c r="F50" i="60"/>
  <c r="G50" i="60" s="1"/>
  <c r="H50" i="60" s="1"/>
  <c r="I50" i="60" s="1"/>
  <c r="J50" i="60" s="1"/>
  <c r="K50" i="60" s="1"/>
  <c r="C48" i="60"/>
  <c r="AE39" i="14"/>
  <c r="B44" i="60"/>
  <c r="BA51" i="14" s="1"/>
  <c r="BA90" i="14" s="1"/>
  <c r="W317" i="60" l="1"/>
  <c r="Y75" i="60"/>
  <c r="AW10" i="14"/>
  <c r="K29" i="50"/>
  <c r="AA185" i="60"/>
  <c r="X207" i="60"/>
  <c r="V559" i="60"/>
  <c r="V560" i="60" s="1"/>
  <c r="V561" i="60" s="1"/>
  <c r="V563" i="60" s="1"/>
  <c r="V567" i="60" s="1"/>
  <c r="X295" i="60"/>
  <c r="Z295" i="60"/>
  <c r="W273" i="60"/>
  <c r="W427" i="60"/>
  <c r="V515" i="60"/>
  <c r="V516" i="60" s="1"/>
  <c r="V517" i="60" s="1"/>
  <c r="V519" i="60" s="1"/>
  <c r="X537" i="60"/>
  <c r="Z537" i="60"/>
  <c r="V471" i="60"/>
  <c r="V472" i="60" s="1"/>
  <c r="V478" i="60" s="1"/>
  <c r="Z471" i="60"/>
  <c r="AA339" i="60"/>
  <c r="W185" i="60"/>
  <c r="Y361" i="60"/>
  <c r="W361" i="60"/>
  <c r="AA361" i="60"/>
  <c r="V207" i="60"/>
  <c r="V208" i="60" s="1"/>
  <c r="V214" i="60" s="1"/>
  <c r="Z207" i="60"/>
  <c r="V537" i="60"/>
  <c r="V538" i="60" s="1"/>
  <c r="V539" i="60" s="1"/>
  <c r="V541" i="60" s="1"/>
  <c r="AA141" i="60"/>
  <c r="Z141" i="60"/>
  <c r="V141" i="60"/>
  <c r="V142" i="60" s="1"/>
  <c r="V148" i="60" s="1"/>
  <c r="AA251" i="60"/>
  <c r="Y251" i="60"/>
  <c r="W251" i="60"/>
  <c r="Z339" i="60"/>
  <c r="X339" i="60"/>
  <c r="V339" i="60"/>
  <c r="V340" i="60" s="1"/>
  <c r="V346" i="60" s="1"/>
  <c r="AA383" i="60"/>
  <c r="W383" i="60"/>
  <c r="Z405" i="60"/>
  <c r="X405" i="60"/>
  <c r="V405" i="60"/>
  <c r="V406" i="60" s="1"/>
  <c r="V407" i="60" s="1"/>
  <c r="V409" i="60" s="1"/>
  <c r="W75" i="60"/>
  <c r="AA119" i="60"/>
  <c r="W119" i="60"/>
  <c r="Z185" i="60"/>
  <c r="X185" i="60"/>
  <c r="V185" i="60"/>
  <c r="V186" i="60" s="1"/>
  <c r="V192" i="60" s="1"/>
  <c r="X251" i="60"/>
  <c r="V295" i="60"/>
  <c r="V296" i="60" s="1"/>
  <c r="V302" i="60" s="1"/>
  <c r="Y339" i="60"/>
  <c r="W405" i="60"/>
  <c r="AA405" i="60"/>
  <c r="Z449" i="60"/>
  <c r="V449" i="60"/>
  <c r="V450" i="60" s="1"/>
  <c r="V456" i="60" s="1"/>
  <c r="AA471" i="60"/>
  <c r="X471" i="60"/>
  <c r="AA515" i="60"/>
  <c r="Y515" i="60"/>
  <c r="W515" i="60"/>
  <c r="V566" i="60"/>
  <c r="AA559" i="60"/>
  <c r="Y559" i="60"/>
  <c r="W559" i="60"/>
  <c r="Z493" i="60"/>
  <c r="X493" i="60"/>
  <c r="V493" i="60"/>
  <c r="V494" i="60" s="1"/>
  <c r="AA493" i="60"/>
  <c r="Y493" i="60"/>
  <c r="W493" i="60"/>
  <c r="W471" i="60"/>
  <c r="Y471" i="60"/>
  <c r="AA537" i="60"/>
  <c r="Y537" i="60"/>
  <c r="W537" i="60"/>
  <c r="V253" i="60"/>
  <c r="V255" i="60" s="1"/>
  <c r="Z273" i="60"/>
  <c r="X273" i="60"/>
  <c r="V273" i="60"/>
  <c r="V274" i="60" s="1"/>
  <c r="Z317" i="60"/>
  <c r="X317" i="60"/>
  <c r="V317" i="60"/>
  <c r="V318" i="60" s="1"/>
  <c r="Y273" i="60"/>
  <c r="AA295" i="60"/>
  <c r="Y295" i="60"/>
  <c r="W295" i="60"/>
  <c r="Y317" i="60"/>
  <c r="Z361" i="60"/>
  <c r="X361" i="60"/>
  <c r="V361" i="60"/>
  <c r="V362" i="60" s="1"/>
  <c r="Z383" i="60"/>
  <c r="X383" i="60"/>
  <c r="V383" i="60"/>
  <c r="V384" i="60" s="1"/>
  <c r="Z427" i="60"/>
  <c r="X427" i="60"/>
  <c r="V427" i="60"/>
  <c r="V428" i="60" s="1"/>
  <c r="AA449" i="60"/>
  <c r="Y449" i="60"/>
  <c r="W449" i="60"/>
  <c r="AA229" i="60"/>
  <c r="Y229" i="60"/>
  <c r="W229" i="60"/>
  <c r="Z229" i="60"/>
  <c r="X229" i="60"/>
  <c r="V229" i="60"/>
  <c r="Z163" i="60"/>
  <c r="X163" i="60"/>
  <c r="V163" i="60"/>
  <c r="V164" i="60" s="1"/>
  <c r="AA163" i="60"/>
  <c r="Y163" i="60"/>
  <c r="W163" i="60"/>
  <c r="W141" i="60"/>
  <c r="Y141" i="60"/>
  <c r="W207" i="60"/>
  <c r="Y207" i="60"/>
  <c r="Z119" i="60"/>
  <c r="X119" i="60"/>
  <c r="V119" i="60"/>
  <c r="V120" i="60" s="1"/>
  <c r="Z97" i="60"/>
  <c r="X97" i="60"/>
  <c r="V97" i="60"/>
  <c r="V98" i="60" s="1"/>
  <c r="W97" i="60"/>
  <c r="AA97" i="60"/>
  <c r="Z75" i="60"/>
  <c r="X75" i="60"/>
  <c r="V75" i="60"/>
  <c r="V76" i="60" s="1"/>
  <c r="Z53" i="60"/>
  <c r="X53" i="60"/>
  <c r="V53" i="60"/>
  <c r="V54" i="60" s="1"/>
  <c r="AA53" i="60"/>
  <c r="Y53" i="60"/>
  <c r="W53" i="60"/>
  <c r="C141" i="53"/>
  <c r="C112" i="53"/>
  <c r="C83" i="53"/>
  <c r="C54" i="53"/>
  <c r="C366" i="3"/>
  <c r="C328" i="3"/>
  <c r="C290" i="3"/>
  <c r="C252" i="3"/>
  <c r="C214" i="3"/>
  <c r="C176" i="3"/>
  <c r="C138" i="3"/>
  <c r="C366" i="56"/>
  <c r="C328" i="56"/>
  <c r="C290" i="56"/>
  <c r="C252" i="56"/>
  <c r="C214" i="56"/>
  <c r="C176" i="56"/>
  <c r="C138" i="56"/>
  <c r="V41" i="60"/>
  <c r="W41" i="60" s="1"/>
  <c r="Y31" i="60" s="1"/>
  <c r="O32" i="60"/>
  <c r="N28" i="60"/>
  <c r="O28" i="60" s="1"/>
  <c r="P28" i="60" s="1"/>
  <c r="Q28" i="60" s="1"/>
  <c r="R28" i="60" s="1"/>
  <c r="S28" i="60" s="1"/>
  <c r="F28" i="60"/>
  <c r="G28" i="60" s="1"/>
  <c r="H28" i="60" s="1"/>
  <c r="I28" i="60" s="1"/>
  <c r="J28" i="60" s="1"/>
  <c r="K28" i="60" s="1"/>
  <c r="C26" i="60"/>
  <c r="AE38" i="14"/>
  <c r="AF63" i="14" s="1"/>
  <c r="B22" i="60"/>
  <c r="F14" i="60"/>
  <c r="G14" i="60" s="1"/>
  <c r="H14" i="60" s="1"/>
  <c r="I14" i="60" s="1"/>
  <c r="J14" i="60" s="1"/>
  <c r="K14" i="60" s="1"/>
  <c r="E13" i="60"/>
  <c r="AD106" i="15"/>
  <c r="AD107" i="15"/>
  <c r="AD108" i="15"/>
  <c r="AD109" i="15"/>
  <c r="AD110" i="15"/>
  <c r="AD111" i="15"/>
  <c r="AD112" i="15"/>
  <c r="AD113" i="15"/>
  <c r="AD114" i="15"/>
  <c r="AD115" i="15"/>
  <c r="AD116" i="15"/>
  <c r="AD117" i="15"/>
  <c r="AD118" i="15"/>
  <c r="AD119" i="15"/>
  <c r="AD120" i="15"/>
  <c r="AD121" i="15"/>
  <c r="AD122" i="15"/>
  <c r="AD123" i="15"/>
  <c r="AD124" i="15"/>
  <c r="AG73" i="50" l="1"/>
  <c r="AG75" i="50"/>
  <c r="AG77" i="50"/>
  <c r="AG79" i="50"/>
  <c r="AG81" i="50"/>
  <c r="AG74" i="50"/>
  <c r="AG76" i="50"/>
  <c r="AG78" i="50"/>
  <c r="AG80" i="50"/>
  <c r="AG82" i="50"/>
  <c r="AG468" i="50"/>
  <c r="AG469" i="50"/>
  <c r="AG470" i="50"/>
  <c r="AG471" i="50"/>
  <c r="AG472" i="50"/>
  <c r="AG473" i="50"/>
  <c r="AG474" i="50"/>
  <c r="AG475" i="50"/>
  <c r="AG476" i="50"/>
  <c r="AG477" i="50"/>
  <c r="AW11" i="14"/>
  <c r="AW12" i="14" s="1"/>
  <c r="AA31" i="60"/>
  <c r="AA98" i="60"/>
  <c r="AA104" i="60" s="1"/>
  <c r="Z98" i="60"/>
  <c r="Z99" i="60" s="1"/>
  <c r="Y208" i="60"/>
  <c r="Y214" i="60" s="1"/>
  <c r="Y142" i="60"/>
  <c r="Y148" i="60" s="1"/>
  <c r="W186" i="60"/>
  <c r="W192" i="60" s="1"/>
  <c r="X428" i="60"/>
  <c r="X429" i="60" s="1"/>
  <c r="Y384" i="60"/>
  <c r="Y390" i="60" s="1"/>
  <c r="Z362" i="60"/>
  <c r="Z368" i="60" s="1"/>
  <c r="AA296" i="60"/>
  <c r="AA302" i="60" s="1"/>
  <c r="Y538" i="60"/>
  <c r="Y539" i="60" s="1"/>
  <c r="AA208" i="60"/>
  <c r="AA209" i="60" s="1"/>
  <c r="Y560" i="60"/>
  <c r="Y561" i="60" s="1"/>
  <c r="W516" i="60"/>
  <c r="W522" i="60" s="1"/>
  <c r="AA516" i="60"/>
  <c r="AA517" i="60" s="1"/>
  <c r="W406" i="60"/>
  <c r="W412" i="60" s="1"/>
  <c r="Z186" i="60"/>
  <c r="Z187" i="60" s="1"/>
  <c r="Z406" i="60"/>
  <c r="X340" i="60"/>
  <c r="X341" i="60" s="1"/>
  <c r="W252" i="60"/>
  <c r="W253" i="60" s="1"/>
  <c r="AA252" i="60"/>
  <c r="AA253" i="60" s="1"/>
  <c r="Z76" i="60"/>
  <c r="Z77" i="60" s="1"/>
  <c r="Z120" i="60"/>
  <c r="Z126" i="60" s="1"/>
  <c r="Z428" i="60"/>
  <c r="Z429" i="60" s="1"/>
  <c r="Z384" i="60"/>
  <c r="Z385" i="60" s="1"/>
  <c r="X318" i="60"/>
  <c r="X324" i="60" s="1"/>
  <c r="W560" i="60"/>
  <c r="W561" i="60" s="1"/>
  <c r="AA560" i="60"/>
  <c r="AA561" i="60" s="1"/>
  <c r="Z516" i="60"/>
  <c r="Z522" i="60" s="1"/>
  <c r="AG459" i="50"/>
  <c r="AG461" i="50"/>
  <c r="AG463" i="50"/>
  <c r="AG465" i="50"/>
  <c r="AG467" i="50"/>
  <c r="AG64" i="50"/>
  <c r="AG66" i="50"/>
  <c r="AG68" i="50"/>
  <c r="AG70" i="50"/>
  <c r="AG72" i="50"/>
  <c r="AE106" i="15"/>
  <c r="AE108" i="15"/>
  <c r="AE110" i="15"/>
  <c r="AE112" i="15"/>
  <c r="AE114" i="15"/>
  <c r="AE116" i="15"/>
  <c r="AE118" i="15"/>
  <c r="AE120" i="15"/>
  <c r="AE122" i="15"/>
  <c r="AE124" i="15"/>
  <c r="AH118" i="37"/>
  <c r="AH120" i="37"/>
  <c r="AH122" i="37"/>
  <c r="AH124" i="37"/>
  <c r="AH126" i="37"/>
  <c r="AH128" i="37"/>
  <c r="AH130" i="37"/>
  <c r="AH132" i="37"/>
  <c r="AH134" i="37"/>
  <c r="AH136" i="37"/>
  <c r="AG460" i="50"/>
  <c r="AG462" i="50"/>
  <c r="AG464" i="50"/>
  <c r="AG466" i="50"/>
  <c r="AG458" i="50"/>
  <c r="AG65" i="50"/>
  <c r="AG67" i="50"/>
  <c r="AG69" i="50"/>
  <c r="AG71" i="50"/>
  <c r="AG63" i="50"/>
  <c r="AE107" i="15"/>
  <c r="AE109" i="15"/>
  <c r="AE111" i="15"/>
  <c r="AE113" i="15"/>
  <c r="AE115" i="15"/>
  <c r="AE117" i="15"/>
  <c r="AE119" i="15"/>
  <c r="AE121" i="15"/>
  <c r="AE123" i="15"/>
  <c r="AE105" i="15"/>
  <c r="AH119" i="37"/>
  <c r="AH121" i="37"/>
  <c r="AH123" i="37"/>
  <c r="AH125" i="37"/>
  <c r="AH127" i="37"/>
  <c r="AH129" i="37"/>
  <c r="AH131" i="37"/>
  <c r="AH133" i="37"/>
  <c r="AH135" i="37"/>
  <c r="AH117" i="37"/>
  <c r="W208" i="60"/>
  <c r="W209" i="60" s="1"/>
  <c r="Y296" i="60"/>
  <c r="Y297" i="60" s="1"/>
  <c r="W258" i="60"/>
  <c r="V544" i="60"/>
  <c r="V187" i="60"/>
  <c r="V189" i="60" s="1"/>
  <c r="V190" i="60" s="1"/>
  <c r="V209" i="60"/>
  <c r="V211" i="60" s="1"/>
  <c r="V215" i="60" s="1"/>
  <c r="V412" i="60"/>
  <c r="W296" i="60"/>
  <c r="W297" i="60" s="1"/>
  <c r="AA472" i="60"/>
  <c r="AA478" i="60" s="1"/>
  <c r="X186" i="60"/>
  <c r="X187" i="60" s="1"/>
  <c r="V522" i="60"/>
  <c r="V564" i="60"/>
  <c r="V297" i="60"/>
  <c r="V299" i="60" s="1"/>
  <c r="V300" i="60" s="1"/>
  <c r="X252" i="60"/>
  <c r="X253" i="60" s="1"/>
  <c r="Y54" i="60"/>
  <c r="Y55" i="60" s="1"/>
  <c r="X76" i="60"/>
  <c r="X77" i="60" s="1"/>
  <c r="AA76" i="60"/>
  <c r="AA82" i="60" s="1"/>
  <c r="V143" i="60"/>
  <c r="V145" i="60" s="1"/>
  <c r="V149" i="60" s="1"/>
  <c r="V451" i="60"/>
  <c r="V453" i="60" s="1"/>
  <c r="V454" i="60" s="1"/>
  <c r="W472" i="60"/>
  <c r="W478" i="60" s="1"/>
  <c r="V473" i="60"/>
  <c r="V475" i="60" s="1"/>
  <c r="V476" i="60" s="1"/>
  <c r="W142" i="60"/>
  <c r="W143" i="60" s="1"/>
  <c r="Y164" i="60"/>
  <c r="Y170" i="60" s="1"/>
  <c r="V341" i="60"/>
  <c r="V343" i="60" s="1"/>
  <c r="V347" i="60" s="1"/>
  <c r="X274" i="60"/>
  <c r="X280" i="60" s="1"/>
  <c r="Z560" i="60"/>
  <c r="Z561" i="60" s="1"/>
  <c r="AA538" i="60"/>
  <c r="AA539" i="60" s="1"/>
  <c r="Y516" i="60"/>
  <c r="Y522" i="60" s="1"/>
  <c r="AA406" i="60"/>
  <c r="W362" i="60"/>
  <c r="W368" i="60" s="1"/>
  <c r="Y340" i="60"/>
  <c r="Y346" i="60" s="1"/>
  <c r="W230" i="60"/>
  <c r="W231" i="60" s="1"/>
  <c r="AA230" i="60"/>
  <c r="AA231" i="60" s="1"/>
  <c r="W450" i="60"/>
  <c r="W451" i="60" s="1"/>
  <c r="AA450" i="60"/>
  <c r="AA451" i="60" s="1"/>
  <c r="Z450" i="60"/>
  <c r="X406" i="60"/>
  <c r="AA186" i="60"/>
  <c r="X120" i="60"/>
  <c r="X126" i="60" s="1"/>
  <c r="X230" i="60"/>
  <c r="X236" i="60" s="1"/>
  <c r="X362" i="60"/>
  <c r="X363" i="60" s="1"/>
  <c r="W340" i="60"/>
  <c r="W341" i="60" s="1"/>
  <c r="Y318" i="60"/>
  <c r="Y324" i="60" s="1"/>
  <c r="W538" i="60"/>
  <c r="W544" i="60" s="1"/>
  <c r="W494" i="60"/>
  <c r="W500" i="60" s="1"/>
  <c r="AA494" i="60"/>
  <c r="AA495" i="60" s="1"/>
  <c r="AA120" i="60"/>
  <c r="AA121" i="60" s="1"/>
  <c r="AA142" i="60"/>
  <c r="AA143" i="60" s="1"/>
  <c r="C15" i="60"/>
  <c r="BA50" i="14"/>
  <c r="X472" i="60"/>
  <c r="X473" i="60" s="1"/>
  <c r="X516" i="60"/>
  <c r="Z340" i="60"/>
  <c r="Y252" i="60"/>
  <c r="W54" i="60"/>
  <c r="W55" i="60" s="1"/>
  <c r="AA54" i="60"/>
  <c r="AA60" i="60" s="1"/>
  <c r="X208" i="60"/>
  <c r="X214" i="60" s="1"/>
  <c r="Y186" i="60"/>
  <c r="Y187" i="60" s="1"/>
  <c r="W164" i="60"/>
  <c r="W165" i="60" s="1"/>
  <c r="AA164" i="60"/>
  <c r="AA170" i="60" s="1"/>
  <c r="Y450" i="60"/>
  <c r="Y456" i="60" s="1"/>
  <c r="Y406" i="60"/>
  <c r="Y412" i="60" s="1"/>
  <c r="X384" i="60"/>
  <c r="X385" i="60" s="1"/>
  <c r="AA340" i="60"/>
  <c r="AA341" i="60" s="1"/>
  <c r="Y274" i="60"/>
  <c r="Y280" i="60" s="1"/>
  <c r="Z274" i="60"/>
  <c r="Z275" i="60" s="1"/>
  <c r="Z252" i="60"/>
  <c r="Z258" i="60" s="1"/>
  <c r="Z538" i="60"/>
  <c r="Z544" i="60" s="1"/>
  <c r="Y472" i="60"/>
  <c r="Y478" i="60" s="1"/>
  <c r="X450" i="60"/>
  <c r="X560" i="60"/>
  <c r="V523" i="60"/>
  <c r="V520" i="60"/>
  <c r="X494" i="60"/>
  <c r="Z472" i="60"/>
  <c r="X538" i="60"/>
  <c r="V545" i="60"/>
  <c r="V542" i="60"/>
  <c r="Y494" i="60"/>
  <c r="V500" i="60"/>
  <c r="V495" i="60"/>
  <c r="V497" i="60" s="1"/>
  <c r="Z494" i="60"/>
  <c r="V434" i="60"/>
  <c r="V429" i="60"/>
  <c r="V431" i="60" s="1"/>
  <c r="W428" i="60"/>
  <c r="V413" i="60"/>
  <c r="V410" i="60"/>
  <c r="V390" i="60"/>
  <c r="V385" i="60"/>
  <c r="V387" i="60" s="1"/>
  <c r="W384" i="60"/>
  <c r="Y362" i="60"/>
  <c r="V324" i="60"/>
  <c r="V319" i="60"/>
  <c r="V321" i="60" s="1"/>
  <c r="Z318" i="60"/>
  <c r="W318" i="60"/>
  <c r="V280" i="60"/>
  <c r="V275" i="60"/>
  <c r="V277" i="60" s="1"/>
  <c r="W274" i="60"/>
  <c r="N444" i="60"/>
  <c r="C440" i="60"/>
  <c r="Y428" i="60"/>
  <c r="AA428" i="60"/>
  <c r="AA384" i="60"/>
  <c r="V368" i="60"/>
  <c r="V363" i="60"/>
  <c r="V365" i="60" s="1"/>
  <c r="X296" i="60"/>
  <c r="AA362" i="60"/>
  <c r="AA318" i="60"/>
  <c r="Z296" i="60"/>
  <c r="AA274" i="60"/>
  <c r="V259" i="60"/>
  <c r="V256" i="60"/>
  <c r="Z230" i="60"/>
  <c r="Z236" i="60" s="1"/>
  <c r="V230" i="60"/>
  <c r="V231" i="60" s="1"/>
  <c r="V233" i="60" s="1"/>
  <c r="Y230" i="60"/>
  <c r="V170" i="60"/>
  <c r="V165" i="60"/>
  <c r="V167" i="60" s="1"/>
  <c r="Z164" i="60"/>
  <c r="Z142" i="60"/>
  <c r="Z208" i="60"/>
  <c r="X164" i="60"/>
  <c r="X142" i="60"/>
  <c r="Y120" i="60"/>
  <c r="V126" i="60"/>
  <c r="V121" i="60"/>
  <c r="V123" i="60" s="1"/>
  <c r="W120" i="60"/>
  <c r="V104" i="60"/>
  <c r="V99" i="60"/>
  <c r="V101" i="60" s="1"/>
  <c r="W98" i="60"/>
  <c r="X98" i="60"/>
  <c r="Y98" i="60"/>
  <c r="Y76" i="60"/>
  <c r="V82" i="60"/>
  <c r="V77" i="60"/>
  <c r="V79" i="60" s="1"/>
  <c r="Z82" i="60"/>
  <c r="W76" i="60"/>
  <c r="X54" i="60"/>
  <c r="V60" i="60"/>
  <c r="V55" i="60"/>
  <c r="V57" i="60" s="1"/>
  <c r="Z54" i="60"/>
  <c r="W31" i="60"/>
  <c r="Z31" i="60"/>
  <c r="Z32" i="60" s="1"/>
  <c r="X31" i="60"/>
  <c r="X32" i="60" s="1"/>
  <c r="V31" i="60"/>
  <c r="V32" i="60" s="1"/>
  <c r="AS82" i="50" l="1"/>
  <c r="AN82" i="50"/>
  <c r="AJ82" i="50"/>
  <c r="AR82" i="50"/>
  <c r="AM82" i="50"/>
  <c r="AI82" i="50"/>
  <c r="AU82" i="50"/>
  <c r="AQ82" i="50"/>
  <c r="AL82" i="50"/>
  <c r="AT82" i="50"/>
  <c r="AP82" i="50"/>
  <c r="AK82" i="50"/>
  <c r="AS78" i="50"/>
  <c r="AN78" i="50"/>
  <c r="AJ78" i="50"/>
  <c r="AR78" i="50"/>
  <c r="AM78" i="50"/>
  <c r="AI78" i="50"/>
  <c r="AU78" i="50"/>
  <c r="AQ78" i="50"/>
  <c r="AL78" i="50"/>
  <c r="AT78" i="50"/>
  <c r="AP78" i="50"/>
  <c r="AK78" i="50"/>
  <c r="AS74" i="50"/>
  <c r="AN74" i="50"/>
  <c r="AJ74" i="50"/>
  <c r="AR74" i="50"/>
  <c r="AM74" i="50"/>
  <c r="AI74" i="50"/>
  <c r="AU74" i="50"/>
  <c r="AQ74" i="50"/>
  <c r="AL74" i="50"/>
  <c r="AT74" i="50"/>
  <c r="AP74" i="50"/>
  <c r="AK74" i="50"/>
  <c r="AS79" i="50"/>
  <c r="AN79" i="50"/>
  <c r="AJ79" i="50"/>
  <c r="AT79" i="50"/>
  <c r="AP79" i="50"/>
  <c r="AK79" i="50"/>
  <c r="AI79" i="50"/>
  <c r="AU79" i="50"/>
  <c r="AQ79" i="50"/>
  <c r="AL79" i="50"/>
  <c r="AR79" i="50"/>
  <c r="AM79" i="50"/>
  <c r="AS75" i="50"/>
  <c r="AN75" i="50"/>
  <c r="AJ75" i="50"/>
  <c r="AT75" i="50"/>
  <c r="AP75" i="50"/>
  <c r="AK75" i="50"/>
  <c r="AI75" i="50"/>
  <c r="AU75" i="50"/>
  <c r="AQ75" i="50"/>
  <c r="AL75" i="50"/>
  <c r="AR75" i="50"/>
  <c r="AM75" i="50"/>
  <c r="AI80" i="50"/>
  <c r="AS80" i="50"/>
  <c r="AN80" i="50"/>
  <c r="AJ80" i="50"/>
  <c r="AR80" i="50"/>
  <c r="AM80" i="50"/>
  <c r="AU80" i="50"/>
  <c r="AQ80" i="50"/>
  <c r="AL80" i="50"/>
  <c r="AT80" i="50"/>
  <c r="AP80" i="50"/>
  <c r="AK80" i="50"/>
  <c r="AI76" i="50"/>
  <c r="AS76" i="50"/>
  <c r="AN76" i="50"/>
  <c r="AJ76" i="50"/>
  <c r="AR76" i="50"/>
  <c r="AM76" i="50"/>
  <c r="AU76" i="50"/>
  <c r="AQ76" i="50"/>
  <c r="AL76" i="50"/>
  <c r="AT76" i="50"/>
  <c r="AP76" i="50"/>
  <c r="AK76" i="50"/>
  <c r="AI81" i="50"/>
  <c r="AS81" i="50"/>
  <c r="AN81" i="50"/>
  <c r="AJ81" i="50"/>
  <c r="AT81" i="50"/>
  <c r="AP81" i="50"/>
  <c r="AK81" i="50"/>
  <c r="AU81" i="50"/>
  <c r="AQ81" i="50"/>
  <c r="AL81" i="50"/>
  <c r="AR81" i="50"/>
  <c r="AM81" i="50"/>
  <c r="AI77" i="50"/>
  <c r="AS77" i="50"/>
  <c r="AN77" i="50"/>
  <c r="AJ77" i="50"/>
  <c r="AT77" i="50"/>
  <c r="AP77" i="50"/>
  <c r="AK77" i="50"/>
  <c r="AU77" i="50"/>
  <c r="AQ77" i="50"/>
  <c r="AL77" i="50"/>
  <c r="AR77" i="50"/>
  <c r="AM77" i="50"/>
  <c r="AI73" i="50"/>
  <c r="AS73" i="50"/>
  <c r="AN73" i="50"/>
  <c r="AJ73" i="50"/>
  <c r="AT73" i="50"/>
  <c r="AP73" i="50"/>
  <c r="AK73" i="50"/>
  <c r="AU73" i="50"/>
  <c r="AQ73" i="50"/>
  <c r="AL73" i="50"/>
  <c r="AR73" i="50"/>
  <c r="AM73" i="50"/>
  <c r="Y385" i="60"/>
  <c r="Z434" i="60"/>
  <c r="W517" i="60"/>
  <c r="AI477" i="50"/>
  <c r="AU477" i="50"/>
  <c r="AQ477" i="50"/>
  <c r="AT477" i="50"/>
  <c r="AP477" i="50"/>
  <c r="AN477" i="50"/>
  <c r="AJ477" i="50"/>
  <c r="AM477" i="50"/>
  <c r="AS477" i="50"/>
  <c r="AR477" i="50"/>
  <c r="AL477" i="50"/>
  <c r="AK477" i="50"/>
  <c r="AI475" i="50"/>
  <c r="AU475" i="50"/>
  <c r="AQ475" i="50"/>
  <c r="AT475" i="50"/>
  <c r="AP475" i="50"/>
  <c r="AN475" i="50"/>
  <c r="AJ475" i="50"/>
  <c r="AM475" i="50"/>
  <c r="AS475" i="50"/>
  <c r="AR475" i="50"/>
  <c r="AL475" i="50"/>
  <c r="AK475" i="50"/>
  <c r="AI473" i="50"/>
  <c r="AU473" i="50"/>
  <c r="AQ473" i="50"/>
  <c r="AT473" i="50"/>
  <c r="AP473" i="50"/>
  <c r="AN473" i="50"/>
  <c r="AJ473" i="50"/>
  <c r="AM473" i="50"/>
  <c r="AS473" i="50"/>
  <c r="AR473" i="50"/>
  <c r="AL473" i="50"/>
  <c r="AK473" i="50"/>
  <c r="AI471" i="50"/>
  <c r="AU471" i="50"/>
  <c r="AQ471" i="50"/>
  <c r="AT471" i="50"/>
  <c r="AP471" i="50"/>
  <c r="AN471" i="50"/>
  <c r="AJ471" i="50"/>
  <c r="AM471" i="50"/>
  <c r="AS471" i="50"/>
  <c r="AR471" i="50"/>
  <c r="AL471" i="50"/>
  <c r="AK471" i="50"/>
  <c r="AI469" i="50"/>
  <c r="AU469" i="50"/>
  <c r="AQ469" i="50"/>
  <c r="AT469" i="50"/>
  <c r="AP469" i="50"/>
  <c r="AN469" i="50"/>
  <c r="AJ469" i="50"/>
  <c r="AM469" i="50"/>
  <c r="AS469" i="50"/>
  <c r="AR469" i="50"/>
  <c r="AL469" i="50"/>
  <c r="AK469" i="50"/>
  <c r="AI476" i="50"/>
  <c r="AS476" i="50"/>
  <c r="AR476" i="50"/>
  <c r="AL476" i="50"/>
  <c r="AM476" i="50"/>
  <c r="AU476" i="50"/>
  <c r="AQ476" i="50"/>
  <c r="AT476" i="50"/>
  <c r="AP476" i="50"/>
  <c r="AJ476" i="50"/>
  <c r="AK476" i="50"/>
  <c r="AN476" i="50"/>
  <c r="AI474" i="50"/>
  <c r="AS474" i="50"/>
  <c r="AR474" i="50"/>
  <c r="AL474" i="50"/>
  <c r="AM474" i="50"/>
  <c r="AU474" i="50"/>
  <c r="AQ474" i="50"/>
  <c r="AT474" i="50"/>
  <c r="AP474" i="50"/>
  <c r="AN474" i="50"/>
  <c r="AK474" i="50"/>
  <c r="AJ474" i="50"/>
  <c r="AI472" i="50"/>
  <c r="AS472" i="50"/>
  <c r="AR472" i="50"/>
  <c r="AL472" i="50"/>
  <c r="AM472" i="50"/>
  <c r="AU472" i="50"/>
  <c r="AQ472" i="50"/>
  <c r="AT472" i="50"/>
  <c r="AP472" i="50"/>
  <c r="AJ472" i="50"/>
  <c r="AK472" i="50"/>
  <c r="AN472" i="50"/>
  <c r="AI470" i="50"/>
  <c r="AS470" i="50"/>
  <c r="AR470" i="50"/>
  <c r="AL470" i="50"/>
  <c r="AM470" i="50"/>
  <c r="AU470" i="50"/>
  <c r="AQ470" i="50"/>
  <c r="AT470" i="50"/>
  <c r="AP470" i="50"/>
  <c r="AN470" i="50"/>
  <c r="AK470" i="50"/>
  <c r="AJ470" i="50"/>
  <c r="AI468" i="50"/>
  <c r="AS468" i="50"/>
  <c r="AR468" i="50"/>
  <c r="AL468" i="50"/>
  <c r="AM468" i="50"/>
  <c r="AU468" i="50"/>
  <c r="AQ468" i="50"/>
  <c r="AT468" i="50"/>
  <c r="AP468" i="50"/>
  <c r="AJ468" i="50"/>
  <c r="AK468" i="50"/>
  <c r="AN468" i="50"/>
  <c r="AW13" i="14"/>
  <c r="Y143" i="60"/>
  <c r="W566" i="60"/>
  <c r="V193" i="60"/>
  <c r="AA99" i="60"/>
  <c r="X319" i="60"/>
  <c r="AA77" i="60"/>
  <c r="W187" i="60"/>
  <c r="W189" i="60" s="1"/>
  <c r="W193" i="60" s="1"/>
  <c r="Y209" i="60"/>
  <c r="AA297" i="60"/>
  <c r="W407" i="60"/>
  <c r="W409" i="60" s="1"/>
  <c r="W413" i="60" s="1"/>
  <c r="AA214" i="60"/>
  <c r="AP464" i="50"/>
  <c r="AR464" i="50"/>
  <c r="AT464" i="50"/>
  <c r="AQ464" i="50"/>
  <c r="AS464" i="50"/>
  <c r="AU464" i="50"/>
  <c r="AP460" i="50"/>
  <c r="AR460" i="50"/>
  <c r="AT460" i="50"/>
  <c r="AQ460" i="50"/>
  <c r="AS460" i="50"/>
  <c r="AU460" i="50"/>
  <c r="AP467" i="50"/>
  <c r="AR467" i="50"/>
  <c r="AT467" i="50"/>
  <c r="AQ467" i="50"/>
  <c r="AS467" i="50"/>
  <c r="AU467" i="50"/>
  <c r="AP463" i="50"/>
  <c r="AR463" i="50"/>
  <c r="AT463" i="50"/>
  <c r="AQ463" i="50"/>
  <c r="AS463" i="50"/>
  <c r="AU463" i="50"/>
  <c r="AP459" i="50"/>
  <c r="AR459" i="50"/>
  <c r="AT459" i="50"/>
  <c r="AQ459" i="50"/>
  <c r="AS459" i="50"/>
  <c r="AU459" i="50"/>
  <c r="AP466" i="50"/>
  <c r="AR466" i="50"/>
  <c r="AT466" i="50"/>
  <c r="AQ466" i="50"/>
  <c r="AS466" i="50"/>
  <c r="AU466" i="50"/>
  <c r="AP462" i="50"/>
  <c r="AR462" i="50"/>
  <c r="AT462" i="50"/>
  <c r="AQ462" i="50"/>
  <c r="AS462" i="50"/>
  <c r="AU462" i="50"/>
  <c r="AP465" i="50"/>
  <c r="AR465" i="50"/>
  <c r="AT465" i="50"/>
  <c r="AQ465" i="50"/>
  <c r="AS465" i="50"/>
  <c r="AU465" i="50"/>
  <c r="AP461" i="50"/>
  <c r="AR461" i="50"/>
  <c r="AT461" i="50"/>
  <c r="AQ461" i="50"/>
  <c r="AS461" i="50"/>
  <c r="AU461" i="50"/>
  <c r="AI464" i="50"/>
  <c r="AK464" i="50"/>
  <c r="AM464" i="50"/>
  <c r="AJ464" i="50"/>
  <c r="AL464" i="50"/>
  <c r="AN464" i="50"/>
  <c r="AI460" i="50"/>
  <c r="AK460" i="50"/>
  <c r="AM460" i="50"/>
  <c r="AJ460" i="50"/>
  <c r="AL460" i="50"/>
  <c r="AN460" i="50"/>
  <c r="AI467" i="50"/>
  <c r="AK467" i="50"/>
  <c r="AM467" i="50"/>
  <c r="AJ467" i="50"/>
  <c r="AL467" i="50"/>
  <c r="AN467" i="50"/>
  <c r="AI463" i="50"/>
  <c r="AK463" i="50"/>
  <c r="AM463" i="50"/>
  <c r="AJ463" i="50"/>
  <c r="AL463" i="50"/>
  <c r="AN463" i="50"/>
  <c r="AI459" i="50"/>
  <c r="AK459" i="50"/>
  <c r="AM459" i="50"/>
  <c r="AJ459" i="50"/>
  <c r="AL459" i="50"/>
  <c r="AN459" i="50"/>
  <c r="AI466" i="50"/>
  <c r="AK466" i="50"/>
  <c r="AM466" i="50"/>
  <c r="AJ466" i="50"/>
  <c r="AL466" i="50"/>
  <c r="AN466" i="50"/>
  <c r="AI462" i="50"/>
  <c r="AK462" i="50"/>
  <c r="AM462" i="50"/>
  <c r="AJ462" i="50"/>
  <c r="AL462" i="50"/>
  <c r="AN462" i="50"/>
  <c r="AI465" i="50"/>
  <c r="AK465" i="50"/>
  <c r="AM465" i="50"/>
  <c r="AJ465" i="50"/>
  <c r="AL465" i="50"/>
  <c r="AN465" i="50"/>
  <c r="AI461" i="50"/>
  <c r="AK461" i="50"/>
  <c r="AM461" i="50"/>
  <c r="AJ461" i="50"/>
  <c r="AL461" i="50"/>
  <c r="AN461" i="50"/>
  <c r="AP71" i="50"/>
  <c r="AR71" i="50"/>
  <c r="AT71" i="50"/>
  <c r="AQ71" i="50"/>
  <c r="AS71" i="50"/>
  <c r="AU71" i="50"/>
  <c r="AP67" i="50"/>
  <c r="AR67" i="50"/>
  <c r="AT67" i="50"/>
  <c r="AQ67" i="50"/>
  <c r="AS67" i="50"/>
  <c r="AU67" i="50"/>
  <c r="AP70" i="50"/>
  <c r="AR70" i="50"/>
  <c r="AT70" i="50"/>
  <c r="AQ70" i="50"/>
  <c r="AS70" i="50"/>
  <c r="AU70" i="50"/>
  <c r="AP66" i="50"/>
  <c r="AR66" i="50"/>
  <c r="AT66" i="50"/>
  <c r="AQ66" i="50"/>
  <c r="AS66" i="50"/>
  <c r="AU66" i="50"/>
  <c r="AP69" i="50"/>
  <c r="AR69" i="50"/>
  <c r="AT69" i="50"/>
  <c r="AQ69" i="50"/>
  <c r="AS69" i="50"/>
  <c r="AU69" i="50"/>
  <c r="AP65" i="50"/>
  <c r="AR65" i="50"/>
  <c r="AT65" i="50"/>
  <c r="AQ65" i="50"/>
  <c r="AS65" i="50"/>
  <c r="AU65" i="50"/>
  <c r="AP72" i="50"/>
  <c r="AR72" i="50"/>
  <c r="AT72" i="50"/>
  <c r="AQ72" i="50"/>
  <c r="AS72" i="50"/>
  <c r="AU72" i="50"/>
  <c r="AP68" i="50"/>
  <c r="AR68" i="50"/>
  <c r="AT68" i="50"/>
  <c r="AQ68" i="50"/>
  <c r="AS68" i="50"/>
  <c r="AU68" i="50"/>
  <c r="AI71" i="50"/>
  <c r="AK71" i="50"/>
  <c r="AM71" i="50"/>
  <c r="AJ71" i="50"/>
  <c r="AL71" i="50"/>
  <c r="AN71" i="50"/>
  <c r="AI67" i="50"/>
  <c r="AK67" i="50"/>
  <c r="AM67" i="50"/>
  <c r="AJ67" i="50"/>
  <c r="AL67" i="50"/>
  <c r="AN67" i="50"/>
  <c r="AI70" i="50"/>
  <c r="AK70" i="50"/>
  <c r="AM70" i="50"/>
  <c r="AJ70" i="50"/>
  <c r="AL70" i="50"/>
  <c r="AN70" i="50"/>
  <c r="AI66" i="50"/>
  <c r="AK66" i="50"/>
  <c r="AM66" i="50"/>
  <c r="AJ66" i="50"/>
  <c r="AL66" i="50"/>
  <c r="AN66" i="50"/>
  <c r="AI69" i="50"/>
  <c r="AK69" i="50"/>
  <c r="AM69" i="50"/>
  <c r="AJ69" i="50"/>
  <c r="AL69" i="50"/>
  <c r="AN69" i="50"/>
  <c r="AI65" i="50"/>
  <c r="AK65" i="50"/>
  <c r="AM65" i="50"/>
  <c r="AJ65" i="50"/>
  <c r="AL65" i="50"/>
  <c r="AN65" i="50"/>
  <c r="AI72" i="50"/>
  <c r="AK72" i="50"/>
  <c r="AM72" i="50"/>
  <c r="AJ72" i="50"/>
  <c r="AL72" i="50"/>
  <c r="AN72" i="50"/>
  <c r="AI68" i="50"/>
  <c r="AK68" i="50"/>
  <c r="AM68" i="50"/>
  <c r="AJ68" i="50"/>
  <c r="AL68" i="50"/>
  <c r="AN68" i="50"/>
  <c r="W214" i="60"/>
  <c r="W255" i="60"/>
  <c r="W259" i="60" s="1"/>
  <c r="AA566" i="60"/>
  <c r="Y566" i="60"/>
  <c r="X192" i="60"/>
  <c r="BA89" i="14"/>
  <c r="BA80" i="14"/>
  <c r="AA522" i="60"/>
  <c r="W236" i="60"/>
  <c r="W563" i="60"/>
  <c r="W567" i="60" s="1"/>
  <c r="Z104" i="60"/>
  <c r="Z121" i="60"/>
  <c r="Z363" i="60"/>
  <c r="X434" i="60"/>
  <c r="Z390" i="60"/>
  <c r="V479" i="60"/>
  <c r="Y544" i="60"/>
  <c r="AA544" i="60"/>
  <c r="Z517" i="60"/>
  <c r="Z192" i="60"/>
  <c r="X346" i="60"/>
  <c r="AA258" i="60"/>
  <c r="Z412" i="60"/>
  <c r="Z407" i="60"/>
  <c r="W302" i="60"/>
  <c r="Y302" i="60"/>
  <c r="Z566" i="60"/>
  <c r="W60" i="60"/>
  <c r="V212" i="60"/>
  <c r="W211" i="60" s="1"/>
  <c r="X258" i="60"/>
  <c r="V303" i="60"/>
  <c r="AA473" i="60"/>
  <c r="Y60" i="60"/>
  <c r="W363" i="60"/>
  <c r="Y517" i="60"/>
  <c r="X82" i="60"/>
  <c r="V146" i="60"/>
  <c r="W145" i="60" s="1"/>
  <c r="W148" i="60"/>
  <c r="Z253" i="60"/>
  <c r="V344" i="60"/>
  <c r="W343" i="60" s="1"/>
  <c r="W347" i="60" s="1"/>
  <c r="Y319" i="60"/>
  <c r="W456" i="60"/>
  <c r="W473" i="60"/>
  <c r="W475" i="60" s="1"/>
  <c r="W479" i="60" s="1"/>
  <c r="AA148" i="60"/>
  <c r="Y165" i="60"/>
  <c r="AA346" i="60"/>
  <c r="V457" i="60"/>
  <c r="Y192" i="60"/>
  <c r="X275" i="60"/>
  <c r="W346" i="60"/>
  <c r="AA126" i="60"/>
  <c r="X121" i="60"/>
  <c r="W170" i="60"/>
  <c r="X209" i="60"/>
  <c r="Y341" i="60"/>
  <c r="Y275" i="60"/>
  <c r="X390" i="60"/>
  <c r="X368" i="60"/>
  <c r="W495" i="60"/>
  <c r="X231" i="60"/>
  <c r="AA456" i="60"/>
  <c r="AA500" i="60"/>
  <c r="W539" i="60"/>
  <c r="W541" i="60" s="1"/>
  <c r="X478" i="60"/>
  <c r="Y473" i="60"/>
  <c r="W453" i="60"/>
  <c r="W457" i="60" s="1"/>
  <c r="Y451" i="60"/>
  <c r="AA412" i="60"/>
  <c r="AA407" i="60"/>
  <c r="AA55" i="60"/>
  <c r="AA165" i="60"/>
  <c r="AA236" i="60"/>
  <c r="Y407" i="60"/>
  <c r="Z280" i="60"/>
  <c r="Z539" i="60"/>
  <c r="Z456" i="60"/>
  <c r="Z451" i="60"/>
  <c r="X412" i="60"/>
  <c r="X407" i="60"/>
  <c r="Z231" i="60"/>
  <c r="AA187" i="60"/>
  <c r="AA192" i="60"/>
  <c r="X451" i="60"/>
  <c r="X456" i="60"/>
  <c r="Y253" i="60"/>
  <c r="Y258" i="60"/>
  <c r="X522" i="60"/>
  <c r="X517" i="60"/>
  <c r="V236" i="60"/>
  <c r="X561" i="60"/>
  <c r="X566" i="60"/>
  <c r="Z346" i="60"/>
  <c r="Z341" i="60"/>
  <c r="V501" i="60"/>
  <c r="V498" i="60"/>
  <c r="Y500" i="60"/>
  <c r="Y495" i="60"/>
  <c r="X544" i="60"/>
  <c r="X539" i="60"/>
  <c r="X500" i="60"/>
  <c r="X495" i="60"/>
  <c r="Z500" i="60"/>
  <c r="Z495" i="60"/>
  <c r="Z478" i="60"/>
  <c r="Z473" i="60"/>
  <c r="W519" i="60"/>
  <c r="Z302" i="60"/>
  <c r="Z297" i="60"/>
  <c r="AA368" i="60"/>
  <c r="AA363" i="60"/>
  <c r="V369" i="60"/>
  <c r="V366" i="60"/>
  <c r="AA390" i="60"/>
  <c r="AA385" i="60"/>
  <c r="Y434" i="60"/>
  <c r="Y429" i="60"/>
  <c r="V278" i="60"/>
  <c r="V281" i="60"/>
  <c r="Z324" i="60"/>
  <c r="Z319" i="60"/>
  <c r="Y368" i="60"/>
  <c r="Y363" i="60"/>
  <c r="V391" i="60"/>
  <c r="V388" i="60"/>
  <c r="V435" i="60"/>
  <c r="V432" i="60"/>
  <c r="AA280" i="60"/>
  <c r="AA275" i="60"/>
  <c r="AA324" i="60"/>
  <c r="AA319" i="60"/>
  <c r="X302" i="60"/>
  <c r="X297" i="60"/>
  <c r="AA434" i="60"/>
  <c r="AA429" i="60"/>
  <c r="W280" i="60"/>
  <c r="W275" i="60"/>
  <c r="W299" i="60"/>
  <c r="W324" i="60"/>
  <c r="W319" i="60"/>
  <c r="V322" i="60"/>
  <c r="V325" i="60"/>
  <c r="W390" i="60"/>
  <c r="W385" i="60"/>
  <c r="W434" i="60"/>
  <c r="W429" i="60"/>
  <c r="Y231" i="60"/>
  <c r="Y236" i="60"/>
  <c r="X170" i="60"/>
  <c r="X165" i="60"/>
  <c r="Z170" i="60"/>
  <c r="Z165" i="60"/>
  <c r="V237" i="60"/>
  <c r="V234" i="60"/>
  <c r="W233" i="60" s="1"/>
  <c r="W237" i="60" s="1"/>
  <c r="X148" i="60"/>
  <c r="X143" i="60"/>
  <c r="Z214" i="60"/>
  <c r="Z209" i="60"/>
  <c r="Z148" i="60"/>
  <c r="Z143" i="60"/>
  <c r="V171" i="60"/>
  <c r="V168" i="60"/>
  <c r="W167" i="60" s="1"/>
  <c r="W171" i="60" s="1"/>
  <c r="W126" i="60"/>
  <c r="W121" i="60"/>
  <c r="V127" i="60"/>
  <c r="V124" i="60"/>
  <c r="W123" i="60" s="1"/>
  <c r="W127" i="60" s="1"/>
  <c r="Y126" i="60"/>
  <c r="Y121" i="60"/>
  <c r="X104" i="60"/>
  <c r="X99" i="60"/>
  <c r="V105" i="60"/>
  <c r="V102" i="60"/>
  <c r="Y104" i="60"/>
  <c r="Y99" i="60"/>
  <c r="W104" i="60"/>
  <c r="W99" i="60"/>
  <c r="W82" i="60"/>
  <c r="W77" i="60"/>
  <c r="V83" i="60"/>
  <c r="V80" i="60"/>
  <c r="Y82" i="60"/>
  <c r="Y77" i="60"/>
  <c r="Z60" i="60"/>
  <c r="Z55" i="60"/>
  <c r="V61" i="60"/>
  <c r="V58" i="60"/>
  <c r="W57" i="60" s="1"/>
  <c r="W61" i="60" s="1"/>
  <c r="X60" i="60"/>
  <c r="X55" i="60"/>
  <c r="V38" i="60"/>
  <c r="V33" i="60"/>
  <c r="V35" i="60" s="1"/>
  <c r="Z38" i="60"/>
  <c r="Z33" i="60"/>
  <c r="W32" i="60"/>
  <c r="X38" i="60"/>
  <c r="X33" i="60"/>
  <c r="AA32" i="60"/>
  <c r="Y32" i="60"/>
  <c r="AW14" i="14" l="1"/>
  <c r="AW15" i="14" s="1"/>
  <c r="W256" i="60"/>
  <c r="X255" i="60" s="1"/>
  <c r="X256" i="60" s="1"/>
  <c r="Y255" i="60" s="1"/>
  <c r="Y259" i="60" s="1"/>
  <c r="W564" i="60"/>
  <c r="X563" i="60" s="1"/>
  <c r="X567" i="60" s="1"/>
  <c r="W410" i="60"/>
  <c r="X409" i="60" s="1"/>
  <c r="X410" i="60" s="1"/>
  <c r="Y409" i="60" s="1"/>
  <c r="Y413" i="60" s="1"/>
  <c r="W365" i="60"/>
  <c r="W369" i="60" s="1"/>
  <c r="W149" i="60"/>
  <c r="W146" i="60"/>
  <c r="X145" i="60" s="1"/>
  <c r="W190" i="60"/>
  <c r="X189" i="60" s="1"/>
  <c r="X193" i="60" s="1"/>
  <c r="W476" i="60"/>
  <c r="X475" i="60" s="1"/>
  <c r="X476" i="60" s="1"/>
  <c r="Y475" i="60" s="1"/>
  <c r="Y479" i="60" s="1"/>
  <c r="W79" i="60"/>
  <c r="W83" i="60" s="1"/>
  <c r="W497" i="60"/>
  <c r="W501" i="60" s="1"/>
  <c r="W454" i="60"/>
  <c r="X453" i="60" s="1"/>
  <c r="X454" i="60" s="1"/>
  <c r="Y453" i="60" s="1"/>
  <c r="Y457" i="60" s="1"/>
  <c r="W344" i="60"/>
  <c r="X343" i="60" s="1"/>
  <c r="X347" i="60" s="1"/>
  <c r="W321" i="60"/>
  <c r="W325" i="60" s="1"/>
  <c r="W387" i="60"/>
  <c r="W391" i="60" s="1"/>
  <c r="W545" i="60"/>
  <c r="W542" i="60"/>
  <c r="X541" i="60" s="1"/>
  <c r="X545" i="60" s="1"/>
  <c r="W523" i="60"/>
  <c r="W520" i="60"/>
  <c r="X519" i="60" s="1"/>
  <c r="X523" i="60" s="1"/>
  <c r="W277" i="60"/>
  <c r="W303" i="60"/>
  <c r="W300" i="60"/>
  <c r="X299" i="60" s="1"/>
  <c r="X303" i="60" s="1"/>
  <c r="W431" i="60"/>
  <c r="W234" i="60"/>
  <c r="X233" i="60" s="1"/>
  <c r="W168" i="60"/>
  <c r="X167" i="60" s="1"/>
  <c r="X171" i="60" s="1"/>
  <c r="W215" i="60"/>
  <c r="W212" i="60"/>
  <c r="X211" i="60" s="1"/>
  <c r="X215" i="60" s="1"/>
  <c r="W124" i="60"/>
  <c r="X123" i="60" s="1"/>
  <c r="X127" i="60" s="1"/>
  <c r="W101" i="60"/>
  <c r="W58" i="60"/>
  <c r="X57" i="60" s="1"/>
  <c r="X61" i="60" s="1"/>
  <c r="Y38" i="60"/>
  <c r="Y33" i="60"/>
  <c r="V39" i="60"/>
  <c r="V36" i="60"/>
  <c r="AA38" i="60"/>
  <c r="AA33" i="60"/>
  <c r="W38" i="60"/>
  <c r="W33" i="60"/>
  <c r="X259" i="60" l="1"/>
  <c r="AW16" i="14"/>
  <c r="AW17" i="14" s="1"/>
  <c r="X479" i="60"/>
  <c r="X190" i="60"/>
  <c r="Y189" i="60" s="1"/>
  <c r="Y193" i="60" s="1"/>
  <c r="W366" i="60"/>
  <c r="X365" i="60" s="1"/>
  <c r="X366" i="60" s="1"/>
  <c r="Y365" i="60" s="1"/>
  <c r="Y369" i="60" s="1"/>
  <c r="X564" i="60"/>
  <c r="Y563" i="60" s="1"/>
  <c r="Y567" i="60" s="1"/>
  <c r="W80" i="60"/>
  <c r="X79" i="60" s="1"/>
  <c r="X83" i="60" s="1"/>
  <c r="X146" i="60"/>
  <c r="Y145" i="60" s="1"/>
  <c r="Y149" i="60" s="1"/>
  <c r="X149" i="60"/>
  <c r="W498" i="60"/>
  <c r="X497" i="60" s="1"/>
  <c r="X501" i="60" s="1"/>
  <c r="Y476" i="60"/>
  <c r="Z475" i="60" s="1"/>
  <c r="Z479" i="60" s="1"/>
  <c r="Y454" i="60"/>
  <c r="Z453" i="60" s="1"/>
  <c r="Z454" i="60" s="1"/>
  <c r="AA453" i="60" s="1"/>
  <c r="AA457" i="60" s="1"/>
  <c r="X300" i="60"/>
  <c r="Y299" i="60" s="1"/>
  <c r="Y303" i="60" s="1"/>
  <c r="X457" i="60"/>
  <c r="X344" i="60"/>
  <c r="Y343" i="60" s="1"/>
  <c r="Y347" i="60" s="1"/>
  <c r="W322" i="60"/>
  <c r="X321" i="60" s="1"/>
  <c r="X322" i="60" s="1"/>
  <c r="Y321" i="60" s="1"/>
  <c r="Y410" i="60"/>
  <c r="Z409" i="60" s="1"/>
  <c r="Z413" i="60" s="1"/>
  <c r="Y256" i="60"/>
  <c r="Z255" i="60" s="1"/>
  <c r="Z259" i="60" s="1"/>
  <c r="X413" i="60"/>
  <c r="W388" i="60"/>
  <c r="X387" i="60" s="1"/>
  <c r="X542" i="60"/>
  <c r="Y541" i="60" s="1"/>
  <c r="Y542" i="60" s="1"/>
  <c r="Z541" i="60" s="1"/>
  <c r="X520" i="60"/>
  <c r="Y519" i="60" s="1"/>
  <c r="W435" i="60"/>
  <c r="W432" i="60"/>
  <c r="X431" i="60" s="1"/>
  <c r="X435" i="60" s="1"/>
  <c r="W281" i="60"/>
  <c r="W278" i="60"/>
  <c r="X277" i="60" s="1"/>
  <c r="X281" i="60" s="1"/>
  <c r="X168" i="60"/>
  <c r="Y167" i="60" s="1"/>
  <c r="Y171" i="60" s="1"/>
  <c r="X212" i="60"/>
  <c r="Y211" i="60" s="1"/>
  <c r="Y215" i="60" s="1"/>
  <c r="X237" i="60"/>
  <c r="X234" i="60"/>
  <c r="Y233" i="60" s="1"/>
  <c r="X124" i="60"/>
  <c r="Y123" i="60" s="1"/>
  <c r="W105" i="60"/>
  <c r="W102" i="60"/>
  <c r="X101" i="60" s="1"/>
  <c r="X105" i="60" s="1"/>
  <c r="X58" i="60"/>
  <c r="Y57" i="60" s="1"/>
  <c r="Y61" i="60" s="1"/>
  <c r="W35" i="60"/>
  <c r="X80" i="60" l="1"/>
  <c r="Y79" i="60" s="1"/>
  <c r="Y83" i="60" s="1"/>
  <c r="AW18" i="14"/>
  <c r="Y168" i="60"/>
  <c r="Z167" i="60" s="1"/>
  <c r="Z171" i="60" s="1"/>
  <c r="Y190" i="60"/>
  <c r="Z189" i="60" s="1"/>
  <c r="Z193" i="60" s="1"/>
  <c r="X369" i="60"/>
  <c r="Z476" i="60"/>
  <c r="AA475" i="60" s="1"/>
  <c r="AA479" i="60" s="1"/>
  <c r="X498" i="60"/>
  <c r="Y497" i="60" s="1"/>
  <c r="Y501" i="60" s="1"/>
  <c r="Z410" i="60"/>
  <c r="AA409" i="60" s="1"/>
  <c r="AA413" i="60" s="1"/>
  <c r="Y564" i="60"/>
  <c r="Z563" i="60" s="1"/>
  <c r="Z567" i="60" s="1"/>
  <c r="Z457" i="60"/>
  <c r="Y146" i="60"/>
  <c r="Z145" i="60" s="1"/>
  <c r="Z149" i="60" s="1"/>
  <c r="Y300" i="60"/>
  <c r="Z299" i="60" s="1"/>
  <c r="Z303" i="60" s="1"/>
  <c r="Y545" i="60"/>
  <c r="AA454" i="60"/>
  <c r="Y344" i="60"/>
  <c r="Z343" i="60" s="1"/>
  <c r="Z347" i="60" s="1"/>
  <c r="X325" i="60"/>
  <c r="X278" i="60"/>
  <c r="Y277" i="60" s="1"/>
  <c r="Y281" i="60" s="1"/>
  <c r="Z256" i="60"/>
  <c r="AA255" i="60" s="1"/>
  <c r="X391" i="60"/>
  <c r="X388" i="60"/>
  <c r="Y387" i="60" s="1"/>
  <c r="X432" i="60"/>
  <c r="Y431" i="60" s="1"/>
  <c r="Y435" i="60" s="1"/>
  <c r="Y523" i="60"/>
  <c r="Y520" i="60"/>
  <c r="Z519" i="60" s="1"/>
  <c r="Z545" i="60"/>
  <c r="Z542" i="60"/>
  <c r="AA541" i="60" s="1"/>
  <c r="Y325" i="60"/>
  <c r="Y322" i="60"/>
  <c r="Z321" i="60" s="1"/>
  <c r="Y366" i="60"/>
  <c r="Z365" i="60" s="1"/>
  <c r="Y237" i="60"/>
  <c r="Y234" i="60"/>
  <c r="Z233" i="60" s="1"/>
  <c r="Z237" i="60" s="1"/>
  <c r="Y212" i="60"/>
  <c r="Z211" i="60" s="1"/>
  <c r="Z215" i="60" s="1"/>
  <c r="Y127" i="60"/>
  <c r="Y124" i="60"/>
  <c r="Z123" i="60" s="1"/>
  <c r="Z127" i="60" s="1"/>
  <c r="X102" i="60"/>
  <c r="Y101" i="60" s="1"/>
  <c r="Y58" i="60"/>
  <c r="Z57" i="60" s="1"/>
  <c r="Z61" i="60" s="1"/>
  <c r="W39" i="60"/>
  <c r="W36" i="60"/>
  <c r="X35" i="60" s="1"/>
  <c r="X39" i="60" s="1"/>
  <c r="Z190" i="60" l="1"/>
  <c r="AA189" i="60" s="1"/>
  <c r="AA193" i="60" s="1"/>
  <c r="Y80" i="60"/>
  <c r="Z79" i="60" s="1"/>
  <c r="Z83" i="60" s="1"/>
  <c r="Z168" i="60"/>
  <c r="AA167" i="60" s="1"/>
  <c r="AA171" i="60" s="1"/>
  <c r="AW19" i="14"/>
  <c r="AA410" i="60"/>
  <c r="Y498" i="60"/>
  <c r="Z497" i="60" s="1"/>
  <c r="Z498" i="60" s="1"/>
  <c r="AA497" i="60" s="1"/>
  <c r="AA501" i="60" s="1"/>
  <c r="AA476" i="60"/>
  <c r="Z564" i="60"/>
  <c r="AA563" i="60" s="1"/>
  <c r="AA564" i="60" s="1"/>
  <c r="Z146" i="60"/>
  <c r="AA145" i="60" s="1"/>
  <c r="AA149" i="60" s="1"/>
  <c r="Z300" i="60"/>
  <c r="AA299" i="60" s="1"/>
  <c r="Y278" i="60"/>
  <c r="Z277" i="60" s="1"/>
  <c r="Z281" i="60" s="1"/>
  <c r="Z344" i="60"/>
  <c r="AA343" i="60" s="1"/>
  <c r="AA347" i="60" s="1"/>
  <c r="Y432" i="60"/>
  <c r="Z431" i="60" s="1"/>
  <c r="Z435" i="60" s="1"/>
  <c r="Z58" i="60"/>
  <c r="AA57" i="60" s="1"/>
  <c r="AA61" i="60" s="1"/>
  <c r="AA259" i="60"/>
  <c r="AA256" i="60"/>
  <c r="Y391" i="60"/>
  <c r="Z80" i="60"/>
  <c r="AA79" i="60" s="1"/>
  <c r="AA83" i="60" s="1"/>
  <c r="AA190" i="60"/>
  <c r="Y388" i="60"/>
  <c r="Z387" i="60" s="1"/>
  <c r="Z388" i="60" s="1"/>
  <c r="AA387" i="60" s="1"/>
  <c r="AA391" i="60" s="1"/>
  <c r="AA545" i="60"/>
  <c r="AA542" i="60"/>
  <c r="Z523" i="60"/>
  <c r="Z520" i="60"/>
  <c r="AA519" i="60" s="1"/>
  <c r="AA523" i="60" s="1"/>
  <c r="Z369" i="60"/>
  <c r="Z366" i="60"/>
  <c r="AA365" i="60" s="1"/>
  <c r="AA369" i="60" s="1"/>
  <c r="Z325" i="60"/>
  <c r="Z322" i="60"/>
  <c r="AA321" i="60" s="1"/>
  <c r="AA325" i="60" s="1"/>
  <c r="Z234" i="60"/>
  <c r="AA233" i="60" s="1"/>
  <c r="Z212" i="60"/>
  <c r="AA211" i="60" s="1"/>
  <c r="Z124" i="60"/>
  <c r="AA123" i="60" s="1"/>
  <c r="Y105" i="60"/>
  <c r="Y102" i="60"/>
  <c r="Z101" i="60" s="1"/>
  <c r="Z102" i="60" s="1"/>
  <c r="AA101" i="60" s="1"/>
  <c r="AA105" i="60" s="1"/>
  <c r="X36" i="60"/>
  <c r="Y35" i="60" s="1"/>
  <c r="Y39" i="60" s="1"/>
  <c r="AA168" i="60" l="1"/>
  <c r="AW20" i="14"/>
  <c r="Z501" i="60"/>
  <c r="AA567" i="60"/>
  <c r="AA146" i="60"/>
  <c r="AA303" i="60"/>
  <c r="AA300" i="60"/>
  <c r="Z432" i="60"/>
  <c r="AA431" i="60" s="1"/>
  <c r="AA435" i="60" s="1"/>
  <c r="Z278" i="60"/>
  <c r="AA277" i="60" s="1"/>
  <c r="AA281" i="60" s="1"/>
  <c r="AA344" i="60"/>
  <c r="AA58" i="60"/>
  <c r="AA80" i="60"/>
  <c r="Y36" i="60"/>
  <c r="Z35" i="60" s="1"/>
  <c r="Z39" i="60" s="1"/>
  <c r="AA322" i="60"/>
  <c r="AA366" i="60"/>
  <c r="AA520" i="60"/>
  <c r="AA498" i="60"/>
  <c r="Z391" i="60"/>
  <c r="AA388" i="60"/>
  <c r="AA215" i="60"/>
  <c r="AA212" i="60"/>
  <c r="AA237" i="60"/>
  <c r="AA234" i="60"/>
  <c r="AA127" i="60"/>
  <c r="AA124" i="60"/>
  <c r="Z105" i="60"/>
  <c r="AA102" i="60"/>
  <c r="AW21" i="14" l="1"/>
  <c r="AA278" i="60"/>
  <c r="AA432" i="60"/>
  <c r="Z36" i="60"/>
  <c r="AA35" i="60" s="1"/>
  <c r="AA39" i="60" s="1"/>
  <c r="AW22" i="14" l="1"/>
  <c r="AA36" i="60"/>
  <c r="W119" i="37"/>
  <c r="W120" i="37"/>
  <c r="W121" i="37"/>
  <c r="W122" i="37"/>
  <c r="W123" i="37"/>
  <c r="W124" i="37"/>
  <c r="W125" i="37"/>
  <c r="W126" i="37"/>
  <c r="W127" i="37"/>
  <c r="W128" i="37"/>
  <c r="W129" i="37"/>
  <c r="W130" i="37"/>
  <c r="W131" i="37"/>
  <c r="W132" i="37"/>
  <c r="W133" i="37"/>
  <c r="W134" i="37"/>
  <c r="W135" i="37"/>
  <c r="W136" i="37"/>
  <c r="AW23" i="14" l="1"/>
  <c r="N409" i="41"/>
  <c r="L417" i="41"/>
  <c r="K417" i="41"/>
  <c r="O405" i="41"/>
  <c r="AW24" i="14" l="1"/>
  <c r="C39" i="1"/>
  <c r="AB105" i="15"/>
  <c r="AA50" i="38"/>
  <c r="C16" i="38" s="1"/>
  <c r="AB106" i="15"/>
  <c r="C144" i="37"/>
  <c r="C48" i="1"/>
  <c r="B145" i="37"/>
  <c r="W145" i="37" s="1"/>
  <c r="B146" i="37"/>
  <c r="W146" i="37" s="1"/>
  <c r="B147" i="37"/>
  <c r="W147" i="37" s="1"/>
  <c r="B148" i="37"/>
  <c r="W148" i="37" s="1"/>
  <c r="B149" i="37"/>
  <c r="W149" i="37" s="1"/>
  <c r="B150" i="37"/>
  <c r="W150" i="37" s="1"/>
  <c r="B151" i="37"/>
  <c r="W151" i="37" s="1"/>
  <c r="B152" i="37"/>
  <c r="W152" i="37" s="1"/>
  <c r="B153" i="37"/>
  <c r="W153" i="37" s="1"/>
  <c r="B154" i="37"/>
  <c r="W154" i="37" s="1"/>
  <c r="B155" i="37"/>
  <c r="W155" i="37" s="1"/>
  <c r="B156" i="37"/>
  <c r="W156" i="37" s="1"/>
  <c r="B157" i="37"/>
  <c r="W157" i="37" s="1"/>
  <c r="B158" i="37"/>
  <c r="W158" i="37" s="1"/>
  <c r="B159" i="37"/>
  <c r="W159" i="37" s="1"/>
  <c r="B160" i="37"/>
  <c r="W160" i="37" s="1"/>
  <c r="B161" i="37"/>
  <c r="W161" i="37" s="1"/>
  <c r="B162" i="37"/>
  <c r="W162" i="37" s="1"/>
  <c r="B163" i="37"/>
  <c r="W163" i="37" s="1"/>
  <c r="B144" i="37"/>
  <c r="W144" i="37" s="1"/>
  <c r="D158" i="15"/>
  <c r="B158" i="15" s="1"/>
  <c r="D159" i="15"/>
  <c r="B159" i="15" s="1"/>
  <c r="D160" i="15"/>
  <c r="B160" i="15" s="1"/>
  <c r="D161" i="15"/>
  <c r="B161" i="15" s="1"/>
  <c r="D162" i="15"/>
  <c r="B162" i="15" s="1"/>
  <c r="D163" i="15"/>
  <c r="B163" i="15" s="1"/>
  <c r="D164" i="15"/>
  <c r="D165" i="15"/>
  <c r="D166" i="15"/>
  <c r="D167" i="15"/>
  <c r="B167" i="15" s="1"/>
  <c r="D168" i="15"/>
  <c r="B168" i="15" s="1"/>
  <c r="D169" i="15"/>
  <c r="D170" i="15"/>
  <c r="D171" i="15"/>
  <c r="B171" i="15" s="1"/>
  <c r="D172" i="15"/>
  <c r="D173" i="15"/>
  <c r="B173" i="15" s="1"/>
  <c r="D174" i="15"/>
  <c r="D175" i="15"/>
  <c r="D176" i="15"/>
  <c r="B176" i="15" s="1"/>
  <c r="D177" i="15"/>
  <c r="B177" i="15" s="1"/>
  <c r="AF118" i="37"/>
  <c r="AB133" i="15"/>
  <c r="D185" i="15" s="1"/>
  <c r="I185" i="15" s="1"/>
  <c r="AF117" i="37"/>
  <c r="AF119" i="37"/>
  <c r="AF120" i="37"/>
  <c r="AF121" i="37"/>
  <c r="AF122" i="37"/>
  <c r="AF123" i="37"/>
  <c r="AF124" i="37"/>
  <c r="AF125" i="37"/>
  <c r="AF126" i="37"/>
  <c r="AF127" i="37"/>
  <c r="AF128" i="37"/>
  <c r="AF129" i="37"/>
  <c r="AF130" i="37"/>
  <c r="AF131" i="37"/>
  <c r="AF132" i="37"/>
  <c r="AF133" i="37"/>
  <c r="AF134" i="37"/>
  <c r="AF135" i="37"/>
  <c r="AF136" i="37"/>
  <c r="X50" i="38"/>
  <c r="W50" i="38"/>
  <c r="X51" i="38"/>
  <c r="W51" i="38"/>
  <c r="R51" i="38" s="1"/>
  <c r="S51" i="38" s="1"/>
  <c r="V51" i="38"/>
  <c r="V50" i="38"/>
  <c r="X73" i="38" s="1"/>
  <c r="N9" i="41"/>
  <c r="J9" i="41" s="1"/>
  <c r="AA117" i="37"/>
  <c r="W118" i="37"/>
  <c r="D134" i="56"/>
  <c r="AE26" i="14" s="1"/>
  <c r="D172" i="56"/>
  <c r="AE27" i="14" s="1"/>
  <c r="D210" i="56"/>
  <c r="AE28" i="14" s="1"/>
  <c r="D248" i="56"/>
  <c r="AE29" i="14" s="1"/>
  <c r="D286" i="56"/>
  <c r="AE30" i="14" s="1"/>
  <c r="D324" i="56"/>
  <c r="AE31" i="14" s="1"/>
  <c r="D362" i="56"/>
  <c r="AE32" i="14" s="1"/>
  <c r="W52" i="38"/>
  <c r="R52" i="38" s="1"/>
  <c r="T52" i="38" s="1"/>
  <c r="W53" i="38"/>
  <c r="P73" i="38"/>
  <c r="K73" i="38" s="1"/>
  <c r="X52" i="38"/>
  <c r="X53" i="38"/>
  <c r="R53" i="38" s="1"/>
  <c r="C93" i="56"/>
  <c r="AR51" i="14" s="1"/>
  <c r="C131" i="56"/>
  <c r="AR52" i="14" s="1"/>
  <c r="C169" i="56"/>
  <c r="AR53" i="14" s="1"/>
  <c r="AR92" i="14" s="1"/>
  <c r="C207" i="56"/>
  <c r="AR54" i="14" s="1"/>
  <c r="AR93" i="14" s="1"/>
  <c r="C245" i="56"/>
  <c r="AR55" i="14" s="1"/>
  <c r="AR94" i="14" s="1"/>
  <c r="C283" i="56"/>
  <c r="AR56" i="14" s="1"/>
  <c r="AR95" i="14" s="1"/>
  <c r="C321" i="56"/>
  <c r="AR57" i="14" s="1"/>
  <c r="AR96" i="14" s="1"/>
  <c r="C359" i="56"/>
  <c r="AR58" i="14" s="1"/>
  <c r="AR97" i="14" s="1"/>
  <c r="C397" i="56"/>
  <c r="AR59" i="14" s="1"/>
  <c r="AR98" i="14" s="1"/>
  <c r="C55" i="3"/>
  <c r="AR60" i="14" s="1"/>
  <c r="P74" i="38"/>
  <c r="Q74" i="38"/>
  <c r="R74" i="38" s="1"/>
  <c r="C93" i="3"/>
  <c r="C131" i="3"/>
  <c r="C169" i="3"/>
  <c r="C207" i="3"/>
  <c r="AR64" i="14" s="1"/>
  <c r="AR103" i="14" s="1"/>
  <c r="C245" i="3"/>
  <c r="AR65" i="14" s="1"/>
  <c r="AR104" i="14" s="1"/>
  <c r="C283" i="3"/>
  <c r="AR66" i="14" s="1"/>
  <c r="AR105" i="14" s="1"/>
  <c r="C321" i="3"/>
  <c r="AR67" i="14" s="1"/>
  <c r="AR106" i="14" s="1"/>
  <c r="C359" i="3"/>
  <c r="AR68" i="14" s="1"/>
  <c r="AR107" i="14" s="1"/>
  <c r="C397" i="3"/>
  <c r="AR69" i="14" s="1"/>
  <c r="AR108" i="14" s="1"/>
  <c r="C46" i="53"/>
  <c r="AR70" i="14" s="1"/>
  <c r="C75" i="53"/>
  <c r="AR71" i="14" s="1"/>
  <c r="AR110" i="14" s="1"/>
  <c r="C104" i="53"/>
  <c r="AR72" i="14" s="1"/>
  <c r="AR111" i="14" s="1"/>
  <c r="C133" i="53"/>
  <c r="AR73" i="14" s="1"/>
  <c r="AR112" i="14" s="1"/>
  <c r="C162" i="53"/>
  <c r="AR74" i="14" s="1"/>
  <c r="AR113" i="14" s="1"/>
  <c r="BC75" i="14"/>
  <c r="BC114" i="14" s="1"/>
  <c r="BC76" i="14"/>
  <c r="BC115" i="14" s="1"/>
  <c r="BC77" i="14"/>
  <c r="BC116" i="14" s="1"/>
  <c r="BC78" i="14"/>
  <c r="BC117" i="14" s="1"/>
  <c r="BC79" i="14"/>
  <c r="BC118" i="14" s="1"/>
  <c r="B141" i="53"/>
  <c r="C142" i="53" s="1"/>
  <c r="Y52" i="38"/>
  <c r="Y53" i="38"/>
  <c r="Y54" i="38"/>
  <c r="Y55" i="38"/>
  <c r="Y56" i="38"/>
  <c r="Y57" i="38"/>
  <c r="Y58" i="38"/>
  <c r="Y59" i="38"/>
  <c r="Y60" i="38"/>
  <c r="Y61" i="38"/>
  <c r="Y62" i="38"/>
  <c r="Y63" i="38"/>
  <c r="Y64" i="38"/>
  <c r="Y65" i="38"/>
  <c r="Y66" i="38"/>
  <c r="Y67" i="38"/>
  <c r="Y68" i="38"/>
  <c r="Y69" i="38"/>
  <c r="AG117" i="37"/>
  <c r="AG118" i="37"/>
  <c r="AG119" i="37"/>
  <c r="AG120" i="37"/>
  <c r="AG121" i="37"/>
  <c r="AG122" i="37"/>
  <c r="AG123" i="37"/>
  <c r="AG124" i="37"/>
  <c r="AG125" i="37"/>
  <c r="AG126" i="37"/>
  <c r="AG127" i="37"/>
  <c r="AG128" i="37"/>
  <c r="AG129" i="37"/>
  <c r="AG130" i="37"/>
  <c r="AG131" i="37"/>
  <c r="AG132" i="37"/>
  <c r="AG133" i="37"/>
  <c r="AG134" i="37"/>
  <c r="AG135" i="37"/>
  <c r="AG136" i="37"/>
  <c r="B112" i="53"/>
  <c r="C113" i="53" s="1"/>
  <c r="B83" i="53"/>
  <c r="C84" i="53" s="1"/>
  <c r="B54" i="53"/>
  <c r="C55" i="53" s="1"/>
  <c r="B19" i="51"/>
  <c r="F27" i="51" s="1"/>
  <c r="F8" i="51" s="1"/>
  <c r="AM27" i="14" s="1"/>
  <c r="B25" i="53"/>
  <c r="C41" i="53"/>
  <c r="B366" i="3"/>
  <c r="C367" i="3" s="1"/>
  <c r="L373" i="3"/>
  <c r="L374" i="3"/>
  <c r="L375" i="3"/>
  <c r="L376" i="3"/>
  <c r="L382" i="3"/>
  <c r="L377" i="3"/>
  <c r="L378" i="3"/>
  <c r="L379" i="3"/>
  <c r="L380" i="3"/>
  <c r="L381" i="3"/>
  <c r="M373" i="3"/>
  <c r="M374" i="3"/>
  <c r="M375" i="3"/>
  <c r="M376" i="3"/>
  <c r="M382" i="3"/>
  <c r="M377" i="3"/>
  <c r="M378" i="3"/>
  <c r="M379" i="3"/>
  <c r="M380" i="3"/>
  <c r="M381" i="3"/>
  <c r="N373" i="3"/>
  <c r="N374" i="3"/>
  <c r="N375" i="3"/>
  <c r="N376" i="3"/>
  <c r="N382" i="3"/>
  <c r="N377" i="3"/>
  <c r="N378" i="3"/>
  <c r="N379" i="3"/>
  <c r="N380" i="3"/>
  <c r="N381" i="3"/>
  <c r="O373" i="3"/>
  <c r="O374" i="3"/>
  <c r="O375" i="3"/>
  <c r="O376" i="3"/>
  <c r="O382" i="3"/>
  <c r="O377" i="3"/>
  <c r="O378" i="3"/>
  <c r="O379" i="3"/>
  <c r="O380" i="3"/>
  <c r="O381" i="3"/>
  <c r="P373" i="3"/>
  <c r="P374" i="3"/>
  <c r="P375" i="3"/>
  <c r="P376" i="3"/>
  <c r="P382" i="3"/>
  <c r="P377" i="3"/>
  <c r="P378" i="3"/>
  <c r="P379" i="3"/>
  <c r="P380" i="3"/>
  <c r="P381" i="3"/>
  <c r="Q373" i="3"/>
  <c r="Q374" i="3"/>
  <c r="Q375" i="3"/>
  <c r="Q376" i="3"/>
  <c r="Q382" i="3"/>
  <c r="Q377" i="3"/>
  <c r="Q378" i="3"/>
  <c r="Q379" i="3"/>
  <c r="Q380" i="3"/>
  <c r="Q381" i="3"/>
  <c r="B328" i="3"/>
  <c r="C329" i="3" s="1"/>
  <c r="L335" i="3"/>
  <c r="L336" i="3"/>
  <c r="L337" i="3"/>
  <c r="L338" i="3"/>
  <c r="L344" i="3"/>
  <c r="L339" i="3"/>
  <c r="L340" i="3"/>
  <c r="L341" i="3"/>
  <c r="L342" i="3"/>
  <c r="L343" i="3"/>
  <c r="M335" i="3"/>
  <c r="M336" i="3"/>
  <c r="M337" i="3"/>
  <c r="M338" i="3"/>
  <c r="M344" i="3"/>
  <c r="M339" i="3"/>
  <c r="M340" i="3"/>
  <c r="M341" i="3"/>
  <c r="M342" i="3"/>
  <c r="M343" i="3"/>
  <c r="N335" i="3"/>
  <c r="N336" i="3"/>
  <c r="N337" i="3"/>
  <c r="N338" i="3"/>
  <c r="N344" i="3"/>
  <c r="N339" i="3"/>
  <c r="N340" i="3"/>
  <c r="N341" i="3"/>
  <c r="N342" i="3"/>
  <c r="N343" i="3"/>
  <c r="O335" i="3"/>
  <c r="O336" i="3"/>
  <c r="O337" i="3"/>
  <c r="O338" i="3"/>
  <c r="O344" i="3"/>
  <c r="O339" i="3"/>
  <c r="O340" i="3"/>
  <c r="O341" i="3"/>
  <c r="O342" i="3"/>
  <c r="O343" i="3"/>
  <c r="P335" i="3"/>
  <c r="P336" i="3"/>
  <c r="P337" i="3"/>
  <c r="P338" i="3"/>
  <c r="P344" i="3"/>
  <c r="P339" i="3"/>
  <c r="P340" i="3"/>
  <c r="P341" i="3"/>
  <c r="P342" i="3"/>
  <c r="P343" i="3"/>
  <c r="Q335" i="3"/>
  <c r="Q336" i="3"/>
  <c r="Q337" i="3"/>
  <c r="Q338" i="3"/>
  <c r="Q344" i="3"/>
  <c r="Q339" i="3"/>
  <c r="Q340" i="3"/>
  <c r="Q341" i="3"/>
  <c r="Q342" i="3"/>
  <c r="Q343" i="3"/>
  <c r="B290" i="3"/>
  <c r="C291" i="3" s="1"/>
  <c r="L297" i="3"/>
  <c r="L298" i="3"/>
  <c r="L299" i="3"/>
  <c r="L300" i="3"/>
  <c r="L306" i="3"/>
  <c r="L301" i="3"/>
  <c r="L302" i="3"/>
  <c r="L303" i="3"/>
  <c r="L304" i="3"/>
  <c r="L305" i="3"/>
  <c r="M297" i="3"/>
  <c r="M298" i="3"/>
  <c r="M299" i="3"/>
  <c r="M300" i="3"/>
  <c r="M306" i="3"/>
  <c r="M301" i="3"/>
  <c r="M302" i="3"/>
  <c r="M303" i="3"/>
  <c r="M304" i="3"/>
  <c r="M305" i="3"/>
  <c r="N297" i="3"/>
  <c r="N298" i="3"/>
  <c r="N299" i="3"/>
  <c r="N300" i="3"/>
  <c r="N306" i="3"/>
  <c r="N301" i="3"/>
  <c r="N302" i="3"/>
  <c r="N303" i="3"/>
  <c r="N304" i="3"/>
  <c r="N305" i="3"/>
  <c r="O297" i="3"/>
  <c r="O298" i="3"/>
  <c r="O299" i="3"/>
  <c r="O300" i="3"/>
  <c r="O306" i="3"/>
  <c r="O301" i="3"/>
  <c r="O302" i="3"/>
  <c r="O303" i="3"/>
  <c r="O304" i="3"/>
  <c r="O305" i="3"/>
  <c r="P297" i="3"/>
  <c r="P298" i="3"/>
  <c r="P299" i="3"/>
  <c r="P300" i="3"/>
  <c r="P306" i="3"/>
  <c r="P301" i="3"/>
  <c r="P302" i="3"/>
  <c r="P303" i="3"/>
  <c r="P304" i="3"/>
  <c r="P305" i="3"/>
  <c r="Q297" i="3"/>
  <c r="Q298" i="3"/>
  <c r="Q299" i="3"/>
  <c r="Q300" i="3"/>
  <c r="Q306" i="3"/>
  <c r="Q301" i="3"/>
  <c r="Q302" i="3"/>
  <c r="Q303" i="3"/>
  <c r="Q304" i="3"/>
  <c r="Q305" i="3"/>
  <c r="B252" i="3"/>
  <c r="C253" i="3" s="1"/>
  <c r="L259" i="3"/>
  <c r="L260" i="3"/>
  <c r="L261" i="3"/>
  <c r="L262" i="3"/>
  <c r="L268" i="3"/>
  <c r="L263" i="3"/>
  <c r="L264" i="3"/>
  <c r="L265" i="3"/>
  <c r="L266" i="3"/>
  <c r="L267" i="3"/>
  <c r="M259" i="3"/>
  <c r="M260" i="3"/>
  <c r="M261" i="3"/>
  <c r="M262" i="3"/>
  <c r="M268" i="3"/>
  <c r="M263" i="3"/>
  <c r="M264" i="3"/>
  <c r="M265" i="3"/>
  <c r="M266" i="3"/>
  <c r="M267" i="3"/>
  <c r="N259" i="3"/>
  <c r="N260" i="3"/>
  <c r="N261" i="3"/>
  <c r="N262" i="3"/>
  <c r="N268" i="3"/>
  <c r="N263" i="3"/>
  <c r="N264" i="3"/>
  <c r="N265" i="3"/>
  <c r="N266" i="3"/>
  <c r="N267" i="3"/>
  <c r="O259" i="3"/>
  <c r="O260" i="3"/>
  <c r="O261" i="3"/>
  <c r="O262" i="3"/>
  <c r="O268" i="3"/>
  <c r="O263" i="3"/>
  <c r="O264" i="3"/>
  <c r="O265" i="3"/>
  <c r="O266" i="3"/>
  <c r="O267" i="3"/>
  <c r="P259" i="3"/>
  <c r="P260" i="3"/>
  <c r="P261" i="3"/>
  <c r="P262" i="3"/>
  <c r="P268" i="3"/>
  <c r="P263" i="3"/>
  <c r="P264" i="3"/>
  <c r="P265" i="3"/>
  <c r="P266" i="3"/>
  <c r="P267" i="3"/>
  <c r="Q259" i="3"/>
  <c r="Q260" i="3"/>
  <c r="Q261" i="3"/>
  <c r="Q262" i="3"/>
  <c r="Q268" i="3"/>
  <c r="Q263" i="3"/>
  <c r="Q264" i="3"/>
  <c r="Q265" i="3"/>
  <c r="Q266" i="3"/>
  <c r="Q267" i="3"/>
  <c r="B214" i="3"/>
  <c r="C215" i="3" s="1"/>
  <c r="L221" i="3"/>
  <c r="L222" i="3"/>
  <c r="L223" i="3"/>
  <c r="L224" i="3"/>
  <c r="L230" i="3"/>
  <c r="L225" i="3"/>
  <c r="L226" i="3"/>
  <c r="L227" i="3"/>
  <c r="L228" i="3"/>
  <c r="L229" i="3"/>
  <c r="M221" i="3"/>
  <c r="M222" i="3"/>
  <c r="M223" i="3"/>
  <c r="M224" i="3"/>
  <c r="M230" i="3"/>
  <c r="M225" i="3"/>
  <c r="M226" i="3"/>
  <c r="M227" i="3"/>
  <c r="M228" i="3"/>
  <c r="M229" i="3"/>
  <c r="N221" i="3"/>
  <c r="N222" i="3"/>
  <c r="N223" i="3"/>
  <c r="N224" i="3"/>
  <c r="N230" i="3"/>
  <c r="N225" i="3"/>
  <c r="N226" i="3"/>
  <c r="N227" i="3"/>
  <c r="N228" i="3"/>
  <c r="N229" i="3"/>
  <c r="O221" i="3"/>
  <c r="O222" i="3"/>
  <c r="O223" i="3"/>
  <c r="O224" i="3"/>
  <c r="O230" i="3"/>
  <c r="O225" i="3"/>
  <c r="O226" i="3"/>
  <c r="O227" i="3"/>
  <c r="O228" i="3"/>
  <c r="O229" i="3"/>
  <c r="P221" i="3"/>
  <c r="P222" i="3"/>
  <c r="P223" i="3"/>
  <c r="P224" i="3"/>
  <c r="P230" i="3"/>
  <c r="P225" i="3"/>
  <c r="P226" i="3"/>
  <c r="P227" i="3"/>
  <c r="P228" i="3"/>
  <c r="P229" i="3"/>
  <c r="Q221" i="3"/>
  <c r="Q222" i="3"/>
  <c r="Q223" i="3"/>
  <c r="Q224" i="3"/>
  <c r="Q230" i="3"/>
  <c r="Q225" i="3"/>
  <c r="Q226" i="3"/>
  <c r="Q227" i="3"/>
  <c r="Q228" i="3"/>
  <c r="Q229" i="3"/>
  <c r="B176" i="3"/>
  <c r="C177" i="3" s="1"/>
  <c r="L183" i="3"/>
  <c r="L184" i="3"/>
  <c r="L185" i="3"/>
  <c r="L186" i="3"/>
  <c r="L192" i="3"/>
  <c r="L187" i="3"/>
  <c r="L188" i="3"/>
  <c r="L189" i="3"/>
  <c r="L190" i="3"/>
  <c r="L191" i="3"/>
  <c r="M183" i="3"/>
  <c r="M184" i="3"/>
  <c r="M185" i="3"/>
  <c r="M186" i="3"/>
  <c r="M192" i="3"/>
  <c r="M187" i="3"/>
  <c r="M188" i="3"/>
  <c r="M189" i="3"/>
  <c r="M190" i="3"/>
  <c r="M191" i="3"/>
  <c r="N183" i="3"/>
  <c r="N184" i="3"/>
  <c r="N185" i="3"/>
  <c r="N186" i="3"/>
  <c r="N192" i="3"/>
  <c r="N187" i="3"/>
  <c r="N188" i="3"/>
  <c r="N189" i="3"/>
  <c r="N190" i="3"/>
  <c r="N191" i="3"/>
  <c r="O183" i="3"/>
  <c r="O184" i="3"/>
  <c r="O185" i="3"/>
  <c r="O186" i="3"/>
  <c r="O192" i="3"/>
  <c r="O187" i="3"/>
  <c r="O188" i="3"/>
  <c r="O189" i="3"/>
  <c r="O190" i="3"/>
  <c r="O191" i="3"/>
  <c r="P183" i="3"/>
  <c r="P184" i="3"/>
  <c r="P185" i="3"/>
  <c r="P186" i="3"/>
  <c r="P192" i="3"/>
  <c r="P187" i="3"/>
  <c r="P188" i="3"/>
  <c r="P189" i="3"/>
  <c r="P190" i="3"/>
  <c r="P191" i="3"/>
  <c r="Q183" i="3"/>
  <c r="Q184" i="3"/>
  <c r="Q185" i="3"/>
  <c r="Q186" i="3"/>
  <c r="Q192" i="3"/>
  <c r="Q187" i="3"/>
  <c r="Q188" i="3"/>
  <c r="Q189" i="3"/>
  <c r="Q190" i="3"/>
  <c r="Q191" i="3"/>
  <c r="B138" i="3"/>
  <c r="C139" i="3" s="1"/>
  <c r="L145" i="3"/>
  <c r="L146" i="3"/>
  <c r="L147" i="3"/>
  <c r="L148" i="3"/>
  <c r="L154" i="3"/>
  <c r="L149" i="3"/>
  <c r="L150" i="3"/>
  <c r="L151" i="3"/>
  <c r="L152" i="3"/>
  <c r="L153" i="3"/>
  <c r="M145" i="3"/>
  <c r="M146" i="3"/>
  <c r="M147" i="3"/>
  <c r="M148" i="3"/>
  <c r="M154" i="3"/>
  <c r="M149" i="3"/>
  <c r="M150" i="3"/>
  <c r="M151" i="3"/>
  <c r="M152" i="3"/>
  <c r="M153" i="3"/>
  <c r="N145" i="3"/>
  <c r="N146" i="3"/>
  <c r="N147" i="3"/>
  <c r="N148" i="3"/>
  <c r="N154" i="3"/>
  <c r="N149" i="3"/>
  <c r="N150" i="3"/>
  <c r="N151" i="3"/>
  <c r="N152" i="3"/>
  <c r="N153" i="3"/>
  <c r="O145" i="3"/>
  <c r="O146" i="3"/>
  <c r="O147" i="3"/>
  <c r="O148" i="3"/>
  <c r="O154" i="3"/>
  <c r="O149" i="3"/>
  <c r="O150" i="3"/>
  <c r="O151" i="3"/>
  <c r="O152" i="3"/>
  <c r="O153" i="3"/>
  <c r="P145" i="3"/>
  <c r="P146" i="3"/>
  <c r="P147" i="3"/>
  <c r="P148" i="3"/>
  <c r="P154" i="3"/>
  <c r="P149" i="3"/>
  <c r="P150" i="3"/>
  <c r="P151" i="3"/>
  <c r="P152" i="3"/>
  <c r="P153" i="3"/>
  <c r="Q145" i="3"/>
  <c r="Q146" i="3"/>
  <c r="Q147" i="3"/>
  <c r="Q148" i="3"/>
  <c r="Q154" i="3"/>
  <c r="Q149" i="3"/>
  <c r="Q150" i="3"/>
  <c r="Q151" i="3"/>
  <c r="Q152" i="3"/>
  <c r="Q153" i="3"/>
  <c r="B100" i="3"/>
  <c r="L107" i="3"/>
  <c r="L108" i="3"/>
  <c r="L109" i="3"/>
  <c r="L110" i="3"/>
  <c r="L116" i="3"/>
  <c r="L111" i="3"/>
  <c r="L112" i="3"/>
  <c r="L113" i="3"/>
  <c r="L114" i="3"/>
  <c r="L115" i="3"/>
  <c r="M107" i="3"/>
  <c r="M108" i="3"/>
  <c r="M109" i="3"/>
  <c r="M110" i="3"/>
  <c r="M116" i="3"/>
  <c r="M111" i="3"/>
  <c r="M112" i="3"/>
  <c r="M113" i="3"/>
  <c r="M114" i="3"/>
  <c r="M115" i="3"/>
  <c r="N107" i="3"/>
  <c r="N108" i="3"/>
  <c r="N109" i="3"/>
  <c r="N110" i="3"/>
  <c r="N116" i="3"/>
  <c r="N111" i="3"/>
  <c r="N112" i="3"/>
  <c r="N113" i="3"/>
  <c r="N114" i="3"/>
  <c r="N115" i="3"/>
  <c r="O107" i="3"/>
  <c r="O108" i="3"/>
  <c r="O109" i="3"/>
  <c r="O110" i="3"/>
  <c r="O116" i="3"/>
  <c r="O111" i="3"/>
  <c r="O112" i="3"/>
  <c r="O113" i="3"/>
  <c r="O114" i="3"/>
  <c r="O115" i="3"/>
  <c r="P107" i="3"/>
  <c r="P108" i="3"/>
  <c r="P109" i="3"/>
  <c r="P110" i="3"/>
  <c r="P116" i="3"/>
  <c r="P111" i="3"/>
  <c r="P112" i="3"/>
  <c r="P113" i="3"/>
  <c r="P114" i="3"/>
  <c r="P115" i="3"/>
  <c r="Q107" i="3"/>
  <c r="Q108" i="3"/>
  <c r="Q109" i="3"/>
  <c r="Q110" i="3"/>
  <c r="Q116" i="3"/>
  <c r="Q111" i="3"/>
  <c r="Q112" i="3"/>
  <c r="Q113" i="3"/>
  <c r="Q114" i="3"/>
  <c r="Q115" i="3"/>
  <c r="B19" i="47"/>
  <c r="B24" i="3"/>
  <c r="G25" i="47"/>
  <c r="L31" i="3"/>
  <c r="L32" i="3"/>
  <c r="L33" i="3"/>
  <c r="L34" i="3"/>
  <c r="L40" i="3"/>
  <c r="L35" i="3"/>
  <c r="L36" i="3"/>
  <c r="L37" i="3"/>
  <c r="L38" i="3"/>
  <c r="L39" i="3"/>
  <c r="C50" i="3"/>
  <c r="M31" i="3"/>
  <c r="M32" i="3"/>
  <c r="M33" i="3"/>
  <c r="M34" i="3"/>
  <c r="M40" i="3"/>
  <c r="M35" i="3"/>
  <c r="M36" i="3"/>
  <c r="M37" i="3"/>
  <c r="M38" i="3"/>
  <c r="M39" i="3"/>
  <c r="N31" i="3"/>
  <c r="N32" i="3"/>
  <c r="N33" i="3"/>
  <c r="N34" i="3"/>
  <c r="N40" i="3"/>
  <c r="N35" i="3"/>
  <c r="N36" i="3"/>
  <c r="N37" i="3"/>
  <c r="N38" i="3"/>
  <c r="N39" i="3"/>
  <c r="O31" i="3"/>
  <c r="O32" i="3"/>
  <c r="O33" i="3"/>
  <c r="O34" i="3"/>
  <c r="O40" i="3"/>
  <c r="O35" i="3"/>
  <c r="O36" i="3"/>
  <c r="O37" i="3"/>
  <c r="O38" i="3"/>
  <c r="O39" i="3"/>
  <c r="P31" i="3"/>
  <c r="P32" i="3"/>
  <c r="P33" i="3"/>
  <c r="P34" i="3"/>
  <c r="P40" i="3"/>
  <c r="P35" i="3"/>
  <c r="P36" i="3"/>
  <c r="P37" i="3"/>
  <c r="P38" i="3"/>
  <c r="P39" i="3"/>
  <c r="Q31" i="3"/>
  <c r="Q32" i="3"/>
  <c r="Q33" i="3"/>
  <c r="Q34" i="3"/>
  <c r="Q40" i="3"/>
  <c r="Q35" i="3"/>
  <c r="Q36" i="3"/>
  <c r="Q37" i="3"/>
  <c r="Q38" i="3"/>
  <c r="Q39" i="3"/>
  <c r="B366" i="56"/>
  <c r="C367" i="56" s="1"/>
  <c r="L373" i="56"/>
  <c r="L374" i="56"/>
  <c r="L375" i="56"/>
  <c r="L376" i="56"/>
  <c r="L382" i="56"/>
  <c r="L377" i="56"/>
  <c r="L378" i="56"/>
  <c r="L379" i="56"/>
  <c r="L380" i="56"/>
  <c r="L381" i="56"/>
  <c r="C392" i="56"/>
  <c r="M373" i="56"/>
  <c r="M374" i="56"/>
  <c r="M375" i="56"/>
  <c r="M376" i="56"/>
  <c r="M382" i="56"/>
  <c r="M377" i="56"/>
  <c r="M378" i="56"/>
  <c r="M379" i="56"/>
  <c r="M380" i="56"/>
  <c r="M381" i="56"/>
  <c r="N373" i="56"/>
  <c r="N374" i="56"/>
  <c r="N375" i="56"/>
  <c r="N376" i="56"/>
  <c r="N382" i="56"/>
  <c r="N377" i="56"/>
  <c r="N378" i="56"/>
  <c r="N379" i="56"/>
  <c r="N380" i="56"/>
  <c r="N381" i="56"/>
  <c r="O373" i="56"/>
  <c r="O374" i="56"/>
  <c r="O375" i="56"/>
  <c r="O376" i="56"/>
  <c r="O382" i="56"/>
  <c r="O377" i="56"/>
  <c r="O378" i="56"/>
  <c r="O379" i="56"/>
  <c r="O380" i="56"/>
  <c r="O381" i="56"/>
  <c r="P373" i="56"/>
  <c r="P374" i="56"/>
  <c r="P375" i="56"/>
  <c r="P376" i="56"/>
  <c r="P382" i="56"/>
  <c r="P377" i="56"/>
  <c r="P378" i="56"/>
  <c r="P379" i="56"/>
  <c r="P380" i="56"/>
  <c r="P381" i="56"/>
  <c r="Q373" i="56"/>
  <c r="Q374" i="56"/>
  <c r="Q375" i="56"/>
  <c r="Q376" i="56"/>
  <c r="Q382" i="56"/>
  <c r="Q377" i="56"/>
  <c r="Q378" i="56"/>
  <c r="Q379" i="56"/>
  <c r="Q380" i="56"/>
  <c r="Q381" i="56"/>
  <c r="B328" i="56"/>
  <c r="C329" i="56" s="1"/>
  <c r="L335" i="56"/>
  <c r="L336" i="56"/>
  <c r="L337" i="56"/>
  <c r="L338" i="56"/>
  <c r="L344" i="56"/>
  <c r="L339" i="56"/>
  <c r="L340" i="56"/>
  <c r="L341" i="56"/>
  <c r="L342" i="56"/>
  <c r="L343" i="56"/>
  <c r="C354" i="56"/>
  <c r="M335" i="56"/>
  <c r="M336" i="56"/>
  <c r="M337" i="56"/>
  <c r="M338" i="56"/>
  <c r="M344" i="56"/>
  <c r="M339" i="56"/>
  <c r="M340" i="56"/>
  <c r="M341" i="56"/>
  <c r="M342" i="56"/>
  <c r="M343" i="56"/>
  <c r="N335" i="56"/>
  <c r="N336" i="56"/>
  <c r="N337" i="56"/>
  <c r="N338" i="56"/>
  <c r="N344" i="56"/>
  <c r="N339" i="56"/>
  <c r="N340" i="56"/>
  <c r="N341" i="56"/>
  <c r="N342" i="56"/>
  <c r="N343" i="56"/>
  <c r="O335" i="56"/>
  <c r="O336" i="56"/>
  <c r="O337" i="56"/>
  <c r="O338" i="56"/>
  <c r="O344" i="56"/>
  <c r="O339" i="56"/>
  <c r="O340" i="56"/>
  <c r="O341" i="56"/>
  <c r="O342" i="56"/>
  <c r="O343" i="56"/>
  <c r="P335" i="56"/>
  <c r="P336" i="56"/>
  <c r="P337" i="56"/>
  <c r="P338" i="56"/>
  <c r="P344" i="56"/>
  <c r="P339" i="56"/>
  <c r="P340" i="56"/>
  <c r="P341" i="56"/>
  <c r="P342" i="56"/>
  <c r="P343" i="56"/>
  <c r="Q335" i="56"/>
  <c r="Q336" i="56"/>
  <c r="Q337" i="56"/>
  <c r="Q338" i="56"/>
  <c r="Q344" i="56"/>
  <c r="Q339" i="56"/>
  <c r="Q340" i="56"/>
  <c r="Q341" i="56"/>
  <c r="Q342" i="56"/>
  <c r="Q343" i="56"/>
  <c r="B290" i="56"/>
  <c r="C291" i="56" s="1"/>
  <c r="L297" i="56"/>
  <c r="L298" i="56"/>
  <c r="L299" i="56"/>
  <c r="L300" i="56"/>
  <c r="L306" i="56"/>
  <c r="L301" i="56"/>
  <c r="L302" i="56"/>
  <c r="L303" i="56"/>
  <c r="L304" i="56"/>
  <c r="L305" i="56"/>
  <c r="C316" i="56"/>
  <c r="M297" i="56"/>
  <c r="M298" i="56"/>
  <c r="M299" i="56"/>
  <c r="M300" i="56"/>
  <c r="M306" i="56"/>
  <c r="M301" i="56"/>
  <c r="M302" i="56"/>
  <c r="M303" i="56"/>
  <c r="M304" i="56"/>
  <c r="M305" i="56"/>
  <c r="N297" i="56"/>
  <c r="N298" i="56"/>
  <c r="N299" i="56"/>
  <c r="N300" i="56"/>
  <c r="N306" i="56"/>
  <c r="N301" i="56"/>
  <c r="N302" i="56"/>
  <c r="N303" i="56"/>
  <c r="N304" i="56"/>
  <c r="N305" i="56"/>
  <c r="O297" i="56"/>
  <c r="O298" i="56"/>
  <c r="O299" i="56"/>
  <c r="O300" i="56"/>
  <c r="O306" i="56"/>
  <c r="O301" i="56"/>
  <c r="O302" i="56"/>
  <c r="O303" i="56"/>
  <c r="O304" i="56"/>
  <c r="O305" i="56"/>
  <c r="P297" i="56"/>
  <c r="P298" i="56"/>
  <c r="P299" i="56"/>
  <c r="P300" i="56"/>
  <c r="P306" i="56"/>
  <c r="P301" i="56"/>
  <c r="P302" i="56"/>
  <c r="P303" i="56"/>
  <c r="P304" i="56"/>
  <c r="P305" i="56"/>
  <c r="Q297" i="56"/>
  <c r="Q298" i="56"/>
  <c r="Q299" i="56"/>
  <c r="Q300" i="56"/>
  <c r="Q306" i="56"/>
  <c r="Q301" i="56"/>
  <c r="Q302" i="56"/>
  <c r="Q303" i="56"/>
  <c r="Q304" i="56"/>
  <c r="Q305" i="56"/>
  <c r="B252" i="56"/>
  <c r="C253" i="56" s="1"/>
  <c r="L259" i="56"/>
  <c r="L260" i="56"/>
  <c r="L261" i="56"/>
  <c r="L262" i="56"/>
  <c r="L268" i="56"/>
  <c r="L263" i="56"/>
  <c r="L264" i="56"/>
  <c r="L265" i="56"/>
  <c r="L266" i="56"/>
  <c r="L267" i="56"/>
  <c r="C278" i="56"/>
  <c r="M259" i="56"/>
  <c r="M260" i="56"/>
  <c r="M261" i="56"/>
  <c r="M262" i="56"/>
  <c r="M268" i="56"/>
  <c r="M263" i="56"/>
  <c r="M264" i="56"/>
  <c r="M265" i="56"/>
  <c r="M266" i="56"/>
  <c r="M267" i="56"/>
  <c r="N259" i="56"/>
  <c r="N260" i="56"/>
  <c r="N261" i="56"/>
  <c r="N262" i="56"/>
  <c r="N268" i="56"/>
  <c r="N263" i="56"/>
  <c r="N264" i="56"/>
  <c r="N265" i="56"/>
  <c r="N266" i="56"/>
  <c r="N267" i="56"/>
  <c r="O259" i="56"/>
  <c r="O260" i="56"/>
  <c r="O261" i="56"/>
  <c r="O262" i="56"/>
  <c r="O268" i="56"/>
  <c r="O263" i="56"/>
  <c r="O264" i="56"/>
  <c r="O265" i="56"/>
  <c r="O266" i="56"/>
  <c r="O267" i="56"/>
  <c r="P259" i="56"/>
  <c r="P260" i="56"/>
  <c r="P261" i="56"/>
  <c r="P262" i="56"/>
  <c r="P268" i="56"/>
  <c r="P263" i="56"/>
  <c r="P264" i="56"/>
  <c r="P265" i="56"/>
  <c r="P266" i="56"/>
  <c r="P267" i="56"/>
  <c r="Q259" i="56"/>
  <c r="Q260" i="56"/>
  <c r="Q261" i="56"/>
  <c r="Q262" i="56"/>
  <c r="Q268" i="56"/>
  <c r="Q263" i="56"/>
  <c r="Q264" i="56"/>
  <c r="Q265" i="56"/>
  <c r="Q266" i="56"/>
  <c r="Q267" i="56"/>
  <c r="B214" i="56"/>
  <c r="C215" i="56" s="1"/>
  <c r="L221" i="56"/>
  <c r="L222" i="56"/>
  <c r="L223" i="56"/>
  <c r="L224" i="56"/>
  <c r="L230" i="56"/>
  <c r="L225" i="56"/>
  <c r="L226" i="56"/>
  <c r="L227" i="56"/>
  <c r="L228" i="56"/>
  <c r="L229" i="56"/>
  <c r="C240" i="56"/>
  <c r="M221" i="56"/>
  <c r="M222" i="56"/>
  <c r="M223" i="56"/>
  <c r="M224" i="56"/>
  <c r="M230" i="56"/>
  <c r="M225" i="56"/>
  <c r="M226" i="56"/>
  <c r="M227" i="56"/>
  <c r="M228" i="56"/>
  <c r="M229" i="56"/>
  <c r="N221" i="56"/>
  <c r="N222" i="56"/>
  <c r="N223" i="56"/>
  <c r="N224" i="56"/>
  <c r="N230" i="56"/>
  <c r="N225" i="56"/>
  <c r="N226" i="56"/>
  <c r="N227" i="56"/>
  <c r="N228" i="56"/>
  <c r="N229" i="56"/>
  <c r="O221" i="56"/>
  <c r="O222" i="56"/>
  <c r="O223" i="56"/>
  <c r="O224" i="56"/>
  <c r="O230" i="56"/>
  <c r="O225" i="56"/>
  <c r="O226" i="56"/>
  <c r="O227" i="56"/>
  <c r="O228" i="56"/>
  <c r="O229" i="56"/>
  <c r="P221" i="56"/>
  <c r="P222" i="56"/>
  <c r="P223" i="56"/>
  <c r="P224" i="56"/>
  <c r="P230" i="56"/>
  <c r="P225" i="56"/>
  <c r="P226" i="56"/>
  <c r="P227" i="56"/>
  <c r="P228" i="56"/>
  <c r="P229" i="56"/>
  <c r="Q221" i="56"/>
  <c r="Q222" i="56"/>
  <c r="Q223" i="56"/>
  <c r="Q224" i="56"/>
  <c r="Q230" i="56"/>
  <c r="Q225" i="56"/>
  <c r="Q226" i="56"/>
  <c r="Q227" i="56"/>
  <c r="Q228" i="56"/>
  <c r="Q229" i="56"/>
  <c r="B176" i="56"/>
  <c r="C177" i="56" s="1"/>
  <c r="L183" i="56"/>
  <c r="L184" i="56"/>
  <c r="L185" i="56"/>
  <c r="L186" i="56"/>
  <c r="L192" i="56"/>
  <c r="L187" i="56"/>
  <c r="L188" i="56"/>
  <c r="L189" i="56"/>
  <c r="L190" i="56"/>
  <c r="L191" i="56"/>
  <c r="C202" i="56"/>
  <c r="M183" i="56"/>
  <c r="M184" i="56"/>
  <c r="M185" i="56"/>
  <c r="M186" i="56"/>
  <c r="M192" i="56"/>
  <c r="M187" i="56"/>
  <c r="M188" i="56"/>
  <c r="M189" i="56"/>
  <c r="M190" i="56"/>
  <c r="M191" i="56"/>
  <c r="N183" i="56"/>
  <c r="N184" i="56"/>
  <c r="N185" i="56"/>
  <c r="N186" i="56"/>
  <c r="N192" i="56"/>
  <c r="N187" i="56"/>
  <c r="N188" i="56"/>
  <c r="N189" i="56"/>
  <c r="N190" i="56"/>
  <c r="N191" i="56"/>
  <c r="O183" i="56"/>
  <c r="O184" i="56"/>
  <c r="O185" i="56"/>
  <c r="O186" i="56"/>
  <c r="O192" i="56"/>
  <c r="O187" i="56"/>
  <c r="O188" i="56"/>
  <c r="O189" i="56"/>
  <c r="O190" i="56"/>
  <c r="O191" i="56"/>
  <c r="P183" i="56"/>
  <c r="P184" i="56"/>
  <c r="P185" i="56"/>
  <c r="P186" i="56"/>
  <c r="P192" i="56"/>
  <c r="P187" i="56"/>
  <c r="P188" i="56"/>
  <c r="P189" i="56"/>
  <c r="P190" i="56"/>
  <c r="P191" i="56"/>
  <c r="Q183" i="56"/>
  <c r="Q184" i="56"/>
  <c r="Q185" i="56"/>
  <c r="Q186" i="56"/>
  <c r="Q192" i="56"/>
  <c r="Q187" i="56"/>
  <c r="Q188" i="56"/>
  <c r="Q189" i="56"/>
  <c r="Q190" i="56"/>
  <c r="Q191" i="56"/>
  <c r="B138" i="56"/>
  <c r="C139" i="56" s="1"/>
  <c r="L145" i="56"/>
  <c r="L146" i="56"/>
  <c r="L147" i="56"/>
  <c r="L148" i="56"/>
  <c r="L154" i="56"/>
  <c r="L149" i="56"/>
  <c r="L150" i="56"/>
  <c r="L151" i="56"/>
  <c r="L152" i="56"/>
  <c r="L153" i="56"/>
  <c r="C164" i="56"/>
  <c r="M145" i="56"/>
  <c r="M146" i="56"/>
  <c r="M147" i="56"/>
  <c r="M148" i="56"/>
  <c r="M154" i="56"/>
  <c r="M149" i="56"/>
  <c r="M150" i="56"/>
  <c r="M151" i="56"/>
  <c r="M152" i="56"/>
  <c r="M153" i="56"/>
  <c r="N145" i="56"/>
  <c r="N146" i="56"/>
  <c r="N147" i="56"/>
  <c r="N148" i="56"/>
  <c r="N154" i="56"/>
  <c r="N149" i="56"/>
  <c r="N150" i="56"/>
  <c r="N151" i="56"/>
  <c r="N152" i="56"/>
  <c r="N153" i="56"/>
  <c r="O145" i="56"/>
  <c r="O146" i="56"/>
  <c r="O147" i="56"/>
  <c r="O148" i="56"/>
  <c r="O154" i="56"/>
  <c r="O149" i="56"/>
  <c r="O150" i="56"/>
  <c r="O151" i="56"/>
  <c r="O152" i="56"/>
  <c r="O153" i="56"/>
  <c r="P145" i="56"/>
  <c r="P146" i="56"/>
  <c r="P147" i="56"/>
  <c r="P148" i="56"/>
  <c r="P154" i="56"/>
  <c r="P149" i="56"/>
  <c r="P150" i="56"/>
  <c r="P151" i="56"/>
  <c r="P152" i="56"/>
  <c r="P153" i="56"/>
  <c r="Q145" i="56"/>
  <c r="Q146" i="56"/>
  <c r="Q147" i="56"/>
  <c r="Q148" i="56"/>
  <c r="Q154" i="56"/>
  <c r="Q149" i="56"/>
  <c r="Q150" i="56"/>
  <c r="Q151" i="56"/>
  <c r="Q152" i="56"/>
  <c r="Q153" i="56"/>
  <c r="B100" i="56"/>
  <c r="L107" i="56"/>
  <c r="L108" i="56"/>
  <c r="L109" i="56"/>
  <c r="L110" i="56"/>
  <c r="L116" i="56"/>
  <c r="L111" i="56"/>
  <c r="L112" i="56"/>
  <c r="L113" i="56"/>
  <c r="L114" i="56"/>
  <c r="L115" i="56"/>
  <c r="C126" i="56"/>
  <c r="M107" i="56"/>
  <c r="M108" i="56"/>
  <c r="M109" i="56"/>
  <c r="M110" i="56"/>
  <c r="M116" i="56"/>
  <c r="M111" i="56"/>
  <c r="M112" i="56"/>
  <c r="M113" i="56"/>
  <c r="M114" i="56"/>
  <c r="M115" i="56"/>
  <c r="N107" i="56"/>
  <c r="N108" i="56"/>
  <c r="N109" i="56"/>
  <c r="N110" i="56"/>
  <c r="N116" i="56"/>
  <c r="N111" i="56"/>
  <c r="N112" i="56"/>
  <c r="N113" i="56"/>
  <c r="N114" i="56"/>
  <c r="N115" i="56"/>
  <c r="O107" i="56"/>
  <c r="O108" i="56"/>
  <c r="O109" i="56"/>
  <c r="O110" i="56"/>
  <c r="O116" i="56"/>
  <c r="O111" i="56"/>
  <c r="O112" i="56"/>
  <c r="O113" i="56"/>
  <c r="O114" i="56"/>
  <c r="O115" i="56"/>
  <c r="P107" i="56"/>
  <c r="P108" i="56"/>
  <c r="P109" i="56"/>
  <c r="P110" i="56"/>
  <c r="P116" i="56"/>
  <c r="P111" i="56"/>
  <c r="P112" i="56"/>
  <c r="P113" i="56"/>
  <c r="P114" i="56"/>
  <c r="P115" i="56"/>
  <c r="Q107" i="56"/>
  <c r="Q108" i="56"/>
  <c r="Q109" i="56"/>
  <c r="Q110" i="56"/>
  <c r="Q116" i="56"/>
  <c r="Q111" i="56"/>
  <c r="Q112" i="56"/>
  <c r="Q113" i="56"/>
  <c r="Q114" i="56"/>
  <c r="Q115" i="56"/>
  <c r="B62" i="56"/>
  <c r="L69" i="56"/>
  <c r="L70" i="56"/>
  <c r="L71" i="56"/>
  <c r="L72" i="56"/>
  <c r="L78" i="56"/>
  <c r="L73" i="56"/>
  <c r="L74" i="56"/>
  <c r="L75" i="56"/>
  <c r="L76" i="56"/>
  <c r="L77" i="56"/>
  <c r="C88" i="56"/>
  <c r="M69" i="56"/>
  <c r="M70" i="56"/>
  <c r="M71" i="56"/>
  <c r="M72" i="56"/>
  <c r="M78" i="56"/>
  <c r="M73" i="56"/>
  <c r="M74" i="56"/>
  <c r="M75" i="56"/>
  <c r="M76" i="56"/>
  <c r="M77" i="56"/>
  <c r="N69" i="56"/>
  <c r="N70" i="56"/>
  <c r="N71" i="56"/>
  <c r="N72" i="56"/>
  <c r="N78" i="56"/>
  <c r="N73" i="56"/>
  <c r="N74" i="56"/>
  <c r="N75" i="56"/>
  <c r="N76" i="56"/>
  <c r="N77" i="56"/>
  <c r="O69" i="56"/>
  <c r="O70" i="56"/>
  <c r="O71" i="56"/>
  <c r="O72" i="56"/>
  <c r="O78" i="56"/>
  <c r="O73" i="56"/>
  <c r="O74" i="56"/>
  <c r="O75" i="56"/>
  <c r="O76" i="56"/>
  <c r="O77" i="56"/>
  <c r="P69" i="56"/>
  <c r="P70" i="56"/>
  <c r="P71" i="56"/>
  <c r="P72" i="56"/>
  <c r="P78" i="56"/>
  <c r="P73" i="56"/>
  <c r="P74" i="56"/>
  <c r="P75" i="56"/>
  <c r="P76" i="56"/>
  <c r="P77" i="56"/>
  <c r="Q69" i="56"/>
  <c r="Q70" i="56"/>
  <c r="Q71" i="56"/>
  <c r="Q72" i="56"/>
  <c r="Q78" i="56"/>
  <c r="Q73" i="56"/>
  <c r="Q74" i="56"/>
  <c r="Q75" i="56"/>
  <c r="Q76" i="56"/>
  <c r="Q77" i="56"/>
  <c r="B24" i="56"/>
  <c r="P31" i="56"/>
  <c r="P32" i="56"/>
  <c r="P33" i="56"/>
  <c r="P34" i="56"/>
  <c r="P40" i="56"/>
  <c r="P35" i="56"/>
  <c r="P36" i="56"/>
  <c r="P37" i="56"/>
  <c r="P38" i="56"/>
  <c r="P39" i="56"/>
  <c r="C50" i="56"/>
  <c r="O31" i="56"/>
  <c r="O32" i="56"/>
  <c r="O33" i="56"/>
  <c r="O34" i="56"/>
  <c r="O40" i="56"/>
  <c r="O35" i="56"/>
  <c r="O36" i="56"/>
  <c r="O37" i="56"/>
  <c r="O38" i="56"/>
  <c r="O39" i="56"/>
  <c r="N31" i="56"/>
  <c r="N32" i="56"/>
  <c r="N33" i="56"/>
  <c r="N34" i="56"/>
  <c r="N40" i="56"/>
  <c r="N35" i="56"/>
  <c r="N36" i="56"/>
  <c r="N37" i="56"/>
  <c r="N38" i="56"/>
  <c r="N39" i="56"/>
  <c r="M31" i="56"/>
  <c r="M32" i="56"/>
  <c r="M33" i="56"/>
  <c r="M34" i="56"/>
  <c r="M40" i="56"/>
  <c r="M35" i="56"/>
  <c r="M36" i="56"/>
  <c r="M37" i="56"/>
  <c r="M38" i="56"/>
  <c r="M39" i="56"/>
  <c r="L31" i="56"/>
  <c r="L32" i="56"/>
  <c r="L33" i="56"/>
  <c r="L34" i="56"/>
  <c r="L40" i="56"/>
  <c r="L35" i="56"/>
  <c r="L36" i="56"/>
  <c r="L37" i="56"/>
  <c r="L38" i="56"/>
  <c r="L39" i="56"/>
  <c r="N66" i="41"/>
  <c r="N81" i="41"/>
  <c r="N96" i="41"/>
  <c r="N111" i="41"/>
  <c r="N126" i="41"/>
  <c r="N141" i="41"/>
  <c r="N156" i="41"/>
  <c r="N171" i="41"/>
  <c r="N186" i="41"/>
  <c r="N201" i="41"/>
  <c r="N216" i="41"/>
  <c r="N231" i="41"/>
  <c r="N246" i="41"/>
  <c r="N261" i="41"/>
  <c r="N276" i="41"/>
  <c r="N291" i="41"/>
  <c r="N306" i="41"/>
  <c r="N321" i="41"/>
  <c r="N336" i="41"/>
  <c r="N351" i="41"/>
  <c r="C157" i="53"/>
  <c r="C128" i="53"/>
  <c r="C99" i="53"/>
  <c r="C70" i="53"/>
  <c r="C392" i="3"/>
  <c r="C354" i="3"/>
  <c r="C316" i="3"/>
  <c r="C278" i="3"/>
  <c r="C240" i="3"/>
  <c r="C202" i="3"/>
  <c r="C164" i="3"/>
  <c r="C126" i="3"/>
  <c r="B62" i="3"/>
  <c r="Q69" i="3"/>
  <c r="Q70" i="3"/>
  <c r="Q71" i="3"/>
  <c r="Q72" i="3"/>
  <c r="Q78" i="3"/>
  <c r="Q73" i="3"/>
  <c r="Q74" i="3"/>
  <c r="Q75" i="3"/>
  <c r="Q76" i="3"/>
  <c r="Q77" i="3"/>
  <c r="C88" i="3"/>
  <c r="P69" i="3"/>
  <c r="P70" i="3"/>
  <c r="P71" i="3"/>
  <c r="P72" i="3"/>
  <c r="P78" i="3"/>
  <c r="P73" i="3"/>
  <c r="P74" i="3"/>
  <c r="P75" i="3"/>
  <c r="P76" i="3"/>
  <c r="P77" i="3"/>
  <c r="O69" i="3"/>
  <c r="O70" i="3"/>
  <c r="O71" i="3"/>
  <c r="O72" i="3"/>
  <c r="O78" i="3"/>
  <c r="O73" i="3"/>
  <c r="O74" i="3"/>
  <c r="O75" i="3"/>
  <c r="O76" i="3"/>
  <c r="O77" i="3"/>
  <c r="N69" i="3"/>
  <c r="N70" i="3"/>
  <c r="N71" i="3"/>
  <c r="N72" i="3"/>
  <c r="N78" i="3"/>
  <c r="N73" i="3"/>
  <c r="N74" i="3"/>
  <c r="N75" i="3"/>
  <c r="N76" i="3"/>
  <c r="N77" i="3"/>
  <c r="M69" i="3"/>
  <c r="M70" i="3"/>
  <c r="M71" i="3"/>
  <c r="M72" i="3"/>
  <c r="M78" i="3"/>
  <c r="M73" i="3"/>
  <c r="M74" i="3"/>
  <c r="M75" i="3"/>
  <c r="M76" i="3"/>
  <c r="M77" i="3"/>
  <c r="L69" i="3"/>
  <c r="L70" i="3"/>
  <c r="L71" i="3"/>
  <c r="L72" i="3"/>
  <c r="L78" i="3"/>
  <c r="L73" i="3"/>
  <c r="L74" i="3"/>
  <c r="L75" i="3"/>
  <c r="L76" i="3"/>
  <c r="L77" i="3"/>
  <c r="E28" i="47"/>
  <c r="E23" i="47"/>
  <c r="F23" i="47"/>
  <c r="Q31" i="56"/>
  <c r="Q32" i="56"/>
  <c r="Q33" i="56"/>
  <c r="Q34" i="56"/>
  <c r="Q40" i="56"/>
  <c r="Q35" i="56"/>
  <c r="Q36" i="56"/>
  <c r="Q37" i="56"/>
  <c r="Q38" i="56"/>
  <c r="Q39" i="56"/>
  <c r="N405" i="41"/>
  <c r="AU88" i="14"/>
  <c r="AV88" i="14" s="1"/>
  <c r="AW88" i="14" s="1"/>
  <c r="AX88" i="14" s="1"/>
  <c r="AY88" i="14" s="1"/>
  <c r="AZ88" i="14" s="1"/>
  <c r="AU49" i="14"/>
  <c r="AV49" i="14" s="1"/>
  <c r="AW49" i="14" s="1"/>
  <c r="AX49" i="14" s="1"/>
  <c r="AY49" i="14" s="1"/>
  <c r="AZ49" i="14" s="1"/>
  <c r="L136" i="53"/>
  <c r="L107" i="53"/>
  <c r="L78" i="53"/>
  <c r="L49" i="53"/>
  <c r="L362" i="3"/>
  <c r="L324" i="3"/>
  <c r="L286" i="3"/>
  <c r="L248" i="3"/>
  <c r="L210" i="3"/>
  <c r="L172" i="3"/>
  <c r="L134" i="3"/>
  <c r="L96" i="3"/>
  <c r="L58" i="3"/>
  <c r="D58" i="3" s="1"/>
  <c r="AF24" i="14" s="1"/>
  <c r="L362" i="56"/>
  <c r="L324" i="56"/>
  <c r="L286" i="56"/>
  <c r="L248" i="56"/>
  <c r="L210" i="56"/>
  <c r="L172" i="56"/>
  <c r="L134" i="56"/>
  <c r="L96" i="56"/>
  <c r="D96" i="56" s="1"/>
  <c r="AE25" i="14" s="1"/>
  <c r="L58" i="56"/>
  <c r="D58" i="56" s="1"/>
  <c r="AE24" i="14" s="1"/>
  <c r="K330" i="7"/>
  <c r="K329" i="7"/>
  <c r="K326" i="7"/>
  <c r="K325" i="7"/>
  <c r="K323" i="7"/>
  <c r="K320" i="7"/>
  <c r="K319" i="7"/>
  <c r="K316" i="7"/>
  <c r="K315" i="7"/>
  <c r="K313" i="7"/>
  <c r="K22" i="7"/>
  <c r="K301" i="7" s="1"/>
  <c r="K23" i="7"/>
  <c r="K68" i="7" s="1"/>
  <c r="K24" i="7"/>
  <c r="K69" i="7" s="1"/>
  <c r="K21" i="7"/>
  <c r="K66" i="7" s="1"/>
  <c r="K303" i="7"/>
  <c r="K294" i="7"/>
  <c r="K295" i="7"/>
  <c r="K296" i="7"/>
  <c r="K293" i="7"/>
  <c r="K96" i="7"/>
  <c r="K95" i="7"/>
  <c r="K92" i="7"/>
  <c r="K91" i="7"/>
  <c r="K89" i="7"/>
  <c r="K86" i="7"/>
  <c r="K85" i="7"/>
  <c r="K82" i="7"/>
  <c r="K81" i="7"/>
  <c r="K79" i="7"/>
  <c r="K60" i="7"/>
  <c r="K61" i="7"/>
  <c r="K62" i="7"/>
  <c r="K59" i="7"/>
  <c r="D78" i="7"/>
  <c r="E78" i="7" s="1"/>
  <c r="F78" i="7" s="1"/>
  <c r="G78" i="7" s="1"/>
  <c r="H78" i="7" s="1"/>
  <c r="I78" i="7" s="1"/>
  <c r="D58" i="7"/>
  <c r="E58" i="7" s="1"/>
  <c r="F58" i="7" s="1"/>
  <c r="G58" i="7" s="1"/>
  <c r="H58" i="7" s="1"/>
  <c r="I58" i="7" s="1"/>
  <c r="D312" i="7"/>
  <c r="E312" i="7" s="1"/>
  <c r="F312" i="7" s="1"/>
  <c r="G312" i="7" s="1"/>
  <c r="H312" i="7" s="1"/>
  <c r="I312" i="7" s="1"/>
  <c r="D292" i="7"/>
  <c r="E292" i="7" s="1"/>
  <c r="F292" i="7" s="1"/>
  <c r="G292" i="7" s="1"/>
  <c r="H292" i="7" s="1"/>
  <c r="I292" i="7" s="1"/>
  <c r="G339" i="7"/>
  <c r="L339" i="7" s="1"/>
  <c r="M339" i="7"/>
  <c r="G340" i="7"/>
  <c r="L340" i="7" s="1"/>
  <c r="M340" i="7"/>
  <c r="G341" i="7"/>
  <c r="L341" i="7" s="1"/>
  <c r="M341" i="7"/>
  <c r="M342" i="7"/>
  <c r="M343" i="7"/>
  <c r="M344" i="7"/>
  <c r="M345" i="7"/>
  <c r="M346" i="7"/>
  <c r="M347" i="7"/>
  <c r="M348" i="7"/>
  <c r="M349" i="7"/>
  <c r="M350" i="7"/>
  <c r="M351" i="7"/>
  <c r="M352" i="7"/>
  <c r="M353" i="7"/>
  <c r="M354" i="7"/>
  <c r="M355" i="7"/>
  <c r="M356" i="7"/>
  <c r="M357" i="7"/>
  <c r="G338" i="7"/>
  <c r="L338" i="7" s="1"/>
  <c r="M338" i="7"/>
  <c r="M106" i="7"/>
  <c r="M107" i="7"/>
  <c r="M108" i="7"/>
  <c r="M109" i="7"/>
  <c r="M110" i="7"/>
  <c r="M111" i="7"/>
  <c r="M112" i="7"/>
  <c r="M113" i="7"/>
  <c r="M114" i="7"/>
  <c r="M115" i="7"/>
  <c r="M116" i="7"/>
  <c r="M117" i="7"/>
  <c r="M118" i="7"/>
  <c r="M119" i="7"/>
  <c r="M120" i="7"/>
  <c r="M121" i="7"/>
  <c r="M122" i="7"/>
  <c r="M123" i="7"/>
  <c r="C50" i="1"/>
  <c r="AB107" i="15"/>
  <c r="AB108" i="15"/>
  <c r="Q37" i="58"/>
  <c r="P36" i="58"/>
  <c r="O35" i="58"/>
  <c r="N34" i="58"/>
  <c r="M33" i="58"/>
  <c r="L32" i="58"/>
  <c r="K31" i="58"/>
  <c r="J30" i="58"/>
  <c r="I29" i="58"/>
  <c r="H28" i="58"/>
  <c r="G27" i="58"/>
  <c r="F26" i="58"/>
  <c r="AH337" i="7"/>
  <c r="AI337" i="7" s="1"/>
  <c r="AJ337" i="7" s="1"/>
  <c r="AK337" i="7" s="1"/>
  <c r="AL337" i="7" s="1"/>
  <c r="AM337" i="7" s="1"/>
  <c r="AB337" i="7"/>
  <c r="AC337" i="7" s="1"/>
  <c r="AD337" i="7" s="1"/>
  <c r="AE337" i="7" s="1"/>
  <c r="AF337" i="7" s="1"/>
  <c r="AG337" i="7" s="1"/>
  <c r="AH103" i="7"/>
  <c r="AI103" i="7" s="1"/>
  <c r="AJ103" i="7" s="1"/>
  <c r="AK103" i="7" s="1"/>
  <c r="AL103" i="7" s="1"/>
  <c r="AM103" i="7" s="1"/>
  <c r="AB103" i="7"/>
  <c r="AC103" i="7" s="1"/>
  <c r="AD103" i="7" s="1"/>
  <c r="AE103" i="7" s="1"/>
  <c r="AF103" i="7" s="1"/>
  <c r="AG103" i="7" s="1"/>
  <c r="X27" i="58"/>
  <c r="X28" i="58"/>
  <c r="X29" i="58"/>
  <c r="X30" i="58"/>
  <c r="X31" i="58"/>
  <c r="X32" i="58"/>
  <c r="X33" i="58"/>
  <c r="X34" i="58"/>
  <c r="X35" i="58"/>
  <c r="X36" i="58"/>
  <c r="X37" i="58"/>
  <c r="X26" i="58"/>
  <c r="W27" i="58"/>
  <c r="W28" i="58"/>
  <c r="W29" i="58"/>
  <c r="W30" i="58"/>
  <c r="W31" i="58"/>
  <c r="W32" i="58"/>
  <c r="W33" i="58"/>
  <c r="W34" i="58"/>
  <c r="W35" i="58"/>
  <c r="W36" i="58"/>
  <c r="W26" i="58"/>
  <c r="G64" i="58" s="1"/>
  <c r="H64" i="58" s="1"/>
  <c r="Z39" i="58"/>
  <c r="Z23" i="58"/>
  <c r="I143" i="37"/>
  <c r="L41" i="58"/>
  <c r="Q411" i="56"/>
  <c r="P411" i="56"/>
  <c r="O411" i="56"/>
  <c r="N411" i="56"/>
  <c r="M411" i="56"/>
  <c r="L411" i="56"/>
  <c r="K411" i="56"/>
  <c r="Q408" i="56"/>
  <c r="P408" i="56"/>
  <c r="O408" i="56"/>
  <c r="N408" i="56"/>
  <c r="M408" i="56"/>
  <c r="L408" i="56"/>
  <c r="K408" i="56"/>
  <c r="Q405" i="56"/>
  <c r="P405" i="56"/>
  <c r="O405" i="56"/>
  <c r="N405" i="56"/>
  <c r="M405" i="56"/>
  <c r="L405" i="56"/>
  <c r="K405" i="56"/>
  <c r="B66" i="41"/>
  <c r="G68" i="41" s="1"/>
  <c r="E358" i="41"/>
  <c r="E343" i="41"/>
  <c r="E328" i="41"/>
  <c r="E313" i="41"/>
  <c r="E298" i="41"/>
  <c r="E283" i="41"/>
  <c r="E268" i="41"/>
  <c r="E253" i="41"/>
  <c r="E238" i="41"/>
  <c r="E223" i="41"/>
  <c r="E208" i="41"/>
  <c r="F108" i="37"/>
  <c r="G108" i="37" s="1"/>
  <c r="H108" i="37" s="1"/>
  <c r="I108" i="37" s="1"/>
  <c r="J108" i="37" s="1"/>
  <c r="K108" i="37" s="1"/>
  <c r="F70" i="37"/>
  <c r="G70" i="37" s="1"/>
  <c r="H70" i="37" s="1"/>
  <c r="I70" i="37" s="1"/>
  <c r="J70" i="37" s="1"/>
  <c r="K70" i="37" s="1"/>
  <c r="M143" i="37"/>
  <c r="N143" i="37" s="1"/>
  <c r="O143" i="37" s="1"/>
  <c r="P143" i="37" s="1"/>
  <c r="Q143" i="37" s="1"/>
  <c r="R143" i="37" s="1"/>
  <c r="B351" i="41"/>
  <c r="G353" i="41" s="1"/>
  <c r="B336" i="41"/>
  <c r="G338" i="41" s="1"/>
  <c r="B321" i="41"/>
  <c r="G323" i="41" s="1"/>
  <c r="B291" i="41"/>
  <c r="G293" i="41" s="1"/>
  <c r="B276" i="41"/>
  <c r="G278" i="41" s="1"/>
  <c r="B261" i="41"/>
  <c r="G263" i="41" s="1"/>
  <c r="B246" i="41"/>
  <c r="G248" i="41" s="1"/>
  <c r="B231" i="41"/>
  <c r="G233" i="41" s="1"/>
  <c r="B216" i="41"/>
  <c r="G218" i="41" s="1"/>
  <c r="B201" i="41"/>
  <c r="G203" i="41" s="1"/>
  <c r="B186" i="41"/>
  <c r="G188" i="41" s="1"/>
  <c r="B171" i="41"/>
  <c r="G173" i="41" s="1"/>
  <c r="B156" i="41"/>
  <c r="G158" i="41" s="1"/>
  <c r="B141" i="41"/>
  <c r="G143" i="41" s="1"/>
  <c r="B126" i="41"/>
  <c r="G128" i="41" s="1"/>
  <c r="B111" i="41"/>
  <c r="G113" i="41" s="1"/>
  <c r="B96" i="41"/>
  <c r="G98" i="41" s="1"/>
  <c r="B81" i="41"/>
  <c r="G83" i="41" s="1"/>
  <c r="B306" i="41"/>
  <c r="G308" i="41" s="1"/>
  <c r="E193" i="41"/>
  <c r="E178" i="41"/>
  <c r="E163" i="41"/>
  <c r="E148" i="41"/>
  <c r="E133" i="41"/>
  <c r="E118" i="41"/>
  <c r="E103" i="41"/>
  <c r="E88" i="41"/>
  <c r="E73" i="41"/>
  <c r="C3" i="41" s="1"/>
  <c r="E10" i="41"/>
  <c r="G274" i="45"/>
  <c r="G275" i="45"/>
  <c r="G276" i="45"/>
  <c r="G277" i="45"/>
  <c r="J275" i="45"/>
  <c r="J276" i="45"/>
  <c r="J277" i="45"/>
  <c r="J278" i="45"/>
  <c r="J279" i="45"/>
  <c r="J280" i="45"/>
  <c r="J281" i="45"/>
  <c r="J282" i="45"/>
  <c r="J283" i="45"/>
  <c r="J284" i="45"/>
  <c r="J285" i="45"/>
  <c r="J286" i="45"/>
  <c r="J287" i="45"/>
  <c r="J288" i="45"/>
  <c r="J289" i="45"/>
  <c r="J290" i="45"/>
  <c r="J291" i="45"/>
  <c r="J292" i="45"/>
  <c r="J293" i="45"/>
  <c r="J274" i="45"/>
  <c r="J277" i="43"/>
  <c r="J278" i="43"/>
  <c r="J279" i="43"/>
  <c r="J280" i="43"/>
  <c r="J281" i="43"/>
  <c r="J282" i="43"/>
  <c r="J283" i="43"/>
  <c r="J284" i="43"/>
  <c r="J285" i="43"/>
  <c r="J286" i="43"/>
  <c r="J287" i="43"/>
  <c r="J288" i="43"/>
  <c r="J289" i="43"/>
  <c r="J290" i="43"/>
  <c r="J291" i="43"/>
  <c r="J292" i="43"/>
  <c r="J293" i="43"/>
  <c r="Z51" i="38"/>
  <c r="Z52" i="38"/>
  <c r="Z53" i="38"/>
  <c r="Z54" i="38"/>
  <c r="Z55" i="38"/>
  <c r="Z56" i="38"/>
  <c r="Z57" i="38"/>
  <c r="Z58" i="38"/>
  <c r="Z59" i="38"/>
  <c r="Z60" i="38"/>
  <c r="Z61" i="38"/>
  <c r="Z62" i="38"/>
  <c r="Z63" i="38"/>
  <c r="Z64" i="38"/>
  <c r="Z65" i="38"/>
  <c r="Z66" i="38"/>
  <c r="Z67" i="38"/>
  <c r="Z68" i="38"/>
  <c r="Z69" i="38"/>
  <c r="Z50" i="38"/>
  <c r="J277" i="34"/>
  <c r="J278" i="34"/>
  <c r="J279" i="34"/>
  <c r="J280" i="34"/>
  <c r="J281" i="34"/>
  <c r="J282" i="34"/>
  <c r="J283" i="34"/>
  <c r="J284" i="34"/>
  <c r="J285" i="34"/>
  <c r="J286" i="34"/>
  <c r="J287" i="34"/>
  <c r="J288" i="34"/>
  <c r="J289" i="34"/>
  <c r="J290" i="34"/>
  <c r="J291" i="34"/>
  <c r="J292" i="34"/>
  <c r="J293" i="34"/>
  <c r="J275" i="44"/>
  <c r="AB109" i="15"/>
  <c r="AB110" i="15"/>
  <c r="AB111" i="15"/>
  <c r="AB112" i="15"/>
  <c r="AB113" i="15"/>
  <c r="AB114" i="15"/>
  <c r="AB115" i="15"/>
  <c r="AB116" i="15"/>
  <c r="AB117" i="15"/>
  <c r="AB118" i="15"/>
  <c r="AB119" i="15"/>
  <c r="AB120" i="15"/>
  <c r="AB121" i="15"/>
  <c r="AB122" i="15"/>
  <c r="AB123" i="15"/>
  <c r="AB124" i="15"/>
  <c r="U52" i="38"/>
  <c r="U53" i="38"/>
  <c r="W74" i="38"/>
  <c r="V52" i="38"/>
  <c r="V53" i="38"/>
  <c r="X74" i="38"/>
  <c r="J276" i="44"/>
  <c r="J277" i="44"/>
  <c r="J278" i="44"/>
  <c r="J279" i="44"/>
  <c r="J280" i="44"/>
  <c r="J281" i="44"/>
  <c r="J282" i="44"/>
  <c r="J283" i="44"/>
  <c r="J284" i="44"/>
  <c r="J285" i="44"/>
  <c r="J286" i="44"/>
  <c r="J287" i="44"/>
  <c r="J288" i="44"/>
  <c r="J289" i="44"/>
  <c r="J290" i="44"/>
  <c r="J291" i="44"/>
  <c r="J292" i="44"/>
  <c r="J293" i="44"/>
  <c r="O117" i="37"/>
  <c r="G200" i="15"/>
  <c r="G206" i="15" s="1"/>
  <c r="H200" i="15"/>
  <c r="H206" i="15" s="1"/>
  <c r="I200" i="15"/>
  <c r="I206" i="15" s="1"/>
  <c r="J200" i="15"/>
  <c r="J206" i="15" s="1"/>
  <c r="K200" i="15"/>
  <c r="K206" i="15" s="1"/>
  <c r="F200" i="15"/>
  <c r="F206" i="15" s="1"/>
  <c r="AA492" i="50"/>
  <c r="AA491" i="50"/>
  <c r="AA490" i="50"/>
  <c r="AA489" i="50"/>
  <c r="AA488" i="50"/>
  <c r="AA487" i="50"/>
  <c r="AA486" i="50"/>
  <c r="AA485" i="50"/>
  <c r="AA484" i="50"/>
  <c r="AA483" i="50"/>
  <c r="H72" i="50"/>
  <c r="H71" i="50"/>
  <c r="H70" i="50"/>
  <c r="H69" i="50"/>
  <c r="H68" i="50"/>
  <c r="H67" i="50"/>
  <c r="H66" i="50"/>
  <c r="H65" i="50"/>
  <c r="G72" i="50"/>
  <c r="G71" i="50"/>
  <c r="G70" i="50"/>
  <c r="G69" i="50"/>
  <c r="G68" i="50"/>
  <c r="G67" i="50"/>
  <c r="G66" i="50"/>
  <c r="G65" i="50"/>
  <c r="H467" i="50"/>
  <c r="H466" i="50"/>
  <c r="H465" i="50"/>
  <c r="H464" i="50"/>
  <c r="H463" i="50"/>
  <c r="H462" i="50"/>
  <c r="H461" i="50"/>
  <c r="H460" i="50"/>
  <c r="G467" i="50"/>
  <c r="G466" i="50"/>
  <c r="G465" i="50"/>
  <c r="G464" i="50"/>
  <c r="G463" i="50"/>
  <c r="G462" i="50"/>
  <c r="G461" i="50"/>
  <c r="G460" i="50"/>
  <c r="H459" i="50"/>
  <c r="G459" i="50"/>
  <c r="AE459" i="50"/>
  <c r="AE460" i="50"/>
  <c r="AE461" i="50"/>
  <c r="AE462" i="50"/>
  <c r="AE463" i="50"/>
  <c r="AE464" i="50"/>
  <c r="AE465" i="50"/>
  <c r="AE466" i="50"/>
  <c r="AE467" i="50"/>
  <c r="AE458" i="50"/>
  <c r="AE64" i="50"/>
  <c r="AE65" i="50"/>
  <c r="AE66" i="50"/>
  <c r="AE67" i="50"/>
  <c r="AE68" i="50"/>
  <c r="AE69" i="50"/>
  <c r="AE70" i="50"/>
  <c r="AE71" i="50"/>
  <c r="AE72" i="50"/>
  <c r="AE63" i="50"/>
  <c r="AB458" i="50"/>
  <c r="AB459" i="50"/>
  <c r="AB460" i="50"/>
  <c r="AB461" i="50"/>
  <c r="AB462" i="50"/>
  <c r="AB463" i="50"/>
  <c r="AB464" i="50"/>
  <c r="AB465" i="50"/>
  <c r="AB466" i="50"/>
  <c r="AB467" i="50"/>
  <c r="AB63" i="50"/>
  <c r="AB64" i="50"/>
  <c r="AB65" i="50"/>
  <c r="AB66" i="50"/>
  <c r="AB67" i="50"/>
  <c r="AB68" i="50"/>
  <c r="AB69" i="50"/>
  <c r="AB70" i="50"/>
  <c r="AB71" i="50"/>
  <c r="AB72" i="50"/>
  <c r="D434" i="50" s="1"/>
  <c r="J434" i="50" s="1"/>
  <c r="AC459" i="50"/>
  <c r="AF460" i="50"/>
  <c r="AC461" i="50"/>
  <c r="AF462" i="50"/>
  <c r="AC463" i="50"/>
  <c r="AF464" i="50"/>
  <c r="AC465" i="50"/>
  <c r="AF466" i="50"/>
  <c r="AC467" i="50"/>
  <c r="AF458" i="50"/>
  <c r="AF467" i="50"/>
  <c r="M352" i="41"/>
  <c r="M337" i="41"/>
  <c r="M322" i="41"/>
  <c r="M307" i="41"/>
  <c r="M292" i="41"/>
  <c r="M277" i="41"/>
  <c r="M262" i="41"/>
  <c r="M247" i="41"/>
  <c r="M232" i="41"/>
  <c r="M217" i="41"/>
  <c r="M202" i="41"/>
  <c r="M187" i="41"/>
  <c r="M172" i="41"/>
  <c r="M157" i="41"/>
  <c r="M142" i="41"/>
  <c r="M127" i="41"/>
  <c r="M112" i="41"/>
  <c r="M97" i="41"/>
  <c r="M82" i="41"/>
  <c r="M67" i="41"/>
  <c r="AH11" i="14"/>
  <c r="AH10" i="14"/>
  <c r="AH9" i="14"/>
  <c r="AH8" i="14"/>
  <c r="B19" i="58"/>
  <c r="M24" i="50"/>
  <c r="AA90" i="50"/>
  <c r="AA91" i="50"/>
  <c r="AA92" i="50"/>
  <c r="AA93" i="50"/>
  <c r="AA94" i="50"/>
  <c r="AA95" i="50"/>
  <c r="AA96" i="50"/>
  <c r="AA97" i="50"/>
  <c r="G278" i="45"/>
  <c r="G279" i="45"/>
  <c r="G280" i="45"/>
  <c r="G281" i="45"/>
  <c r="G282" i="45"/>
  <c r="G283" i="45"/>
  <c r="G284" i="45"/>
  <c r="G285" i="45"/>
  <c r="G286" i="45"/>
  <c r="G287" i="45"/>
  <c r="G288" i="45"/>
  <c r="G289" i="45"/>
  <c r="J63" i="50"/>
  <c r="C55" i="56"/>
  <c r="AR50" i="14" s="1"/>
  <c r="K159" i="15"/>
  <c r="L159" i="15"/>
  <c r="M159" i="15"/>
  <c r="N159" i="15"/>
  <c r="K160" i="15"/>
  <c r="L160" i="15"/>
  <c r="M160" i="15"/>
  <c r="N160" i="15"/>
  <c r="K161" i="15"/>
  <c r="L161" i="15"/>
  <c r="M161" i="15"/>
  <c r="N161" i="15"/>
  <c r="K162" i="15"/>
  <c r="L162" i="15"/>
  <c r="M162" i="15"/>
  <c r="N162" i="15"/>
  <c r="K163" i="15"/>
  <c r="L163" i="15"/>
  <c r="M163" i="15"/>
  <c r="N163" i="15"/>
  <c r="O163" i="15"/>
  <c r="K164" i="15"/>
  <c r="L164" i="15"/>
  <c r="M164" i="15"/>
  <c r="N164" i="15"/>
  <c r="O164" i="15"/>
  <c r="K165" i="15"/>
  <c r="L165" i="15"/>
  <c r="M165" i="15"/>
  <c r="N165" i="15"/>
  <c r="O165" i="15"/>
  <c r="K166" i="15"/>
  <c r="L166" i="15"/>
  <c r="M166" i="15"/>
  <c r="N166" i="15"/>
  <c r="O166" i="15"/>
  <c r="K167" i="15"/>
  <c r="L167" i="15"/>
  <c r="M167" i="15"/>
  <c r="N167" i="15"/>
  <c r="O167" i="15"/>
  <c r="K168" i="15"/>
  <c r="L168" i="15"/>
  <c r="M168" i="15"/>
  <c r="N168" i="15"/>
  <c r="O168" i="15"/>
  <c r="K169" i="15"/>
  <c r="L169" i="15"/>
  <c r="M169" i="15"/>
  <c r="N169" i="15"/>
  <c r="Q169" i="15" s="1"/>
  <c r="O169" i="15"/>
  <c r="K170" i="15"/>
  <c r="L170" i="15"/>
  <c r="M170" i="15"/>
  <c r="N170" i="15"/>
  <c r="O170" i="15"/>
  <c r="K171" i="15"/>
  <c r="L171" i="15"/>
  <c r="M171" i="15"/>
  <c r="N171" i="15"/>
  <c r="O171" i="15"/>
  <c r="K172" i="15"/>
  <c r="L172" i="15"/>
  <c r="M172" i="15"/>
  <c r="N172" i="15"/>
  <c r="O172" i="15"/>
  <c r="K173" i="15"/>
  <c r="L173" i="15"/>
  <c r="M173" i="15"/>
  <c r="N173" i="15"/>
  <c r="O173" i="15"/>
  <c r="K174" i="15"/>
  <c r="L174" i="15"/>
  <c r="M174" i="15"/>
  <c r="N174" i="15"/>
  <c r="O174" i="15"/>
  <c r="K175" i="15"/>
  <c r="L175" i="15"/>
  <c r="M175" i="15"/>
  <c r="N175" i="15"/>
  <c r="O175" i="15"/>
  <c r="K176" i="15"/>
  <c r="L176" i="15"/>
  <c r="M176" i="15"/>
  <c r="N176" i="15"/>
  <c r="O176" i="15"/>
  <c r="K177" i="15"/>
  <c r="L177" i="15"/>
  <c r="M177" i="15"/>
  <c r="N177" i="15"/>
  <c r="O177" i="15"/>
  <c r="I159" i="15"/>
  <c r="J159" i="15"/>
  <c r="I160" i="15"/>
  <c r="J160" i="15"/>
  <c r="I161" i="15"/>
  <c r="J161" i="15"/>
  <c r="I162" i="15"/>
  <c r="J162" i="15"/>
  <c r="I163" i="15"/>
  <c r="J163" i="15"/>
  <c r="I164" i="15"/>
  <c r="J164" i="15"/>
  <c r="I165" i="15"/>
  <c r="J165" i="15"/>
  <c r="I166" i="15"/>
  <c r="J166" i="15"/>
  <c r="I167" i="15"/>
  <c r="J167" i="15"/>
  <c r="I168" i="15"/>
  <c r="J168" i="15"/>
  <c r="I169" i="15"/>
  <c r="J169" i="15"/>
  <c r="I170" i="15"/>
  <c r="J170" i="15"/>
  <c r="I171" i="15"/>
  <c r="J171" i="15"/>
  <c r="I172" i="15"/>
  <c r="J172" i="15"/>
  <c r="I173" i="15"/>
  <c r="J173" i="15"/>
  <c r="I174" i="15"/>
  <c r="J174" i="15"/>
  <c r="I175" i="15"/>
  <c r="J175" i="15"/>
  <c r="I176" i="15"/>
  <c r="J176" i="15"/>
  <c r="I177" i="15"/>
  <c r="J177" i="15"/>
  <c r="H177" i="15"/>
  <c r="H176" i="15"/>
  <c r="H175" i="15"/>
  <c r="H174" i="15"/>
  <c r="H173" i="15"/>
  <c r="H172" i="15"/>
  <c r="H171" i="15"/>
  <c r="H170" i="15"/>
  <c r="H169" i="15"/>
  <c r="H168" i="15"/>
  <c r="H167" i="15"/>
  <c r="H166" i="15"/>
  <c r="H165" i="15"/>
  <c r="H164" i="15"/>
  <c r="H163" i="15"/>
  <c r="H162" i="15"/>
  <c r="H161" i="15"/>
  <c r="H160" i="15"/>
  <c r="H159" i="15"/>
  <c r="E177" i="15"/>
  <c r="E176" i="15"/>
  <c r="E175" i="15"/>
  <c r="E174" i="15"/>
  <c r="E173" i="15"/>
  <c r="E172" i="15"/>
  <c r="E171" i="15"/>
  <c r="E170" i="15"/>
  <c r="E169" i="15"/>
  <c r="E168" i="15"/>
  <c r="E167" i="15"/>
  <c r="E166" i="15"/>
  <c r="E165" i="15"/>
  <c r="E164" i="15"/>
  <c r="E163" i="15"/>
  <c r="E162" i="15"/>
  <c r="E161" i="15"/>
  <c r="E160" i="15"/>
  <c r="E159" i="15"/>
  <c r="I158" i="15"/>
  <c r="J158" i="15"/>
  <c r="K158" i="15"/>
  <c r="L158" i="15"/>
  <c r="M158" i="15"/>
  <c r="N158" i="15"/>
  <c r="H158" i="15"/>
  <c r="E158" i="15"/>
  <c r="C125" i="15"/>
  <c r="I100" i="15" s="1"/>
  <c r="B106" i="15"/>
  <c r="B107" i="15"/>
  <c r="B108" i="15"/>
  <c r="B109" i="15"/>
  <c r="B110" i="15"/>
  <c r="B111" i="15"/>
  <c r="B112" i="15"/>
  <c r="B113" i="15"/>
  <c r="B114" i="15"/>
  <c r="B115" i="15"/>
  <c r="B116" i="15"/>
  <c r="B117" i="15"/>
  <c r="B118" i="15"/>
  <c r="B119" i="15"/>
  <c r="B120" i="15"/>
  <c r="B121" i="15"/>
  <c r="B122" i="15"/>
  <c r="B123" i="15"/>
  <c r="B124" i="15"/>
  <c r="B105" i="15"/>
  <c r="C153" i="15"/>
  <c r="I127" i="15" s="1"/>
  <c r="AB171" i="15"/>
  <c r="B330" i="38"/>
  <c r="J337" i="38" s="1"/>
  <c r="B318" i="38"/>
  <c r="I325" i="38" s="1"/>
  <c r="B306" i="38"/>
  <c r="J313" i="38" s="1"/>
  <c r="B294" i="38"/>
  <c r="I301" i="38" s="1"/>
  <c r="B282" i="38"/>
  <c r="D289" i="38" s="1"/>
  <c r="B270" i="38"/>
  <c r="E277" i="38" s="1"/>
  <c r="B258" i="38"/>
  <c r="H265" i="38" s="1"/>
  <c r="B246" i="38"/>
  <c r="D253" i="38" s="1"/>
  <c r="B234" i="38"/>
  <c r="E241" i="38" s="1"/>
  <c r="B222" i="38"/>
  <c r="D229" i="38" s="1"/>
  <c r="B210" i="38"/>
  <c r="D217" i="38" s="1"/>
  <c r="B198" i="38"/>
  <c r="D205" i="38" s="1"/>
  <c r="B186" i="38"/>
  <c r="E193" i="38" s="1"/>
  <c r="B174" i="38"/>
  <c r="E181" i="38" s="1"/>
  <c r="B162" i="38"/>
  <c r="E169" i="38" s="1"/>
  <c r="B150" i="38"/>
  <c r="E157" i="38" s="1"/>
  <c r="B138" i="38"/>
  <c r="D145" i="38" s="1"/>
  <c r="B126" i="38"/>
  <c r="D133" i="38" s="1"/>
  <c r="B114" i="38"/>
  <c r="B102" i="38"/>
  <c r="AI47" i="37"/>
  <c r="AJ47" i="37" s="1"/>
  <c r="AK47" i="37" s="1"/>
  <c r="AL47" i="37" s="1"/>
  <c r="AM47" i="37" s="1"/>
  <c r="AN47" i="37" s="1"/>
  <c r="U91" i="38"/>
  <c r="U92" i="38"/>
  <c r="U93" i="38"/>
  <c r="U94" i="38"/>
  <c r="G337" i="38"/>
  <c r="D337" i="38"/>
  <c r="H337" i="38"/>
  <c r="G313" i="38"/>
  <c r="D313" i="38"/>
  <c r="H313" i="38"/>
  <c r="E301" i="38"/>
  <c r="U7" i="14"/>
  <c r="Y51" i="38" s="1"/>
  <c r="U8" i="14"/>
  <c r="U6" i="14"/>
  <c r="Y50" i="38" s="1"/>
  <c r="E336" i="41"/>
  <c r="E321" i="41"/>
  <c r="E306" i="41"/>
  <c r="E291" i="41"/>
  <c r="E276" i="41"/>
  <c r="E261" i="41"/>
  <c r="E246" i="41"/>
  <c r="E231" i="41"/>
  <c r="E351" i="41"/>
  <c r="D137" i="37"/>
  <c r="B257" i="34"/>
  <c r="K260" i="34" s="1"/>
  <c r="B245" i="34"/>
  <c r="K248" i="34" s="1"/>
  <c r="B233" i="34"/>
  <c r="K236" i="34" s="1"/>
  <c r="B221" i="34"/>
  <c r="K224" i="34" s="1"/>
  <c r="B209" i="34"/>
  <c r="K212" i="34" s="1"/>
  <c r="B197" i="34"/>
  <c r="K200" i="34" s="1"/>
  <c r="B185" i="34"/>
  <c r="K188" i="34" s="1"/>
  <c r="B173" i="34"/>
  <c r="K176" i="34" s="1"/>
  <c r="B161" i="34"/>
  <c r="K164" i="34" s="1"/>
  <c r="B149" i="34"/>
  <c r="K152" i="34" s="1"/>
  <c r="B137" i="34"/>
  <c r="K140" i="34" s="1"/>
  <c r="B125" i="34"/>
  <c r="K128" i="34" s="1"/>
  <c r="B113" i="34"/>
  <c r="K116" i="34" s="1"/>
  <c r="B101" i="34"/>
  <c r="K104" i="34" s="1"/>
  <c r="B89" i="34"/>
  <c r="K92" i="34" s="1"/>
  <c r="B77" i="34"/>
  <c r="K80" i="34" s="1"/>
  <c r="B65" i="34"/>
  <c r="K68" i="34" s="1"/>
  <c r="B53" i="34"/>
  <c r="K56" i="34" s="1"/>
  <c r="B41" i="34"/>
  <c r="K44" i="34" s="1"/>
  <c r="B29" i="34"/>
  <c r="K32" i="34" s="1"/>
  <c r="B257" i="43"/>
  <c r="K260" i="43" s="1"/>
  <c r="B245" i="43"/>
  <c r="K248" i="43" s="1"/>
  <c r="B233" i="43"/>
  <c r="K236" i="43" s="1"/>
  <c r="B221" i="43"/>
  <c r="K224" i="43" s="1"/>
  <c r="B209" i="43"/>
  <c r="K212" i="43" s="1"/>
  <c r="B197" i="43"/>
  <c r="K200" i="43" s="1"/>
  <c r="B185" i="43"/>
  <c r="K188" i="43" s="1"/>
  <c r="B173" i="43"/>
  <c r="K176" i="43" s="1"/>
  <c r="B161" i="43"/>
  <c r="K164" i="43" s="1"/>
  <c r="B149" i="43"/>
  <c r="K152" i="43" s="1"/>
  <c r="B137" i="43"/>
  <c r="K140" i="43" s="1"/>
  <c r="B125" i="43"/>
  <c r="K128" i="43" s="1"/>
  <c r="B113" i="43"/>
  <c r="K116" i="43" s="1"/>
  <c r="B101" i="43"/>
  <c r="K104" i="43" s="1"/>
  <c r="B89" i="43"/>
  <c r="K92" i="43" s="1"/>
  <c r="B77" i="43"/>
  <c r="K80" i="43" s="1"/>
  <c r="B65" i="43"/>
  <c r="K68" i="43" s="1"/>
  <c r="B53" i="43"/>
  <c r="K56" i="43" s="1"/>
  <c r="B41" i="43"/>
  <c r="K44" i="43" s="1"/>
  <c r="B29" i="43"/>
  <c r="K32" i="43" s="1"/>
  <c r="B257" i="44"/>
  <c r="K260" i="44" s="1"/>
  <c r="B245" i="44"/>
  <c r="K248" i="44" s="1"/>
  <c r="B233" i="44"/>
  <c r="K236" i="44" s="1"/>
  <c r="B221" i="44"/>
  <c r="K224" i="44" s="1"/>
  <c r="B209" i="44"/>
  <c r="K212" i="44" s="1"/>
  <c r="B197" i="44"/>
  <c r="K200" i="44" s="1"/>
  <c r="B185" i="44"/>
  <c r="K188" i="44" s="1"/>
  <c r="B173" i="44"/>
  <c r="K176" i="44" s="1"/>
  <c r="B161" i="44"/>
  <c r="K164" i="44" s="1"/>
  <c r="B149" i="44"/>
  <c r="K152" i="44" s="1"/>
  <c r="B137" i="44"/>
  <c r="K140" i="44" s="1"/>
  <c r="B125" i="44"/>
  <c r="K128" i="44" s="1"/>
  <c r="B113" i="44"/>
  <c r="K116" i="44" s="1"/>
  <c r="B101" i="44"/>
  <c r="K104" i="44" s="1"/>
  <c r="B89" i="44"/>
  <c r="K92" i="44" s="1"/>
  <c r="B77" i="44"/>
  <c r="K80" i="44" s="1"/>
  <c r="B65" i="44"/>
  <c r="K68" i="44" s="1"/>
  <c r="B53" i="44"/>
  <c r="K56" i="44" s="1"/>
  <c r="B41" i="44"/>
  <c r="K44" i="44" s="1"/>
  <c r="B29" i="44"/>
  <c r="K32" i="44" s="1"/>
  <c r="B257" i="45"/>
  <c r="K260" i="45" s="1"/>
  <c r="B245" i="45"/>
  <c r="K248" i="45" s="1"/>
  <c r="B233" i="45"/>
  <c r="K236" i="45" s="1"/>
  <c r="B221" i="45"/>
  <c r="K224" i="45" s="1"/>
  <c r="B209" i="45"/>
  <c r="K212" i="45" s="1"/>
  <c r="B197" i="45"/>
  <c r="K200" i="45" s="1"/>
  <c r="B185" i="45"/>
  <c r="K188" i="45" s="1"/>
  <c r="B173" i="45"/>
  <c r="K176" i="45" s="1"/>
  <c r="B161" i="45"/>
  <c r="K164" i="45" s="1"/>
  <c r="B149" i="45"/>
  <c r="K152" i="45" s="1"/>
  <c r="B137" i="45"/>
  <c r="K140" i="45" s="1"/>
  <c r="B125" i="45"/>
  <c r="K128" i="45" s="1"/>
  <c r="B113" i="45"/>
  <c r="K116" i="45" s="1"/>
  <c r="B101" i="45"/>
  <c r="K104" i="45" s="1"/>
  <c r="B89" i="45"/>
  <c r="K92" i="45" s="1"/>
  <c r="B77" i="45"/>
  <c r="K80" i="45" s="1"/>
  <c r="B65" i="45"/>
  <c r="K68" i="45" s="1"/>
  <c r="B53" i="45"/>
  <c r="K56" i="45" s="1"/>
  <c r="B41" i="45"/>
  <c r="K44" i="45" s="1"/>
  <c r="B29" i="45"/>
  <c r="K32" i="45" s="1"/>
  <c r="C350" i="41"/>
  <c r="G391" i="41"/>
  <c r="O391" i="41" s="1"/>
  <c r="C230" i="41"/>
  <c r="C290" i="41"/>
  <c r="C320" i="41"/>
  <c r="C260" i="41"/>
  <c r="C335" i="41"/>
  <c r="C305" i="41"/>
  <c r="C275" i="41"/>
  <c r="C245" i="41"/>
  <c r="B386" i="41"/>
  <c r="M63" i="41"/>
  <c r="G45" i="41"/>
  <c r="N7" i="41"/>
  <c r="N46" i="41" s="1"/>
  <c r="H2" i="14"/>
  <c r="P1" i="1" s="1"/>
  <c r="D136" i="53"/>
  <c r="AG27" i="14" s="1"/>
  <c r="D107" i="53"/>
  <c r="AG26" i="14" s="1"/>
  <c r="D78" i="53"/>
  <c r="AG25" i="14" s="1"/>
  <c r="D49" i="53"/>
  <c r="AG24" i="14" s="1"/>
  <c r="D362" i="3"/>
  <c r="AF32" i="14" s="1"/>
  <c r="D324" i="3"/>
  <c r="AF31" i="14" s="1"/>
  <c r="D286" i="3"/>
  <c r="AF30" i="14" s="1"/>
  <c r="D248" i="3"/>
  <c r="AF29" i="14" s="1"/>
  <c r="D210" i="3"/>
  <c r="AF28" i="14" s="1"/>
  <c r="D172" i="3"/>
  <c r="AF27" i="14" s="1"/>
  <c r="D134" i="3"/>
  <c r="AF26" i="14" s="1"/>
  <c r="D96" i="3"/>
  <c r="AF25" i="14" s="1"/>
  <c r="F185" i="47"/>
  <c r="E185" i="47"/>
  <c r="F167" i="47"/>
  <c r="E167" i="47"/>
  <c r="F149" i="47"/>
  <c r="E149" i="47"/>
  <c r="F131" i="47"/>
  <c r="E131" i="47"/>
  <c r="F113" i="47"/>
  <c r="E113" i="47"/>
  <c r="F95" i="47"/>
  <c r="E95" i="47"/>
  <c r="F77" i="47"/>
  <c r="E77" i="47"/>
  <c r="F59" i="47"/>
  <c r="E59" i="47"/>
  <c r="F41" i="47"/>
  <c r="E41" i="47"/>
  <c r="L78" i="38"/>
  <c r="J78" i="38"/>
  <c r="I78" i="38"/>
  <c r="N11" i="14"/>
  <c r="N78" i="38" s="1"/>
  <c r="N10" i="14"/>
  <c r="M78" i="38" s="1"/>
  <c r="N8" i="14"/>
  <c r="K78" i="38" s="1"/>
  <c r="O398" i="41"/>
  <c r="O397" i="41"/>
  <c r="O396" i="41"/>
  <c r="O8" i="41"/>
  <c r="H25" i="41"/>
  <c r="J183" i="51"/>
  <c r="I183" i="51"/>
  <c r="H183" i="51"/>
  <c r="G183" i="51"/>
  <c r="F183" i="51"/>
  <c r="E183" i="51"/>
  <c r="J166" i="51"/>
  <c r="I166" i="51"/>
  <c r="H166" i="51"/>
  <c r="G166" i="51"/>
  <c r="F166" i="51"/>
  <c r="E166" i="51"/>
  <c r="J149" i="51"/>
  <c r="I149" i="51"/>
  <c r="H149" i="51"/>
  <c r="G149" i="51"/>
  <c r="F149" i="51"/>
  <c r="E149" i="51"/>
  <c r="J132" i="51"/>
  <c r="I132" i="51"/>
  <c r="H132" i="51"/>
  <c r="G132" i="51"/>
  <c r="F132" i="51"/>
  <c r="E132" i="51"/>
  <c r="J115" i="51"/>
  <c r="I115" i="51"/>
  <c r="H115" i="51"/>
  <c r="G115" i="51"/>
  <c r="F115" i="51"/>
  <c r="E115" i="51"/>
  <c r="J98" i="51"/>
  <c r="I98" i="51"/>
  <c r="H98" i="51"/>
  <c r="G98" i="51"/>
  <c r="F98" i="51"/>
  <c r="E98" i="51"/>
  <c r="J81" i="51"/>
  <c r="I81" i="51"/>
  <c r="H81" i="51"/>
  <c r="G81" i="51"/>
  <c r="F81" i="51"/>
  <c r="E81" i="51"/>
  <c r="J64" i="51"/>
  <c r="I64" i="51"/>
  <c r="H64" i="51"/>
  <c r="G64" i="51"/>
  <c r="F64" i="51"/>
  <c r="E64" i="51"/>
  <c r="J47" i="51"/>
  <c r="I47" i="51"/>
  <c r="H47" i="51"/>
  <c r="G47" i="51"/>
  <c r="F47" i="51"/>
  <c r="E47" i="51"/>
  <c r="F30" i="51"/>
  <c r="G30" i="51"/>
  <c r="H30" i="51"/>
  <c r="I30" i="51"/>
  <c r="J30" i="51"/>
  <c r="E30" i="51"/>
  <c r="J183" i="49"/>
  <c r="I183" i="49"/>
  <c r="H183" i="49"/>
  <c r="G183" i="49"/>
  <c r="F183" i="49"/>
  <c r="E183" i="49"/>
  <c r="J166" i="49"/>
  <c r="I166" i="49"/>
  <c r="H166" i="49"/>
  <c r="G166" i="49"/>
  <c r="F166" i="49"/>
  <c r="E166" i="49"/>
  <c r="J149" i="49"/>
  <c r="I149" i="49"/>
  <c r="H149" i="49"/>
  <c r="G149" i="49"/>
  <c r="F149" i="49"/>
  <c r="E149" i="49"/>
  <c r="J132" i="49"/>
  <c r="I132" i="49"/>
  <c r="H132" i="49"/>
  <c r="G132" i="49"/>
  <c r="F132" i="49"/>
  <c r="E132" i="49"/>
  <c r="J115" i="49"/>
  <c r="I115" i="49"/>
  <c r="H115" i="49"/>
  <c r="G115" i="49"/>
  <c r="F115" i="49"/>
  <c r="E115" i="49"/>
  <c r="J98" i="49"/>
  <c r="I98" i="49"/>
  <c r="H98" i="49"/>
  <c r="G98" i="49"/>
  <c r="F98" i="49"/>
  <c r="E98" i="49"/>
  <c r="J81" i="49"/>
  <c r="I81" i="49"/>
  <c r="H81" i="49"/>
  <c r="G81" i="49"/>
  <c r="F81" i="49"/>
  <c r="E81" i="49"/>
  <c r="J64" i="49"/>
  <c r="I64" i="49"/>
  <c r="H64" i="49"/>
  <c r="G64" i="49"/>
  <c r="F64" i="49"/>
  <c r="E64" i="49"/>
  <c r="J47" i="49"/>
  <c r="I47" i="49"/>
  <c r="H47" i="49"/>
  <c r="G47" i="49"/>
  <c r="F47" i="49"/>
  <c r="E47" i="49"/>
  <c r="F30" i="49"/>
  <c r="G30" i="49"/>
  <c r="H30" i="49"/>
  <c r="I30" i="49"/>
  <c r="J30" i="49"/>
  <c r="E30" i="49"/>
  <c r="F415" i="15"/>
  <c r="F403" i="15"/>
  <c r="G403" i="15" s="1"/>
  <c r="H403" i="15" s="1"/>
  <c r="I403" i="15" s="1"/>
  <c r="J403" i="15" s="1"/>
  <c r="K403" i="15" s="1"/>
  <c r="F391" i="15"/>
  <c r="F379" i="15"/>
  <c r="G379" i="15" s="1"/>
  <c r="H379" i="15" s="1"/>
  <c r="I379" i="15" s="1"/>
  <c r="J379" i="15" s="1"/>
  <c r="K379" i="15" s="1"/>
  <c r="F367" i="15"/>
  <c r="F355" i="15"/>
  <c r="G355" i="15" s="1"/>
  <c r="H355" i="15" s="1"/>
  <c r="I355" i="15" s="1"/>
  <c r="J355" i="15" s="1"/>
  <c r="K355" i="15" s="1"/>
  <c r="F343" i="15"/>
  <c r="F331" i="15"/>
  <c r="G331" i="15" s="1"/>
  <c r="H331" i="15" s="1"/>
  <c r="I331" i="15" s="1"/>
  <c r="J331" i="15" s="1"/>
  <c r="K331" i="15" s="1"/>
  <c r="F319" i="15"/>
  <c r="G319" i="15" s="1"/>
  <c r="H319" i="15" s="1"/>
  <c r="I319" i="15" s="1"/>
  <c r="J319" i="15" s="1"/>
  <c r="K319" i="15" s="1"/>
  <c r="F307" i="15"/>
  <c r="G307" i="15" s="1"/>
  <c r="H307" i="15" s="1"/>
  <c r="I307" i="15" s="1"/>
  <c r="J307" i="15" s="1"/>
  <c r="K307" i="15" s="1"/>
  <c r="E319" i="15"/>
  <c r="AB134" i="15"/>
  <c r="D197" i="15" s="1"/>
  <c r="I197" i="15" s="1"/>
  <c r="AB135" i="15"/>
  <c r="D209" i="15" s="1"/>
  <c r="I209" i="15" s="1"/>
  <c r="AB136" i="15"/>
  <c r="D221" i="15" s="1"/>
  <c r="I221" i="15" s="1"/>
  <c r="AB137" i="15"/>
  <c r="D233" i="15" s="1"/>
  <c r="I233" i="15" s="1"/>
  <c r="AB138" i="15"/>
  <c r="D245" i="15" s="1"/>
  <c r="I245" i="15" s="1"/>
  <c r="AB139" i="15"/>
  <c r="D257" i="15" s="1"/>
  <c r="I257" i="15" s="1"/>
  <c r="AB140" i="15"/>
  <c r="D269" i="15" s="1"/>
  <c r="I269" i="15" s="1"/>
  <c r="AB141" i="15"/>
  <c r="D281" i="15" s="1"/>
  <c r="I281" i="15" s="1"/>
  <c r="AB142" i="15"/>
  <c r="D293" i="15" s="1"/>
  <c r="I293" i="15" s="1"/>
  <c r="AB143" i="15"/>
  <c r="D305" i="15" s="1"/>
  <c r="I305" i="15" s="1"/>
  <c r="AB144" i="15"/>
  <c r="D317" i="15" s="1"/>
  <c r="I317" i="15" s="1"/>
  <c r="AB145" i="15"/>
  <c r="D329" i="15" s="1"/>
  <c r="I329" i="15" s="1"/>
  <c r="AB146" i="15"/>
  <c r="D341" i="15" s="1"/>
  <c r="I341" i="15" s="1"/>
  <c r="AB147" i="15"/>
  <c r="D353" i="15" s="1"/>
  <c r="I353" i="15" s="1"/>
  <c r="AB148" i="15"/>
  <c r="D365" i="15" s="1"/>
  <c r="I365" i="15" s="1"/>
  <c r="AB149" i="15"/>
  <c r="D377" i="15" s="1"/>
  <c r="I377" i="15" s="1"/>
  <c r="AB150" i="15"/>
  <c r="D389" i="15" s="1"/>
  <c r="I389" i="15" s="1"/>
  <c r="AB151" i="15"/>
  <c r="D401" i="15" s="1"/>
  <c r="I401" i="15" s="1"/>
  <c r="AB152" i="15"/>
  <c r="D413" i="15" s="1"/>
  <c r="I413" i="15" s="1"/>
  <c r="L20" i="53"/>
  <c r="D20" i="53" s="1"/>
  <c r="AG23" i="14" s="1"/>
  <c r="L20" i="3"/>
  <c r="D20" i="3" s="1"/>
  <c r="AF23" i="14" s="1"/>
  <c r="L20" i="56"/>
  <c r="D20" i="56" s="1"/>
  <c r="AE23" i="14" s="1"/>
  <c r="AH13" i="14"/>
  <c r="AH14" i="14"/>
  <c r="AH15" i="14"/>
  <c r="AH16" i="14"/>
  <c r="AH12" i="14"/>
  <c r="G33" i="1"/>
  <c r="F7" i="58"/>
  <c r="G7" i="58" s="1"/>
  <c r="H7" i="58" s="1"/>
  <c r="I7" i="58" s="1"/>
  <c r="J7" i="58" s="1"/>
  <c r="K7" i="58" s="1"/>
  <c r="L25" i="58"/>
  <c r="DB220" i="47"/>
  <c r="DC220" i="47" s="1"/>
  <c r="DB221" i="47"/>
  <c r="DC221" i="47" s="1"/>
  <c r="DB245" i="47"/>
  <c r="DC245" i="47" s="1"/>
  <c r="DB246" i="47"/>
  <c r="DC246" i="47" s="1"/>
  <c r="DB270" i="47"/>
  <c r="DC270" i="47" s="1"/>
  <c r="DB271" i="47"/>
  <c r="DC271" i="47" s="1"/>
  <c r="T337" i="7"/>
  <c r="U337" i="7" s="1"/>
  <c r="V337" i="7" s="1"/>
  <c r="W337" i="7" s="1"/>
  <c r="X337" i="7" s="1"/>
  <c r="Y337" i="7" s="1"/>
  <c r="N337" i="7"/>
  <c r="O337" i="7" s="1"/>
  <c r="P337" i="7" s="1"/>
  <c r="Q337" i="7" s="1"/>
  <c r="R337" i="7" s="1"/>
  <c r="S337" i="7" s="1"/>
  <c r="T103" i="7"/>
  <c r="U103" i="7" s="1"/>
  <c r="V103" i="7" s="1"/>
  <c r="W103" i="7" s="1"/>
  <c r="X103" i="7" s="1"/>
  <c r="Y103" i="7" s="1"/>
  <c r="N103" i="7"/>
  <c r="O103" i="7" s="1"/>
  <c r="P103" i="7" s="1"/>
  <c r="Q103" i="7" s="1"/>
  <c r="R103" i="7" s="1"/>
  <c r="S103" i="7" s="1"/>
  <c r="G187" i="47"/>
  <c r="G169" i="47"/>
  <c r="G151" i="47"/>
  <c r="G133" i="47"/>
  <c r="G115" i="47"/>
  <c r="G97" i="47"/>
  <c r="G79" i="47"/>
  <c r="G61" i="47"/>
  <c r="G43" i="47"/>
  <c r="A1" i="57"/>
  <c r="C34" i="1"/>
  <c r="H34" i="1" s="1"/>
  <c r="D280" i="7"/>
  <c r="E280" i="7" s="1"/>
  <c r="F280" i="7" s="1"/>
  <c r="G280" i="7" s="1"/>
  <c r="H280" i="7" s="1"/>
  <c r="I280" i="7" s="1"/>
  <c r="D272" i="7"/>
  <c r="E272" i="7" s="1"/>
  <c r="F272" i="7" s="1"/>
  <c r="G272" i="7" s="1"/>
  <c r="H272" i="7" s="1"/>
  <c r="I272" i="7" s="1"/>
  <c r="D264" i="7"/>
  <c r="E264" i="7" s="1"/>
  <c r="F264" i="7" s="1"/>
  <c r="G264" i="7" s="1"/>
  <c r="H264" i="7" s="1"/>
  <c r="I264" i="7" s="1"/>
  <c r="D256" i="7"/>
  <c r="E256" i="7" s="1"/>
  <c r="F256" i="7" s="1"/>
  <c r="G256" i="7" s="1"/>
  <c r="H256" i="7" s="1"/>
  <c r="I256" i="7" s="1"/>
  <c r="D248" i="7"/>
  <c r="E248" i="7" s="1"/>
  <c r="F248" i="7" s="1"/>
  <c r="G248" i="7" s="1"/>
  <c r="H248" i="7" s="1"/>
  <c r="I248" i="7" s="1"/>
  <c r="D240" i="7"/>
  <c r="E240" i="7" s="1"/>
  <c r="F240" i="7" s="1"/>
  <c r="G240" i="7" s="1"/>
  <c r="H240" i="7" s="1"/>
  <c r="I240" i="7" s="1"/>
  <c r="D232" i="7"/>
  <c r="E232" i="7" s="1"/>
  <c r="F232" i="7" s="1"/>
  <c r="G232" i="7" s="1"/>
  <c r="H232" i="7" s="1"/>
  <c r="I232" i="7" s="1"/>
  <c r="D224" i="7"/>
  <c r="E224" i="7" s="1"/>
  <c r="F224" i="7" s="1"/>
  <c r="G224" i="7" s="1"/>
  <c r="H224" i="7" s="1"/>
  <c r="I224" i="7" s="1"/>
  <c r="D216" i="7"/>
  <c r="E216" i="7" s="1"/>
  <c r="F216" i="7" s="1"/>
  <c r="G216" i="7" s="1"/>
  <c r="H216" i="7" s="1"/>
  <c r="I216" i="7" s="1"/>
  <c r="D208" i="7"/>
  <c r="E208" i="7" s="1"/>
  <c r="F208" i="7" s="1"/>
  <c r="G208" i="7" s="1"/>
  <c r="H208" i="7" s="1"/>
  <c r="I208" i="7" s="1"/>
  <c r="D514" i="7"/>
  <c r="E514" i="7" s="1"/>
  <c r="F514" i="7" s="1"/>
  <c r="G514" i="7" s="1"/>
  <c r="H514" i="7" s="1"/>
  <c r="I514" i="7" s="1"/>
  <c r="D506" i="7"/>
  <c r="E506" i="7" s="1"/>
  <c r="F506" i="7" s="1"/>
  <c r="G506" i="7" s="1"/>
  <c r="H506" i="7" s="1"/>
  <c r="I506" i="7" s="1"/>
  <c r="D498" i="7"/>
  <c r="E498" i="7" s="1"/>
  <c r="F498" i="7" s="1"/>
  <c r="G498" i="7" s="1"/>
  <c r="H498" i="7" s="1"/>
  <c r="I498" i="7" s="1"/>
  <c r="D490" i="7"/>
  <c r="E490" i="7" s="1"/>
  <c r="F490" i="7" s="1"/>
  <c r="G490" i="7" s="1"/>
  <c r="H490" i="7" s="1"/>
  <c r="I490" i="7" s="1"/>
  <c r="D482" i="7"/>
  <c r="E482" i="7" s="1"/>
  <c r="F482" i="7" s="1"/>
  <c r="G482" i="7" s="1"/>
  <c r="H482" i="7" s="1"/>
  <c r="I482" i="7" s="1"/>
  <c r="D474" i="7"/>
  <c r="E474" i="7" s="1"/>
  <c r="F474" i="7" s="1"/>
  <c r="G474" i="7" s="1"/>
  <c r="H474" i="7" s="1"/>
  <c r="I474" i="7" s="1"/>
  <c r="D466" i="7"/>
  <c r="E466" i="7" s="1"/>
  <c r="F466" i="7" s="1"/>
  <c r="G466" i="7" s="1"/>
  <c r="H466" i="7" s="1"/>
  <c r="I466" i="7" s="1"/>
  <c r="D458" i="7"/>
  <c r="E458" i="7" s="1"/>
  <c r="F458" i="7" s="1"/>
  <c r="G458" i="7" s="1"/>
  <c r="H458" i="7" s="1"/>
  <c r="I458" i="7" s="1"/>
  <c r="D450" i="7"/>
  <c r="E450" i="7" s="1"/>
  <c r="F450" i="7" s="1"/>
  <c r="G450" i="7" s="1"/>
  <c r="H450" i="7" s="1"/>
  <c r="I450" i="7" s="1"/>
  <c r="D442" i="7"/>
  <c r="E442" i="7" s="1"/>
  <c r="F442" i="7" s="1"/>
  <c r="G442" i="7" s="1"/>
  <c r="H442" i="7" s="1"/>
  <c r="I442" i="7" s="1"/>
  <c r="AC152" i="15"/>
  <c r="AC151" i="15"/>
  <c r="AC150" i="15"/>
  <c r="AC149" i="15"/>
  <c r="AC148" i="15"/>
  <c r="AC147" i="15"/>
  <c r="AC146" i="15"/>
  <c r="AC145" i="15"/>
  <c r="AC144" i="15"/>
  <c r="AC143" i="15"/>
  <c r="AC142" i="15"/>
  <c r="AC141" i="15"/>
  <c r="AC140" i="15"/>
  <c r="AC139" i="15"/>
  <c r="AC138" i="15"/>
  <c r="AC137" i="15"/>
  <c r="AC136" i="15"/>
  <c r="AC135" i="15"/>
  <c r="AC134" i="15"/>
  <c r="AC133" i="15"/>
  <c r="D263" i="45"/>
  <c r="E263" i="45" s="1"/>
  <c r="F263" i="45" s="1"/>
  <c r="G263" i="45" s="1"/>
  <c r="H263" i="45" s="1"/>
  <c r="I263" i="45" s="1"/>
  <c r="D258" i="45"/>
  <c r="E258" i="45" s="1"/>
  <c r="F258" i="45" s="1"/>
  <c r="G258" i="45" s="1"/>
  <c r="H258" i="45" s="1"/>
  <c r="I258" i="45" s="1"/>
  <c r="D251" i="45"/>
  <c r="E251" i="45" s="1"/>
  <c r="F251" i="45" s="1"/>
  <c r="G251" i="45" s="1"/>
  <c r="H251" i="45" s="1"/>
  <c r="I251" i="45" s="1"/>
  <c r="D246" i="45"/>
  <c r="E246" i="45" s="1"/>
  <c r="F246" i="45" s="1"/>
  <c r="G246" i="45" s="1"/>
  <c r="H246" i="45" s="1"/>
  <c r="I246" i="45" s="1"/>
  <c r="D239" i="45"/>
  <c r="E239" i="45" s="1"/>
  <c r="F239" i="45" s="1"/>
  <c r="G239" i="45" s="1"/>
  <c r="H239" i="45" s="1"/>
  <c r="I239" i="45" s="1"/>
  <c r="D234" i="45"/>
  <c r="E234" i="45" s="1"/>
  <c r="F234" i="45" s="1"/>
  <c r="G234" i="45" s="1"/>
  <c r="H234" i="45" s="1"/>
  <c r="I234" i="45" s="1"/>
  <c r="D227" i="45"/>
  <c r="E227" i="45" s="1"/>
  <c r="F227" i="45" s="1"/>
  <c r="G227" i="45" s="1"/>
  <c r="H227" i="45" s="1"/>
  <c r="I227" i="45" s="1"/>
  <c r="D222" i="45"/>
  <c r="E222" i="45" s="1"/>
  <c r="F222" i="45" s="1"/>
  <c r="G222" i="45" s="1"/>
  <c r="H222" i="45" s="1"/>
  <c r="I222" i="45" s="1"/>
  <c r="D215" i="45"/>
  <c r="E215" i="45" s="1"/>
  <c r="F215" i="45" s="1"/>
  <c r="G215" i="45" s="1"/>
  <c r="H215" i="45" s="1"/>
  <c r="I215" i="45" s="1"/>
  <c r="D210" i="45"/>
  <c r="E210" i="45" s="1"/>
  <c r="F210" i="45" s="1"/>
  <c r="G210" i="45" s="1"/>
  <c r="H210" i="45" s="1"/>
  <c r="I210" i="45" s="1"/>
  <c r="D203" i="45"/>
  <c r="E203" i="45" s="1"/>
  <c r="F203" i="45" s="1"/>
  <c r="G203" i="45" s="1"/>
  <c r="H203" i="45" s="1"/>
  <c r="I203" i="45" s="1"/>
  <c r="D198" i="45"/>
  <c r="E198" i="45" s="1"/>
  <c r="F198" i="45" s="1"/>
  <c r="G198" i="45" s="1"/>
  <c r="H198" i="45" s="1"/>
  <c r="I198" i="45" s="1"/>
  <c r="D191" i="45"/>
  <c r="E191" i="45" s="1"/>
  <c r="F191" i="45" s="1"/>
  <c r="G191" i="45" s="1"/>
  <c r="H191" i="45" s="1"/>
  <c r="I191" i="45" s="1"/>
  <c r="D186" i="45"/>
  <c r="E186" i="45" s="1"/>
  <c r="F186" i="45" s="1"/>
  <c r="G186" i="45" s="1"/>
  <c r="H186" i="45" s="1"/>
  <c r="I186" i="45" s="1"/>
  <c r="D179" i="45"/>
  <c r="E179" i="45" s="1"/>
  <c r="F179" i="45" s="1"/>
  <c r="G179" i="45" s="1"/>
  <c r="H179" i="45" s="1"/>
  <c r="I179" i="45" s="1"/>
  <c r="D174" i="45"/>
  <c r="E174" i="45" s="1"/>
  <c r="F174" i="45" s="1"/>
  <c r="G174" i="45" s="1"/>
  <c r="H174" i="45" s="1"/>
  <c r="I174" i="45" s="1"/>
  <c r="D167" i="45"/>
  <c r="E167" i="45" s="1"/>
  <c r="F167" i="45" s="1"/>
  <c r="G167" i="45" s="1"/>
  <c r="H167" i="45" s="1"/>
  <c r="I167" i="45" s="1"/>
  <c r="D162" i="45"/>
  <c r="E162" i="45" s="1"/>
  <c r="F162" i="45" s="1"/>
  <c r="G162" i="45" s="1"/>
  <c r="H162" i="45" s="1"/>
  <c r="I162" i="45" s="1"/>
  <c r="D155" i="45"/>
  <c r="E155" i="45" s="1"/>
  <c r="F155" i="45" s="1"/>
  <c r="G155" i="45" s="1"/>
  <c r="H155" i="45" s="1"/>
  <c r="I155" i="45" s="1"/>
  <c r="D150" i="45"/>
  <c r="E150" i="45" s="1"/>
  <c r="F150" i="45" s="1"/>
  <c r="G150" i="45" s="1"/>
  <c r="H150" i="45" s="1"/>
  <c r="I150" i="45" s="1"/>
  <c r="G290" i="45"/>
  <c r="G291" i="45"/>
  <c r="G292" i="45"/>
  <c r="G293" i="45"/>
  <c r="D263" i="44"/>
  <c r="E263" i="44" s="1"/>
  <c r="F263" i="44" s="1"/>
  <c r="G263" i="44" s="1"/>
  <c r="H263" i="44" s="1"/>
  <c r="I263" i="44" s="1"/>
  <c r="D258" i="44"/>
  <c r="E258" i="44" s="1"/>
  <c r="F258" i="44" s="1"/>
  <c r="G258" i="44" s="1"/>
  <c r="H258" i="44" s="1"/>
  <c r="I258" i="44" s="1"/>
  <c r="D251" i="44"/>
  <c r="E251" i="44" s="1"/>
  <c r="F251" i="44" s="1"/>
  <c r="G251" i="44" s="1"/>
  <c r="H251" i="44" s="1"/>
  <c r="I251" i="44" s="1"/>
  <c r="D246" i="44"/>
  <c r="E246" i="44" s="1"/>
  <c r="F246" i="44" s="1"/>
  <c r="G246" i="44" s="1"/>
  <c r="H246" i="44" s="1"/>
  <c r="I246" i="44" s="1"/>
  <c r="D239" i="44"/>
  <c r="E239" i="44" s="1"/>
  <c r="F239" i="44" s="1"/>
  <c r="G239" i="44" s="1"/>
  <c r="H239" i="44" s="1"/>
  <c r="I239" i="44" s="1"/>
  <c r="D234" i="44"/>
  <c r="E234" i="44" s="1"/>
  <c r="F234" i="44" s="1"/>
  <c r="G234" i="44" s="1"/>
  <c r="H234" i="44" s="1"/>
  <c r="I234" i="44" s="1"/>
  <c r="D227" i="44"/>
  <c r="E227" i="44" s="1"/>
  <c r="F227" i="44" s="1"/>
  <c r="G227" i="44" s="1"/>
  <c r="H227" i="44" s="1"/>
  <c r="I227" i="44" s="1"/>
  <c r="D222" i="44"/>
  <c r="E222" i="44" s="1"/>
  <c r="F222" i="44" s="1"/>
  <c r="G222" i="44" s="1"/>
  <c r="H222" i="44" s="1"/>
  <c r="I222" i="44" s="1"/>
  <c r="D215" i="44"/>
  <c r="E215" i="44" s="1"/>
  <c r="F215" i="44" s="1"/>
  <c r="G215" i="44" s="1"/>
  <c r="H215" i="44" s="1"/>
  <c r="I215" i="44" s="1"/>
  <c r="D210" i="44"/>
  <c r="E210" i="44" s="1"/>
  <c r="F210" i="44" s="1"/>
  <c r="G210" i="44" s="1"/>
  <c r="H210" i="44" s="1"/>
  <c r="I210" i="44" s="1"/>
  <c r="D203" i="44"/>
  <c r="E203" i="44" s="1"/>
  <c r="F203" i="44" s="1"/>
  <c r="G203" i="44" s="1"/>
  <c r="H203" i="44" s="1"/>
  <c r="I203" i="44" s="1"/>
  <c r="D198" i="44"/>
  <c r="E198" i="44" s="1"/>
  <c r="F198" i="44" s="1"/>
  <c r="G198" i="44" s="1"/>
  <c r="H198" i="44" s="1"/>
  <c r="I198" i="44" s="1"/>
  <c r="D191" i="44"/>
  <c r="E191" i="44" s="1"/>
  <c r="F191" i="44" s="1"/>
  <c r="G191" i="44" s="1"/>
  <c r="H191" i="44" s="1"/>
  <c r="I191" i="44" s="1"/>
  <c r="D186" i="44"/>
  <c r="E186" i="44" s="1"/>
  <c r="F186" i="44" s="1"/>
  <c r="G186" i="44" s="1"/>
  <c r="H186" i="44" s="1"/>
  <c r="I186" i="44" s="1"/>
  <c r="D179" i="44"/>
  <c r="E179" i="44" s="1"/>
  <c r="F179" i="44" s="1"/>
  <c r="G179" i="44" s="1"/>
  <c r="H179" i="44" s="1"/>
  <c r="I179" i="44" s="1"/>
  <c r="D174" i="44"/>
  <c r="E174" i="44" s="1"/>
  <c r="F174" i="44" s="1"/>
  <c r="G174" i="44" s="1"/>
  <c r="H174" i="44" s="1"/>
  <c r="I174" i="44" s="1"/>
  <c r="D167" i="44"/>
  <c r="E167" i="44" s="1"/>
  <c r="F167" i="44" s="1"/>
  <c r="G167" i="44" s="1"/>
  <c r="H167" i="44" s="1"/>
  <c r="I167" i="44" s="1"/>
  <c r="D162" i="44"/>
  <c r="E162" i="44" s="1"/>
  <c r="F162" i="44" s="1"/>
  <c r="G162" i="44" s="1"/>
  <c r="H162" i="44" s="1"/>
  <c r="I162" i="44" s="1"/>
  <c r="D155" i="44"/>
  <c r="E155" i="44" s="1"/>
  <c r="F155" i="44" s="1"/>
  <c r="G155" i="44" s="1"/>
  <c r="H155" i="44" s="1"/>
  <c r="I155" i="44" s="1"/>
  <c r="D150" i="44"/>
  <c r="E150" i="44" s="1"/>
  <c r="F150" i="44" s="1"/>
  <c r="G150" i="44" s="1"/>
  <c r="H150" i="44" s="1"/>
  <c r="I150" i="44" s="1"/>
  <c r="O124" i="15"/>
  <c r="J67" i="15" s="1"/>
  <c r="O115" i="15"/>
  <c r="L58" i="15" s="1"/>
  <c r="O116" i="15"/>
  <c r="H59" i="15" s="1"/>
  <c r="O117" i="15"/>
  <c r="L60" i="15" s="1"/>
  <c r="O118" i="15"/>
  <c r="J61" i="15" s="1"/>
  <c r="O119" i="15"/>
  <c r="L62" i="15" s="1"/>
  <c r="O120" i="15"/>
  <c r="H63" i="15" s="1"/>
  <c r="O121" i="15"/>
  <c r="L64" i="15" s="1"/>
  <c r="O122" i="15"/>
  <c r="F65" i="15" s="1"/>
  <c r="O123" i="15"/>
  <c r="L66" i="15" s="1"/>
  <c r="M67" i="15"/>
  <c r="AD143" i="15"/>
  <c r="AD144" i="15"/>
  <c r="AD145" i="15"/>
  <c r="AD146" i="15"/>
  <c r="AD147" i="15"/>
  <c r="AD148" i="15"/>
  <c r="AD149" i="15"/>
  <c r="AD150" i="15"/>
  <c r="AD151" i="15"/>
  <c r="AD152" i="15"/>
  <c r="AC115" i="15"/>
  <c r="AC116" i="15"/>
  <c r="AC117" i="15"/>
  <c r="AC118" i="15"/>
  <c r="AC119" i="15"/>
  <c r="AC120" i="15"/>
  <c r="AC121" i="15"/>
  <c r="AC122" i="15"/>
  <c r="AC123" i="15"/>
  <c r="AC124" i="15"/>
  <c r="D263" i="43"/>
  <c r="E263" i="43" s="1"/>
  <c r="F263" i="43" s="1"/>
  <c r="G263" i="43" s="1"/>
  <c r="H263" i="43" s="1"/>
  <c r="I263" i="43" s="1"/>
  <c r="D258" i="43"/>
  <c r="E258" i="43" s="1"/>
  <c r="F258" i="43" s="1"/>
  <c r="G258" i="43" s="1"/>
  <c r="H258" i="43" s="1"/>
  <c r="I258" i="43" s="1"/>
  <c r="D251" i="43"/>
  <c r="E251" i="43" s="1"/>
  <c r="F251" i="43" s="1"/>
  <c r="G251" i="43" s="1"/>
  <c r="H251" i="43" s="1"/>
  <c r="I251" i="43" s="1"/>
  <c r="D246" i="43"/>
  <c r="E246" i="43" s="1"/>
  <c r="F246" i="43" s="1"/>
  <c r="G246" i="43" s="1"/>
  <c r="H246" i="43" s="1"/>
  <c r="I246" i="43" s="1"/>
  <c r="D239" i="43"/>
  <c r="E239" i="43" s="1"/>
  <c r="F239" i="43" s="1"/>
  <c r="G239" i="43" s="1"/>
  <c r="H239" i="43" s="1"/>
  <c r="I239" i="43" s="1"/>
  <c r="D234" i="43"/>
  <c r="E234" i="43" s="1"/>
  <c r="F234" i="43" s="1"/>
  <c r="G234" i="43" s="1"/>
  <c r="H234" i="43" s="1"/>
  <c r="I234" i="43" s="1"/>
  <c r="D227" i="43"/>
  <c r="E227" i="43" s="1"/>
  <c r="F227" i="43" s="1"/>
  <c r="G227" i="43" s="1"/>
  <c r="H227" i="43" s="1"/>
  <c r="I227" i="43" s="1"/>
  <c r="D222" i="43"/>
  <c r="E222" i="43" s="1"/>
  <c r="F222" i="43" s="1"/>
  <c r="G222" i="43" s="1"/>
  <c r="H222" i="43" s="1"/>
  <c r="I222" i="43" s="1"/>
  <c r="D215" i="43"/>
  <c r="E215" i="43" s="1"/>
  <c r="F215" i="43" s="1"/>
  <c r="G215" i="43" s="1"/>
  <c r="H215" i="43" s="1"/>
  <c r="I215" i="43" s="1"/>
  <c r="D210" i="43"/>
  <c r="E210" i="43" s="1"/>
  <c r="F210" i="43" s="1"/>
  <c r="G210" i="43" s="1"/>
  <c r="H210" i="43" s="1"/>
  <c r="I210" i="43" s="1"/>
  <c r="D203" i="43"/>
  <c r="E203" i="43" s="1"/>
  <c r="F203" i="43" s="1"/>
  <c r="G203" i="43" s="1"/>
  <c r="H203" i="43" s="1"/>
  <c r="I203" i="43" s="1"/>
  <c r="D198" i="43"/>
  <c r="E198" i="43" s="1"/>
  <c r="F198" i="43" s="1"/>
  <c r="G198" i="43" s="1"/>
  <c r="H198" i="43" s="1"/>
  <c r="I198" i="43" s="1"/>
  <c r="D191" i="43"/>
  <c r="E191" i="43" s="1"/>
  <c r="F191" i="43" s="1"/>
  <c r="G191" i="43" s="1"/>
  <c r="H191" i="43" s="1"/>
  <c r="I191" i="43" s="1"/>
  <c r="D186" i="43"/>
  <c r="E186" i="43" s="1"/>
  <c r="F186" i="43" s="1"/>
  <c r="G186" i="43" s="1"/>
  <c r="H186" i="43" s="1"/>
  <c r="I186" i="43" s="1"/>
  <c r="D179" i="43"/>
  <c r="E179" i="43" s="1"/>
  <c r="F179" i="43" s="1"/>
  <c r="G179" i="43" s="1"/>
  <c r="H179" i="43" s="1"/>
  <c r="I179" i="43" s="1"/>
  <c r="D174" i="43"/>
  <c r="E174" i="43" s="1"/>
  <c r="F174" i="43" s="1"/>
  <c r="G174" i="43" s="1"/>
  <c r="H174" i="43" s="1"/>
  <c r="I174" i="43" s="1"/>
  <c r="D167" i="43"/>
  <c r="E167" i="43" s="1"/>
  <c r="F167" i="43" s="1"/>
  <c r="G167" i="43" s="1"/>
  <c r="H167" i="43" s="1"/>
  <c r="I167" i="43" s="1"/>
  <c r="D162" i="43"/>
  <c r="E162" i="43" s="1"/>
  <c r="F162" i="43" s="1"/>
  <c r="G162" i="43" s="1"/>
  <c r="H162" i="43" s="1"/>
  <c r="I162" i="43" s="1"/>
  <c r="D155" i="43"/>
  <c r="E155" i="43" s="1"/>
  <c r="F155" i="43" s="1"/>
  <c r="G155" i="43" s="1"/>
  <c r="H155" i="43" s="1"/>
  <c r="I155" i="43" s="1"/>
  <c r="D150" i="43"/>
  <c r="E150" i="43" s="1"/>
  <c r="F150" i="43" s="1"/>
  <c r="G150" i="43" s="1"/>
  <c r="H150" i="43" s="1"/>
  <c r="I150" i="43" s="1"/>
  <c r="J60" i="15"/>
  <c r="K348" i="7"/>
  <c r="K349" i="7"/>
  <c r="K350" i="7"/>
  <c r="K351" i="7"/>
  <c r="K352" i="7"/>
  <c r="K353" i="7"/>
  <c r="K354" i="7"/>
  <c r="K355" i="7"/>
  <c r="K356" i="7"/>
  <c r="K357" i="7"/>
  <c r="K114" i="7"/>
  <c r="K115" i="7"/>
  <c r="K116" i="7"/>
  <c r="K117" i="7"/>
  <c r="K118" i="7"/>
  <c r="K119" i="7"/>
  <c r="K120" i="7"/>
  <c r="K121" i="7"/>
  <c r="K122" i="7"/>
  <c r="K123" i="7"/>
  <c r="G348" i="7"/>
  <c r="L348" i="7" s="1"/>
  <c r="G349" i="7"/>
  <c r="L349" i="7" s="1"/>
  <c r="G350" i="7"/>
  <c r="L350" i="7" s="1"/>
  <c r="G351" i="7"/>
  <c r="L351" i="7" s="1"/>
  <c r="G352" i="7"/>
  <c r="L352" i="7" s="1"/>
  <c r="G353" i="7"/>
  <c r="L353" i="7" s="1"/>
  <c r="G354" i="7"/>
  <c r="L354" i="7" s="1"/>
  <c r="G355" i="7"/>
  <c r="L355" i="7" s="1"/>
  <c r="G356" i="7"/>
  <c r="L356" i="7" s="1"/>
  <c r="F510" i="7" s="1"/>
  <c r="V356" i="7" s="1"/>
  <c r="G357" i="7"/>
  <c r="L357" i="7" s="1"/>
  <c r="I517" i="7" s="1"/>
  <c r="S357" i="7" s="1"/>
  <c r="G114" i="7"/>
  <c r="L114" i="7" s="1"/>
  <c r="G115" i="7"/>
  <c r="L115" i="7" s="1"/>
  <c r="G116" i="7"/>
  <c r="L116" i="7" s="1"/>
  <c r="F228" i="7" s="1"/>
  <c r="V116" i="7" s="1"/>
  <c r="G117" i="7"/>
  <c r="L117" i="7" s="1"/>
  <c r="F236" i="7" s="1"/>
  <c r="V117" i="7" s="1"/>
  <c r="G118" i="7"/>
  <c r="L118" i="7" s="1"/>
  <c r="I243" i="7" s="1"/>
  <c r="S118" i="7" s="1"/>
  <c r="G119" i="7"/>
  <c r="L119" i="7" s="1"/>
  <c r="F252" i="7" s="1"/>
  <c r="V119" i="7" s="1"/>
  <c r="G120" i="7"/>
  <c r="L120" i="7" s="1"/>
  <c r="F260" i="7" s="1"/>
  <c r="V120" i="7" s="1"/>
  <c r="G121" i="7"/>
  <c r="L121" i="7" s="1"/>
  <c r="F268" i="7" s="1"/>
  <c r="V121" i="7" s="1"/>
  <c r="G122" i="7"/>
  <c r="L122" i="7" s="1"/>
  <c r="F276" i="7" s="1"/>
  <c r="V122" i="7" s="1"/>
  <c r="G123" i="7"/>
  <c r="L123" i="7" s="1"/>
  <c r="D263" i="34"/>
  <c r="E263" i="34" s="1"/>
  <c r="F263" i="34" s="1"/>
  <c r="G263" i="34" s="1"/>
  <c r="H263" i="34" s="1"/>
  <c r="I263" i="34" s="1"/>
  <c r="D258" i="34"/>
  <c r="E258" i="34" s="1"/>
  <c r="F258" i="34" s="1"/>
  <c r="G258" i="34" s="1"/>
  <c r="H258" i="34" s="1"/>
  <c r="I258" i="34" s="1"/>
  <c r="D251" i="34"/>
  <c r="E251" i="34" s="1"/>
  <c r="F251" i="34" s="1"/>
  <c r="G251" i="34" s="1"/>
  <c r="H251" i="34" s="1"/>
  <c r="I251" i="34" s="1"/>
  <c r="D246" i="34"/>
  <c r="E246" i="34" s="1"/>
  <c r="F246" i="34" s="1"/>
  <c r="G246" i="34" s="1"/>
  <c r="H246" i="34" s="1"/>
  <c r="I246" i="34" s="1"/>
  <c r="D239" i="34"/>
  <c r="E239" i="34" s="1"/>
  <c r="F239" i="34" s="1"/>
  <c r="G239" i="34" s="1"/>
  <c r="H239" i="34" s="1"/>
  <c r="I239" i="34" s="1"/>
  <c r="D234" i="34"/>
  <c r="E234" i="34" s="1"/>
  <c r="F234" i="34" s="1"/>
  <c r="G234" i="34" s="1"/>
  <c r="H234" i="34" s="1"/>
  <c r="I234" i="34" s="1"/>
  <c r="D227" i="34"/>
  <c r="E227" i="34" s="1"/>
  <c r="F227" i="34" s="1"/>
  <c r="G227" i="34" s="1"/>
  <c r="H227" i="34" s="1"/>
  <c r="I227" i="34" s="1"/>
  <c r="D222" i="34"/>
  <c r="E222" i="34" s="1"/>
  <c r="F222" i="34" s="1"/>
  <c r="G222" i="34" s="1"/>
  <c r="H222" i="34" s="1"/>
  <c r="I222" i="34" s="1"/>
  <c r="D215" i="34"/>
  <c r="E215" i="34" s="1"/>
  <c r="F215" i="34" s="1"/>
  <c r="G215" i="34" s="1"/>
  <c r="H215" i="34" s="1"/>
  <c r="I215" i="34" s="1"/>
  <c r="D210" i="34"/>
  <c r="E210" i="34" s="1"/>
  <c r="F210" i="34" s="1"/>
  <c r="G210" i="34" s="1"/>
  <c r="H210" i="34" s="1"/>
  <c r="I210" i="34" s="1"/>
  <c r="D203" i="34"/>
  <c r="E203" i="34" s="1"/>
  <c r="F203" i="34" s="1"/>
  <c r="G203" i="34" s="1"/>
  <c r="H203" i="34" s="1"/>
  <c r="I203" i="34" s="1"/>
  <c r="D198" i="34"/>
  <c r="E198" i="34" s="1"/>
  <c r="F198" i="34" s="1"/>
  <c r="G198" i="34" s="1"/>
  <c r="H198" i="34" s="1"/>
  <c r="I198" i="34" s="1"/>
  <c r="D191" i="34"/>
  <c r="E191" i="34" s="1"/>
  <c r="F191" i="34" s="1"/>
  <c r="G191" i="34" s="1"/>
  <c r="H191" i="34" s="1"/>
  <c r="I191" i="34" s="1"/>
  <c r="D186" i="34"/>
  <c r="E186" i="34" s="1"/>
  <c r="F186" i="34" s="1"/>
  <c r="G186" i="34" s="1"/>
  <c r="H186" i="34" s="1"/>
  <c r="I186" i="34" s="1"/>
  <c r="D179" i="34"/>
  <c r="E179" i="34" s="1"/>
  <c r="F179" i="34" s="1"/>
  <c r="G179" i="34" s="1"/>
  <c r="H179" i="34" s="1"/>
  <c r="I179" i="34" s="1"/>
  <c r="D174" i="34"/>
  <c r="E174" i="34" s="1"/>
  <c r="F174" i="34" s="1"/>
  <c r="G174" i="34" s="1"/>
  <c r="H174" i="34" s="1"/>
  <c r="I174" i="34" s="1"/>
  <c r="D167" i="34"/>
  <c r="E167" i="34" s="1"/>
  <c r="F167" i="34" s="1"/>
  <c r="G167" i="34" s="1"/>
  <c r="H167" i="34" s="1"/>
  <c r="I167" i="34" s="1"/>
  <c r="D162" i="34"/>
  <c r="E162" i="34" s="1"/>
  <c r="F162" i="34" s="1"/>
  <c r="G162" i="34" s="1"/>
  <c r="H162" i="34" s="1"/>
  <c r="I162" i="34" s="1"/>
  <c r="D155" i="34"/>
  <c r="E155" i="34" s="1"/>
  <c r="F155" i="34" s="1"/>
  <c r="G155" i="34" s="1"/>
  <c r="H155" i="34" s="1"/>
  <c r="I155" i="34" s="1"/>
  <c r="D150" i="34"/>
  <c r="E150" i="34" s="1"/>
  <c r="F150" i="34" s="1"/>
  <c r="G150" i="34" s="1"/>
  <c r="H150" i="34" s="1"/>
  <c r="I150" i="34" s="1"/>
  <c r="AG28" i="14"/>
  <c r="AH28" i="14"/>
  <c r="AG29" i="14"/>
  <c r="AH29" i="14"/>
  <c r="AG30" i="14"/>
  <c r="AH30" i="14"/>
  <c r="O127" i="37"/>
  <c r="O128" i="37"/>
  <c r="O129" i="37"/>
  <c r="O130" i="37"/>
  <c r="O131" i="37"/>
  <c r="O132" i="37"/>
  <c r="O133" i="37"/>
  <c r="O134" i="37"/>
  <c r="O135" i="37"/>
  <c r="O136" i="37"/>
  <c r="E331" i="38"/>
  <c r="E319" i="38"/>
  <c r="F319" i="38" s="1"/>
  <c r="G319" i="38" s="1"/>
  <c r="H319" i="38" s="1"/>
  <c r="I319" i="38" s="1"/>
  <c r="J319" i="38" s="1"/>
  <c r="E307" i="38"/>
  <c r="F307" i="38" s="1"/>
  <c r="G307" i="38" s="1"/>
  <c r="H307" i="38" s="1"/>
  <c r="I307" i="38" s="1"/>
  <c r="J307" i="38" s="1"/>
  <c r="E295" i="38"/>
  <c r="E283" i="38"/>
  <c r="E271" i="38"/>
  <c r="F271" i="38" s="1"/>
  <c r="G271" i="38" s="1"/>
  <c r="H271" i="38" s="1"/>
  <c r="I271" i="38" s="1"/>
  <c r="J271" i="38" s="1"/>
  <c r="E259" i="38"/>
  <c r="F259" i="38" s="1"/>
  <c r="G259" i="38" s="1"/>
  <c r="H259" i="38" s="1"/>
  <c r="I259" i="38" s="1"/>
  <c r="J259" i="38" s="1"/>
  <c r="E247" i="38"/>
  <c r="E235" i="38"/>
  <c r="E223" i="38"/>
  <c r="F223" i="38" s="1"/>
  <c r="G223" i="38" s="1"/>
  <c r="H223" i="38" s="1"/>
  <c r="I223" i="38" s="1"/>
  <c r="J223" i="38" s="1"/>
  <c r="U69" i="38"/>
  <c r="V69" i="38"/>
  <c r="W69" i="38"/>
  <c r="X69" i="38"/>
  <c r="J70" i="38"/>
  <c r="K70" i="38"/>
  <c r="L70" i="38"/>
  <c r="M70" i="38"/>
  <c r="N70" i="38"/>
  <c r="I70" i="38"/>
  <c r="V60" i="38"/>
  <c r="W60" i="38"/>
  <c r="X60" i="38"/>
  <c r="U61" i="38"/>
  <c r="W61" i="38"/>
  <c r="X61" i="38"/>
  <c r="U62" i="38"/>
  <c r="W62" i="38"/>
  <c r="X62" i="38"/>
  <c r="V63" i="38"/>
  <c r="W63" i="38"/>
  <c r="X63" i="38"/>
  <c r="U64" i="38"/>
  <c r="V64" i="38"/>
  <c r="W64" i="38"/>
  <c r="X64" i="38"/>
  <c r="U65" i="38"/>
  <c r="V65" i="38"/>
  <c r="W65" i="38"/>
  <c r="X65" i="38"/>
  <c r="U66" i="38"/>
  <c r="V66" i="38"/>
  <c r="W66" i="38"/>
  <c r="R66" i="38" s="1"/>
  <c r="T66" i="38" s="1"/>
  <c r="X66" i="38"/>
  <c r="U67" i="38"/>
  <c r="V67" i="38"/>
  <c r="W67" i="38"/>
  <c r="X67" i="38"/>
  <c r="U68" i="38"/>
  <c r="V68" i="38"/>
  <c r="W68" i="38"/>
  <c r="X68" i="38"/>
  <c r="R69" i="38"/>
  <c r="T69" i="38" s="1"/>
  <c r="V62" i="38"/>
  <c r="U60" i="38"/>
  <c r="R63" i="38"/>
  <c r="T63" i="38" s="1"/>
  <c r="U63" i="38"/>
  <c r="R61" i="38"/>
  <c r="S61" i="38" s="1"/>
  <c r="V61" i="38"/>
  <c r="T61" i="38"/>
  <c r="S63" i="38"/>
  <c r="L76" i="15"/>
  <c r="M76" i="15" s="1"/>
  <c r="N76" i="15" s="1"/>
  <c r="O76" i="15" s="1"/>
  <c r="P76" i="15" s="1"/>
  <c r="Q76" i="15" s="1"/>
  <c r="E76" i="15"/>
  <c r="F76" i="15" s="1"/>
  <c r="G76" i="15" s="1"/>
  <c r="H76" i="15" s="1"/>
  <c r="I76" i="15" s="1"/>
  <c r="J76" i="15" s="1"/>
  <c r="AD105" i="15"/>
  <c r="C52" i="1"/>
  <c r="AW510" i="50"/>
  <c r="AX510" i="50" s="1"/>
  <c r="AY510" i="50" s="1"/>
  <c r="AZ510" i="50" s="1"/>
  <c r="BA510" i="50" s="1"/>
  <c r="BB510" i="50" s="1"/>
  <c r="AW486" i="50"/>
  <c r="AX486" i="50" s="1"/>
  <c r="AY486" i="50" s="1"/>
  <c r="AZ486" i="50" s="1"/>
  <c r="BA486" i="50" s="1"/>
  <c r="BB486" i="50" s="1"/>
  <c r="AW113" i="50"/>
  <c r="AX113" i="50" s="1"/>
  <c r="AY113" i="50" s="1"/>
  <c r="AZ113" i="50" s="1"/>
  <c r="BA113" i="50" s="1"/>
  <c r="BB113" i="50" s="1"/>
  <c r="AW89" i="50"/>
  <c r="AX89" i="50" s="1"/>
  <c r="AY89" i="50" s="1"/>
  <c r="AZ89" i="50" s="1"/>
  <c r="BA89" i="50" s="1"/>
  <c r="BB89" i="50" s="1"/>
  <c r="AP457" i="50"/>
  <c r="AQ457" i="50" s="1"/>
  <c r="AR457" i="50" s="1"/>
  <c r="AS457" i="50" s="1"/>
  <c r="AT457" i="50" s="1"/>
  <c r="AU457" i="50" s="1"/>
  <c r="AI457" i="50"/>
  <c r="AJ457" i="50" s="1"/>
  <c r="AK457" i="50" s="1"/>
  <c r="AL457" i="50" s="1"/>
  <c r="AM457" i="50" s="1"/>
  <c r="AN457" i="50" s="1"/>
  <c r="AP510" i="50"/>
  <c r="AQ510" i="50" s="1"/>
  <c r="AR510" i="50" s="1"/>
  <c r="AS510" i="50" s="1"/>
  <c r="AT510" i="50" s="1"/>
  <c r="AU510" i="50" s="1"/>
  <c r="AI510" i="50"/>
  <c r="AJ510" i="50" s="1"/>
  <c r="AK510" i="50" s="1"/>
  <c r="AL510" i="50" s="1"/>
  <c r="AM510" i="50" s="1"/>
  <c r="AN510" i="50" s="1"/>
  <c r="AP486" i="50"/>
  <c r="AQ486" i="50" s="1"/>
  <c r="AR486" i="50" s="1"/>
  <c r="AS486" i="50" s="1"/>
  <c r="AT486" i="50" s="1"/>
  <c r="AU486" i="50" s="1"/>
  <c r="AI486" i="50"/>
  <c r="AJ486" i="50" s="1"/>
  <c r="AK486" i="50" s="1"/>
  <c r="AL486" i="50" s="1"/>
  <c r="AM486" i="50" s="1"/>
  <c r="AN486" i="50" s="1"/>
  <c r="AP62" i="50"/>
  <c r="AQ62" i="50" s="1"/>
  <c r="AR62" i="50" s="1"/>
  <c r="AS62" i="50" s="1"/>
  <c r="AT62" i="50" s="1"/>
  <c r="AU62" i="50" s="1"/>
  <c r="AI62" i="50"/>
  <c r="AJ62" i="50" s="1"/>
  <c r="AK62" i="50" s="1"/>
  <c r="AL62" i="50" s="1"/>
  <c r="AM62" i="50" s="1"/>
  <c r="AN62" i="50" s="1"/>
  <c r="AP113" i="50"/>
  <c r="AQ113" i="50" s="1"/>
  <c r="AR113" i="50" s="1"/>
  <c r="AS113" i="50" s="1"/>
  <c r="AT113" i="50" s="1"/>
  <c r="AU113" i="50" s="1"/>
  <c r="AI113" i="50"/>
  <c r="AJ113" i="50" s="1"/>
  <c r="AK113" i="50" s="1"/>
  <c r="AL113" i="50" s="1"/>
  <c r="AM113" i="50" s="1"/>
  <c r="AN113" i="50" s="1"/>
  <c r="AP89" i="50"/>
  <c r="AQ89" i="50" s="1"/>
  <c r="AR89" i="50" s="1"/>
  <c r="AS89" i="50" s="1"/>
  <c r="AT89" i="50" s="1"/>
  <c r="AU89" i="50" s="1"/>
  <c r="AI89" i="50"/>
  <c r="AJ89" i="50" s="1"/>
  <c r="AK89" i="50" s="1"/>
  <c r="AL89" i="50" s="1"/>
  <c r="AM89" i="50" s="1"/>
  <c r="AN89" i="50" s="1"/>
  <c r="O109" i="15"/>
  <c r="O110" i="15"/>
  <c r="N53" i="15" s="1"/>
  <c r="AC106" i="15"/>
  <c r="AC107" i="15"/>
  <c r="AC108" i="15"/>
  <c r="AC109" i="15"/>
  <c r="AC110" i="15"/>
  <c r="AC111" i="15"/>
  <c r="AC112" i="15"/>
  <c r="AC113" i="15"/>
  <c r="AC114" i="15"/>
  <c r="AC105" i="15"/>
  <c r="AL75" i="15"/>
  <c r="AM75" i="15" s="1"/>
  <c r="AN75" i="15" s="1"/>
  <c r="AO75" i="15" s="1"/>
  <c r="AP75" i="15" s="1"/>
  <c r="AQ75" i="15" s="1"/>
  <c r="AF75" i="15"/>
  <c r="AG75" i="15" s="1"/>
  <c r="AH75" i="15" s="1"/>
  <c r="AI75" i="15" s="1"/>
  <c r="AJ75" i="15" s="1"/>
  <c r="AK75" i="15" s="1"/>
  <c r="AL47" i="15"/>
  <c r="AM47" i="15" s="1"/>
  <c r="AN47" i="15" s="1"/>
  <c r="AO47" i="15" s="1"/>
  <c r="AP47" i="15" s="1"/>
  <c r="AQ47" i="15" s="1"/>
  <c r="AF47" i="15"/>
  <c r="AG47" i="15" s="1"/>
  <c r="AH47" i="15" s="1"/>
  <c r="AI47" i="15" s="1"/>
  <c r="AJ47" i="15" s="1"/>
  <c r="AK47" i="15" s="1"/>
  <c r="O114" i="15"/>
  <c r="L57" i="15" s="1"/>
  <c r="O113" i="15"/>
  <c r="L56" i="15" s="1"/>
  <c r="O112" i="15"/>
  <c r="L55" i="15" s="1"/>
  <c r="O111" i="15"/>
  <c r="N54" i="15" s="1"/>
  <c r="O108" i="15"/>
  <c r="O107" i="15"/>
  <c r="O106" i="15"/>
  <c r="O105" i="15"/>
  <c r="AL104" i="15"/>
  <c r="AM104" i="15" s="1"/>
  <c r="AN104" i="15" s="1"/>
  <c r="AO104" i="15" s="1"/>
  <c r="AP104" i="15" s="1"/>
  <c r="AQ104" i="15" s="1"/>
  <c r="AF104" i="15"/>
  <c r="AG104" i="15" s="1"/>
  <c r="AH104" i="15" s="1"/>
  <c r="AI104" i="15" s="1"/>
  <c r="AJ104" i="15" s="1"/>
  <c r="AK104" i="15" s="1"/>
  <c r="F38" i="37"/>
  <c r="G38" i="37" s="1"/>
  <c r="H38" i="37" s="1"/>
  <c r="I38" i="37" s="1"/>
  <c r="J38" i="37" s="1"/>
  <c r="K38" i="37" s="1"/>
  <c r="L47" i="15"/>
  <c r="M47" i="15" s="1"/>
  <c r="N47" i="15" s="1"/>
  <c r="O47" i="15" s="1"/>
  <c r="P47" i="15" s="1"/>
  <c r="Q47" i="15" s="1"/>
  <c r="E47" i="15"/>
  <c r="F47" i="15" s="1"/>
  <c r="G47" i="15" s="1"/>
  <c r="H47" i="15" s="1"/>
  <c r="I47" i="15" s="1"/>
  <c r="J47" i="15" s="1"/>
  <c r="AO85" i="37"/>
  <c r="AP85" i="37" s="1"/>
  <c r="AQ85" i="37" s="1"/>
  <c r="AR85" i="37" s="1"/>
  <c r="AS85" i="37" s="1"/>
  <c r="AT85" i="37" s="1"/>
  <c r="AI85" i="37"/>
  <c r="AJ85" i="37" s="1"/>
  <c r="AK85" i="37" s="1"/>
  <c r="AL85" i="37" s="1"/>
  <c r="AM85" i="37" s="1"/>
  <c r="AN85" i="37" s="1"/>
  <c r="AO47" i="37"/>
  <c r="AP47" i="37" s="1"/>
  <c r="AQ47" i="37" s="1"/>
  <c r="AR47" i="37" s="1"/>
  <c r="AS47" i="37" s="1"/>
  <c r="AT47" i="37" s="1"/>
  <c r="AO116" i="37"/>
  <c r="AP116" i="37" s="1"/>
  <c r="AQ116" i="37" s="1"/>
  <c r="AR116" i="37" s="1"/>
  <c r="AS116" i="37" s="1"/>
  <c r="AT116" i="37" s="1"/>
  <c r="AI116" i="37"/>
  <c r="AJ116" i="37" s="1"/>
  <c r="AK116" i="37" s="1"/>
  <c r="AL116" i="37" s="1"/>
  <c r="AM116" i="37" s="1"/>
  <c r="AN116" i="37" s="1"/>
  <c r="AH32" i="14"/>
  <c r="AH31" i="14"/>
  <c r="AG32" i="14"/>
  <c r="AG31" i="14"/>
  <c r="AL88" i="14"/>
  <c r="AM88" i="14" s="1"/>
  <c r="AN88" i="14" s="1"/>
  <c r="AO88" i="14" s="1"/>
  <c r="AP88" i="14" s="1"/>
  <c r="AQ88" i="14" s="1"/>
  <c r="AI34" i="14"/>
  <c r="AL49" i="14"/>
  <c r="AM49" i="14" s="1"/>
  <c r="AN49" i="14" s="1"/>
  <c r="AO49" i="14" s="1"/>
  <c r="AP49" i="14" s="1"/>
  <c r="AQ49" i="14" s="1"/>
  <c r="N398" i="41"/>
  <c r="N397" i="41"/>
  <c r="N396" i="41"/>
  <c r="O126" i="37"/>
  <c r="O125" i="37"/>
  <c r="O124" i="37"/>
  <c r="O123" i="37"/>
  <c r="O122" i="37"/>
  <c r="O121" i="37"/>
  <c r="O120" i="37"/>
  <c r="O119" i="37"/>
  <c r="O118" i="37"/>
  <c r="E179" i="51"/>
  <c r="F179" i="51" s="1"/>
  <c r="F182" i="51" s="1"/>
  <c r="E162" i="51"/>
  <c r="F162" i="51" s="1"/>
  <c r="E145" i="51"/>
  <c r="F145" i="51" s="1"/>
  <c r="E128" i="51"/>
  <c r="F128" i="51" s="1"/>
  <c r="E111" i="51"/>
  <c r="F111" i="51" s="1"/>
  <c r="F114" i="51" s="1"/>
  <c r="E94" i="51"/>
  <c r="F94" i="51" s="1"/>
  <c r="F97" i="51" s="1"/>
  <c r="E77" i="51"/>
  <c r="F77" i="51" s="1"/>
  <c r="E60" i="51"/>
  <c r="E63" i="51" s="1"/>
  <c r="E43" i="51"/>
  <c r="F43" i="51" s="1"/>
  <c r="F46" i="51" s="1"/>
  <c r="E26" i="51"/>
  <c r="E77" i="49"/>
  <c r="E80" i="49" s="1"/>
  <c r="E179" i="49"/>
  <c r="E182" i="49" s="1"/>
  <c r="E162" i="49"/>
  <c r="E165" i="49" s="1"/>
  <c r="E145" i="49"/>
  <c r="E128" i="49"/>
  <c r="F128" i="49" s="1"/>
  <c r="E111" i="49"/>
  <c r="E114" i="49" s="1"/>
  <c r="E94" i="49"/>
  <c r="F94" i="49" s="1"/>
  <c r="F97" i="49" s="1"/>
  <c r="E60" i="49"/>
  <c r="E63" i="49" s="1"/>
  <c r="E43" i="49"/>
  <c r="E46" i="49" s="1"/>
  <c r="E26" i="49"/>
  <c r="E29" i="49" s="1"/>
  <c r="E190" i="47"/>
  <c r="E193" i="47" s="1"/>
  <c r="E196" i="47" s="1"/>
  <c r="E172" i="47"/>
  <c r="E175" i="47" s="1"/>
  <c r="E154" i="47"/>
  <c r="E157" i="47" s="1"/>
  <c r="E158" i="47" s="1"/>
  <c r="E136" i="47"/>
  <c r="E139" i="47" s="1"/>
  <c r="E118" i="47"/>
  <c r="F118" i="47" s="1"/>
  <c r="G118" i="47" s="1"/>
  <c r="E100" i="47"/>
  <c r="E103" i="47" s="1"/>
  <c r="E82" i="47"/>
  <c r="E85" i="47" s="1"/>
  <c r="E64" i="47"/>
  <c r="E67" i="47" s="1"/>
  <c r="E46" i="47"/>
  <c r="E49" i="47" s="1"/>
  <c r="AI18" i="14"/>
  <c r="E369" i="3"/>
  <c r="F369" i="3" s="1"/>
  <c r="G369" i="3" s="1"/>
  <c r="H369" i="3" s="1"/>
  <c r="I369" i="3" s="1"/>
  <c r="J369" i="3" s="1"/>
  <c r="E331" i="3"/>
  <c r="F331" i="3" s="1"/>
  <c r="G331" i="3" s="1"/>
  <c r="H331" i="3" s="1"/>
  <c r="I331" i="3" s="1"/>
  <c r="J331" i="3" s="1"/>
  <c r="E293" i="3"/>
  <c r="F293" i="3" s="1"/>
  <c r="G293" i="3" s="1"/>
  <c r="H293" i="3" s="1"/>
  <c r="I293" i="3" s="1"/>
  <c r="J293" i="3" s="1"/>
  <c r="E255" i="3"/>
  <c r="F255" i="3" s="1"/>
  <c r="G255" i="3" s="1"/>
  <c r="H255" i="3" s="1"/>
  <c r="I255" i="3" s="1"/>
  <c r="J255" i="3" s="1"/>
  <c r="E217" i="3"/>
  <c r="F217" i="3" s="1"/>
  <c r="G217" i="3" s="1"/>
  <c r="H217" i="3" s="1"/>
  <c r="I217" i="3" s="1"/>
  <c r="J217" i="3" s="1"/>
  <c r="E369" i="56"/>
  <c r="F369" i="56" s="1"/>
  <c r="G369" i="56" s="1"/>
  <c r="H369" i="56" s="1"/>
  <c r="I369" i="56" s="1"/>
  <c r="J369" i="56" s="1"/>
  <c r="E331" i="56"/>
  <c r="F331" i="56" s="1"/>
  <c r="G331" i="56" s="1"/>
  <c r="H331" i="56" s="1"/>
  <c r="I331" i="56" s="1"/>
  <c r="J331" i="56" s="1"/>
  <c r="E293" i="56"/>
  <c r="F293" i="56" s="1"/>
  <c r="G293" i="56" s="1"/>
  <c r="H293" i="56" s="1"/>
  <c r="I293" i="56" s="1"/>
  <c r="J293" i="56" s="1"/>
  <c r="E255" i="56"/>
  <c r="F255" i="56" s="1"/>
  <c r="G255" i="56" s="1"/>
  <c r="H255" i="56" s="1"/>
  <c r="I255" i="56" s="1"/>
  <c r="J255" i="56" s="1"/>
  <c r="E217" i="56"/>
  <c r="F217" i="56" s="1"/>
  <c r="G217" i="56" s="1"/>
  <c r="H217" i="56" s="1"/>
  <c r="I217" i="56" s="1"/>
  <c r="J217" i="56" s="1"/>
  <c r="B181" i="47"/>
  <c r="G191" i="47" s="1"/>
  <c r="G17" i="47" s="1"/>
  <c r="AN16" i="14" s="1"/>
  <c r="B163" i="47"/>
  <c r="B145" i="47"/>
  <c r="DB203" i="47"/>
  <c r="DC203" i="47" s="1"/>
  <c r="DB204" i="47"/>
  <c r="DC204" i="47" s="1"/>
  <c r="DB205" i="47"/>
  <c r="DC205" i="47" s="1"/>
  <c r="DB206" i="47"/>
  <c r="DC206" i="47" s="1"/>
  <c r="DB207" i="47"/>
  <c r="DC207" i="47" s="1"/>
  <c r="DB208" i="47"/>
  <c r="DC208" i="47" s="1"/>
  <c r="DB209" i="47"/>
  <c r="DC209" i="47" s="1"/>
  <c r="DB210" i="47"/>
  <c r="DC210" i="47" s="1"/>
  <c r="DB211" i="47"/>
  <c r="DC211" i="47" s="1"/>
  <c r="DB212" i="47"/>
  <c r="DC212" i="47" s="1"/>
  <c r="DB213" i="47"/>
  <c r="DC213" i="47" s="1"/>
  <c r="B127" i="47"/>
  <c r="B109" i="47"/>
  <c r="G119" i="47" s="1"/>
  <c r="G13" i="47" s="1"/>
  <c r="AN12" i="14" s="1"/>
  <c r="B172" i="49"/>
  <c r="E180" i="49" s="1"/>
  <c r="E17" i="49" s="1"/>
  <c r="AL26" i="14" s="1"/>
  <c r="B155" i="49"/>
  <c r="G163" i="49" s="1"/>
  <c r="G16" i="49" s="1"/>
  <c r="AN25" i="14" s="1"/>
  <c r="B138" i="49"/>
  <c r="H146" i="49" s="1"/>
  <c r="H15" i="49" s="1"/>
  <c r="AO24" i="14" s="1"/>
  <c r="B121" i="49"/>
  <c r="G129" i="49" s="1"/>
  <c r="G14" i="49" s="1"/>
  <c r="AN23" i="14" s="1"/>
  <c r="B104" i="49"/>
  <c r="E112" i="49" s="1"/>
  <c r="E13" i="49" s="1"/>
  <c r="AL22" i="14" s="1"/>
  <c r="B172" i="51"/>
  <c r="B155" i="51"/>
  <c r="B138" i="51"/>
  <c r="G146" i="51" s="1"/>
  <c r="G15" i="51" s="1"/>
  <c r="AN34" i="14" s="1"/>
  <c r="B121" i="51"/>
  <c r="B104" i="51"/>
  <c r="Y114" i="50"/>
  <c r="O407" i="41"/>
  <c r="O390" i="41"/>
  <c r="O62" i="41"/>
  <c r="O52" i="41"/>
  <c r="O53" i="41"/>
  <c r="O54" i="41"/>
  <c r="O55" i="41"/>
  <c r="O56" i="41"/>
  <c r="O57" i="41"/>
  <c r="O51" i="41"/>
  <c r="O45" i="41"/>
  <c r="O9" i="41"/>
  <c r="O7" i="41"/>
  <c r="G15" i="1"/>
  <c r="G21" i="1"/>
  <c r="G22" i="1"/>
  <c r="G27" i="1"/>
  <c r="G28" i="1"/>
  <c r="G29" i="1"/>
  <c r="G30" i="1"/>
  <c r="G31" i="1"/>
  <c r="G32" i="1"/>
  <c r="G34" i="1"/>
  <c r="E179" i="56"/>
  <c r="F179" i="56" s="1"/>
  <c r="G179" i="56" s="1"/>
  <c r="H179" i="56" s="1"/>
  <c r="I179" i="56" s="1"/>
  <c r="J179" i="56" s="1"/>
  <c r="E141" i="56"/>
  <c r="F141" i="56" s="1"/>
  <c r="G141" i="56" s="1"/>
  <c r="H141" i="56" s="1"/>
  <c r="I141" i="56" s="1"/>
  <c r="J141" i="56" s="1"/>
  <c r="E103" i="56"/>
  <c r="F103" i="56" s="1"/>
  <c r="G103" i="56" s="1"/>
  <c r="H103" i="56" s="1"/>
  <c r="I103" i="56" s="1"/>
  <c r="J103" i="56" s="1"/>
  <c r="E65" i="56"/>
  <c r="F65" i="56" s="1"/>
  <c r="G65" i="56" s="1"/>
  <c r="H65" i="56" s="1"/>
  <c r="I65" i="56" s="1"/>
  <c r="J65" i="56" s="1"/>
  <c r="E27" i="56"/>
  <c r="F27" i="56" s="1"/>
  <c r="G27" i="56" s="1"/>
  <c r="H27" i="56" s="1"/>
  <c r="I27" i="56" s="1"/>
  <c r="J27" i="56" s="1"/>
  <c r="E13" i="56"/>
  <c r="F13" i="56" s="1"/>
  <c r="G13" i="56" s="1"/>
  <c r="H13" i="56" s="1"/>
  <c r="I13" i="56" s="1"/>
  <c r="J13" i="56" s="1"/>
  <c r="D65" i="53"/>
  <c r="D94" i="53" s="1"/>
  <c r="D123" i="53" s="1"/>
  <c r="D152" i="53" s="1"/>
  <c r="E179" i="3"/>
  <c r="F179" i="3" s="1"/>
  <c r="G179" i="3" s="1"/>
  <c r="H179" i="3" s="1"/>
  <c r="I179" i="3" s="1"/>
  <c r="J179" i="3" s="1"/>
  <c r="E141" i="3"/>
  <c r="F141" i="3" s="1"/>
  <c r="G141" i="3" s="1"/>
  <c r="H141" i="3" s="1"/>
  <c r="I141" i="3" s="1"/>
  <c r="J141" i="3" s="1"/>
  <c r="E103" i="3"/>
  <c r="F103" i="3" s="1"/>
  <c r="G103" i="3" s="1"/>
  <c r="H103" i="3" s="1"/>
  <c r="I103" i="3" s="1"/>
  <c r="J103" i="3" s="1"/>
  <c r="E65" i="3"/>
  <c r="F65" i="3" s="1"/>
  <c r="G65" i="3" s="1"/>
  <c r="H65" i="3" s="1"/>
  <c r="I65" i="3" s="1"/>
  <c r="J65" i="3" s="1"/>
  <c r="E7" i="51"/>
  <c r="F7" i="51" s="1"/>
  <c r="G7" i="51" s="1"/>
  <c r="H7" i="51" s="1"/>
  <c r="I7" i="51" s="1"/>
  <c r="J7" i="51" s="1"/>
  <c r="E7" i="49"/>
  <c r="F7" i="49" s="1"/>
  <c r="G7" i="49" s="1"/>
  <c r="H7" i="49" s="1"/>
  <c r="I7" i="49" s="1"/>
  <c r="J7" i="49" s="1"/>
  <c r="AL6" i="14"/>
  <c r="AM6" i="14" s="1"/>
  <c r="AN6" i="14" s="1"/>
  <c r="AO6" i="14" s="1"/>
  <c r="AP6" i="14" s="1"/>
  <c r="AQ6" i="14" s="1"/>
  <c r="E7" i="47"/>
  <c r="F7" i="47" s="1"/>
  <c r="G7" i="47" s="1"/>
  <c r="H7" i="47" s="1"/>
  <c r="I7" i="47" s="1"/>
  <c r="J7" i="47" s="1"/>
  <c r="E144" i="53"/>
  <c r="F144" i="53" s="1"/>
  <c r="G144" i="53" s="1"/>
  <c r="H144" i="53" s="1"/>
  <c r="I144" i="53" s="1"/>
  <c r="J144" i="53" s="1"/>
  <c r="E115" i="53"/>
  <c r="F115" i="53" s="1"/>
  <c r="G115" i="53" s="1"/>
  <c r="H115" i="53" s="1"/>
  <c r="I115" i="53" s="1"/>
  <c r="J115" i="53" s="1"/>
  <c r="E86" i="53"/>
  <c r="F86" i="53" s="1"/>
  <c r="G86" i="53" s="1"/>
  <c r="H86" i="53" s="1"/>
  <c r="I86" i="53" s="1"/>
  <c r="J86" i="53" s="1"/>
  <c r="E57" i="53"/>
  <c r="F57" i="53" s="1"/>
  <c r="G57" i="53" s="1"/>
  <c r="H57" i="53" s="1"/>
  <c r="I57" i="53" s="1"/>
  <c r="J57" i="53" s="1"/>
  <c r="E28" i="53"/>
  <c r="F28" i="53" s="1"/>
  <c r="G28" i="53" s="1"/>
  <c r="H28" i="53" s="1"/>
  <c r="I28" i="53" s="1"/>
  <c r="J28" i="53" s="1"/>
  <c r="E13" i="53"/>
  <c r="F13" i="53" s="1"/>
  <c r="G13" i="53" s="1"/>
  <c r="H13" i="53" s="1"/>
  <c r="I13" i="53" s="1"/>
  <c r="J13" i="53" s="1"/>
  <c r="B87" i="51"/>
  <c r="B70" i="51"/>
  <c r="F78" i="51" s="1"/>
  <c r="F11" i="51" s="1"/>
  <c r="AM30" i="14" s="1"/>
  <c r="B53" i="51"/>
  <c r="H61" i="51" s="1"/>
  <c r="H10" i="51" s="1"/>
  <c r="AO29" i="14" s="1"/>
  <c r="B36" i="51"/>
  <c r="F44" i="51" s="1"/>
  <c r="F9" i="51" s="1"/>
  <c r="AM28" i="14" s="1"/>
  <c r="B87" i="49"/>
  <c r="G95" i="49" s="1"/>
  <c r="G12" i="49" s="1"/>
  <c r="AN21" i="14" s="1"/>
  <c r="B70" i="49"/>
  <c r="G78" i="49" s="1"/>
  <c r="G11" i="49" s="1"/>
  <c r="AN20" i="14" s="1"/>
  <c r="B53" i="49"/>
  <c r="E61" i="49" s="1"/>
  <c r="E10" i="49" s="1"/>
  <c r="AL19" i="14" s="1"/>
  <c r="B36" i="49"/>
  <c r="G44" i="49" s="1"/>
  <c r="G9" i="49" s="1"/>
  <c r="AN18" i="14" s="1"/>
  <c r="B19" i="49"/>
  <c r="G27" i="49" s="1"/>
  <c r="G8" i="49" s="1"/>
  <c r="AN17" i="14" s="1"/>
  <c r="B91" i="47"/>
  <c r="E101" i="47" s="1"/>
  <c r="E12" i="47" s="1"/>
  <c r="AL11" i="14" s="1"/>
  <c r="B73" i="47"/>
  <c r="I83" i="47" s="1"/>
  <c r="I11" i="47" s="1"/>
  <c r="AP10" i="14" s="1"/>
  <c r="B55" i="47"/>
  <c r="B37" i="47"/>
  <c r="H27" i="1"/>
  <c r="F51" i="50"/>
  <c r="G51" i="50" s="1"/>
  <c r="H51" i="50" s="1"/>
  <c r="I51" i="50" s="1"/>
  <c r="J51" i="50" s="1"/>
  <c r="K51" i="50" s="1"/>
  <c r="H3" i="14"/>
  <c r="B3" i="22" s="1"/>
  <c r="C215" i="41"/>
  <c r="C200" i="41"/>
  <c r="C185" i="41"/>
  <c r="C170" i="41"/>
  <c r="C155" i="41"/>
  <c r="C140" i="41"/>
  <c r="C125" i="41"/>
  <c r="C110" i="41"/>
  <c r="C95" i="41"/>
  <c r="C80" i="41"/>
  <c r="C65" i="41"/>
  <c r="E216" i="41"/>
  <c r="E201" i="41"/>
  <c r="E186" i="41"/>
  <c r="E171" i="41"/>
  <c r="E156" i="41"/>
  <c r="E141" i="41"/>
  <c r="E126" i="41"/>
  <c r="E111" i="41"/>
  <c r="E96" i="41"/>
  <c r="E81" i="41"/>
  <c r="E66" i="41"/>
  <c r="AD64" i="50"/>
  <c r="AF64" i="50" s="1"/>
  <c r="AD65" i="50"/>
  <c r="AF65" i="50" s="1"/>
  <c r="AD66" i="50"/>
  <c r="AF66" i="50" s="1"/>
  <c r="AD67" i="50"/>
  <c r="AF67" i="50" s="1"/>
  <c r="AD68" i="50"/>
  <c r="AF68" i="50" s="1"/>
  <c r="AD69" i="50"/>
  <c r="J94" i="50" s="1"/>
  <c r="Z94" i="50" s="1"/>
  <c r="C217" i="50" s="1"/>
  <c r="C225" i="50" s="1"/>
  <c r="AD70" i="50"/>
  <c r="AF70" i="50" s="1"/>
  <c r="AD71" i="50"/>
  <c r="J96" i="50" s="1"/>
  <c r="Z96" i="50" s="1"/>
  <c r="C251" i="50" s="1"/>
  <c r="C259" i="50" s="1"/>
  <c r="AD72" i="50"/>
  <c r="AF72" i="50" s="1"/>
  <c r="AD63" i="50"/>
  <c r="AF63" i="50" s="1"/>
  <c r="AC64" i="50"/>
  <c r="AC65" i="50" s="1"/>
  <c r="AC66" i="50" s="1"/>
  <c r="AC67" i="50" s="1"/>
  <c r="AC68" i="50" s="1"/>
  <c r="AC69" i="50" s="1"/>
  <c r="AC70" i="50" s="1"/>
  <c r="AC71" i="50" s="1"/>
  <c r="AC72" i="50" s="1"/>
  <c r="AC73" i="50" s="1"/>
  <c r="F661" i="50"/>
  <c r="G661" i="50" s="1"/>
  <c r="H661" i="50" s="1"/>
  <c r="I661" i="50" s="1"/>
  <c r="J661" i="50" s="1"/>
  <c r="K661" i="50" s="1"/>
  <c r="F644" i="50"/>
  <c r="G644" i="50" s="1"/>
  <c r="H644" i="50" s="1"/>
  <c r="I644" i="50" s="1"/>
  <c r="J644" i="50" s="1"/>
  <c r="K644" i="50" s="1"/>
  <c r="F627" i="50"/>
  <c r="G627" i="50" s="1"/>
  <c r="H627" i="50" s="1"/>
  <c r="I627" i="50" s="1"/>
  <c r="J627" i="50" s="1"/>
  <c r="K627" i="50" s="1"/>
  <c r="F610" i="50"/>
  <c r="G610" i="50" s="1"/>
  <c r="H610" i="50" s="1"/>
  <c r="I610" i="50" s="1"/>
  <c r="J610" i="50" s="1"/>
  <c r="K610" i="50" s="1"/>
  <c r="F593" i="50"/>
  <c r="G593" i="50" s="1"/>
  <c r="H593" i="50" s="1"/>
  <c r="I593" i="50" s="1"/>
  <c r="J593" i="50" s="1"/>
  <c r="K593" i="50" s="1"/>
  <c r="F576" i="50"/>
  <c r="G576" i="50" s="1"/>
  <c r="H576" i="50" s="1"/>
  <c r="I576" i="50" s="1"/>
  <c r="J576" i="50" s="1"/>
  <c r="K576" i="50" s="1"/>
  <c r="F559" i="50"/>
  <c r="G559" i="50" s="1"/>
  <c r="H559" i="50" s="1"/>
  <c r="I559" i="50" s="1"/>
  <c r="J559" i="50" s="1"/>
  <c r="K559" i="50" s="1"/>
  <c r="F542" i="50"/>
  <c r="G542" i="50" s="1"/>
  <c r="H542" i="50" s="1"/>
  <c r="I542" i="50" s="1"/>
  <c r="J542" i="50" s="1"/>
  <c r="K542" i="50" s="1"/>
  <c r="F525" i="50"/>
  <c r="G525" i="50" s="1"/>
  <c r="H525" i="50" s="1"/>
  <c r="I525" i="50" s="1"/>
  <c r="J525" i="50" s="1"/>
  <c r="K525" i="50" s="1"/>
  <c r="F508" i="50"/>
  <c r="G508" i="50" s="1"/>
  <c r="H508" i="50" s="1"/>
  <c r="I508" i="50" s="1"/>
  <c r="J508" i="50" s="1"/>
  <c r="K508" i="50" s="1"/>
  <c r="J467" i="50"/>
  <c r="J466" i="50"/>
  <c r="J465" i="50"/>
  <c r="J464" i="50"/>
  <c r="J463" i="50"/>
  <c r="J462" i="50"/>
  <c r="J461" i="50"/>
  <c r="J460" i="50"/>
  <c r="J459" i="50"/>
  <c r="J458" i="50"/>
  <c r="F266" i="50"/>
  <c r="G266" i="50" s="1"/>
  <c r="H266" i="50" s="1"/>
  <c r="I266" i="50" s="1"/>
  <c r="J266" i="50" s="1"/>
  <c r="K266" i="50" s="1"/>
  <c r="F249" i="50"/>
  <c r="G249" i="50" s="1"/>
  <c r="H249" i="50" s="1"/>
  <c r="I249" i="50" s="1"/>
  <c r="J249" i="50" s="1"/>
  <c r="K249" i="50" s="1"/>
  <c r="F232" i="50"/>
  <c r="G232" i="50" s="1"/>
  <c r="H232" i="50" s="1"/>
  <c r="I232" i="50" s="1"/>
  <c r="J232" i="50" s="1"/>
  <c r="K232" i="50" s="1"/>
  <c r="F215" i="50"/>
  <c r="G215" i="50" s="1"/>
  <c r="H215" i="50" s="1"/>
  <c r="I215" i="50" s="1"/>
  <c r="J215" i="50" s="1"/>
  <c r="K215" i="50" s="1"/>
  <c r="F198" i="50"/>
  <c r="G198" i="50" s="1"/>
  <c r="H198" i="50" s="1"/>
  <c r="I198" i="50" s="1"/>
  <c r="J198" i="50" s="1"/>
  <c r="K198" i="50" s="1"/>
  <c r="F181" i="50"/>
  <c r="G181" i="50" s="1"/>
  <c r="H181" i="50" s="1"/>
  <c r="I181" i="50" s="1"/>
  <c r="J181" i="50" s="1"/>
  <c r="K181" i="50" s="1"/>
  <c r="F164" i="50"/>
  <c r="G164" i="50" s="1"/>
  <c r="H164" i="50" s="1"/>
  <c r="I164" i="50" s="1"/>
  <c r="J164" i="50" s="1"/>
  <c r="K164" i="50" s="1"/>
  <c r="F147" i="50"/>
  <c r="G147" i="50" s="1"/>
  <c r="H147" i="50" s="1"/>
  <c r="I147" i="50" s="1"/>
  <c r="J147" i="50" s="1"/>
  <c r="K147" i="50" s="1"/>
  <c r="F121" i="50"/>
  <c r="G121" i="50" s="1"/>
  <c r="H121" i="50" s="1"/>
  <c r="I121" i="50" s="1"/>
  <c r="J121" i="50" s="1"/>
  <c r="K121" i="50" s="1"/>
  <c r="F113" i="50"/>
  <c r="G113" i="50" s="1"/>
  <c r="H113" i="50" s="1"/>
  <c r="I113" i="50" s="1"/>
  <c r="J113" i="50" s="1"/>
  <c r="K113" i="50" s="1"/>
  <c r="J72" i="50"/>
  <c r="J71" i="50"/>
  <c r="J70" i="50"/>
  <c r="J69" i="50"/>
  <c r="J68" i="50"/>
  <c r="J67" i="50"/>
  <c r="J66" i="50"/>
  <c r="J65" i="50"/>
  <c r="J64" i="50"/>
  <c r="F21" i="50"/>
  <c r="G21" i="50" s="1"/>
  <c r="H21" i="50" s="1"/>
  <c r="I21" i="50" s="1"/>
  <c r="J21" i="50" s="1"/>
  <c r="K21" i="50" s="1"/>
  <c r="F15" i="50"/>
  <c r="G15" i="50" s="1"/>
  <c r="H15" i="50" s="1"/>
  <c r="I15" i="50" s="1"/>
  <c r="J15" i="50" s="1"/>
  <c r="K15" i="50" s="1"/>
  <c r="K1" i="50"/>
  <c r="H396" i="41"/>
  <c r="N403" i="41" s="1"/>
  <c r="J403" i="41" s="1"/>
  <c r="U90" i="38"/>
  <c r="G106" i="7"/>
  <c r="L106" i="7" s="1"/>
  <c r="DB254" i="47"/>
  <c r="DC254" i="47"/>
  <c r="DB255" i="47"/>
  <c r="DC255" i="47"/>
  <c r="DD255" i="47" s="1"/>
  <c r="DB256" i="47"/>
  <c r="DC256" i="47"/>
  <c r="DD256" i="47" s="1"/>
  <c r="DB257" i="47"/>
  <c r="DC257" i="47"/>
  <c r="DD257" i="47" s="1"/>
  <c r="DB258" i="47"/>
  <c r="DC258" i="47"/>
  <c r="DD258" i="47" s="1"/>
  <c r="DB259" i="47"/>
  <c r="DC259" i="47"/>
  <c r="DD259" i="47" s="1"/>
  <c r="DB260" i="47"/>
  <c r="DC260" i="47"/>
  <c r="DD260" i="47" s="1"/>
  <c r="DB261" i="47"/>
  <c r="DC261" i="47"/>
  <c r="DD261" i="47" s="1"/>
  <c r="DB262" i="47"/>
  <c r="DC262" i="47"/>
  <c r="DD262" i="47" s="1"/>
  <c r="DB263" i="47"/>
  <c r="DC263" i="47"/>
  <c r="DD263" i="47" s="1"/>
  <c r="DB264" i="47"/>
  <c r="DC264" i="47"/>
  <c r="DD264" i="47" s="1"/>
  <c r="DB265" i="47"/>
  <c r="DC265" i="47"/>
  <c r="DD265" i="47" s="1"/>
  <c r="DB266" i="47"/>
  <c r="DC266" i="47"/>
  <c r="DD266" i="47" s="1"/>
  <c r="DB267" i="47"/>
  <c r="DC267" i="47"/>
  <c r="DD267" i="47" s="1"/>
  <c r="DB268" i="47"/>
  <c r="DC268" i="47"/>
  <c r="DD268" i="47" s="1"/>
  <c r="DB269" i="47"/>
  <c r="DC269" i="47"/>
  <c r="DB253" i="47"/>
  <c r="DC253" i="47" s="1"/>
  <c r="DB229" i="47"/>
  <c r="DC229" i="47" s="1"/>
  <c r="DB230" i="47"/>
  <c r="DC230" i="47" s="1"/>
  <c r="DB231" i="47"/>
  <c r="DC231" i="47" s="1"/>
  <c r="DB232" i="47"/>
  <c r="DC232" i="47" s="1"/>
  <c r="DB233" i="47"/>
  <c r="DC233" i="47" s="1"/>
  <c r="DB234" i="47"/>
  <c r="DC234" i="47" s="1"/>
  <c r="DB235" i="47"/>
  <c r="DC235" i="47" s="1"/>
  <c r="DB236" i="47"/>
  <c r="DC236" i="47" s="1"/>
  <c r="DB237" i="47"/>
  <c r="DC237" i="47" s="1"/>
  <c r="DB238" i="47"/>
  <c r="DC238" i="47" s="1"/>
  <c r="DB239" i="47"/>
  <c r="DC239" i="47" s="1"/>
  <c r="DB240" i="47"/>
  <c r="DC240" i="47" s="1"/>
  <c r="DB241" i="47"/>
  <c r="DC241" i="47" s="1"/>
  <c r="DB242" i="47"/>
  <c r="DC242" i="47" s="1"/>
  <c r="DB243" i="47"/>
  <c r="DC243" i="47" s="1"/>
  <c r="DB244" i="47"/>
  <c r="DC244" i="47" s="1"/>
  <c r="DB228" i="47"/>
  <c r="DC228" i="47" s="1"/>
  <c r="U56" i="38"/>
  <c r="U57" i="38"/>
  <c r="V58" i="38"/>
  <c r="U59" i="38"/>
  <c r="G105" i="7"/>
  <c r="L105" i="7" s="1"/>
  <c r="M105" i="7"/>
  <c r="G342" i="7"/>
  <c r="L342" i="7" s="1"/>
  <c r="G343" i="7"/>
  <c r="L343" i="7" s="1"/>
  <c r="G344" i="7"/>
  <c r="L344" i="7" s="1"/>
  <c r="G345" i="7"/>
  <c r="L345" i="7" s="1"/>
  <c r="G346" i="7"/>
  <c r="L346" i="7" s="1"/>
  <c r="G347" i="7"/>
  <c r="L347" i="7" s="1"/>
  <c r="H438" i="7" s="1"/>
  <c r="X347" i="7" s="1"/>
  <c r="E13" i="3"/>
  <c r="F13" i="3" s="1"/>
  <c r="G13" i="3" s="1"/>
  <c r="H13" i="3" s="1"/>
  <c r="I13" i="3" s="1"/>
  <c r="J13" i="3" s="1"/>
  <c r="K347" i="7"/>
  <c r="K346" i="7"/>
  <c r="K345" i="7"/>
  <c r="K344" i="7"/>
  <c r="K343" i="7"/>
  <c r="K342" i="7"/>
  <c r="K341" i="7"/>
  <c r="K340" i="7"/>
  <c r="K108" i="7"/>
  <c r="K109" i="7"/>
  <c r="K110" i="7"/>
  <c r="K111" i="7"/>
  <c r="K112" i="7"/>
  <c r="K113" i="7"/>
  <c r="AD134" i="15"/>
  <c r="AD135" i="15"/>
  <c r="AD136" i="15"/>
  <c r="AD137" i="15"/>
  <c r="AD138" i="15"/>
  <c r="AD139" i="15"/>
  <c r="AD140" i="15"/>
  <c r="AD141" i="15"/>
  <c r="AD142" i="15"/>
  <c r="AD133" i="15"/>
  <c r="DB219" i="47"/>
  <c r="DC219" i="47" s="1"/>
  <c r="DB218" i="47"/>
  <c r="DC218" i="47" s="1"/>
  <c r="DB217" i="47"/>
  <c r="DC217" i="47" s="1"/>
  <c r="DB216" i="47"/>
  <c r="DC216" i="47" s="1"/>
  <c r="DB215" i="47"/>
  <c r="DC215" i="47" s="1"/>
  <c r="DB214" i="47"/>
  <c r="DC214" i="47" s="1"/>
  <c r="C37" i="46"/>
  <c r="D37" i="46" s="1"/>
  <c r="E37" i="46" s="1"/>
  <c r="F37" i="46" s="1"/>
  <c r="G37" i="46" s="1"/>
  <c r="H37" i="46" s="1"/>
  <c r="C31" i="46"/>
  <c r="D31" i="46" s="1"/>
  <c r="E31" i="46" s="1"/>
  <c r="F31" i="46" s="1"/>
  <c r="G31" i="46" s="1"/>
  <c r="H31" i="46" s="1"/>
  <c r="C19" i="46"/>
  <c r="D19" i="46" s="1"/>
  <c r="E19" i="46" s="1"/>
  <c r="F19" i="46" s="1"/>
  <c r="G19" i="46" s="1"/>
  <c r="H19" i="46" s="1"/>
  <c r="C14" i="46"/>
  <c r="D14" i="46" s="1"/>
  <c r="E14" i="46" s="1"/>
  <c r="F14" i="46" s="1"/>
  <c r="G14" i="46" s="1"/>
  <c r="H14" i="46" s="1"/>
  <c r="D434" i="7"/>
  <c r="E434" i="7" s="1"/>
  <c r="F434" i="7" s="1"/>
  <c r="G434" i="7" s="1"/>
  <c r="H434" i="7" s="1"/>
  <c r="I434" i="7" s="1"/>
  <c r="D426" i="7"/>
  <c r="E426" i="7" s="1"/>
  <c r="F426" i="7" s="1"/>
  <c r="G426" i="7" s="1"/>
  <c r="H426" i="7" s="1"/>
  <c r="I426" i="7" s="1"/>
  <c r="D418" i="7"/>
  <c r="E418" i="7" s="1"/>
  <c r="F418" i="7" s="1"/>
  <c r="G418" i="7" s="1"/>
  <c r="H418" i="7" s="1"/>
  <c r="I418" i="7" s="1"/>
  <c r="D410" i="7"/>
  <c r="E410" i="7" s="1"/>
  <c r="F410" i="7" s="1"/>
  <c r="G410" i="7" s="1"/>
  <c r="H410" i="7" s="1"/>
  <c r="I410" i="7" s="1"/>
  <c r="D402" i="7"/>
  <c r="E402" i="7" s="1"/>
  <c r="F402" i="7" s="1"/>
  <c r="G402" i="7" s="1"/>
  <c r="H402" i="7" s="1"/>
  <c r="I402" i="7" s="1"/>
  <c r="D200" i="7"/>
  <c r="E200" i="7" s="1"/>
  <c r="F200" i="7" s="1"/>
  <c r="G200" i="7" s="1"/>
  <c r="H200" i="7" s="1"/>
  <c r="I200" i="7" s="1"/>
  <c r="D192" i="7"/>
  <c r="E192" i="7" s="1"/>
  <c r="F192" i="7" s="1"/>
  <c r="G192" i="7" s="1"/>
  <c r="H192" i="7" s="1"/>
  <c r="I192" i="7" s="1"/>
  <c r="D184" i="7"/>
  <c r="E184" i="7" s="1"/>
  <c r="F184" i="7" s="1"/>
  <c r="G184" i="7" s="1"/>
  <c r="H184" i="7" s="1"/>
  <c r="I184" i="7" s="1"/>
  <c r="D176" i="7"/>
  <c r="E176" i="7" s="1"/>
  <c r="F176" i="7" s="1"/>
  <c r="G176" i="7" s="1"/>
  <c r="H176" i="7" s="1"/>
  <c r="I176" i="7" s="1"/>
  <c r="D168" i="7"/>
  <c r="E168" i="7" s="1"/>
  <c r="F168" i="7" s="1"/>
  <c r="G168" i="7" s="1"/>
  <c r="H168" i="7" s="1"/>
  <c r="I168" i="7" s="1"/>
  <c r="G109" i="7"/>
  <c r="L109" i="7" s="1"/>
  <c r="G110" i="7"/>
  <c r="L110" i="7" s="1"/>
  <c r="G111" i="7"/>
  <c r="L111" i="7" s="1"/>
  <c r="G112" i="7"/>
  <c r="L112" i="7" s="1"/>
  <c r="D195" i="7" s="1"/>
  <c r="N112" i="7" s="1"/>
  <c r="G113" i="7"/>
  <c r="L113" i="7" s="1"/>
  <c r="D143" i="45"/>
  <c r="E143" i="45" s="1"/>
  <c r="F143" i="45" s="1"/>
  <c r="G143" i="45" s="1"/>
  <c r="H143" i="45" s="1"/>
  <c r="I143" i="45" s="1"/>
  <c r="D138" i="45"/>
  <c r="E138" i="45" s="1"/>
  <c r="F138" i="45" s="1"/>
  <c r="G138" i="45" s="1"/>
  <c r="H138" i="45" s="1"/>
  <c r="I138" i="45" s="1"/>
  <c r="D131" i="45"/>
  <c r="E131" i="45" s="1"/>
  <c r="F131" i="45" s="1"/>
  <c r="G131" i="45" s="1"/>
  <c r="H131" i="45" s="1"/>
  <c r="I131" i="45" s="1"/>
  <c r="D126" i="45"/>
  <c r="E126" i="45" s="1"/>
  <c r="F126" i="45" s="1"/>
  <c r="G126" i="45" s="1"/>
  <c r="H126" i="45" s="1"/>
  <c r="I126" i="45" s="1"/>
  <c r="D119" i="45"/>
  <c r="E119" i="45" s="1"/>
  <c r="F119" i="45" s="1"/>
  <c r="G119" i="45" s="1"/>
  <c r="H119" i="45" s="1"/>
  <c r="I119" i="45" s="1"/>
  <c r="D114" i="45"/>
  <c r="E114" i="45" s="1"/>
  <c r="F114" i="45" s="1"/>
  <c r="G114" i="45" s="1"/>
  <c r="H114" i="45" s="1"/>
  <c r="I114" i="45" s="1"/>
  <c r="D107" i="45"/>
  <c r="E107" i="45" s="1"/>
  <c r="F107" i="45" s="1"/>
  <c r="G107" i="45" s="1"/>
  <c r="H107" i="45" s="1"/>
  <c r="I107" i="45" s="1"/>
  <c r="D102" i="45"/>
  <c r="E102" i="45" s="1"/>
  <c r="F102" i="45" s="1"/>
  <c r="G102" i="45" s="1"/>
  <c r="H102" i="45" s="1"/>
  <c r="I102" i="45" s="1"/>
  <c r="D95" i="45"/>
  <c r="E95" i="45" s="1"/>
  <c r="F95" i="45" s="1"/>
  <c r="G95" i="45" s="1"/>
  <c r="H95" i="45" s="1"/>
  <c r="I95" i="45" s="1"/>
  <c r="D90" i="45"/>
  <c r="E90" i="45" s="1"/>
  <c r="F90" i="45" s="1"/>
  <c r="G90" i="45" s="1"/>
  <c r="H90" i="45" s="1"/>
  <c r="I90" i="45" s="1"/>
  <c r="D83" i="45"/>
  <c r="E83" i="45" s="1"/>
  <c r="F83" i="45" s="1"/>
  <c r="G83" i="45" s="1"/>
  <c r="H83" i="45" s="1"/>
  <c r="I83" i="45" s="1"/>
  <c r="D78" i="45"/>
  <c r="E78" i="45" s="1"/>
  <c r="F78" i="45" s="1"/>
  <c r="G78" i="45" s="1"/>
  <c r="H78" i="45" s="1"/>
  <c r="I78" i="45" s="1"/>
  <c r="D71" i="45"/>
  <c r="E71" i="45" s="1"/>
  <c r="F71" i="45" s="1"/>
  <c r="G71" i="45" s="1"/>
  <c r="H71" i="45" s="1"/>
  <c r="I71" i="45" s="1"/>
  <c r="D66" i="45"/>
  <c r="E66" i="45" s="1"/>
  <c r="F66" i="45" s="1"/>
  <c r="G66" i="45" s="1"/>
  <c r="H66" i="45" s="1"/>
  <c r="I66" i="45" s="1"/>
  <c r="D59" i="45"/>
  <c r="E59" i="45" s="1"/>
  <c r="F59" i="45" s="1"/>
  <c r="G59" i="45" s="1"/>
  <c r="H59" i="45" s="1"/>
  <c r="I59" i="45" s="1"/>
  <c r="D54" i="45"/>
  <c r="E54" i="45" s="1"/>
  <c r="F54" i="45" s="1"/>
  <c r="G54" i="45" s="1"/>
  <c r="H54" i="45" s="1"/>
  <c r="I54" i="45" s="1"/>
  <c r="D47" i="45"/>
  <c r="E47" i="45" s="1"/>
  <c r="F47" i="45" s="1"/>
  <c r="G47" i="45" s="1"/>
  <c r="H47" i="45" s="1"/>
  <c r="I47" i="45" s="1"/>
  <c r="D42" i="45"/>
  <c r="E42" i="45" s="1"/>
  <c r="F42" i="45" s="1"/>
  <c r="G42" i="45" s="1"/>
  <c r="H42" i="45" s="1"/>
  <c r="I42" i="45" s="1"/>
  <c r="D35" i="45"/>
  <c r="E35" i="45" s="1"/>
  <c r="F35" i="45" s="1"/>
  <c r="G35" i="45" s="1"/>
  <c r="H35" i="45" s="1"/>
  <c r="I35" i="45" s="1"/>
  <c r="D30" i="45"/>
  <c r="E30" i="45" s="1"/>
  <c r="F30" i="45" s="1"/>
  <c r="G30" i="45" s="1"/>
  <c r="H30" i="45" s="1"/>
  <c r="I30" i="45" s="1"/>
  <c r="D19" i="45"/>
  <c r="E19" i="45" s="1"/>
  <c r="F19" i="45" s="1"/>
  <c r="G19" i="45" s="1"/>
  <c r="H19" i="45" s="1"/>
  <c r="I19" i="45" s="1"/>
  <c r="D14" i="45"/>
  <c r="E14" i="45" s="1"/>
  <c r="F14" i="45" s="1"/>
  <c r="G14" i="45" s="1"/>
  <c r="H14" i="45" s="1"/>
  <c r="I14" i="45" s="1"/>
  <c r="E38" i="15"/>
  <c r="F38" i="15" s="1"/>
  <c r="G38" i="15" s="1"/>
  <c r="H38" i="15" s="1"/>
  <c r="I38" i="15" s="1"/>
  <c r="J38" i="15" s="1"/>
  <c r="K15" i="38"/>
  <c r="L15" i="38" s="1"/>
  <c r="M15" i="38" s="1"/>
  <c r="N15" i="38" s="1"/>
  <c r="O15" i="38" s="1"/>
  <c r="P15" i="38" s="1"/>
  <c r="D15" i="38"/>
  <c r="E15" i="38" s="1"/>
  <c r="F15" i="38" s="1"/>
  <c r="G15" i="38" s="1"/>
  <c r="H15" i="38" s="1"/>
  <c r="I15" i="38" s="1"/>
  <c r="L15" i="15"/>
  <c r="M15" i="15" s="1"/>
  <c r="N15" i="15" s="1"/>
  <c r="O15" i="15" s="1"/>
  <c r="P15" i="15" s="1"/>
  <c r="Q15" i="15" s="1"/>
  <c r="E15" i="15"/>
  <c r="F15" i="15" s="1"/>
  <c r="G15" i="15" s="1"/>
  <c r="H15" i="15" s="1"/>
  <c r="I15" i="15" s="1"/>
  <c r="J15" i="15" s="1"/>
  <c r="D143" i="44"/>
  <c r="E143" i="44" s="1"/>
  <c r="F143" i="44" s="1"/>
  <c r="G143" i="44" s="1"/>
  <c r="H143" i="44" s="1"/>
  <c r="I143" i="44" s="1"/>
  <c r="D138" i="44"/>
  <c r="E138" i="44" s="1"/>
  <c r="F138" i="44" s="1"/>
  <c r="G138" i="44" s="1"/>
  <c r="H138" i="44" s="1"/>
  <c r="I138" i="44" s="1"/>
  <c r="D131" i="44"/>
  <c r="E131" i="44" s="1"/>
  <c r="F131" i="44" s="1"/>
  <c r="G131" i="44" s="1"/>
  <c r="H131" i="44" s="1"/>
  <c r="I131" i="44" s="1"/>
  <c r="D126" i="44"/>
  <c r="E126" i="44" s="1"/>
  <c r="F126" i="44" s="1"/>
  <c r="G126" i="44" s="1"/>
  <c r="H126" i="44" s="1"/>
  <c r="I126" i="44" s="1"/>
  <c r="D119" i="44"/>
  <c r="E119" i="44" s="1"/>
  <c r="F119" i="44" s="1"/>
  <c r="G119" i="44" s="1"/>
  <c r="H119" i="44" s="1"/>
  <c r="I119" i="44" s="1"/>
  <c r="D114" i="44"/>
  <c r="E114" i="44" s="1"/>
  <c r="F114" i="44" s="1"/>
  <c r="G114" i="44" s="1"/>
  <c r="H114" i="44" s="1"/>
  <c r="I114" i="44" s="1"/>
  <c r="D107" i="44"/>
  <c r="E107" i="44" s="1"/>
  <c r="F107" i="44" s="1"/>
  <c r="G107" i="44" s="1"/>
  <c r="H107" i="44" s="1"/>
  <c r="I107" i="44" s="1"/>
  <c r="D102" i="44"/>
  <c r="E102" i="44" s="1"/>
  <c r="F102" i="44" s="1"/>
  <c r="G102" i="44" s="1"/>
  <c r="H102" i="44" s="1"/>
  <c r="I102" i="44" s="1"/>
  <c r="D95" i="44"/>
  <c r="E95" i="44" s="1"/>
  <c r="F95" i="44" s="1"/>
  <c r="G95" i="44" s="1"/>
  <c r="H95" i="44" s="1"/>
  <c r="I95" i="44" s="1"/>
  <c r="D90" i="44"/>
  <c r="E90" i="44" s="1"/>
  <c r="F90" i="44" s="1"/>
  <c r="G90" i="44" s="1"/>
  <c r="H90" i="44" s="1"/>
  <c r="I90" i="44" s="1"/>
  <c r="D83" i="44"/>
  <c r="E83" i="44" s="1"/>
  <c r="F83" i="44" s="1"/>
  <c r="G83" i="44" s="1"/>
  <c r="H83" i="44" s="1"/>
  <c r="I83" i="44" s="1"/>
  <c r="D78" i="44"/>
  <c r="E78" i="44" s="1"/>
  <c r="F78" i="44" s="1"/>
  <c r="G78" i="44" s="1"/>
  <c r="H78" i="44" s="1"/>
  <c r="I78" i="44" s="1"/>
  <c r="D71" i="44"/>
  <c r="E71" i="44" s="1"/>
  <c r="F71" i="44" s="1"/>
  <c r="G71" i="44" s="1"/>
  <c r="H71" i="44" s="1"/>
  <c r="I71" i="44" s="1"/>
  <c r="D66" i="44"/>
  <c r="E66" i="44" s="1"/>
  <c r="F66" i="44" s="1"/>
  <c r="G66" i="44" s="1"/>
  <c r="H66" i="44" s="1"/>
  <c r="I66" i="44" s="1"/>
  <c r="D59" i="44"/>
  <c r="E59" i="44" s="1"/>
  <c r="F59" i="44" s="1"/>
  <c r="G59" i="44" s="1"/>
  <c r="H59" i="44" s="1"/>
  <c r="I59" i="44" s="1"/>
  <c r="D54" i="44"/>
  <c r="E54" i="44" s="1"/>
  <c r="F54" i="44" s="1"/>
  <c r="G54" i="44" s="1"/>
  <c r="H54" i="44" s="1"/>
  <c r="I54" i="44" s="1"/>
  <c r="D47" i="44"/>
  <c r="E47" i="44" s="1"/>
  <c r="F47" i="44" s="1"/>
  <c r="G47" i="44" s="1"/>
  <c r="H47" i="44" s="1"/>
  <c r="I47" i="44" s="1"/>
  <c r="D42" i="44"/>
  <c r="E42" i="44" s="1"/>
  <c r="F42" i="44" s="1"/>
  <c r="G42" i="44" s="1"/>
  <c r="H42" i="44" s="1"/>
  <c r="I42" i="44" s="1"/>
  <c r="D35" i="44"/>
  <c r="E35" i="44" s="1"/>
  <c r="F35" i="44" s="1"/>
  <c r="G35" i="44" s="1"/>
  <c r="H35" i="44" s="1"/>
  <c r="I35" i="44" s="1"/>
  <c r="D30" i="44"/>
  <c r="E30" i="44" s="1"/>
  <c r="F30" i="44" s="1"/>
  <c r="G30" i="44" s="1"/>
  <c r="H30" i="44" s="1"/>
  <c r="I30" i="44" s="1"/>
  <c r="D19" i="44"/>
  <c r="E19" i="44" s="1"/>
  <c r="F19" i="44" s="1"/>
  <c r="G19" i="44" s="1"/>
  <c r="H19" i="44" s="1"/>
  <c r="I19" i="44" s="1"/>
  <c r="D14" i="44"/>
  <c r="E14" i="44" s="1"/>
  <c r="F14" i="44" s="1"/>
  <c r="G14" i="44" s="1"/>
  <c r="H14" i="44" s="1"/>
  <c r="I14" i="44" s="1"/>
  <c r="F295" i="15"/>
  <c r="G295" i="15" s="1"/>
  <c r="H295" i="15" s="1"/>
  <c r="I295" i="15" s="1"/>
  <c r="J295" i="15" s="1"/>
  <c r="K295" i="15" s="1"/>
  <c r="F283" i="15"/>
  <c r="E283" i="15" s="1"/>
  <c r="F271" i="15"/>
  <c r="G271" i="15" s="1"/>
  <c r="H271" i="15" s="1"/>
  <c r="I271" i="15" s="1"/>
  <c r="J271" i="15" s="1"/>
  <c r="K271" i="15" s="1"/>
  <c r="F259" i="15"/>
  <c r="E259" i="15" s="1"/>
  <c r="F247" i="15"/>
  <c r="G247" i="15" s="1"/>
  <c r="H247" i="15" s="1"/>
  <c r="I247" i="15" s="1"/>
  <c r="J247" i="15" s="1"/>
  <c r="K247" i="15" s="1"/>
  <c r="D131" i="15"/>
  <c r="D143" i="43"/>
  <c r="E143" i="43" s="1"/>
  <c r="F143" i="43" s="1"/>
  <c r="G143" i="43" s="1"/>
  <c r="H143" i="43" s="1"/>
  <c r="I143" i="43" s="1"/>
  <c r="D138" i="43"/>
  <c r="E138" i="43" s="1"/>
  <c r="F138" i="43" s="1"/>
  <c r="G138" i="43" s="1"/>
  <c r="H138" i="43" s="1"/>
  <c r="I138" i="43" s="1"/>
  <c r="D131" i="43"/>
  <c r="E131" i="43" s="1"/>
  <c r="F131" i="43" s="1"/>
  <c r="G131" i="43" s="1"/>
  <c r="H131" i="43" s="1"/>
  <c r="I131" i="43" s="1"/>
  <c r="D126" i="43"/>
  <c r="E126" i="43" s="1"/>
  <c r="F126" i="43" s="1"/>
  <c r="G126" i="43" s="1"/>
  <c r="H126" i="43" s="1"/>
  <c r="I126" i="43" s="1"/>
  <c r="D119" i="43"/>
  <c r="E119" i="43" s="1"/>
  <c r="F119" i="43" s="1"/>
  <c r="G119" i="43" s="1"/>
  <c r="H119" i="43" s="1"/>
  <c r="I119" i="43" s="1"/>
  <c r="D114" i="43"/>
  <c r="E114" i="43" s="1"/>
  <c r="F114" i="43" s="1"/>
  <c r="G114" i="43" s="1"/>
  <c r="H114" i="43" s="1"/>
  <c r="I114" i="43" s="1"/>
  <c r="D107" i="43"/>
  <c r="E107" i="43" s="1"/>
  <c r="F107" i="43" s="1"/>
  <c r="G107" i="43" s="1"/>
  <c r="H107" i="43" s="1"/>
  <c r="I107" i="43" s="1"/>
  <c r="D102" i="43"/>
  <c r="E102" i="43" s="1"/>
  <c r="F102" i="43" s="1"/>
  <c r="G102" i="43" s="1"/>
  <c r="H102" i="43" s="1"/>
  <c r="I102" i="43" s="1"/>
  <c r="D95" i="43"/>
  <c r="E95" i="43" s="1"/>
  <c r="F95" i="43" s="1"/>
  <c r="G95" i="43" s="1"/>
  <c r="H95" i="43" s="1"/>
  <c r="I95" i="43" s="1"/>
  <c r="D90" i="43"/>
  <c r="E90" i="43" s="1"/>
  <c r="F90" i="43" s="1"/>
  <c r="G90" i="43" s="1"/>
  <c r="H90" i="43" s="1"/>
  <c r="I90" i="43" s="1"/>
  <c r="D83" i="43"/>
  <c r="E83" i="43" s="1"/>
  <c r="F83" i="43" s="1"/>
  <c r="G83" i="43" s="1"/>
  <c r="H83" i="43" s="1"/>
  <c r="I83" i="43" s="1"/>
  <c r="D78" i="43"/>
  <c r="E78" i="43" s="1"/>
  <c r="F78" i="43" s="1"/>
  <c r="G78" i="43" s="1"/>
  <c r="H78" i="43" s="1"/>
  <c r="I78" i="43" s="1"/>
  <c r="D71" i="43"/>
  <c r="E71" i="43" s="1"/>
  <c r="F71" i="43" s="1"/>
  <c r="G71" i="43" s="1"/>
  <c r="H71" i="43" s="1"/>
  <c r="I71" i="43" s="1"/>
  <c r="D66" i="43"/>
  <c r="E66" i="43" s="1"/>
  <c r="F66" i="43" s="1"/>
  <c r="G66" i="43" s="1"/>
  <c r="H66" i="43" s="1"/>
  <c r="I66" i="43" s="1"/>
  <c r="D59" i="43"/>
  <c r="E59" i="43" s="1"/>
  <c r="F59" i="43" s="1"/>
  <c r="G59" i="43" s="1"/>
  <c r="H59" i="43" s="1"/>
  <c r="I59" i="43" s="1"/>
  <c r="D54" i="43"/>
  <c r="E54" i="43" s="1"/>
  <c r="F54" i="43" s="1"/>
  <c r="G54" i="43" s="1"/>
  <c r="H54" i="43" s="1"/>
  <c r="I54" i="43" s="1"/>
  <c r="D47" i="43"/>
  <c r="E47" i="43" s="1"/>
  <c r="F47" i="43" s="1"/>
  <c r="G47" i="43" s="1"/>
  <c r="H47" i="43" s="1"/>
  <c r="I47" i="43" s="1"/>
  <c r="D42" i="43"/>
  <c r="E42" i="43" s="1"/>
  <c r="F42" i="43" s="1"/>
  <c r="G42" i="43" s="1"/>
  <c r="H42" i="43" s="1"/>
  <c r="I42" i="43" s="1"/>
  <c r="D35" i="43"/>
  <c r="E35" i="43" s="1"/>
  <c r="F35" i="43" s="1"/>
  <c r="G35" i="43" s="1"/>
  <c r="H35" i="43" s="1"/>
  <c r="I35" i="43" s="1"/>
  <c r="D30" i="43"/>
  <c r="E30" i="43" s="1"/>
  <c r="F30" i="43" s="1"/>
  <c r="G30" i="43" s="1"/>
  <c r="H30" i="43" s="1"/>
  <c r="I30" i="43" s="1"/>
  <c r="D19" i="43"/>
  <c r="E19" i="43" s="1"/>
  <c r="F19" i="43" s="1"/>
  <c r="G19" i="43" s="1"/>
  <c r="H19" i="43" s="1"/>
  <c r="I19" i="43" s="1"/>
  <c r="D14" i="43"/>
  <c r="E14" i="43" s="1"/>
  <c r="F14" i="43" s="1"/>
  <c r="G14" i="43" s="1"/>
  <c r="H14" i="43" s="1"/>
  <c r="I14" i="43" s="1"/>
  <c r="D143" i="34"/>
  <c r="E143" i="34" s="1"/>
  <c r="F143" i="34" s="1"/>
  <c r="G143" i="34" s="1"/>
  <c r="H143" i="34" s="1"/>
  <c r="I143" i="34" s="1"/>
  <c r="D138" i="34"/>
  <c r="E138" i="34" s="1"/>
  <c r="F138" i="34" s="1"/>
  <c r="G138" i="34" s="1"/>
  <c r="H138" i="34" s="1"/>
  <c r="I138" i="34" s="1"/>
  <c r="D131" i="34"/>
  <c r="E131" i="34" s="1"/>
  <c r="F131" i="34" s="1"/>
  <c r="G131" i="34" s="1"/>
  <c r="H131" i="34" s="1"/>
  <c r="I131" i="34" s="1"/>
  <c r="D126" i="34"/>
  <c r="E126" i="34" s="1"/>
  <c r="F126" i="34" s="1"/>
  <c r="G126" i="34" s="1"/>
  <c r="H126" i="34" s="1"/>
  <c r="I126" i="34" s="1"/>
  <c r="D119" i="34"/>
  <c r="E119" i="34" s="1"/>
  <c r="F119" i="34" s="1"/>
  <c r="G119" i="34" s="1"/>
  <c r="H119" i="34" s="1"/>
  <c r="I119" i="34" s="1"/>
  <c r="D114" i="34"/>
  <c r="E114" i="34" s="1"/>
  <c r="F114" i="34" s="1"/>
  <c r="G114" i="34" s="1"/>
  <c r="H114" i="34" s="1"/>
  <c r="I114" i="34" s="1"/>
  <c r="D107" i="34"/>
  <c r="E107" i="34" s="1"/>
  <c r="F107" i="34" s="1"/>
  <c r="G107" i="34" s="1"/>
  <c r="H107" i="34" s="1"/>
  <c r="I107" i="34" s="1"/>
  <c r="D102" i="34"/>
  <c r="E102" i="34" s="1"/>
  <c r="F102" i="34" s="1"/>
  <c r="G102" i="34" s="1"/>
  <c r="H102" i="34" s="1"/>
  <c r="I102" i="34" s="1"/>
  <c r="D95" i="34"/>
  <c r="E95" i="34" s="1"/>
  <c r="F95" i="34" s="1"/>
  <c r="G95" i="34" s="1"/>
  <c r="H95" i="34" s="1"/>
  <c r="I95" i="34" s="1"/>
  <c r="D90" i="34"/>
  <c r="E90" i="34" s="1"/>
  <c r="F90" i="34" s="1"/>
  <c r="G90" i="34" s="1"/>
  <c r="H90" i="34" s="1"/>
  <c r="I90" i="34" s="1"/>
  <c r="J1" i="37"/>
  <c r="E211" i="38"/>
  <c r="F211" i="38" s="1"/>
  <c r="G211" i="38" s="1"/>
  <c r="H211" i="38" s="1"/>
  <c r="I211" i="38" s="1"/>
  <c r="J211" i="38" s="1"/>
  <c r="E199" i="38"/>
  <c r="F199" i="38" s="1"/>
  <c r="G199" i="38" s="1"/>
  <c r="H199" i="38" s="1"/>
  <c r="I199" i="38" s="1"/>
  <c r="J199" i="38" s="1"/>
  <c r="E139" i="38"/>
  <c r="F139" i="38" s="1"/>
  <c r="G139" i="38" s="1"/>
  <c r="H139" i="38" s="1"/>
  <c r="I139" i="38" s="1"/>
  <c r="J139" i="38" s="1"/>
  <c r="E127" i="38"/>
  <c r="F127" i="38" s="1"/>
  <c r="G127" i="38" s="1"/>
  <c r="H127" i="38" s="1"/>
  <c r="I127" i="38" s="1"/>
  <c r="J127" i="38" s="1"/>
  <c r="E115" i="38"/>
  <c r="F115" i="38" s="1"/>
  <c r="G115" i="38" s="1"/>
  <c r="H115" i="38" s="1"/>
  <c r="I115" i="38" s="1"/>
  <c r="J115" i="38" s="1"/>
  <c r="C48" i="38"/>
  <c r="W54" i="38"/>
  <c r="X54" i="38"/>
  <c r="W55" i="38"/>
  <c r="X55" i="38"/>
  <c r="R55" i="38" s="1"/>
  <c r="K339" i="7"/>
  <c r="K105" i="7"/>
  <c r="G107" i="7"/>
  <c r="G108" i="7"/>
  <c r="L108" i="7" s="1"/>
  <c r="G104" i="7"/>
  <c r="L104" i="7" s="1"/>
  <c r="M79" i="37"/>
  <c r="N79" i="37" s="1"/>
  <c r="O79" i="37" s="1"/>
  <c r="P79" i="37" s="1"/>
  <c r="Q79" i="37" s="1"/>
  <c r="R79" i="37" s="1"/>
  <c r="F79" i="37"/>
  <c r="G79" i="37" s="1"/>
  <c r="H79" i="37" s="1"/>
  <c r="I79" i="37" s="1"/>
  <c r="J79" i="37" s="1"/>
  <c r="K79" i="37" s="1"/>
  <c r="M15" i="37"/>
  <c r="N15" i="37" s="1"/>
  <c r="O15" i="37" s="1"/>
  <c r="P15" i="37" s="1"/>
  <c r="Q15" i="37" s="1"/>
  <c r="R15" i="37" s="1"/>
  <c r="F15" i="37"/>
  <c r="G15" i="37" s="1"/>
  <c r="H15" i="37" s="1"/>
  <c r="I15" i="37" s="1"/>
  <c r="J15" i="37" s="1"/>
  <c r="K15" i="37" s="1"/>
  <c r="M85" i="37"/>
  <c r="N85" i="37" s="1"/>
  <c r="O85" i="37" s="1"/>
  <c r="P85" i="37" s="1"/>
  <c r="Q85" i="37" s="1"/>
  <c r="R85" i="37" s="1"/>
  <c r="F85" i="37"/>
  <c r="G85" i="37" s="1"/>
  <c r="H85" i="37" s="1"/>
  <c r="I85" i="37" s="1"/>
  <c r="J85" i="37" s="1"/>
  <c r="K85" i="37" s="1"/>
  <c r="E187" i="38"/>
  <c r="F187" i="38" s="1"/>
  <c r="G187" i="38" s="1"/>
  <c r="H187" i="38" s="1"/>
  <c r="I187" i="38" s="1"/>
  <c r="J187" i="38" s="1"/>
  <c r="E175" i="38"/>
  <c r="F175" i="38" s="1"/>
  <c r="G175" i="38" s="1"/>
  <c r="H175" i="38" s="1"/>
  <c r="I175" i="38" s="1"/>
  <c r="J175" i="38" s="1"/>
  <c r="E163" i="38"/>
  <c r="F163" i="38" s="1"/>
  <c r="G163" i="38" s="1"/>
  <c r="H163" i="38" s="1"/>
  <c r="I163" i="38" s="1"/>
  <c r="J163" i="38" s="1"/>
  <c r="E151" i="38"/>
  <c r="F151" i="38" s="1"/>
  <c r="G151" i="38" s="1"/>
  <c r="H151" i="38" s="1"/>
  <c r="I151" i="38" s="1"/>
  <c r="J151" i="38" s="1"/>
  <c r="E103" i="38"/>
  <c r="F103" i="38" s="1"/>
  <c r="G103" i="38" s="1"/>
  <c r="H103" i="38" s="1"/>
  <c r="I103" i="38" s="1"/>
  <c r="J103" i="38" s="1"/>
  <c r="X59" i="38"/>
  <c r="W59" i="38"/>
  <c r="R59" i="38" s="1"/>
  <c r="T59" i="38" s="1"/>
  <c r="X58" i="38"/>
  <c r="W58" i="38"/>
  <c r="R58" i="38" s="1"/>
  <c r="T58" i="38" s="1"/>
  <c r="X57" i="38"/>
  <c r="W57" i="38"/>
  <c r="R57" i="38" s="1"/>
  <c r="X56" i="38"/>
  <c r="W56" i="38"/>
  <c r="R56" i="38" s="1"/>
  <c r="D39" i="38"/>
  <c r="E39" i="38" s="1"/>
  <c r="F39" i="38" s="1"/>
  <c r="G39" i="38" s="1"/>
  <c r="H39" i="38" s="1"/>
  <c r="I39" i="38" s="1"/>
  <c r="M47" i="37"/>
  <c r="N47" i="37" s="1"/>
  <c r="O47" i="37" s="1"/>
  <c r="P47" i="37" s="1"/>
  <c r="Q47" i="37" s="1"/>
  <c r="R47" i="37" s="1"/>
  <c r="F47" i="37"/>
  <c r="G47" i="37" s="1"/>
  <c r="H47" i="37" s="1"/>
  <c r="I47" i="37" s="1"/>
  <c r="J47" i="37" s="1"/>
  <c r="K47" i="37" s="1"/>
  <c r="D33" i="7"/>
  <c r="E33" i="7" s="1"/>
  <c r="F33" i="7" s="1"/>
  <c r="G33" i="7" s="1"/>
  <c r="H33" i="7" s="1"/>
  <c r="I33" i="7" s="1"/>
  <c r="D394" i="7"/>
  <c r="E394" i="7" s="1"/>
  <c r="F394" i="7" s="1"/>
  <c r="G394" i="7" s="1"/>
  <c r="H394" i="7" s="1"/>
  <c r="I394" i="7" s="1"/>
  <c r="D386" i="7"/>
  <c r="E386" i="7" s="1"/>
  <c r="F386" i="7" s="1"/>
  <c r="G386" i="7" s="1"/>
  <c r="H386" i="7" s="1"/>
  <c r="I386" i="7" s="1"/>
  <c r="D378" i="7"/>
  <c r="E378" i="7" s="1"/>
  <c r="F378" i="7" s="1"/>
  <c r="G378" i="7" s="1"/>
  <c r="H378" i="7" s="1"/>
  <c r="I378" i="7" s="1"/>
  <c r="D370" i="7"/>
  <c r="E370" i="7" s="1"/>
  <c r="F370" i="7" s="1"/>
  <c r="G370" i="7" s="1"/>
  <c r="H370" i="7" s="1"/>
  <c r="I370" i="7" s="1"/>
  <c r="D362" i="7"/>
  <c r="E362" i="7" s="1"/>
  <c r="F362" i="7" s="1"/>
  <c r="G362" i="7" s="1"/>
  <c r="H362" i="7" s="1"/>
  <c r="I362" i="7" s="1"/>
  <c r="D144" i="7"/>
  <c r="E144" i="7" s="1"/>
  <c r="F144" i="7" s="1"/>
  <c r="G144" i="7" s="1"/>
  <c r="H144" i="7" s="1"/>
  <c r="I144" i="7" s="1"/>
  <c r="D152" i="7"/>
  <c r="E152" i="7" s="1"/>
  <c r="F152" i="7" s="1"/>
  <c r="G152" i="7" s="1"/>
  <c r="H152" i="7" s="1"/>
  <c r="I152" i="7" s="1"/>
  <c r="D83" i="34"/>
  <c r="E83" i="34" s="1"/>
  <c r="F83" i="34" s="1"/>
  <c r="G83" i="34" s="1"/>
  <c r="H83" i="34" s="1"/>
  <c r="I83" i="34" s="1"/>
  <c r="D78" i="34"/>
  <c r="E78" i="34" s="1"/>
  <c r="F78" i="34" s="1"/>
  <c r="G78" i="34" s="1"/>
  <c r="H78" i="34" s="1"/>
  <c r="I78" i="34" s="1"/>
  <c r="D71" i="34"/>
  <c r="E71" i="34" s="1"/>
  <c r="F71" i="34" s="1"/>
  <c r="G71" i="34" s="1"/>
  <c r="H71" i="34" s="1"/>
  <c r="I71" i="34" s="1"/>
  <c r="D66" i="34"/>
  <c r="E66" i="34" s="1"/>
  <c r="F66" i="34" s="1"/>
  <c r="G66" i="34" s="1"/>
  <c r="H66" i="34" s="1"/>
  <c r="I66" i="34" s="1"/>
  <c r="D59" i="34"/>
  <c r="E59" i="34" s="1"/>
  <c r="F59" i="34" s="1"/>
  <c r="G59" i="34" s="1"/>
  <c r="H59" i="34" s="1"/>
  <c r="I59" i="34" s="1"/>
  <c r="D54" i="34"/>
  <c r="E54" i="34" s="1"/>
  <c r="F54" i="34" s="1"/>
  <c r="G54" i="34" s="1"/>
  <c r="H54" i="34" s="1"/>
  <c r="I54" i="34" s="1"/>
  <c r="D47" i="34"/>
  <c r="E47" i="34" s="1"/>
  <c r="F47" i="34" s="1"/>
  <c r="G47" i="34" s="1"/>
  <c r="H47" i="34" s="1"/>
  <c r="I47" i="34" s="1"/>
  <c r="D42" i="34"/>
  <c r="E42" i="34" s="1"/>
  <c r="F42" i="34" s="1"/>
  <c r="G42" i="34" s="1"/>
  <c r="H42" i="34" s="1"/>
  <c r="I42" i="34" s="1"/>
  <c r="D35" i="34"/>
  <c r="E35" i="34" s="1"/>
  <c r="F35" i="34" s="1"/>
  <c r="G35" i="34" s="1"/>
  <c r="H35" i="34" s="1"/>
  <c r="I35" i="34" s="1"/>
  <c r="D30" i="34"/>
  <c r="E30" i="34" s="1"/>
  <c r="F30" i="34" s="1"/>
  <c r="G30" i="34" s="1"/>
  <c r="H30" i="34" s="1"/>
  <c r="I30" i="34" s="1"/>
  <c r="D19" i="34"/>
  <c r="E19" i="34" s="1"/>
  <c r="F19" i="34" s="1"/>
  <c r="G19" i="34" s="1"/>
  <c r="H19" i="34" s="1"/>
  <c r="I19" i="34" s="1"/>
  <c r="D14" i="34"/>
  <c r="E14" i="34" s="1"/>
  <c r="F14" i="34" s="1"/>
  <c r="G14" i="34" s="1"/>
  <c r="H14" i="34" s="1"/>
  <c r="I14" i="34" s="1"/>
  <c r="F235" i="15"/>
  <c r="E235" i="15" s="1"/>
  <c r="F223" i="15"/>
  <c r="E223" i="15" s="1"/>
  <c r="F211" i="15"/>
  <c r="E211" i="15" s="1"/>
  <c r="F199" i="15"/>
  <c r="G199" i="15" s="1"/>
  <c r="H199" i="15" s="1"/>
  <c r="I199" i="15" s="1"/>
  <c r="J199" i="15" s="1"/>
  <c r="K199" i="15" s="1"/>
  <c r="E27" i="3"/>
  <c r="F27" i="3" s="1"/>
  <c r="G27" i="3" s="1"/>
  <c r="H27" i="3" s="1"/>
  <c r="I27" i="3" s="1"/>
  <c r="J27" i="3" s="1"/>
  <c r="D160" i="7"/>
  <c r="E160" i="7" s="1"/>
  <c r="F160" i="7" s="1"/>
  <c r="G160" i="7" s="1"/>
  <c r="H160" i="7" s="1"/>
  <c r="I160" i="7" s="1"/>
  <c r="D136" i="7"/>
  <c r="E136" i="7" s="1"/>
  <c r="F136" i="7" s="1"/>
  <c r="G136" i="7" s="1"/>
  <c r="H136" i="7" s="1"/>
  <c r="I136" i="7" s="1"/>
  <c r="D13" i="7"/>
  <c r="E13" i="7" s="1"/>
  <c r="F13" i="7" s="1"/>
  <c r="G13" i="7" s="1"/>
  <c r="H13" i="7" s="1"/>
  <c r="I13" i="7" s="1"/>
  <c r="D128" i="7"/>
  <c r="E128" i="7" s="1"/>
  <c r="F128" i="7" s="1"/>
  <c r="G128" i="7" s="1"/>
  <c r="H128" i="7" s="1"/>
  <c r="I128" i="7" s="1"/>
  <c r="F187" i="15"/>
  <c r="G187" i="15" s="1"/>
  <c r="H187" i="15" s="1"/>
  <c r="I187" i="15" s="1"/>
  <c r="J187" i="15" s="1"/>
  <c r="K187" i="15" s="1"/>
  <c r="Q77" i="38"/>
  <c r="M77" i="38" s="1"/>
  <c r="Q76" i="38"/>
  <c r="M76" i="38" s="1"/>
  <c r="P76" i="38"/>
  <c r="J76" i="38" s="1"/>
  <c r="P75" i="38"/>
  <c r="I75" i="38" s="1"/>
  <c r="Q75" i="38"/>
  <c r="N75" i="38" s="1"/>
  <c r="U58" i="38"/>
  <c r="J74" i="38"/>
  <c r="P77" i="38"/>
  <c r="B3" i="59"/>
  <c r="K107" i="7"/>
  <c r="L107" i="7"/>
  <c r="G156" i="7" s="1"/>
  <c r="W107" i="7" s="1"/>
  <c r="K106" i="7"/>
  <c r="K104" i="7"/>
  <c r="K338" i="7"/>
  <c r="D3" i="53"/>
  <c r="C3" i="44"/>
  <c r="E95" i="51"/>
  <c r="E12" i="51" s="1"/>
  <c r="AL31" i="14" s="1"/>
  <c r="C3" i="7"/>
  <c r="B3" i="57"/>
  <c r="V55" i="38"/>
  <c r="DD269" i="47"/>
  <c r="V59" i="38"/>
  <c r="G293" i="43"/>
  <c r="V57" i="38"/>
  <c r="V56" i="38"/>
  <c r="M55" i="15"/>
  <c r="D3" i="47"/>
  <c r="D3" i="49"/>
  <c r="G281" i="43"/>
  <c r="C3" i="45"/>
  <c r="M104" i="7"/>
  <c r="U55" i="38"/>
  <c r="L74" i="38"/>
  <c r="U54" i="38"/>
  <c r="V54" i="38"/>
  <c r="X76" i="38"/>
  <c r="X77" i="38"/>
  <c r="W77" i="38"/>
  <c r="W76" i="38"/>
  <c r="D241" i="38"/>
  <c r="D265" i="38"/>
  <c r="D169" i="38"/>
  <c r="X75" i="38"/>
  <c r="W75" i="38"/>
  <c r="AB177" i="15"/>
  <c r="AB159" i="15"/>
  <c r="E265" i="38"/>
  <c r="E93" i="53"/>
  <c r="D193" i="38"/>
  <c r="F265" i="38"/>
  <c r="F193" i="38"/>
  <c r="F169" i="38"/>
  <c r="G289" i="38"/>
  <c r="G169" i="38"/>
  <c r="G265" i="38"/>
  <c r="H193" i="38"/>
  <c r="H289" i="38"/>
  <c r="J193" i="38"/>
  <c r="J265" i="38"/>
  <c r="J289" i="38"/>
  <c r="J241" i="38"/>
  <c r="I217" i="38"/>
  <c r="I145" i="38"/>
  <c r="J169" i="38"/>
  <c r="J274" i="44"/>
  <c r="J275" i="43"/>
  <c r="J276" i="43"/>
  <c r="J274" i="34"/>
  <c r="K405" i="41" s="1"/>
  <c r="K16" i="41" s="1"/>
  <c r="J276" i="34"/>
  <c r="J275" i="34"/>
  <c r="J274" i="43"/>
  <c r="K407" i="41" s="1"/>
  <c r="K17" i="41" s="1"/>
  <c r="M66" i="15" l="1"/>
  <c r="O160" i="15"/>
  <c r="O161" i="15"/>
  <c r="Q161" i="15" s="1"/>
  <c r="O162" i="15"/>
  <c r="Q162" i="15" s="1"/>
  <c r="O159" i="15"/>
  <c r="Q159" i="15" s="1"/>
  <c r="O158" i="15"/>
  <c r="P64" i="15"/>
  <c r="F66" i="15"/>
  <c r="T51" i="38"/>
  <c r="Q73" i="38"/>
  <c r="U51" i="38"/>
  <c r="E50" i="37"/>
  <c r="I64" i="58"/>
  <c r="J64" i="58" s="1"/>
  <c r="K64" i="58" s="1"/>
  <c r="L64" i="58" s="1"/>
  <c r="M64" i="58" s="1"/>
  <c r="N64" i="58" s="1"/>
  <c r="O64" i="58" s="1"/>
  <c r="P64" i="58" s="1"/>
  <c r="G275" i="43"/>
  <c r="G290" i="43"/>
  <c r="AA62" i="38"/>
  <c r="J205" i="38"/>
  <c r="T55" i="38"/>
  <c r="D301" i="38"/>
  <c r="E325" i="38"/>
  <c r="R67" i="38"/>
  <c r="T67" i="38" s="1"/>
  <c r="R65" i="38"/>
  <c r="T65" i="38" s="1"/>
  <c r="R62" i="38"/>
  <c r="R60" i="38"/>
  <c r="T60" i="38" s="1"/>
  <c r="R54" i="38"/>
  <c r="T54" i="38" s="1"/>
  <c r="J229" i="38"/>
  <c r="H181" i="38"/>
  <c r="H229" i="38"/>
  <c r="F181" i="38"/>
  <c r="M75" i="38"/>
  <c r="H301" i="38"/>
  <c r="D325" i="38"/>
  <c r="F57" i="15"/>
  <c r="P57" i="15"/>
  <c r="O57" i="15"/>
  <c r="F55" i="15"/>
  <c r="P55" i="15"/>
  <c r="N63" i="15"/>
  <c r="O59" i="15"/>
  <c r="H101" i="47"/>
  <c r="H12" i="47" s="1"/>
  <c r="AO11" i="14" s="1"/>
  <c r="D151" i="37"/>
  <c r="J139" i="37"/>
  <c r="G53" i="15"/>
  <c r="Q56" i="15"/>
  <c r="G54" i="15"/>
  <c r="L59" i="15"/>
  <c r="N59" i="15"/>
  <c r="I61" i="15"/>
  <c r="M178" i="15"/>
  <c r="K178" i="15"/>
  <c r="Q167" i="15"/>
  <c r="Q177" i="15"/>
  <c r="C148" i="37"/>
  <c r="AI133" i="50"/>
  <c r="AI129" i="50"/>
  <c r="AI125" i="50"/>
  <c r="AM133" i="50"/>
  <c r="AM108" i="50" s="1"/>
  <c r="AI131" i="50"/>
  <c r="AI106" i="50" s="1"/>
  <c r="AR127" i="50"/>
  <c r="AR102" i="50" s="1"/>
  <c r="AM125" i="50"/>
  <c r="AR129" i="50"/>
  <c r="AR104" i="50" s="1"/>
  <c r="AL132" i="50"/>
  <c r="AL107" i="50" s="1"/>
  <c r="AQ132" i="50"/>
  <c r="AQ107" i="50" s="1"/>
  <c r="AU132" i="50"/>
  <c r="AU107" i="50" s="1"/>
  <c r="AJ130" i="50"/>
  <c r="AJ105" i="50" s="1"/>
  <c r="AN130" i="50"/>
  <c r="AN105" i="50" s="1"/>
  <c r="AS130" i="50"/>
  <c r="AS105" i="50" s="1"/>
  <c r="AL128" i="50"/>
  <c r="AL103" i="50" s="1"/>
  <c r="AQ128" i="50"/>
  <c r="AQ103" i="50" s="1"/>
  <c r="AU128" i="50"/>
  <c r="AU103" i="50" s="1"/>
  <c r="AJ126" i="50"/>
  <c r="AJ101" i="50" s="1"/>
  <c r="AN126" i="50"/>
  <c r="AN101" i="50" s="1"/>
  <c r="AS126" i="50"/>
  <c r="AS101" i="50" s="1"/>
  <c r="AL124" i="50"/>
  <c r="I293" i="50" s="1"/>
  <c r="I292" i="50" s="1"/>
  <c r="AQ124" i="50"/>
  <c r="AU124" i="50"/>
  <c r="AP132" i="50"/>
  <c r="AP107" i="50" s="1"/>
  <c r="AT130" i="50"/>
  <c r="AT105" i="50" s="1"/>
  <c r="AK130" i="50"/>
  <c r="AK105" i="50" s="1"/>
  <c r="AP128" i="50"/>
  <c r="AP103" i="50" s="1"/>
  <c r="AT126" i="50"/>
  <c r="AT101" i="50" s="1"/>
  <c r="AK126" i="50"/>
  <c r="AK101" i="50" s="1"/>
  <c r="AP124" i="50"/>
  <c r="AL133" i="50"/>
  <c r="AL108" i="50" s="1"/>
  <c r="AQ133" i="50"/>
  <c r="AQ108" i="50" s="1"/>
  <c r="AJ131" i="50"/>
  <c r="AJ106" i="50" s="1"/>
  <c r="AN131" i="50"/>
  <c r="AS131" i="50"/>
  <c r="AS106" i="50" s="1"/>
  <c r="AL129" i="50"/>
  <c r="AL104" i="50" s="1"/>
  <c r="AQ129" i="50"/>
  <c r="AQ104" i="50" s="1"/>
  <c r="AU129" i="50"/>
  <c r="AU104" i="50" s="1"/>
  <c r="AJ127" i="50"/>
  <c r="AJ102" i="50" s="1"/>
  <c r="AN127" i="50"/>
  <c r="AN102" i="50" s="1"/>
  <c r="AS127" i="50"/>
  <c r="AS102" i="50" s="1"/>
  <c r="AL125" i="50"/>
  <c r="AL100" i="50" s="1"/>
  <c r="AQ125" i="50"/>
  <c r="AQ100" i="50" s="1"/>
  <c r="AU125" i="50"/>
  <c r="AU100" i="50" s="1"/>
  <c r="AS133" i="50"/>
  <c r="AS108" i="50" s="1"/>
  <c r="AK133" i="50"/>
  <c r="AK108" i="50" s="1"/>
  <c r="AM132" i="50"/>
  <c r="AM107" i="50" s="1"/>
  <c r="AT131" i="50"/>
  <c r="AT106" i="50" s="1"/>
  <c r="AK131" i="50"/>
  <c r="AK106" i="50" s="1"/>
  <c r="AM130" i="50"/>
  <c r="AM105" i="50" s="1"/>
  <c r="AT129" i="50"/>
  <c r="AT104" i="50" s="1"/>
  <c r="AK129" i="50"/>
  <c r="AK104" i="50" s="1"/>
  <c r="AM128" i="50"/>
  <c r="AM103" i="50" s="1"/>
  <c r="AT127" i="50"/>
  <c r="AT102" i="50" s="1"/>
  <c r="AK127" i="50"/>
  <c r="AK102" i="50" s="1"/>
  <c r="AM126" i="50"/>
  <c r="AM101" i="50" s="1"/>
  <c r="AT125" i="50"/>
  <c r="BA125" i="50" s="1"/>
  <c r="AK125" i="50"/>
  <c r="AK100" i="50" s="1"/>
  <c r="H285" i="50" s="1"/>
  <c r="H284" i="50" s="1"/>
  <c r="AM124" i="50"/>
  <c r="J293" i="50" s="1"/>
  <c r="J292" i="50" s="1"/>
  <c r="AM127" i="50"/>
  <c r="AR131" i="50"/>
  <c r="AR106" i="50" s="1"/>
  <c r="AI127" i="50"/>
  <c r="AR125" i="50"/>
  <c r="AR100" i="50" s="1"/>
  <c r="AJ132" i="50"/>
  <c r="AJ107" i="50" s="1"/>
  <c r="AS132" i="50"/>
  <c r="AS107" i="50" s="1"/>
  <c r="AL130" i="50"/>
  <c r="AL105" i="50" s="1"/>
  <c r="AU130" i="50"/>
  <c r="AU105" i="50" s="1"/>
  <c r="AJ128" i="50"/>
  <c r="AJ103" i="50" s="1"/>
  <c r="AS128" i="50"/>
  <c r="AS103" i="50" s="1"/>
  <c r="AL126" i="50"/>
  <c r="AL101" i="50" s="1"/>
  <c r="AU126" i="50"/>
  <c r="AU101" i="50" s="1"/>
  <c r="AJ124" i="50"/>
  <c r="G293" i="50" s="1"/>
  <c r="G292" i="50" s="1"/>
  <c r="AS124" i="50"/>
  <c r="AK132" i="50"/>
  <c r="AK107" i="50" s="1"/>
  <c r="AT128" i="50"/>
  <c r="AT103" i="50" s="1"/>
  <c r="AP126" i="50"/>
  <c r="AP101" i="50" s="1"/>
  <c r="AK124" i="50"/>
  <c r="H293" i="50" s="1"/>
  <c r="H292" i="50" s="1"/>
  <c r="AJ133" i="50"/>
  <c r="AJ108" i="50" s="1"/>
  <c r="AQ131" i="50"/>
  <c r="AQ106" i="50" s="1"/>
  <c r="AN129" i="50"/>
  <c r="AN104" i="50" s="1"/>
  <c r="AQ127" i="50"/>
  <c r="AQ102" i="50" s="1"/>
  <c r="AN125" i="50"/>
  <c r="AN100" i="50" s="1"/>
  <c r="K285" i="50" s="1"/>
  <c r="K284" i="50" s="1"/>
  <c r="AU133" i="50"/>
  <c r="AU108" i="50" s="1"/>
  <c r="AR132" i="50"/>
  <c r="AR107" i="50" s="1"/>
  <c r="AP131" i="50"/>
  <c r="AP106" i="50" s="1"/>
  <c r="AI130" i="50"/>
  <c r="AI105" i="50" s="1"/>
  <c r="AR128" i="50"/>
  <c r="AR103" i="50" s="1"/>
  <c r="AP127" i="50"/>
  <c r="AW127" i="50" s="1"/>
  <c r="AI126" i="50"/>
  <c r="AI101" i="50" s="1"/>
  <c r="AR124" i="50"/>
  <c r="AM131" i="50"/>
  <c r="AT133" i="50"/>
  <c r="AT108" i="50" s="1"/>
  <c r="AM129" i="50"/>
  <c r="AM104" i="50" s="1"/>
  <c r="AR133" i="50"/>
  <c r="AR108" i="50" s="1"/>
  <c r="AN132" i="50"/>
  <c r="AN107" i="50" s="1"/>
  <c r="AQ130" i="50"/>
  <c r="AQ105" i="50" s="1"/>
  <c r="AN128" i="50"/>
  <c r="AN103" i="50" s="1"/>
  <c r="AQ126" i="50"/>
  <c r="AQ101" i="50" s="1"/>
  <c r="AN124" i="50"/>
  <c r="K293" i="50" s="1"/>
  <c r="K292" i="50" s="1"/>
  <c r="AT132" i="50"/>
  <c r="AT107" i="50" s="1"/>
  <c r="AP130" i="50"/>
  <c r="AP105" i="50" s="1"/>
  <c r="AK128" i="50"/>
  <c r="AK103" i="50" s="1"/>
  <c r="AT124" i="50"/>
  <c r="AN133" i="50"/>
  <c r="AN108" i="50" s="1"/>
  <c r="AL131" i="50"/>
  <c r="AL106" i="50" s="1"/>
  <c r="AU131" i="50"/>
  <c r="AU106" i="50" s="1"/>
  <c r="AJ129" i="50"/>
  <c r="AJ104" i="50" s="1"/>
  <c r="AS129" i="50"/>
  <c r="AS104" i="50" s="1"/>
  <c r="AL127" i="50"/>
  <c r="AL102" i="50" s="1"/>
  <c r="AU127" i="50"/>
  <c r="AU102" i="50" s="1"/>
  <c r="AJ125" i="50"/>
  <c r="AJ100" i="50" s="1"/>
  <c r="G285" i="50" s="1"/>
  <c r="G284" i="50" s="1"/>
  <c r="AS125" i="50"/>
  <c r="AS100" i="50" s="1"/>
  <c r="AP133" i="50"/>
  <c r="AW133" i="50" s="1"/>
  <c r="AI132" i="50"/>
  <c r="AI107" i="50" s="1"/>
  <c r="AR130" i="50"/>
  <c r="AR105" i="50" s="1"/>
  <c r="AP129" i="50"/>
  <c r="AW129" i="50" s="1"/>
  <c r="AI128" i="50"/>
  <c r="AI103" i="50" s="1"/>
  <c r="AR126" i="50"/>
  <c r="AR101" i="50" s="1"/>
  <c r="AP125" i="50"/>
  <c r="AW125" i="50" s="1"/>
  <c r="AI124" i="50"/>
  <c r="F293" i="50" s="1"/>
  <c r="F292" i="50" s="1"/>
  <c r="AP109" i="50"/>
  <c r="AQ109" i="50"/>
  <c r="AM109" i="50"/>
  <c r="AN106" i="50"/>
  <c r="AN109" i="50"/>
  <c r="AI109" i="50"/>
  <c r="AK109" i="50"/>
  <c r="AT109" i="50"/>
  <c r="AL109" i="50"/>
  <c r="AU109" i="50"/>
  <c r="AR109" i="50"/>
  <c r="AJ109" i="50"/>
  <c r="AS109" i="50"/>
  <c r="AI530" i="50"/>
  <c r="AM530" i="50"/>
  <c r="AL530" i="50"/>
  <c r="AS530" i="50"/>
  <c r="AS506" i="50" s="1"/>
  <c r="AJ530" i="50"/>
  <c r="AR530" i="50"/>
  <c r="AR506" i="50" s="1"/>
  <c r="AI528" i="50"/>
  <c r="AM528" i="50"/>
  <c r="AR528" i="50"/>
  <c r="AR504" i="50" s="1"/>
  <c r="AL528" i="50"/>
  <c r="AU528" i="50"/>
  <c r="AU504" i="50" s="1"/>
  <c r="AN528" i="50"/>
  <c r="AI526" i="50"/>
  <c r="AM526" i="50"/>
  <c r="AR526" i="50"/>
  <c r="AR502" i="50" s="1"/>
  <c r="AL526" i="50"/>
  <c r="AU526" i="50"/>
  <c r="AU502" i="50" s="1"/>
  <c r="AN526" i="50"/>
  <c r="AI524" i="50"/>
  <c r="AM524" i="50"/>
  <c r="AR524" i="50"/>
  <c r="AR500" i="50" s="1"/>
  <c r="AL524" i="50"/>
  <c r="AU524" i="50"/>
  <c r="AU500" i="50" s="1"/>
  <c r="AN524" i="50"/>
  <c r="AI522" i="50"/>
  <c r="AM522" i="50"/>
  <c r="AR522" i="50"/>
  <c r="AR498" i="50" s="1"/>
  <c r="AL522" i="50"/>
  <c r="AU522" i="50"/>
  <c r="AU498" i="50" s="1"/>
  <c r="AN522" i="50"/>
  <c r="AI529" i="50"/>
  <c r="AM529" i="50"/>
  <c r="AR529" i="50"/>
  <c r="AR505" i="50" s="1"/>
  <c r="AJ529" i="50"/>
  <c r="AS529" i="50"/>
  <c r="AS505" i="50" s="1"/>
  <c r="AQ529" i="50"/>
  <c r="AQ505" i="50" s="1"/>
  <c r="AI527" i="50"/>
  <c r="AM527" i="50"/>
  <c r="AR527" i="50"/>
  <c r="AR503" i="50" s="1"/>
  <c r="AJ527" i="50"/>
  <c r="AS527" i="50"/>
  <c r="AS503" i="50" s="1"/>
  <c r="AQ527" i="50"/>
  <c r="AQ503" i="50" s="1"/>
  <c r="AI525" i="50"/>
  <c r="AM525" i="50"/>
  <c r="AR525" i="50"/>
  <c r="AR501" i="50" s="1"/>
  <c r="AJ525" i="50"/>
  <c r="AS525" i="50"/>
  <c r="AS501" i="50" s="1"/>
  <c r="AQ525" i="50"/>
  <c r="AQ501" i="50" s="1"/>
  <c r="AI523" i="50"/>
  <c r="AM523" i="50"/>
  <c r="AR523" i="50"/>
  <c r="AR499" i="50" s="1"/>
  <c r="AJ523" i="50"/>
  <c r="AS523" i="50"/>
  <c r="AS499" i="50" s="1"/>
  <c r="AQ523" i="50"/>
  <c r="AQ499" i="50" s="1"/>
  <c r="AI521" i="50"/>
  <c r="AM521" i="50"/>
  <c r="AR521" i="50"/>
  <c r="AR497" i="50" s="1"/>
  <c r="AJ521" i="50"/>
  <c r="AS521" i="50"/>
  <c r="AS497" i="50" s="1"/>
  <c r="AQ521" i="50"/>
  <c r="AQ497" i="50" s="1"/>
  <c r="AK530" i="50"/>
  <c r="H841" i="50" s="1"/>
  <c r="AP530" i="50"/>
  <c r="AP506" i="50" s="1"/>
  <c r="AQ530" i="50"/>
  <c r="AQ506" i="50" s="1"/>
  <c r="AU530" i="50"/>
  <c r="AU506" i="50" s="1"/>
  <c r="AN530" i="50"/>
  <c r="AT530" i="50"/>
  <c r="AT506" i="50" s="1"/>
  <c r="AK528" i="50"/>
  <c r="AP528" i="50"/>
  <c r="AP504" i="50" s="1"/>
  <c r="AT528" i="50"/>
  <c r="AT504" i="50" s="1"/>
  <c r="AQ528" i="50"/>
  <c r="AQ504" i="50" s="1"/>
  <c r="AJ528" i="50"/>
  <c r="AS528" i="50"/>
  <c r="AS504" i="50" s="1"/>
  <c r="AK526" i="50"/>
  <c r="H773" i="50" s="1"/>
  <c r="AP526" i="50"/>
  <c r="AP502" i="50" s="1"/>
  <c r="AT526" i="50"/>
  <c r="AT502" i="50" s="1"/>
  <c r="AQ526" i="50"/>
  <c r="AQ502" i="50" s="1"/>
  <c r="AJ526" i="50"/>
  <c r="AS526" i="50"/>
  <c r="AS502" i="50" s="1"/>
  <c r="AK524" i="50"/>
  <c r="AP524" i="50"/>
  <c r="AP500" i="50" s="1"/>
  <c r="AT524" i="50"/>
  <c r="AT500" i="50" s="1"/>
  <c r="AQ524" i="50"/>
  <c r="AQ500" i="50" s="1"/>
  <c r="AJ524" i="50"/>
  <c r="AS524" i="50"/>
  <c r="AS500" i="50" s="1"/>
  <c r="AK522" i="50"/>
  <c r="AP522" i="50"/>
  <c r="AP498" i="50" s="1"/>
  <c r="AT522" i="50"/>
  <c r="AT498" i="50" s="1"/>
  <c r="AQ522" i="50"/>
  <c r="AQ498" i="50" s="1"/>
  <c r="AJ522" i="50"/>
  <c r="AS522" i="50"/>
  <c r="AK529" i="50"/>
  <c r="AP529" i="50"/>
  <c r="AP505" i="50" s="1"/>
  <c r="AT529" i="50"/>
  <c r="AT505" i="50" s="1"/>
  <c r="AN529" i="50"/>
  <c r="AL529" i="50"/>
  <c r="AU529" i="50"/>
  <c r="AU505" i="50" s="1"/>
  <c r="AK527" i="50"/>
  <c r="AP527" i="50"/>
  <c r="AP503" i="50" s="1"/>
  <c r="AT527" i="50"/>
  <c r="AT503" i="50" s="1"/>
  <c r="AN527" i="50"/>
  <c r="AL527" i="50"/>
  <c r="AU527" i="50"/>
  <c r="AU503" i="50" s="1"/>
  <c r="AK525" i="50"/>
  <c r="AP525" i="50"/>
  <c r="AP501" i="50" s="1"/>
  <c r="AT525" i="50"/>
  <c r="AT501" i="50" s="1"/>
  <c r="AN525" i="50"/>
  <c r="AL525" i="50"/>
  <c r="AU525" i="50"/>
  <c r="AU501" i="50" s="1"/>
  <c r="AK523" i="50"/>
  <c r="AP523" i="50"/>
  <c r="AP499" i="50" s="1"/>
  <c r="AT523" i="50"/>
  <c r="AT499" i="50" s="1"/>
  <c r="AN523" i="50"/>
  <c r="AL523" i="50"/>
  <c r="AU523" i="50"/>
  <c r="AU499" i="50" s="1"/>
  <c r="AK521" i="50"/>
  <c r="AP521" i="50"/>
  <c r="AP497" i="50" s="1"/>
  <c r="AT521" i="50"/>
  <c r="AT497" i="50" s="1"/>
  <c r="AN521" i="50"/>
  <c r="AL521" i="50"/>
  <c r="AU521" i="50"/>
  <c r="AU497" i="50" s="1"/>
  <c r="AK497" i="50"/>
  <c r="H680" i="50" s="1"/>
  <c r="AS498" i="50"/>
  <c r="K30" i="58"/>
  <c r="L30" i="58" s="1"/>
  <c r="L46" i="58" s="1"/>
  <c r="AC74" i="50"/>
  <c r="I169" i="38"/>
  <c r="J217" i="38"/>
  <c r="I241" i="38"/>
  <c r="I289" i="38"/>
  <c r="I265" i="38"/>
  <c r="I193" i="38"/>
  <c r="H169" i="38"/>
  <c r="H217" i="38"/>
  <c r="H241" i="38"/>
  <c r="G217" i="38"/>
  <c r="G145" i="38"/>
  <c r="G241" i="38"/>
  <c r="G193" i="38"/>
  <c r="F289" i="38"/>
  <c r="F241" i="38"/>
  <c r="F217" i="38"/>
  <c r="E145" i="38"/>
  <c r="E217" i="38"/>
  <c r="E289" i="38"/>
  <c r="J301" i="38"/>
  <c r="F301" i="38"/>
  <c r="G301" i="38"/>
  <c r="F313" i="38"/>
  <c r="I313" i="38"/>
  <c r="E313" i="38"/>
  <c r="F337" i="38"/>
  <c r="I337" i="38"/>
  <c r="E337" i="38"/>
  <c r="I92" i="38"/>
  <c r="J92" i="38"/>
  <c r="I94" i="38"/>
  <c r="J94" i="38"/>
  <c r="J91" i="38"/>
  <c r="I91" i="38"/>
  <c r="J93" i="38"/>
  <c r="I93" i="38"/>
  <c r="H155" i="7"/>
  <c r="R107" i="7" s="1"/>
  <c r="K302" i="7"/>
  <c r="P177" i="15"/>
  <c r="R177" i="15" s="1"/>
  <c r="T177" i="15" s="1"/>
  <c r="P166" i="15"/>
  <c r="L178" i="15"/>
  <c r="M60" i="15"/>
  <c r="G60" i="15"/>
  <c r="I64" i="15"/>
  <c r="D417" i="50"/>
  <c r="J417" i="50" s="1"/>
  <c r="D400" i="50"/>
  <c r="J400" i="50" s="1"/>
  <c r="D383" i="50"/>
  <c r="J383" i="50" s="1"/>
  <c r="D366" i="50"/>
  <c r="J366" i="50" s="1"/>
  <c r="D349" i="50"/>
  <c r="J349" i="50" s="1"/>
  <c r="D332" i="50"/>
  <c r="J332" i="50" s="1"/>
  <c r="D298" i="50"/>
  <c r="J298" i="50" s="1"/>
  <c r="D315" i="50"/>
  <c r="J315" i="50" s="1"/>
  <c r="D281" i="50"/>
  <c r="J281" i="50" s="1"/>
  <c r="J97" i="50"/>
  <c r="Z97" i="50" s="1"/>
  <c r="C268" i="50" s="1"/>
  <c r="C276" i="50" s="1"/>
  <c r="P2" i="1"/>
  <c r="G26" i="58"/>
  <c r="H26" i="58" s="1"/>
  <c r="H42" i="58" s="1"/>
  <c r="J219" i="58"/>
  <c r="N185" i="58"/>
  <c r="M184" i="58"/>
  <c r="J181" i="58"/>
  <c r="I180" i="58"/>
  <c r="N147" i="58"/>
  <c r="M146" i="58"/>
  <c r="J143" i="58"/>
  <c r="J371" i="58"/>
  <c r="N337" i="58"/>
  <c r="M336" i="58"/>
  <c r="J333" i="58"/>
  <c r="I332" i="58"/>
  <c r="N299" i="58"/>
  <c r="M298" i="58"/>
  <c r="J295" i="58"/>
  <c r="I294" i="58"/>
  <c r="Q264" i="58"/>
  <c r="Q280" i="58" s="1"/>
  <c r="N261" i="58"/>
  <c r="M260" i="58"/>
  <c r="I256" i="58"/>
  <c r="Q74" i="58"/>
  <c r="Q90" i="58" s="1"/>
  <c r="K68" i="58"/>
  <c r="H141" i="58"/>
  <c r="K220" i="58"/>
  <c r="O224" i="58"/>
  <c r="Q226" i="58"/>
  <c r="Q242" i="58" s="1"/>
  <c r="P263" i="58"/>
  <c r="P301" i="58"/>
  <c r="P339" i="58"/>
  <c r="J67" i="58"/>
  <c r="M70" i="58"/>
  <c r="O72" i="58"/>
  <c r="G102" i="58"/>
  <c r="K106" i="58"/>
  <c r="O110" i="58"/>
  <c r="L145" i="58"/>
  <c r="P187" i="58"/>
  <c r="J257" i="58"/>
  <c r="K372" i="58"/>
  <c r="H65" i="58"/>
  <c r="G140" i="58"/>
  <c r="O148" i="58"/>
  <c r="Q150" i="58"/>
  <c r="Q166" i="58" s="1"/>
  <c r="O186" i="58"/>
  <c r="Q188" i="58"/>
  <c r="Q204" i="58" s="1"/>
  <c r="G216" i="58"/>
  <c r="I218" i="58"/>
  <c r="M222" i="58"/>
  <c r="H255" i="58"/>
  <c r="L297" i="58"/>
  <c r="L335" i="58"/>
  <c r="L373" i="58"/>
  <c r="N375" i="58"/>
  <c r="I66" i="58"/>
  <c r="L69" i="58"/>
  <c r="N71" i="58"/>
  <c r="P73" i="58"/>
  <c r="H103" i="58"/>
  <c r="L107" i="58"/>
  <c r="P111" i="58"/>
  <c r="I142" i="58"/>
  <c r="P149" i="58"/>
  <c r="L183" i="58"/>
  <c r="L221" i="58"/>
  <c r="N223" i="58"/>
  <c r="O300" i="58"/>
  <c r="Q302" i="58"/>
  <c r="Q318" i="58" s="1"/>
  <c r="O338" i="58"/>
  <c r="Q340" i="58"/>
  <c r="Q356" i="58" s="1"/>
  <c r="G368" i="58"/>
  <c r="I370" i="58"/>
  <c r="O376" i="58"/>
  <c r="Q378" i="58"/>
  <c r="Q394" i="58" s="1"/>
  <c r="K144" i="58"/>
  <c r="H179" i="58"/>
  <c r="G254" i="58"/>
  <c r="K258" i="58"/>
  <c r="O262" i="58"/>
  <c r="G292" i="58"/>
  <c r="K296" i="58"/>
  <c r="G330" i="58"/>
  <c r="K334" i="58"/>
  <c r="H369" i="58"/>
  <c r="P377" i="58"/>
  <c r="M374" i="58"/>
  <c r="G178" i="58"/>
  <c r="K182" i="58"/>
  <c r="H217" i="58"/>
  <c r="P225" i="58"/>
  <c r="L259" i="58"/>
  <c r="H293" i="58"/>
  <c r="H331" i="58"/>
  <c r="J105" i="58"/>
  <c r="M108" i="58"/>
  <c r="I104" i="58"/>
  <c r="N109" i="58"/>
  <c r="Q112" i="58"/>
  <c r="Q128" i="58" s="1"/>
  <c r="N50" i="58"/>
  <c r="J274" i="58"/>
  <c r="F194" i="58"/>
  <c r="F346" i="58"/>
  <c r="F308" i="58"/>
  <c r="K237" i="58"/>
  <c r="O89" i="58"/>
  <c r="H82" i="58"/>
  <c r="M87" i="58"/>
  <c r="F118" i="58"/>
  <c r="J122" i="58"/>
  <c r="N126" i="58"/>
  <c r="P128" i="58"/>
  <c r="H158" i="58"/>
  <c r="P166" i="58"/>
  <c r="N164" i="58"/>
  <c r="P204" i="58"/>
  <c r="N202" i="58"/>
  <c r="H234" i="58"/>
  <c r="L238" i="58"/>
  <c r="Q319" i="58"/>
  <c r="Q357" i="58"/>
  <c r="M391" i="58"/>
  <c r="Q395" i="58"/>
  <c r="P90" i="58"/>
  <c r="F80" i="58"/>
  <c r="Q129" i="58"/>
  <c r="O165" i="58"/>
  <c r="F156" i="58"/>
  <c r="Q205" i="58"/>
  <c r="M239" i="58"/>
  <c r="Q243" i="58"/>
  <c r="P318" i="58"/>
  <c r="N316" i="58"/>
  <c r="P356" i="58"/>
  <c r="N354" i="58"/>
  <c r="H386" i="58"/>
  <c r="I83" i="58"/>
  <c r="L86" i="58"/>
  <c r="G81" i="58"/>
  <c r="G119" i="58"/>
  <c r="K123" i="58"/>
  <c r="O127" i="58"/>
  <c r="G157" i="58"/>
  <c r="J236" i="58"/>
  <c r="P242" i="58"/>
  <c r="O317" i="58"/>
  <c r="O355" i="58"/>
  <c r="Q91" i="58"/>
  <c r="N88" i="58"/>
  <c r="Q167" i="58"/>
  <c r="O203" i="58"/>
  <c r="I273" i="58"/>
  <c r="L390" i="58"/>
  <c r="M163" i="58"/>
  <c r="I197" i="58"/>
  <c r="L200" i="58"/>
  <c r="G195" i="58"/>
  <c r="I235" i="58"/>
  <c r="L276" i="58"/>
  <c r="Q281" i="58"/>
  <c r="H310" i="58"/>
  <c r="M315" i="58"/>
  <c r="H348" i="58"/>
  <c r="M353" i="58"/>
  <c r="G385" i="58"/>
  <c r="I159" i="58"/>
  <c r="H272" i="58"/>
  <c r="M277" i="58"/>
  <c r="K275" i="58"/>
  <c r="I311" i="58"/>
  <c r="G309" i="58"/>
  <c r="I349" i="58"/>
  <c r="G347" i="58"/>
  <c r="F384" i="58"/>
  <c r="O393" i="58"/>
  <c r="K389" i="58"/>
  <c r="J350" i="58"/>
  <c r="K313" i="58"/>
  <c r="F270" i="58"/>
  <c r="O279" i="58"/>
  <c r="G233" i="58"/>
  <c r="N240" i="58"/>
  <c r="J198" i="58"/>
  <c r="K161" i="58"/>
  <c r="I121" i="58"/>
  <c r="L124" i="58"/>
  <c r="H120" i="58"/>
  <c r="M125" i="58"/>
  <c r="P394" i="58"/>
  <c r="L162" i="58"/>
  <c r="H196" i="58"/>
  <c r="M201" i="58"/>
  <c r="P280" i="58"/>
  <c r="L314" i="58"/>
  <c r="L352" i="58"/>
  <c r="I387" i="58"/>
  <c r="N392" i="58"/>
  <c r="J388" i="58"/>
  <c r="K351" i="58"/>
  <c r="J312" i="58"/>
  <c r="G271" i="58"/>
  <c r="N278" i="58"/>
  <c r="F232" i="58"/>
  <c r="O241" i="58"/>
  <c r="K199" i="58"/>
  <c r="J160" i="58"/>
  <c r="J84" i="58"/>
  <c r="K85" i="58"/>
  <c r="K47" i="58"/>
  <c r="I28" i="58"/>
  <c r="I44" i="58" s="1"/>
  <c r="L31" i="58"/>
  <c r="L47" i="58" s="1"/>
  <c r="P52" i="58"/>
  <c r="O51" i="58"/>
  <c r="Q53" i="58"/>
  <c r="H27" i="58"/>
  <c r="H43" i="58" s="1"/>
  <c r="J29" i="58"/>
  <c r="J45" i="58" s="1"/>
  <c r="M32" i="58"/>
  <c r="M48" i="58" s="1"/>
  <c r="D146" i="37"/>
  <c r="E98" i="37"/>
  <c r="J98" i="37" s="1"/>
  <c r="AA65" i="38"/>
  <c r="B148" i="15" s="1"/>
  <c r="D159" i="37"/>
  <c r="AA52" i="38"/>
  <c r="B135" i="15" s="1"/>
  <c r="AF163" i="37"/>
  <c r="AG163" i="37" s="1"/>
  <c r="AF162" i="37"/>
  <c r="S162" i="37" s="1"/>
  <c r="AF161" i="37"/>
  <c r="AG161" i="37" s="1"/>
  <c r="AF160" i="37"/>
  <c r="L160" i="37" s="1"/>
  <c r="AP160" i="37" s="1"/>
  <c r="AF159" i="37"/>
  <c r="L159" i="37" s="1"/>
  <c r="AP159" i="37" s="1"/>
  <c r="AF158" i="37"/>
  <c r="L158" i="37" s="1"/>
  <c r="AF157" i="37"/>
  <c r="S157" i="37" s="1"/>
  <c r="AF156" i="37"/>
  <c r="AG156" i="37" s="1"/>
  <c r="AF155" i="37"/>
  <c r="AG155" i="37" s="1"/>
  <c r="AF154" i="37"/>
  <c r="S154" i="37" s="1"/>
  <c r="D829" i="50"/>
  <c r="J829" i="50" s="1"/>
  <c r="D812" i="50"/>
  <c r="J812" i="50" s="1"/>
  <c r="D795" i="50"/>
  <c r="J795" i="50" s="1"/>
  <c r="D778" i="50"/>
  <c r="J778" i="50" s="1"/>
  <c r="D693" i="50"/>
  <c r="J693" i="50" s="1"/>
  <c r="D744" i="50"/>
  <c r="J744" i="50" s="1"/>
  <c r="D727" i="50"/>
  <c r="J727" i="50" s="1"/>
  <c r="D710" i="50"/>
  <c r="J710" i="50" s="1"/>
  <c r="D676" i="50"/>
  <c r="J676" i="50" s="1"/>
  <c r="D761" i="50"/>
  <c r="J761" i="50" s="1"/>
  <c r="J491" i="50"/>
  <c r="Z491" i="50" s="1"/>
  <c r="C646" i="50" s="1"/>
  <c r="C654" i="50" s="1"/>
  <c r="Q53" i="15"/>
  <c r="L53" i="15"/>
  <c r="H56" i="15"/>
  <c r="E56" i="15"/>
  <c r="Q54" i="15"/>
  <c r="L54" i="15"/>
  <c r="G67" i="15"/>
  <c r="L63" i="15"/>
  <c r="N61" i="15"/>
  <c r="J59" i="15"/>
  <c r="E65" i="15"/>
  <c r="P176" i="15"/>
  <c r="P175" i="15"/>
  <c r="P174" i="15"/>
  <c r="P173" i="15"/>
  <c r="P172" i="15"/>
  <c r="P171" i="15"/>
  <c r="P170" i="15"/>
  <c r="P169" i="15"/>
  <c r="P168" i="15"/>
  <c r="P167" i="15"/>
  <c r="P165" i="15"/>
  <c r="P164" i="15"/>
  <c r="P163" i="15"/>
  <c r="P162" i="15"/>
  <c r="P161" i="15"/>
  <c r="P160" i="15"/>
  <c r="P159" i="15"/>
  <c r="AF153" i="37"/>
  <c r="L153" i="37" s="1"/>
  <c r="AP153" i="37" s="1"/>
  <c r="AF152" i="37"/>
  <c r="L152" i="37" s="1"/>
  <c r="AP152" i="37" s="1"/>
  <c r="AF151" i="37"/>
  <c r="L151" i="37" s="1"/>
  <c r="AP151" i="37" s="1"/>
  <c r="AF150" i="37"/>
  <c r="S150" i="37" s="1"/>
  <c r="AF149" i="37"/>
  <c r="AG149" i="37" s="1"/>
  <c r="AF148" i="37"/>
  <c r="AI148" i="37" s="1"/>
  <c r="D148" i="37"/>
  <c r="D145" i="37"/>
  <c r="AG160" i="37"/>
  <c r="AG148" i="37"/>
  <c r="E102" i="37"/>
  <c r="R102" i="37" s="1"/>
  <c r="E94" i="37"/>
  <c r="K94" i="37" s="1"/>
  <c r="C44" i="1"/>
  <c r="B18" i="1" s="1"/>
  <c r="G18" i="1" s="1"/>
  <c r="I1" i="38"/>
  <c r="B20" i="1"/>
  <c r="I20" i="1" s="1"/>
  <c r="B133" i="15"/>
  <c r="AA57" i="38"/>
  <c r="B140" i="15" s="1"/>
  <c r="AA54" i="38"/>
  <c r="C20" i="38" s="1"/>
  <c r="C43" i="1"/>
  <c r="B17" i="1" s="1"/>
  <c r="G17" i="1" s="1"/>
  <c r="D154" i="37"/>
  <c r="C162" i="37"/>
  <c r="D147" i="37"/>
  <c r="D149" i="37"/>
  <c r="D144" i="37"/>
  <c r="D150" i="37"/>
  <c r="E104" i="37"/>
  <c r="N104" i="37" s="1"/>
  <c r="E100" i="37"/>
  <c r="F100" i="37" s="1"/>
  <c r="E96" i="37"/>
  <c r="Q96" i="37" s="1"/>
  <c r="E92" i="37"/>
  <c r="P92" i="37" s="1"/>
  <c r="C42" i="1"/>
  <c r="B16" i="1" s="1"/>
  <c r="G16" i="1" s="1"/>
  <c r="E78" i="49"/>
  <c r="E11" i="49" s="1"/>
  <c r="AL20" i="14" s="1"/>
  <c r="J78" i="51"/>
  <c r="J11" i="51" s="1"/>
  <c r="AQ30" i="14" s="1"/>
  <c r="AA69" i="38"/>
  <c r="C35" i="38" s="1"/>
  <c r="AA61" i="38"/>
  <c r="B144" i="15" s="1"/>
  <c r="AA68" i="38"/>
  <c r="C34" i="38" s="1"/>
  <c r="K34" i="38" s="1"/>
  <c r="L95" i="15" s="1"/>
  <c r="AA58" i="38"/>
  <c r="B141" i="15" s="1"/>
  <c r="E41" i="1"/>
  <c r="J74" i="37"/>
  <c r="C46" i="38"/>
  <c r="D162" i="37"/>
  <c r="D163" i="37"/>
  <c r="D155" i="37"/>
  <c r="D160" i="37"/>
  <c r="AF145" i="37"/>
  <c r="L145" i="37" s="1"/>
  <c r="AP145" i="37" s="1"/>
  <c r="C154" i="37"/>
  <c r="AW25" i="14"/>
  <c r="M457" i="50"/>
  <c r="J411" i="41"/>
  <c r="G407" i="41"/>
  <c r="Q173" i="15"/>
  <c r="O58" i="15"/>
  <c r="P58" i="15"/>
  <c r="P60" i="15"/>
  <c r="P62" i="15"/>
  <c r="M64" i="15"/>
  <c r="F58" i="15"/>
  <c r="I62" i="15"/>
  <c r="H60" i="15"/>
  <c r="H62" i="15"/>
  <c r="G43" i="58"/>
  <c r="N33" i="58"/>
  <c r="O34" i="58"/>
  <c r="O50" i="58" s="1"/>
  <c r="M62" i="50"/>
  <c r="J15" i="41"/>
  <c r="J489" i="50"/>
  <c r="Z489" i="50" s="1"/>
  <c r="C612" i="50" s="1"/>
  <c r="C620" i="50" s="1"/>
  <c r="AC466" i="50"/>
  <c r="C158" i="37"/>
  <c r="C150" i="37"/>
  <c r="J93" i="50"/>
  <c r="Z93" i="50" s="1"/>
  <c r="C200" i="50" s="1"/>
  <c r="C208" i="50" s="1"/>
  <c r="AC462" i="50"/>
  <c r="Y115" i="50"/>
  <c r="F191" i="47"/>
  <c r="F17" i="47" s="1"/>
  <c r="AM16" i="14" s="1"/>
  <c r="AB161" i="15"/>
  <c r="AB163" i="15"/>
  <c r="AB167" i="15"/>
  <c r="AB173" i="15"/>
  <c r="AP158" i="37"/>
  <c r="D156" i="7"/>
  <c r="T107" i="7" s="1"/>
  <c r="I155" i="7"/>
  <c r="S107" i="7" s="1"/>
  <c r="G101" i="47"/>
  <c r="G12" i="47" s="1"/>
  <c r="AN11" i="14" s="1"/>
  <c r="H78" i="49"/>
  <c r="H11" i="49" s="1"/>
  <c r="AO20" i="14" s="1"/>
  <c r="H119" i="47"/>
  <c r="H13" i="47" s="1"/>
  <c r="AO12" i="14" s="1"/>
  <c r="I78" i="51"/>
  <c r="I11" i="51" s="1"/>
  <c r="AP30" i="14" s="1"/>
  <c r="C160" i="37"/>
  <c r="C156" i="37"/>
  <c r="C152" i="37"/>
  <c r="AP519" i="50"/>
  <c r="AT519" i="50"/>
  <c r="AS519" i="50"/>
  <c r="AP515" i="50"/>
  <c r="AT515" i="50"/>
  <c r="AS515" i="50"/>
  <c r="AP518" i="50"/>
  <c r="AT518" i="50"/>
  <c r="AS518" i="50"/>
  <c r="AP514" i="50"/>
  <c r="AT514" i="50"/>
  <c r="AS514" i="50"/>
  <c r="AP517" i="50"/>
  <c r="AT517" i="50"/>
  <c r="AS517" i="50"/>
  <c r="AP513" i="50"/>
  <c r="AT513" i="50"/>
  <c r="AS513" i="50"/>
  <c r="AP520" i="50"/>
  <c r="AT520" i="50"/>
  <c r="AS520" i="50"/>
  <c r="AP516" i="50"/>
  <c r="AT516" i="50"/>
  <c r="AS516" i="50"/>
  <c r="AP512" i="50"/>
  <c r="AT512" i="50"/>
  <c r="AS512" i="50"/>
  <c r="AI519" i="50"/>
  <c r="F654" i="50" s="1"/>
  <c r="AM519" i="50"/>
  <c r="AL519" i="50"/>
  <c r="I654" i="50" s="1"/>
  <c r="AI515" i="50"/>
  <c r="AM515" i="50"/>
  <c r="J586" i="50" s="1"/>
  <c r="AL515" i="50"/>
  <c r="AI518" i="50"/>
  <c r="AM518" i="50"/>
  <c r="AL518" i="50"/>
  <c r="AI514" i="50"/>
  <c r="AM514" i="50"/>
  <c r="AL514" i="50"/>
  <c r="AI517" i="50"/>
  <c r="AM517" i="50"/>
  <c r="AL517" i="50"/>
  <c r="AI513" i="50"/>
  <c r="AM513" i="50"/>
  <c r="AL513" i="50"/>
  <c r="AI520" i="50"/>
  <c r="F671" i="50" s="1"/>
  <c r="AM520" i="50"/>
  <c r="J671" i="50" s="1"/>
  <c r="AL520" i="50"/>
  <c r="I671" i="50" s="1"/>
  <c r="AI516" i="50"/>
  <c r="AM516" i="50"/>
  <c r="AL516" i="50"/>
  <c r="AI512" i="50"/>
  <c r="AM512" i="50"/>
  <c r="AL512" i="50"/>
  <c r="AP120" i="50"/>
  <c r="AT120" i="50"/>
  <c r="AS120" i="50"/>
  <c r="AP116" i="50"/>
  <c r="AT116" i="50"/>
  <c r="AS116" i="50"/>
  <c r="AP123" i="50"/>
  <c r="AT123" i="50"/>
  <c r="AS123" i="50"/>
  <c r="AP119" i="50"/>
  <c r="AT119" i="50"/>
  <c r="AS119" i="50"/>
  <c r="AP122" i="50"/>
  <c r="AT122" i="50"/>
  <c r="AS122" i="50"/>
  <c r="AP118" i="50"/>
  <c r="AT118" i="50"/>
  <c r="AS118" i="50"/>
  <c r="AP121" i="50"/>
  <c r="AT121" i="50"/>
  <c r="AS121" i="50"/>
  <c r="AP117" i="50"/>
  <c r="AR519" i="50"/>
  <c r="AQ519" i="50"/>
  <c r="AU519" i="50"/>
  <c r="AR515" i="50"/>
  <c r="AQ515" i="50"/>
  <c r="AU515" i="50"/>
  <c r="AR518" i="50"/>
  <c r="AQ518" i="50"/>
  <c r="AU518" i="50"/>
  <c r="AR514" i="50"/>
  <c r="AQ514" i="50"/>
  <c r="AU514" i="50"/>
  <c r="AR517" i="50"/>
  <c r="AQ517" i="50"/>
  <c r="AU517" i="50"/>
  <c r="AR513" i="50"/>
  <c r="AQ513" i="50"/>
  <c r="AU513" i="50"/>
  <c r="AR520" i="50"/>
  <c r="AQ520" i="50"/>
  <c r="AU520" i="50"/>
  <c r="AR516" i="50"/>
  <c r="AQ516" i="50"/>
  <c r="AU516" i="50"/>
  <c r="AR512" i="50"/>
  <c r="AQ512" i="50"/>
  <c r="AU512" i="50"/>
  <c r="AK519" i="50"/>
  <c r="H654" i="50" s="1"/>
  <c r="AJ519" i="50"/>
  <c r="AN519" i="50"/>
  <c r="K654" i="50" s="1"/>
  <c r="AK515" i="50"/>
  <c r="AJ515" i="50"/>
  <c r="G586" i="50" s="1"/>
  <c r="AN515" i="50"/>
  <c r="AK518" i="50"/>
  <c r="AJ518" i="50"/>
  <c r="AN518" i="50"/>
  <c r="K637" i="50" s="1"/>
  <c r="AK514" i="50"/>
  <c r="AJ514" i="50"/>
  <c r="AN514" i="50"/>
  <c r="AK517" i="50"/>
  <c r="AJ517" i="50"/>
  <c r="AN517" i="50"/>
  <c r="AK513" i="50"/>
  <c r="AJ513" i="50"/>
  <c r="AN513" i="50"/>
  <c r="AK520" i="50"/>
  <c r="H671" i="50" s="1"/>
  <c r="AJ520" i="50"/>
  <c r="G671" i="50" s="1"/>
  <c r="AN520" i="50"/>
  <c r="K671" i="50" s="1"/>
  <c r="AK516" i="50"/>
  <c r="AJ516" i="50"/>
  <c r="AN516" i="50"/>
  <c r="AK512" i="50"/>
  <c r="AJ512" i="50"/>
  <c r="AN512" i="50"/>
  <c r="AR120" i="50"/>
  <c r="AQ120" i="50"/>
  <c r="AU120" i="50"/>
  <c r="AR116" i="50"/>
  <c r="AQ116" i="50"/>
  <c r="AU116" i="50"/>
  <c r="AR123" i="50"/>
  <c r="AQ123" i="50"/>
  <c r="AU123" i="50"/>
  <c r="AR119" i="50"/>
  <c r="AQ119" i="50"/>
  <c r="AU119" i="50"/>
  <c r="AR122" i="50"/>
  <c r="AQ122" i="50"/>
  <c r="AU122" i="50"/>
  <c r="AR118" i="50"/>
  <c r="AQ118" i="50"/>
  <c r="AU118" i="50"/>
  <c r="AR121" i="50"/>
  <c r="AQ121" i="50"/>
  <c r="AU121" i="50"/>
  <c r="AR117" i="50"/>
  <c r="AT117" i="50"/>
  <c r="AS117" i="50"/>
  <c r="AI120" i="50"/>
  <c r="AM120" i="50"/>
  <c r="AL120" i="50"/>
  <c r="AI116" i="50"/>
  <c r="AM116" i="50"/>
  <c r="AL116" i="50"/>
  <c r="AI123" i="50"/>
  <c r="AM123" i="50"/>
  <c r="AL123" i="50"/>
  <c r="AI119" i="50"/>
  <c r="AM119" i="50"/>
  <c r="AL119" i="50"/>
  <c r="AI122" i="50"/>
  <c r="AM122" i="50"/>
  <c r="AL122" i="50"/>
  <c r="AI118" i="50"/>
  <c r="AM118" i="50"/>
  <c r="AL118" i="50"/>
  <c r="AI121" i="50"/>
  <c r="AM121" i="50"/>
  <c r="AL121" i="50"/>
  <c r="AI117" i="50"/>
  <c r="AM117" i="50"/>
  <c r="AL117" i="50"/>
  <c r="AQ117" i="50"/>
  <c r="AU117" i="50"/>
  <c r="AK120" i="50"/>
  <c r="AJ120" i="50"/>
  <c r="AN120" i="50"/>
  <c r="AK116" i="50"/>
  <c r="AJ116" i="50"/>
  <c r="AN116" i="50"/>
  <c r="AK123" i="50"/>
  <c r="AJ123" i="50"/>
  <c r="AN123" i="50"/>
  <c r="AK119" i="50"/>
  <c r="AJ119" i="50"/>
  <c r="AN119" i="50"/>
  <c r="AK122" i="50"/>
  <c r="AJ122" i="50"/>
  <c r="AN122" i="50"/>
  <c r="AK118" i="50"/>
  <c r="AJ118" i="50"/>
  <c r="AN118" i="50"/>
  <c r="AK121" i="50"/>
  <c r="AJ121" i="50"/>
  <c r="AN121" i="50"/>
  <c r="AK117" i="50"/>
  <c r="AJ117" i="50"/>
  <c r="AN117" i="50"/>
  <c r="F301" i="7"/>
  <c r="H301" i="7"/>
  <c r="D301" i="7"/>
  <c r="E301" i="7"/>
  <c r="G301" i="7"/>
  <c r="I301" i="7"/>
  <c r="F294" i="7"/>
  <c r="H294" i="7"/>
  <c r="D294" i="7"/>
  <c r="E294" i="7"/>
  <c r="G294" i="7"/>
  <c r="I294" i="7"/>
  <c r="E79" i="7"/>
  <c r="G79" i="7"/>
  <c r="I79" i="7"/>
  <c r="F79" i="7"/>
  <c r="H79" i="7"/>
  <c r="D79" i="7"/>
  <c r="H156" i="7"/>
  <c r="X107" i="7" s="1"/>
  <c r="F156" i="7"/>
  <c r="V107" i="7" s="1"/>
  <c r="E155" i="7"/>
  <c r="O107" i="7" s="1"/>
  <c r="I156" i="7"/>
  <c r="Y107" i="7" s="1"/>
  <c r="E60" i="7"/>
  <c r="G60" i="7"/>
  <c r="I60" i="7"/>
  <c r="H60" i="7"/>
  <c r="F60" i="7"/>
  <c r="D60" i="7"/>
  <c r="K67" i="7"/>
  <c r="E89" i="7"/>
  <c r="G89" i="7"/>
  <c r="I89" i="7"/>
  <c r="F89" i="7"/>
  <c r="H89" i="7"/>
  <c r="D89" i="7"/>
  <c r="F148" i="7"/>
  <c r="V106" i="7" s="1"/>
  <c r="D148" i="7"/>
  <c r="T106" i="7" s="1"/>
  <c r="E148" i="7"/>
  <c r="U106" i="7" s="1"/>
  <c r="I147" i="7"/>
  <c r="S106" i="7" s="1"/>
  <c r="D147" i="7"/>
  <c r="N106" i="7" s="1"/>
  <c r="G148" i="7"/>
  <c r="W106" i="7" s="1"/>
  <c r="H148" i="7"/>
  <c r="X106" i="7" s="1"/>
  <c r="G147" i="7"/>
  <c r="Q106" i="7" s="1"/>
  <c r="D163" i="7"/>
  <c r="N108" i="7" s="1"/>
  <c r="F163" i="7"/>
  <c r="P108" i="7" s="1"/>
  <c r="H164" i="7"/>
  <c r="X108" i="7" s="1"/>
  <c r="H494" i="7"/>
  <c r="X354" i="7" s="1"/>
  <c r="D494" i="7"/>
  <c r="T354" i="7" s="1"/>
  <c r="F478" i="7"/>
  <c r="V352" i="7" s="1"/>
  <c r="E477" i="7"/>
  <c r="O352" i="7" s="1"/>
  <c r="G477" i="7"/>
  <c r="Q352" i="7" s="1"/>
  <c r="D461" i="7"/>
  <c r="N350" i="7" s="1"/>
  <c r="G461" i="7"/>
  <c r="Q350" i="7" s="1"/>
  <c r="I446" i="7"/>
  <c r="Y348" i="7" s="1"/>
  <c r="I445" i="7"/>
  <c r="S348" i="7" s="1"/>
  <c r="H219" i="7"/>
  <c r="R115" i="7" s="1"/>
  <c r="F219" i="7"/>
  <c r="P115" i="7" s="1"/>
  <c r="E220" i="7"/>
  <c r="U115" i="7" s="1"/>
  <c r="H502" i="7"/>
  <c r="X355" i="7" s="1"/>
  <c r="E502" i="7"/>
  <c r="U355" i="7" s="1"/>
  <c r="D485" i="7"/>
  <c r="N353" i="7" s="1"/>
  <c r="G485" i="7"/>
  <c r="Q353" i="7" s="1"/>
  <c r="D470" i="7"/>
  <c r="T351" i="7" s="1"/>
  <c r="E470" i="7"/>
  <c r="U351" i="7" s="1"/>
  <c r="H470" i="7"/>
  <c r="X351" i="7" s="1"/>
  <c r="H453" i="7"/>
  <c r="R349" i="7" s="1"/>
  <c r="F454" i="7"/>
  <c r="V349" i="7" s="1"/>
  <c r="G453" i="7"/>
  <c r="Q349" i="7" s="1"/>
  <c r="J89" i="50"/>
  <c r="Z89" i="50" s="1"/>
  <c r="C132" i="50" s="1"/>
  <c r="C140" i="50" s="1"/>
  <c r="J91" i="50"/>
  <c r="Z91" i="50" s="1"/>
  <c r="C166" i="50" s="1"/>
  <c r="C174" i="50" s="1"/>
  <c r="J95" i="50"/>
  <c r="Z95" i="50" s="1"/>
  <c r="C234" i="50" s="1"/>
  <c r="C242" i="50" s="1"/>
  <c r="AF459" i="50"/>
  <c r="AF71" i="50"/>
  <c r="AF463" i="50"/>
  <c r="J277" i="38"/>
  <c r="G229" i="38"/>
  <c r="F229" i="38"/>
  <c r="E133" i="38"/>
  <c r="E205" i="38"/>
  <c r="H325" i="38"/>
  <c r="N76" i="38"/>
  <c r="V76" i="38" s="1"/>
  <c r="L85" i="38" s="1"/>
  <c r="I133" i="38"/>
  <c r="J253" i="38"/>
  <c r="G157" i="38"/>
  <c r="G253" i="38"/>
  <c r="F253" i="38"/>
  <c r="D157" i="38"/>
  <c r="D277" i="38"/>
  <c r="I73" i="38"/>
  <c r="G325" i="38"/>
  <c r="J325" i="38"/>
  <c r="F325" i="38"/>
  <c r="R77" i="38"/>
  <c r="T77" i="38" s="1"/>
  <c r="J86" i="38" s="1"/>
  <c r="N77" i="38"/>
  <c r="V77" i="38" s="1"/>
  <c r="L86" i="38" s="1"/>
  <c r="J77" i="38"/>
  <c r="B26" i="1"/>
  <c r="G26" i="1" s="1"/>
  <c r="C27" i="38"/>
  <c r="D88" i="15" s="1"/>
  <c r="B88" i="15" s="1"/>
  <c r="C24" i="38"/>
  <c r="B152" i="15"/>
  <c r="S156" i="37"/>
  <c r="L154" i="37"/>
  <c r="AP154" i="37" s="1"/>
  <c r="AG154" i="37"/>
  <c r="AG151" i="37"/>
  <c r="AG158" i="37"/>
  <c r="S158" i="37"/>
  <c r="C31" i="38"/>
  <c r="D92" i="15" s="1"/>
  <c r="B145" i="15"/>
  <c r="C28" i="38"/>
  <c r="L149" i="37"/>
  <c r="AP149" i="37" s="1"/>
  <c r="D77" i="15"/>
  <c r="B77" i="15" s="1"/>
  <c r="C145" i="37"/>
  <c r="C147" i="37"/>
  <c r="C149" i="37"/>
  <c r="C151" i="37"/>
  <c r="C153" i="37"/>
  <c r="C155" i="37"/>
  <c r="C157" i="37"/>
  <c r="C159" i="37"/>
  <c r="C161" i="37"/>
  <c r="C163" i="37"/>
  <c r="AF144" i="37"/>
  <c r="AF146" i="37"/>
  <c r="AG146" i="37" s="1"/>
  <c r="AF147" i="37"/>
  <c r="E89" i="37" s="1"/>
  <c r="AA53" i="38"/>
  <c r="C19" i="38" s="1"/>
  <c r="D156" i="37"/>
  <c r="D153" i="37"/>
  <c r="D157" i="37"/>
  <c r="D161" i="37"/>
  <c r="D152" i="37"/>
  <c r="D158" i="37"/>
  <c r="E51" i="37"/>
  <c r="E48" i="37"/>
  <c r="C44" i="38"/>
  <c r="E46" i="1"/>
  <c r="I97" i="38"/>
  <c r="J42" i="37"/>
  <c r="AA56" i="38"/>
  <c r="B139" i="15" s="1"/>
  <c r="AA60" i="38"/>
  <c r="C26" i="38" s="1"/>
  <c r="AA66" i="38"/>
  <c r="B149" i="15" s="1"/>
  <c r="AA55" i="38"/>
  <c r="B138" i="15" s="1"/>
  <c r="AA59" i="38"/>
  <c r="B142" i="15" s="1"/>
  <c r="AA63" i="38"/>
  <c r="B146" i="15" s="1"/>
  <c r="AA67" i="38"/>
  <c r="B150" i="15" s="1"/>
  <c r="AA64" i="38"/>
  <c r="C30" i="38" s="1"/>
  <c r="E87" i="37"/>
  <c r="O87" i="37" s="1"/>
  <c r="E91" i="37"/>
  <c r="J91" i="37" s="1"/>
  <c r="E93" i="37"/>
  <c r="N93" i="37" s="1"/>
  <c r="E95" i="37"/>
  <c r="R95" i="37" s="1"/>
  <c r="E99" i="37"/>
  <c r="M99" i="37" s="1"/>
  <c r="E103" i="37"/>
  <c r="H103" i="37" s="1"/>
  <c r="F53" i="15"/>
  <c r="M53" i="15"/>
  <c r="P53" i="15"/>
  <c r="J56" i="15"/>
  <c r="I56" i="15"/>
  <c r="N56" i="15"/>
  <c r="J54" i="15"/>
  <c r="M54" i="15"/>
  <c r="P54" i="15"/>
  <c r="P66" i="15"/>
  <c r="Q60" i="15"/>
  <c r="O62" i="15"/>
  <c r="Q64" i="15"/>
  <c r="Q66" i="15"/>
  <c r="J58" i="15"/>
  <c r="E62" i="15"/>
  <c r="H64" i="15"/>
  <c r="J66" i="15"/>
  <c r="J62" i="15"/>
  <c r="I58" i="15"/>
  <c r="I66" i="15"/>
  <c r="L67" i="15"/>
  <c r="H67" i="15"/>
  <c r="P61" i="15"/>
  <c r="O65" i="15"/>
  <c r="M61" i="15"/>
  <c r="H65" i="15"/>
  <c r="G63" i="15"/>
  <c r="Q176" i="15"/>
  <c r="Q175" i="15"/>
  <c r="Q174" i="15"/>
  <c r="Q172" i="15"/>
  <c r="Q171" i="15"/>
  <c r="R171" i="15" s="1"/>
  <c r="E344" i="15" s="1"/>
  <c r="Q170" i="15"/>
  <c r="Q168" i="15"/>
  <c r="Q166" i="15"/>
  <c r="R166" i="15" s="1"/>
  <c r="E284" i="15" s="1"/>
  <c r="Q165" i="15"/>
  <c r="Q164" i="15"/>
  <c r="Q163" i="15"/>
  <c r="N178" i="15"/>
  <c r="J488" i="50"/>
  <c r="Z488" i="50" s="1"/>
  <c r="C595" i="50" s="1"/>
  <c r="C603" i="50" s="1"/>
  <c r="J490" i="50"/>
  <c r="Z490" i="50" s="1"/>
  <c r="C629" i="50" s="1"/>
  <c r="C637" i="50" s="1"/>
  <c r="J492" i="50"/>
  <c r="Z492" i="50" s="1"/>
  <c r="C663" i="50" s="1"/>
  <c r="C671" i="50" s="1"/>
  <c r="J92" i="50"/>
  <c r="Z92" i="50" s="1"/>
  <c r="C183" i="50" s="1"/>
  <c r="C191" i="50" s="1"/>
  <c r="AF69" i="50"/>
  <c r="AF461" i="50"/>
  <c r="AF465" i="50"/>
  <c r="C3" i="38"/>
  <c r="D3" i="56"/>
  <c r="D3" i="15"/>
  <c r="S58" i="38"/>
  <c r="S55" i="38"/>
  <c r="S66" i="38"/>
  <c r="S64" i="38"/>
  <c r="S69" i="38"/>
  <c r="S52" i="38"/>
  <c r="V70" i="38"/>
  <c r="X70" i="38"/>
  <c r="R64" i="38"/>
  <c r="T64" i="38" s="1"/>
  <c r="R68" i="38"/>
  <c r="T68" i="38" s="1"/>
  <c r="K77" i="38"/>
  <c r="K75" i="38"/>
  <c r="E229" i="38"/>
  <c r="H205" i="38"/>
  <c r="G205" i="38"/>
  <c r="J181" i="38"/>
  <c r="G181" i="38"/>
  <c r="J157" i="38"/>
  <c r="H157" i="38"/>
  <c r="F157" i="38"/>
  <c r="J145" i="38"/>
  <c r="H145" i="38"/>
  <c r="F145" i="38"/>
  <c r="L77" i="38"/>
  <c r="I77" i="38"/>
  <c r="T56" i="38"/>
  <c r="S56" i="38"/>
  <c r="T57" i="38"/>
  <c r="S57" i="38"/>
  <c r="S62" i="38"/>
  <c r="T62" i="38"/>
  <c r="S60" i="38"/>
  <c r="T74" i="38"/>
  <c r="AR91" i="14" s="1"/>
  <c r="S74" i="38"/>
  <c r="I83" i="38" s="1"/>
  <c r="S53" i="38"/>
  <c r="T53" i="38"/>
  <c r="I181" i="38"/>
  <c r="I157" i="38"/>
  <c r="I205" i="38"/>
  <c r="J133" i="38"/>
  <c r="I277" i="38"/>
  <c r="I253" i="38"/>
  <c r="I229" i="38"/>
  <c r="H133" i="38"/>
  <c r="H277" i="38"/>
  <c r="H253" i="38"/>
  <c r="G133" i="38"/>
  <c r="G277" i="38"/>
  <c r="F205" i="38"/>
  <c r="F133" i="38"/>
  <c r="F277" i="38"/>
  <c r="E253" i="38"/>
  <c r="D181" i="38"/>
  <c r="S54" i="38"/>
  <c r="N74" i="38"/>
  <c r="S59" i="38"/>
  <c r="R75" i="38"/>
  <c r="T75" i="38" s="1"/>
  <c r="J84" i="38" s="1"/>
  <c r="J75" i="38"/>
  <c r="L75" i="38"/>
  <c r="M74" i="38"/>
  <c r="S67" i="38"/>
  <c r="S166" i="15"/>
  <c r="P158" i="15"/>
  <c r="R164" i="15"/>
  <c r="J53" i="15"/>
  <c r="H53" i="15"/>
  <c r="O53" i="15"/>
  <c r="I53" i="15"/>
  <c r="E53" i="15"/>
  <c r="O56" i="15"/>
  <c r="F56" i="15"/>
  <c r="M56" i="15"/>
  <c r="G56" i="15"/>
  <c r="P56" i="15"/>
  <c r="H54" i="15"/>
  <c r="F54" i="15"/>
  <c r="O54" i="15"/>
  <c r="I54" i="15"/>
  <c r="E54" i="15"/>
  <c r="N58" i="15"/>
  <c r="N60" i="15"/>
  <c r="N62" i="15"/>
  <c r="N64" i="15"/>
  <c r="N66" i="15"/>
  <c r="Q58" i="15"/>
  <c r="M58" i="15"/>
  <c r="O60" i="15"/>
  <c r="Q62" i="15"/>
  <c r="M62" i="15"/>
  <c r="O64" i="15"/>
  <c r="O66" i="15"/>
  <c r="H58" i="15"/>
  <c r="E60" i="15"/>
  <c r="I60" i="15"/>
  <c r="G62" i="15"/>
  <c r="F64" i="15"/>
  <c r="J64" i="15"/>
  <c r="H66" i="15"/>
  <c r="G58" i="15"/>
  <c r="F62" i="15"/>
  <c r="E64" i="15"/>
  <c r="G66" i="15"/>
  <c r="F60" i="15"/>
  <c r="G64" i="15"/>
  <c r="E66" i="15"/>
  <c r="R169" i="15"/>
  <c r="J178" i="15"/>
  <c r="M57" i="15"/>
  <c r="G57" i="15"/>
  <c r="H55" i="15"/>
  <c r="G55" i="15"/>
  <c r="Q160" i="15"/>
  <c r="R160" i="15" s="1"/>
  <c r="T160" i="15" s="1"/>
  <c r="O67" i="15"/>
  <c r="P67" i="15"/>
  <c r="F67" i="15"/>
  <c r="N65" i="15"/>
  <c r="Q61" i="15"/>
  <c r="M63" i="15"/>
  <c r="F63" i="15"/>
  <c r="G59" i="15"/>
  <c r="E61" i="15"/>
  <c r="I65" i="15"/>
  <c r="J65" i="15"/>
  <c r="F61" i="15"/>
  <c r="H1" i="15"/>
  <c r="G405" i="7"/>
  <c r="Q343" i="7" s="1"/>
  <c r="F406" i="7"/>
  <c r="V343" i="7" s="1"/>
  <c r="I406" i="7"/>
  <c r="Y343" i="7" s="1"/>
  <c r="H406" i="7"/>
  <c r="X343" i="7" s="1"/>
  <c r="E430" i="7"/>
  <c r="U346" i="7" s="1"/>
  <c r="F430" i="7"/>
  <c r="V346" i="7" s="1"/>
  <c r="H430" i="7"/>
  <c r="X346" i="7" s="1"/>
  <c r="G430" i="7"/>
  <c r="W346" i="7" s="1"/>
  <c r="I413" i="7"/>
  <c r="S344" i="7" s="1"/>
  <c r="D414" i="7"/>
  <c r="T344" i="7" s="1"/>
  <c r="E413" i="7"/>
  <c r="O344" i="7" s="1"/>
  <c r="F414" i="7"/>
  <c r="V344" i="7" s="1"/>
  <c r="G421" i="7"/>
  <c r="Q345" i="7" s="1"/>
  <c r="H422" i="7"/>
  <c r="X345" i="7" s="1"/>
  <c r="I422" i="7"/>
  <c r="Y345" i="7" s="1"/>
  <c r="D421" i="7"/>
  <c r="N345" i="7" s="1"/>
  <c r="I251" i="7"/>
  <c r="S119" i="7" s="1"/>
  <c r="G204" i="7"/>
  <c r="W113" i="7" s="1"/>
  <c r="I203" i="7"/>
  <c r="S113" i="7" s="1"/>
  <c r="I204" i="7"/>
  <c r="Y113" i="7" s="1"/>
  <c r="G203" i="7"/>
  <c r="Q113" i="7" s="1"/>
  <c r="F203" i="7"/>
  <c r="P113" i="7" s="1"/>
  <c r="E203" i="7"/>
  <c r="O113" i="7" s="1"/>
  <c r="H204" i="7"/>
  <c r="X113" i="7" s="1"/>
  <c r="D204" i="7"/>
  <c r="T113" i="7" s="1"/>
  <c r="H187" i="7"/>
  <c r="R111" i="7" s="1"/>
  <c r="E187" i="7"/>
  <c r="O111" i="7" s="1"/>
  <c r="G187" i="7"/>
  <c r="Q111" i="7" s="1"/>
  <c r="F188" i="7"/>
  <c r="V111" i="7" s="1"/>
  <c r="D187" i="7"/>
  <c r="N111" i="7" s="1"/>
  <c r="F172" i="7"/>
  <c r="V109" i="7" s="1"/>
  <c r="D171" i="7"/>
  <c r="N109" i="7" s="1"/>
  <c r="H171" i="7"/>
  <c r="R109" i="7" s="1"/>
  <c r="I171" i="7"/>
  <c r="S109" i="7" s="1"/>
  <c r="E172" i="7"/>
  <c r="U109" i="7" s="1"/>
  <c r="G172" i="7"/>
  <c r="W109" i="7" s="1"/>
  <c r="I195" i="7"/>
  <c r="S112" i="7" s="1"/>
  <c r="E195" i="7"/>
  <c r="O112" i="7" s="1"/>
  <c r="F196" i="7"/>
  <c r="V112" i="7" s="1"/>
  <c r="D196" i="7"/>
  <c r="T112" i="7" s="1"/>
  <c r="F195" i="7"/>
  <c r="P112" i="7" s="1"/>
  <c r="H196" i="7"/>
  <c r="X112" i="7" s="1"/>
  <c r="F180" i="7"/>
  <c r="V110" i="7" s="1"/>
  <c r="I180" i="7"/>
  <c r="Y110" i="7" s="1"/>
  <c r="G180" i="7"/>
  <c r="W110" i="7" s="1"/>
  <c r="I179" i="7"/>
  <c r="S110" i="7" s="1"/>
  <c r="D180" i="7"/>
  <c r="T110" i="7" s="1"/>
  <c r="H179" i="7"/>
  <c r="R110" i="7" s="1"/>
  <c r="E156" i="7"/>
  <c r="U107" i="7" s="1"/>
  <c r="G155" i="7"/>
  <c r="Q107" i="7" s="1"/>
  <c r="D155" i="7"/>
  <c r="N107" i="7" s="1"/>
  <c r="F155" i="7"/>
  <c r="P107" i="7" s="1"/>
  <c r="F147" i="7"/>
  <c r="P106" i="7" s="1"/>
  <c r="H147" i="7"/>
  <c r="R106" i="7" s="1"/>
  <c r="E147" i="7"/>
  <c r="O106" i="7" s="1"/>
  <c r="I148" i="7"/>
  <c r="Y106" i="7" s="1"/>
  <c r="D164" i="7"/>
  <c r="T108" i="7" s="1"/>
  <c r="F164" i="7"/>
  <c r="V108" i="7" s="1"/>
  <c r="H212" i="7"/>
  <c r="X114" i="7" s="1"/>
  <c r="G219" i="7"/>
  <c r="Q115" i="7" s="1"/>
  <c r="G163" i="7"/>
  <c r="Q108" i="7" s="1"/>
  <c r="E421" i="7"/>
  <c r="O345" i="7" s="1"/>
  <c r="D422" i="7"/>
  <c r="T345" i="7" s="1"/>
  <c r="D406" i="7"/>
  <c r="T343" i="7" s="1"/>
  <c r="G494" i="7"/>
  <c r="W354" i="7" s="1"/>
  <c r="H413" i="7"/>
  <c r="R344" i="7" s="1"/>
  <c r="F422" i="7"/>
  <c r="V345" i="7" s="1"/>
  <c r="I405" i="7"/>
  <c r="S343" i="7" s="1"/>
  <c r="F405" i="7"/>
  <c r="P343" i="7" s="1"/>
  <c r="E414" i="7"/>
  <c r="U344" i="7" s="1"/>
  <c r="D469" i="7"/>
  <c r="N351" i="7" s="1"/>
  <c r="F486" i="7"/>
  <c r="V353" i="7" s="1"/>
  <c r="I478" i="7"/>
  <c r="Y352" i="7" s="1"/>
  <c r="G454" i="7"/>
  <c r="W349" i="7" s="1"/>
  <c r="D462" i="7"/>
  <c r="T350" i="7" s="1"/>
  <c r="F429" i="7"/>
  <c r="P346" i="7" s="1"/>
  <c r="D501" i="7"/>
  <c r="N355" i="7" s="1"/>
  <c r="H469" i="7"/>
  <c r="R351" i="7" s="1"/>
  <c r="D477" i="7"/>
  <c r="N352" i="7" s="1"/>
  <c r="I493" i="7"/>
  <c r="S354" i="7" s="1"/>
  <c r="F462" i="7"/>
  <c r="V350" i="7" s="1"/>
  <c r="I429" i="7"/>
  <c r="S346" i="7" s="1"/>
  <c r="H429" i="7"/>
  <c r="R346" i="7" s="1"/>
  <c r="K300" i="7"/>
  <c r="DD229" i="47"/>
  <c r="DD215" i="47"/>
  <c r="DD217" i="47"/>
  <c r="DD244" i="47"/>
  <c r="DD242" i="47"/>
  <c r="DD240" i="47"/>
  <c r="DD238" i="47"/>
  <c r="DD236" i="47"/>
  <c r="DD234" i="47"/>
  <c r="DD232" i="47"/>
  <c r="DD230" i="47"/>
  <c r="DD254" i="47"/>
  <c r="DD213" i="47"/>
  <c r="DD211" i="47"/>
  <c r="DD209" i="47"/>
  <c r="DD207" i="47"/>
  <c r="DD205" i="47"/>
  <c r="DD270" i="47"/>
  <c r="DD220" i="47"/>
  <c r="E178" i="47"/>
  <c r="E140" i="47"/>
  <c r="E106" i="47"/>
  <c r="J83" i="47"/>
  <c r="J11" i="47" s="1"/>
  <c r="AQ10" i="14" s="1"/>
  <c r="DD214" i="47"/>
  <c r="DD216" i="47"/>
  <c r="DD219" i="47"/>
  <c r="DD218" i="47"/>
  <c r="DD243" i="47"/>
  <c r="DD241" i="47"/>
  <c r="DD239" i="47"/>
  <c r="DD237" i="47"/>
  <c r="DD235" i="47"/>
  <c r="DD233" i="47"/>
  <c r="DD231" i="47"/>
  <c r="DD212" i="47"/>
  <c r="DD210" i="47"/>
  <c r="DD208" i="47"/>
  <c r="DD206" i="47"/>
  <c r="DD204" i="47"/>
  <c r="DD271" i="47"/>
  <c r="DD246" i="47"/>
  <c r="DD221" i="47"/>
  <c r="DD245" i="47"/>
  <c r="H61" i="49"/>
  <c r="H10" i="49" s="1"/>
  <c r="AO19" i="14" s="1"/>
  <c r="F42" i="58"/>
  <c r="J46" i="58"/>
  <c r="L48" i="58"/>
  <c r="Q36" i="58"/>
  <c r="Q52" i="58" s="1"/>
  <c r="H44" i="58"/>
  <c r="M49" i="58"/>
  <c r="I45" i="58"/>
  <c r="P35" i="58"/>
  <c r="E345" i="56"/>
  <c r="D26" i="60"/>
  <c r="D27" i="60" s="1"/>
  <c r="D224" i="60"/>
  <c r="D225" i="60" s="1"/>
  <c r="E70" i="47"/>
  <c r="D290" i="60"/>
  <c r="D291" i="60" s="1"/>
  <c r="D334" i="60"/>
  <c r="D335" i="60" s="1"/>
  <c r="D510" i="60"/>
  <c r="D511" i="60" s="1"/>
  <c r="D488" i="60"/>
  <c r="D489" i="60" s="1"/>
  <c r="D554" i="60"/>
  <c r="D555" i="60" s="1"/>
  <c r="D246" i="60"/>
  <c r="D247" i="60" s="1"/>
  <c r="D268" i="60"/>
  <c r="D269" i="60" s="1"/>
  <c r="D356" i="60"/>
  <c r="D357" i="60" s="1"/>
  <c r="D158" i="60"/>
  <c r="D159" i="60" s="1"/>
  <c r="D92" i="60"/>
  <c r="D93" i="60" s="1"/>
  <c r="D466" i="60"/>
  <c r="D467" i="60" s="1"/>
  <c r="D202" i="60"/>
  <c r="D203" i="60" s="1"/>
  <c r="D532" i="60"/>
  <c r="D533" i="60" s="1"/>
  <c r="D400" i="60"/>
  <c r="D401" i="60" s="1"/>
  <c r="D312" i="60"/>
  <c r="D313" i="60" s="1"/>
  <c r="D378" i="60"/>
  <c r="D379" i="60" s="1"/>
  <c r="D422" i="60"/>
  <c r="D423" i="60" s="1"/>
  <c r="D136" i="60"/>
  <c r="D137" i="60" s="1"/>
  <c r="D180" i="60"/>
  <c r="D181" i="60" s="1"/>
  <c r="D114" i="60"/>
  <c r="D115" i="60" s="1"/>
  <c r="D70" i="60"/>
  <c r="D71" i="60" s="1"/>
  <c r="D48" i="60"/>
  <c r="D49" i="60" s="1"/>
  <c r="F193" i="3"/>
  <c r="AR62" i="14"/>
  <c r="BB69" i="14"/>
  <c r="BB108" i="14" s="1"/>
  <c r="AR63" i="14"/>
  <c r="AR102" i="14" s="1"/>
  <c r="AR61" i="14"/>
  <c r="J345" i="3"/>
  <c r="J117" i="3"/>
  <c r="F172" i="47"/>
  <c r="F175" i="47" s="1"/>
  <c r="F26" i="49"/>
  <c r="G26" i="49" s="1"/>
  <c r="G29" i="49" s="1"/>
  <c r="E141" i="47"/>
  <c r="D2" i="1"/>
  <c r="E2" i="60"/>
  <c r="D3" i="1"/>
  <c r="E3" i="60"/>
  <c r="I269" i="56"/>
  <c r="I155" i="56"/>
  <c r="H155" i="3"/>
  <c r="F269" i="3"/>
  <c r="H383" i="3"/>
  <c r="G193" i="56"/>
  <c r="G307" i="56"/>
  <c r="E79" i="56"/>
  <c r="G20" i="1"/>
  <c r="F284" i="7"/>
  <c r="V123" i="7" s="1"/>
  <c r="D283" i="7"/>
  <c r="N123" i="7" s="1"/>
  <c r="F244" i="7"/>
  <c r="V118" i="7" s="1"/>
  <c r="D243" i="7"/>
  <c r="N118" i="7" s="1"/>
  <c r="F518" i="7"/>
  <c r="V357" i="7" s="1"/>
  <c r="D517" i="7"/>
  <c r="N357" i="7" s="1"/>
  <c r="H446" i="7"/>
  <c r="X348" i="7" s="1"/>
  <c r="F446" i="7"/>
  <c r="V348" i="7" s="1"/>
  <c r="G445" i="7"/>
  <c r="Q348" i="7" s="1"/>
  <c r="D484" i="50"/>
  <c r="D66" i="15"/>
  <c r="D64" i="15"/>
  <c r="D62" i="15"/>
  <c r="D60" i="15"/>
  <c r="D58" i="15"/>
  <c r="B58" i="15" s="1"/>
  <c r="D56" i="15"/>
  <c r="D54" i="15"/>
  <c r="D52" i="15"/>
  <c r="E211" i="7"/>
  <c r="O114" i="7" s="1"/>
  <c r="D212" i="7"/>
  <c r="T114" i="7" s="1"/>
  <c r="I212" i="7"/>
  <c r="Y114" i="7" s="1"/>
  <c r="G212" i="7"/>
  <c r="W114" i="7" s="1"/>
  <c r="E501" i="7"/>
  <c r="O355" i="7" s="1"/>
  <c r="H501" i="7"/>
  <c r="R355" i="7" s="1"/>
  <c r="I470" i="7"/>
  <c r="Y351" i="7" s="1"/>
  <c r="H485" i="7"/>
  <c r="R353" i="7" s="1"/>
  <c r="H486" i="7"/>
  <c r="X353" i="7" s="1"/>
  <c r="I477" i="7"/>
  <c r="S352" i="7" s="1"/>
  <c r="F494" i="7"/>
  <c r="V354" i="7" s="1"/>
  <c r="E493" i="7"/>
  <c r="O354" i="7" s="1"/>
  <c r="I454" i="7"/>
  <c r="Y349" i="7" s="1"/>
  <c r="H461" i="7"/>
  <c r="R350" i="7" s="1"/>
  <c r="E461" i="7"/>
  <c r="O350" i="7" s="1"/>
  <c r="I501" i="7"/>
  <c r="S355" i="7" s="1"/>
  <c r="I485" i="7"/>
  <c r="S353" i="7" s="1"/>
  <c r="E454" i="7"/>
  <c r="U349" i="7" s="1"/>
  <c r="H44" i="49"/>
  <c r="H9" i="49" s="1"/>
  <c r="AO18" i="14" s="1"/>
  <c r="E44" i="49"/>
  <c r="E9" i="49" s="1"/>
  <c r="AL18" i="14" s="1"/>
  <c r="I44" i="51"/>
  <c r="I9" i="51" s="1"/>
  <c r="AP28" i="14" s="1"/>
  <c r="J44" i="51"/>
  <c r="J9" i="51" s="1"/>
  <c r="AQ28" i="14" s="1"/>
  <c r="D275" i="7"/>
  <c r="N122" i="7" s="1"/>
  <c r="D50" i="15"/>
  <c r="AA51" i="38"/>
  <c r="C17" i="38" s="1"/>
  <c r="D78" i="15" s="1"/>
  <c r="D48" i="15"/>
  <c r="D88" i="50"/>
  <c r="Y88" i="50" s="1"/>
  <c r="D489" i="50"/>
  <c r="Y489" i="50" s="1"/>
  <c r="D67" i="15"/>
  <c r="B67" i="15" s="1"/>
  <c r="D65" i="15"/>
  <c r="B65" i="15" s="1"/>
  <c r="D63" i="15"/>
  <c r="B63" i="15" s="1"/>
  <c r="D61" i="15"/>
  <c r="B61" i="15" s="1"/>
  <c r="D59" i="15"/>
  <c r="B59" i="15" s="1"/>
  <c r="D57" i="15"/>
  <c r="D55" i="15"/>
  <c r="D53" i="15"/>
  <c r="B53" i="15" s="1"/>
  <c r="D51" i="15"/>
  <c r="B51" i="15" s="1"/>
  <c r="D49" i="15"/>
  <c r="C146" i="37"/>
  <c r="K1" i="60"/>
  <c r="J88" i="50"/>
  <c r="Z88" i="50" s="1"/>
  <c r="C115" i="50" s="1"/>
  <c r="C123" i="50" s="1"/>
  <c r="J90" i="50"/>
  <c r="Z90" i="50" s="1"/>
  <c r="C149" i="50" s="1"/>
  <c r="C157" i="50" s="1"/>
  <c r="AC458" i="50"/>
  <c r="AC460" i="50"/>
  <c r="AC464" i="50"/>
  <c r="B125" i="15"/>
  <c r="I101" i="15" s="1"/>
  <c r="Q158" i="15"/>
  <c r="R158" i="15" s="1"/>
  <c r="N55" i="15"/>
  <c r="E55" i="15"/>
  <c r="I55" i="15"/>
  <c r="O55" i="15"/>
  <c r="Q55" i="15"/>
  <c r="J55" i="15"/>
  <c r="N57" i="15"/>
  <c r="E57" i="15"/>
  <c r="I57" i="15"/>
  <c r="H57" i="15"/>
  <c r="Q57" i="15"/>
  <c r="J57" i="15"/>
  <c r="Q67" i="15"/>
  <c r="N67" i="15"/>
  <c r="E67" i="15"/>
  <c r="I67" i="15"/>
  <c r="P59" i="15"/>
  <c r="L61" i="15"/>
  <c r="P63" i="15"/>
  <c r="P65" i="15"/>
  <c r="Q63" i="15"/>
  <c r="M65" i="15"/>
  <c r="Q65" i="15"/>
  <c r="Q59" i="15"/>
  <c r="M59" i="15"/>
  <c r="O61" i="15"/>
  <c r="O63" i="15"/>
  <c r="F59" i="15"/>
  <c r="H61" i="15"/>
  <c r="J63" i="15"/>
  <c r="I59" i="15"/>
  <c r="E59" i="15"/>
  <c r="G61" i="15"/>
  <c r="I63" i="15"/>
  <c r="E63" i="15"/>
  <c r="G65" i="15"/>
  <c r="L65" i="15"/>
  <c r="I181" i="15"/>
  <c r="R170" i="15"/>
  <c r="S170" i="15" s="1"/>
  <c r="E58" i="15"/>
  <c r="I275" i="7"/>
  <c r="S122" i="7" s="1"/>
  <c r="D251" i="7"/>
  <c r="N119" i="7" s="1"/>
  <c r="I283" i="7"/>
  <c r="S123" i="7" s="1"/>
  <c r="H27" i="51"/>
  <c r="H8" i="51" s="1"/>
  <c r="AO27" i="14" s="1"/>
  <c r="E35" i="37"/>
  <c r="C293" i="34" s="1"/>
  <c r="P293" i="34" s="1"/>
  <c r="L293" i="34" s="1"/>
  <c r="E66" i="37"/>
  <c r="E65" i="37"/>
  <c r="K65" i="37" s="1"/>
  <c r="AK134" i="37"/>
  <c r="E64" i="37"/>
  <c r="K64" i="37" s="1"/>
  <c r="AP133" i="37"/>
  <c r="E62" i="37"/>
  <c r="M62" i="37" s="1"/>
  <c r="AO131" i="37"/>
  <c r="E61" i="37"/>
  <c r="N61" i="37" s="1"/>
  <c r="E60" i="37"/>
  <c r="I60" i="37" s="1"/>
  <c r="AK129" i="37"/>
  <c r="E58" i="37"/>
  <c r="M58" i="37" s="1"/>
  <c r="E57" i="37"/>
  <c r="F57" i="37" s="1"/>
  <c r="E56" i="37"/>
  <c r="AM125" i="37"/>
  <c r="E55" i="37"/>
  <c r="M55" i="37" s="1"/>
  <c r="E54" i="37"/>
  <c r="Q54" i="37" s="1"/>
  <c r="AR123" i="37"/>
  <c r="E21" i="37"/>
  <c r="C109" i="7" s="1"/>
  <c r="E52" i="37"/>
  <c r="E19" i="37"/>
  <c r="C277" i="43" s="1"/>
  <c r="E18" i="37"/>
  <c r="C52" i="43" s="1"/>
  <c r="E16" i="37"/>
  <c r="C274" i="43" s="1"/>
  <c r="J193" i="3"/>
  <c r="H307" i="3"/>
  <c r="F79" i="3"/>
  <c r="F117" i="3"/>
  <c r="J269" i="3"/>
  <c r="F345" i="3"/>
  <c r="F41" i="56"/>
  <c r="G117" i="56"/>
  <c r="G231" i="56"/>
  <c r="I345" i="56"/>
  <c r="I79" i="56"/>
  <c r="E155" i="56"/>
  <c r="E269" i="56"/>
  <c r="G383" i="56"/>
  <c r="J41" i="56"/>
  <c r="H41" i="56"/>
  <c r="G79" i="56"/>
  <c r="E117" i="56"/>
  <c r="I193" i="56"/>
  <c r="E231" i="56"/>
  <c r="I307" i="56"/>
  <c r="G345" i="56"/>
  <c r="I41" i="56"/>
  <c r="I117" i="56"/>
  <c r="G155" i="56"/>
  <c r="E193" i="56"/>
  <c r="G269" i="56"/>
  <c r="E307" i="56"/>
  <c r="I383" i="56"/>
  <c r="H41" i="3"/>
  <c r="J155" i="3"/>
  <c r="H193" i="3"/>
  <c r="H231" i="3"/>
  <c r="H269" i="3"/>
  <c r="F307" i="3"/>
  <c r="J383" i="3"/>
  <c r="H117" i="3"/>
  <c r="F155" i="3"/>
  <c r="J231" i="3"/>
  <c r="F231" i="3"/>
  <c r="J307" i="3"/>
  <c r="H345" i="3"/>
  <c r="F383" i="3"/>
  <c r="H79" i="3"/>
  <c r="F41" i="3"/>
  <c r="J41" i="3"/>
  <c r="J27" i="51"/>
  <c r="J8" i="51" s="1"/>
  <c r="AQ27" i="14" s="1"/>
  <c r="S1" i="56"/>
  <c r="E41" i="56"/>
  <c r="J79" i="56"/>
  <c r="F79" i="56"/>
  <c r="H117" i="56"/>
  <c r="J155" i="56"/>
  <c r="F155" i="56"/>
  <c r="H193" i="56"/>
  <c r="J231" i="56"/>
  <c r="H231" i="56"/>
  <c r="J269" i="56"/>
  <c r="F269" i="56"/>
  <c r="H307" i="56"/>
  <c r="J345" i="56"/>
  <c r="F345" i="56"/>
  <c r="H383" i="56"/>
  <c r="E383" i="56"/>
  <c r="G41" i="56"/>
  <c r="H79" i="56"/>
  <c r="J117" i="56"/>
  <c r="F117" i="56"/>
  <c r="H155" i="56"/>
  <c r="J193" i="56"/>
  <c r="F193" i="56"/>
  <c r="I231" i="56"/>
  <c r="F231" i="56"/>
  <c r="H269" i="56"/>
  <c r="J307" i="56"/>
  <c r="F307" i="56"/>
  <c r="H345" i="56"/>
  <c r="J383" i="56"/>
  <c r="F383" i="56"/>
  <c r="E79" i="3"/>
  <c r="I79" i="3"/>
  <c r="I41" i="3"/>
  <c r="E41" i="3"/>
  <c r="G117" i="3"/>
  <c r="I155" i="3"/>
  <c r="E155" i="3"/>
  <c r="G193" i="3"/>
  <c r="I231" i="3"/>
  <c r="E231" i="3"/>
  <c r="G269" i="3"/>
  <c r="I307" i="3"/>
  <c r="E307" i="3"/>
  <c r="G345" i="3"/>
  <c r="I383" i="3"/>
  <c r="E383" i="3"/>
  <c r="G79" i="3"/>
  <c r="J79" i="3"/>
  <c r="G41" i="3"/>
  <c r="I117" i="3"/>
  <c r="E117" i="3"/>
  <c r="G155" i="3"/>
  <c r="I193" i="3"/>
  <c r="E193" i="3"/>
  <c r="G231" i="3"/>
  <c r="I269" i="3"/>
  <c r="E269" i="3"/>
  <c r="G307" i="3"/>
  <c r="I345" i="3"/>
  <c r="E345" i="3"/>
  <c r="G383" i="3"/>
  <c r="G112" i="51"/>
  <c r="G13" i="51" s="1"/>
  <c r="AN32" i="14" s="1"/>
  <c r="E112" i="51"/>
  <c r="E13" i="51" s="1"/>
  <c r="AL32" i="14" s="1"/>
  <c r="F180" i="51"/>
  <c r="F17" i="51" s="1"/>
  <c r="AM36" i="14" s="1"/>
  <c r="I180" i="51"/>
  <c r="I17" i="51" s="1"/>
  <c r="AP36" i="14" s="1"/>
  <c r="E67" i="37"/>
  <c r="M67" i="37" s="1"/>
  <c r="E31" i="37"/>
  <c r="C119" i="7" s="1"/>
  <c r="E63" i="37"/>
  <c r="M63" i="37" s="1"/>
  <c r="K102" i="37"/>
  <c r="E129" i="49"/>
  <c r="E14" i="49" s="1"/>
  <c r="AL23" i="14" s="1"/>
  <c r="G61" i="51"/>
  <c r="G10" i="51" s="1"/>
  <c r="AN29" i="14" s="1"/>
  <c r="I267" i="7"/>
  <c r="S121" i="7" s="1"/>
  <c r="D267" i="7"/>
  <c r="N121" i="7" s="1"/>
  <c r="I259" i="7"/>
  <c r="S120" i="7" s="1"/>
  <c r="D259" i="7"/>
  <c r="N120" i="7" s="1"/>
  <c r="I235" i="7"/>
  <c r="S117" i="7" s="1"/>
  <c r="D235" i="7"/>
  <c r="N117" i="7" s="1"/>
  <c r="I227" i="7"/>
  <c r="S116" i="7" s="1"/>
  <c r="D227" i="7"/>
  <c r="N116" i="7" s="1"/>
  <c r="I509" i="7"/>
  <c r="S356" i="7" s="1"/>
  <c r="D509" i="7"/>
  <c r="N356" i="7" s="1"/>
  <c r="E27" i="51"/>
  <c r="E8" i="51" s="1"/>
  <c r="AL27" i="14" s="1"/>
  <c r="G27" i="51"/>
  <c r="G8" i="51" s="1"/>
  <c r="AN27" i="14" s="1"/>
  <c r="I27" i="51"/>
  <c r="I8" i="51" s="1"/>
  <c r="AP27" i="14" s="1"/>
  <c r="Z74" i="38"/>
  <c r="F27" i="49"/>
  <c r="F8" i="49" s="1"/>
  <c r="AM17" i="14" s="1"/>
  <c r="J27" i="49"/>
  <c r="J8" i="49" s="1"/>
  <c r="AQ17" i="14" s="1"/>
  <c r="I27" i="49"/>
  <c r="I8" i="49" s="1"/>
  <c r="AP17" i="14" s="1"/>
  <c r="D87" i="49"/>
  <c r="AF11" i="14" s="1"/>
  <c r="F95" i="49"/>
  <c r="F12" i="49" s="1"/>
  <c r="AM21" i="14" s="1"/>
  <c r="J95" i="49"/>
  <c r="J12" i="49" s="1"/>
  <c r="AQ21" i="14" s="1"/>
  <c r="I95" i="49"/>
  <c r="I12" i="49" s="1"/>
  <c r="AP21" i="14" s="1"/>
  <c r="D87" i="51"/>
  <c r="AG11" i="14" s="1"/>
  <c r="I95" i="51"/>
  <c r="I12" i="51" s="1"/>
  <c r="AP31" i="14" s="1"/>
  <c r="F95" i="51"/>
  <c r="F12" i="51" s="1"/>
  <c r="AM31" i="14" s="1"/>
  <c r="J95" i="51"/>
  <c r="J12" i="51" s="1"/>
  <c r="AQ31" i="14" s="1"/>
  <c r="H146" i="51"/>
  <c r="H15" i="51" s="1"/>
  <c r="AO34" i="14" s="1"/>
  <c r="E146" i="51"/>
  <c r="E15" i="51" s="1"/>
  <c r="AL34" i="14" s="1"/>
  <c r="H163" i="49"/>
  <c r="H16" i="49" s="1"/>
  <c r="AO25" i="14" s="1"/>
  <c r="E163" i="49"/>
  <c r="E16" i="49" s="1"/>
  <c r="AL25" i="14" s="1"/>
  <c r="H155" i="47"/>
  <c r="H15" i="47" s="1"/>
  <c r="AO14" i="14" s="1"/>
  <c r="E155" i="47"/>
  <c r="E15" i="47" s="1"/>
  <c r="AL14" i="14" s="1"/>
  <c r="AE33" i="14"/>
  <c r="E27" i="37"/>
  <c r="D73" i="47"/>
  <c r="AE10" i="14" s="1"/>
  <c r="G83" i="47"/>
  <c r="G11" i="47" s="1"/>
  <c r="AN10" i="14" s="1"/>
  <c r="E83" i="47"/>
  <c r="E11" i="47" s="1"/>
  <c r="AL10" i="14" s="1"/>
  <c r="H83" i="47"/>
  <c r="H11" i="47" s="1"/>
  <c r="AO10" i="14" s="1"/>
  <c r="D53" i="49"/>
  <c r="AF9" i="14" s="1"/>
  <c r="F61" i="49"/>
  <c r="F10" i="49" s="1"/>
  <c r="AM19" i="14" s="1"/>
  <c r="J61" i="49"/>
  <c r="J10" i="49" s="1"/>
  <c r="AQ19" i="14" s="1"/>
  <c r="I61" i="49"/>
  <c r="I10" i="49" s="1"/>
  <c r="AP19" i="14" s="1"/>
  <c r="D53" i="51"/>
  <c r="AG9" i="14" s="1"/>
  <c r="I61" i="51"/>
  <c r="I10" i="51" s="1"/>
  <c r="AP29" i="14" s="1"/>
  <c r="F61" i="51"/>
  <c r="F10" i="51" s="1"/>
  <c r="AM29" i="14" s="1"/>
  <c r="J61" i="51"/>
  <c r="J10" i="51" s="1"/>
  <c r="AQ29" i="14" s="1"/>
  <c r="I164" i="7"/>
  <c r="Y108" i="7" s="1"/>
  <c r="E163" i="7"/>
  <c r="O108" i="7" s="1"/>
  <c r="E164" i="7"/>
  <c r="U108" i="7" s="1"/>
  <c r="H163" i="7"/>
  <c r="R108" i="7" s="1"/>
  <c r="G164" i="7"/>
  <c r="W108" i="7" s="1"/>
  <c r="I163" i="7"/>
  <c r="S108" i="7" s="1"/>
  <c r="I191" i="47"/>
  <c r="I17" i="47" s="1"/>
  <c r="AP16" i="14" s="1"/>
  <c r="J191" i="47"/>
  <c r="J17" i="47" s="1"/>
  <c r="AQ16" i="14" s="1"/>
  <c r="H191" i="47"/>
  <c r="H17" i="47" s="1"/>
  <c r="AO16" i="14" s="1"/>
  <c r="S1" i="3"/>
  <c r="D608" i="50"/>
  <c r="J608" i="50" s="1"/>
  <c r="D111" i="50"/>
  <c r="J111" i="50" s="1"/>
  <c r="F83" i="47"/>
  <c r="F11" i="47" s="1"/>
  <c r="AM10" i="14" s="1"/>
  <c r="E95" i="49"/>
  <c r="E12" i="49" s="1"/>
  <c r="AL21" i="14" s="1"/>
  <c r="H95" i="49"/>
  <c r="H12" i="49" s="1"/>
  <c r="AO21" i="14" s="1"/>
  <c r="G61" i="49"/>
  <c r="G10" i="49" s="1"/>
  <c r="AN19" i="14" s="1"/>
  <c r="E27" i="49"/>
  <c r="E8" i="49" s="1"/>
  <c r="AL17" i="14" s="1"/>
  <c r="H27" i="49"/>
  <c r="H8" i="49" s="1"/>
  <c r="AO17" i="14" s="1"/>
  <c r="H129" i="49"/>
  <c r="H14" i="49" s="1"/>
  <c r="AO23" i="14" s="1"/>
  <c r="E119" i="47"/>
  <c r="E13" i="47" s="1"/>
  <c r="AL12" i="14" s="1"/>
  <c r="G155" i="47"/>
  <c r="G15" i="47" s="1"/>
  <c r="AN14" i="14" s="1"/>
  <c r="H112" i="51"/>
  <c r="H13" i="51" s="1"/>
  <c r="AO32" i="14" s="1"/>
  <c r="J180" i="51"/>
  <c r="J17" i="51" s="1"/>
  <c r="AQ36" i="14" s="1"/>
  <c r="H95" i="51"/>
  <c r="H12" i="51" s="1"/>
  <c r="AO31" i="14" s="1"/>
  <c r="G95" i="51"/>
  <c r="G12" i="51" s="1"/>
  <c r="AN31" i="14" s="1"/>
  <c r="E61" i="51"/>
  <c r="E10" i="51" s="1"/>
  <c r="AL29" i="14" s="1"/>
  <c r="E59" i="37"/>
  <c r="D91" i="47"/>
  <c r="AE11" i="14" s="1"/>
  <c r="I101" i="47"/>
  <c r="I12" i="47" s="1"/>
  <c r="AP11" i="14" s="1"/>
  <c r="F101" i="47"/>
  <c r="F12" i="47" s="1"/>
  <c r="AM11" i="14" s="1"/>
  <c r="J101" i="47"/>
  <c r="J12" i="47" s="1"/>
  <c r="AQ11" i="14" s="1"/>
  <c r="D36" i="49"/>
  <c r="AF8" i="14" s="1"/>
  <c r="F44" i="49"/>
  <c r="F9" i="49" s="1"/>
  <c r="AM18" i="14" s="1"/>
  <c r="J44" i="49"/>
  <c r="J9" i="49" s="1"/>
  <c r="AQ18" i="14" s="1"/>
  <c r="I44" i="49"/>
  <c r="I9" i="49" s="1"/>
  <c r="AP18" i="14" s="1"/>
  <c r="D70" i="49"/>
  <c r="AF10" i="14" s="1"/>
  <c r="F78" i="49"/>
  <c r="F11" i="49" s="1"/>
  <c r="AM20" i="14" s="1"/>
  <c r="J78" i="49"/>
  <c r="J11" i="49" s="1"/>
  <c r="AQ20" i="14" s="1"/>
  <c r="I78" i="49"/>
  <c r="I11" i="49" s="1"/>
  <c r="AP20" i="14" s="1"/>
  <c r="D36" i="51"/>
  <c r="AG8" i="14" s="1"/>
  <c r="G44" i="51"/>
  <c r="G9" i="51" s="1"/>
  <c r="AN28" i="14" s="1"/>
  <c r="E44" i="51"/>
  <c r="E9" i="51" s="1"/>
  <c r="AL28" i="14" s="1"/>
  <c r="H44" i="51"/>
  <c r="H9" i="51" s="1"/>
  <c r="AO28" i="14" s="1"/>
  <c r="D70" i="51"/>
  <c r="AG10" i="14" s="1"/>
  <c r="G78" i="51"/>
  <c r="G11" i="51" s="1"/>
  <c r="AN30" i="14" s="1"/>
  <c r="E78" i="51"/>
  <c r="E11" i="51" s="1"/>
  <c r="AL30" i="14" s="1"/>
  <c r="H78" i="51"/>
  <c r="H11" i="51" s="1"/>
  <c r="AO30" i="14" s="1"/>
  <c r="C107" i="38"/>
  <c r="AG33" i="14"/>
  <c r="AH33" i="14"/>
  <c r="G438" i="7"/>
  <c r="W347" i="7" s="1"/>
  <c r="D437" i="7"/>
  <c r="N347" i="7" s="1"/>
  <c r="F438" i="7"/>
  <c r="V347" i="7" s="1"/>
  <c r="I437" i="7"/>
  <c r="S347" i="7" s="1"/>
  <c r="G437" i="7"/>
  <c r="Q347" i="7" s="1"/>
  <c r="E437" i="7"/>
  <c r="O347" i="7" s="1"/>
  <c r="F437" i="7"/>
  <c r="P347" i="7" s="1"/>
  <c r="D438" i="7"/>
  <c r="T347" i="7" s="1"/>
  <c r="Y74" i="38"/>
  <c r="Y73" i="38"/>
  <c r="AG162" i="37"/>
  <c r="E53" i="37"/>
  <c r="E17" i="37"/>
  <c r="C40" i="43" s="1"/>
  <c r="E49" i="37"/>
  <c r="G195" i="7"/>
  <c r="Q112" i="7" s="1"/>
  <c r="I196" i="7"/>
  <c r="Y112" i="7" s="1"/>
  <c r="I188" i="7"/>
  <c r="Y111" i="7" s="1"/>
  <c r="E180" i="7"/>
  <c r="U110" i="7" s="1"/>
  <c r="D203" i="7"/>
  <c r="N113" i="7" s="1"/>
  <c r="G188" i="7"/>
  <c r="W111" i="7" s="1"/>
  <c r="I172" i="7"/>
  <c r="Y109" i="7" s="1"/>
  <c r="G171" i="7"/>
  <c r="Q109" i="7" s="1"/>
  <c r="E171" i="7"/>
  <c r="O109" i="7" s="1"/>
  <c r="E179" i="7"/>
  <c r="O110" i="7" s="1"/>
  <c r="E196" i="7"/>
  <c r="U112" i="7" s="1"/>
  <c r="H203" i="7"/>
  <c r="R113" i="7" s="1"/>
  <c r="E204" i="7"/>
  <c r="U113" i="7" s="1"/>
  <c r="F204" i="7"/>
  <c r="V113" i="7" s="1"/>
  <c r="H172" i="7"/>
  <c r="X109" i="7" s="1"/>
  <c r="F179" i="7"/>
  <c r="P110" i="7" s="1"/>
  <c r="H188" i="7"/>
  <c r="X111" i="7" s="1"/>
  <c r="G179" i="7"/>
  <c r="Q110" i="7" s="1"/>
  <c r="D179" i="7"/>
  <c r="N110" i="7" s="1"/>
  <c r="D188" i="7"/>
  <c r="T111" i="7" s="1"/>
  <c r="H180" i="7"/>
  <c r="X110" i="7" s="1"/>
  <c r="E188" i="7"/>
  <c r="U111" i="7" s="1"/>
  <c r="I187" i="7"/>
  <c r="S111" i="7" s="1"/>
  <c r="F187" i="7"/>
  <c r="P111" i="7" s="1"/>
  <c r="F171" i="7"/>
  <c r="P109" i="7" s="1"/>
  <c r="H195" i="7"/>
  <c r="R112" i="7" s="1"/>
  <c r="D172" i="7"/>
  <c r="T109" i="7" s="1"/>
  <c r="G196" i="7"/>
  <c r="W112" i="7" s="1"/>
  <c r="F421" i="7"/>
  <c r="P345" i="7" s="1"/>
  <c r="H421" i="7"/>
  <c r="R345" i="7" s="1"/>
  <c r="I421" i="7"/>
  <c r="S345" i="7" s="1"/>
  <c r="H405" i="7"/>
  <c r="R343" i="7" s="1"/>
  <c r="G406" i="7"/>
  <c r="W343" i="7" s="1"/>
  <c r="D405" i="7"/>
  <c r="N343" i="7" s="1"/>
  <c r="G414" i="7"/>
  <c r="W344" i="7" s="1"/>
  <c r="F413" i="7"/>
  <c r="P344" i="7" s="1"/>
  <c r="H414" i="7"/>
  <c r="X344" i="7" s="1"/>
  <c r="G413" i="7"/>
  <c r="Q344" i="7" s="1"/>
  <c r="E422" i="7"/>
  <c r="U345" i="7" s="1"/>
  <c r="G422" i="7"/>
  <c r="W345" i="7" s="1"/>
  <c r="E405" i="7"/>
  <c r="O343" i="7" s="1"/>
  <c r="E406" i="7"/>
  <c r="U343" i="7" s="1"/>
  <c r="I414" i="7"/>
  <c r="Y344" i="7" s="1"/>
  <c r="D413" i="7"/>
  <c r="N344" i="7" s="1"/>
  <c r="D430" i="7"/>
  <c r="T346" i="7" s="1"/>
  <c r="I430" i="7"/>
  <c r="Y346" i="7" s="1"/>
  <c r="D429" i="7"/>
  <c r="N346" i="7" s="1"/>
  <c r="E429" i="7"/>
  <c r="O346" i="7" s="1"/>
  <c r="G429" i="7"/>
  <c r="Q346" i="7" s="1"/>
  <c r="AB158" i="15"/>
  <c r="AB162" i="15"/>
  <c r="AB160" i="15"/>
  <c r="Z76" i="38"/>
  <c r="AF104" i="37"/>
  <c r="AF102" i="37"/>
  <c r="J102" i="37"/>
  <c r="Z75" i="38"/>
  <c r="V75" i="38"/>
  <c r="L84" i="38" s="1"/>
  <c r="D247" i="50"/>
  <c r="J247" i="50" s="1"/>
  <c r="D96" i="50"/>
  <c r="Y96" i="50" s="1"/>
  <c r="D94" i="50"/>
  <c r="Y94" i="50" s="1"/>
  <c r="D213" i="50"/>
  <c r="J213" i="50" s="1"/>
  <c r="D92" i="50"/>
  <c r="Y92" i="50" s="1"/>
  <c r="D179" i="50"/>
  <c r="J179" i="50" s="1"/>
  <c r="D90" i="50"/>
  <c r="Y90" i="50" s="1"/>
  <c r="D145" i="50"/>
  <c r="J145" i="50" s="1"/>
  <c r="D491" i="50"/>
  <c r="Y491" i="50" s="1"/>
  <c r="D642" i="50"/>
  <c r="J642" i="50" s="1"/>
  <c r="D574" i="50"/>
  <c r="J574" i="50" s="1"/>
  <c r="D487" i="50"/>
  <c r="Y487" i="50" s="1"/>
  <c r="D506" i="50"/>
  <c r="J506" i="50" s="1"/>
  <c r="D483" i="50"/>
  <c r="Y483" i="50" s="1"/>
  <c r="C7" i="38"/>
  <c r="C203" i="38"/>
  <c r="C263" i="38"/>
  <c r="C299" i="38"/>
  <c r="C167" i="38"/>
  <c r="I313" i="7"/>
  <c r="H323" i="7"/>
  <c r="F313" i="7"/>
  <c r="L124" i="7"/>
  <c r="H22" i="41" s="1"/>
  <c r="G323" i="7"/>
  <c r="E313" i="7"/>
  <c r="D313" i="7"/>
  <c r="AH141" i="37"/>
  <c r="V83" i="38" s="1"/>
  <c r="AJ141" i="37"/>
  <c r="X83" i="38" s="1"/>
  <c r="W82" i="38"/>
  <c r="Z77" i="38"/>
  <c r="Y76" i="38"/>
  <c r="Y77" i="38"/>
  <c r="Y75" i="38"/>
  <c r="Z73" i="38"/>
  <c r="E29" i="37"/>
  <c r="C287" i="43" s="1"/>
  <c r="K287" i="43" s="1"/>
  <c r="B174" i="15"/>
  <c r="AB174" i="15"/>
  <c r="B172" i="15"/>
  <c r="AB172" i="15"/>
  <c r="B170" i="15"/>
  <c r="AB170" i="15"/>
  <c r="B166" i="15"/>
  <c r="AB166" i="15"/>
  <c r="B164" i="15"/>
  <c r="AB164" i="15"/>
  <c r="M102" i="37"/>
  <c r="H102" i="37"/>
  <c r="J104" i="37"/>
  <c r="L1" i="53"/>
  <c r="D523" i="50"/>
  <c r="J523" i="50" s="1"/>
  <c r="AB168" i="15"/>
  <c r="AB176" i="15"/>
  <c r="E33" i="37"/>
  <c r="C232" i="43" s="1"/>
  <c r="L232" i="43" s="1"/>
  <c r="AI153" i="37"/>
  <c r="E25" i="37"/>
  <c r="C136" i="43" s="1"/>
  <c r="L136" i="43" s="1"/>
  <c r="AI151" i="37"/>
  <c r="E23" i="37"/>
  <c r="C112" i="43" s="1"/>
  <c r="L112" i="43" s="1"/>
  <c r="B175" i="15"/>
  <c r="AB175" i="15"/>
  <c r="B169" i="15"/>
  <c r="AB169" i="15"/>
  <c r="B165" i="15"/>
  <c r="AB165" i="15"/>
  <c r="AM91" i="15"/>
  <c r="AL117" i="15"/>
  <c r="G218" i="56"/>
  <c r="G232" i="56" s="1"/>
  <c r="F142" i="56"/>
  <c r="AO111" i="15"/>
  <c r="AJ113" i="15"/>
  <c r="H370" i="3"/>
  <c r="I332" i="56"/>
  <c r="I180" i="3"/>
  <c r="I294" i="56"/>
  <c r="I370" i="56"/>
  <c r="I384" i="56" s="1"/>
  <c r="B57" i="15"/>
  <c r="D121" i="51"/>
  <c r="AG13" i="14" s="1"/>
  <c r="F129" i="51"/>
  <c r="F14" i="51" s="1"/>
  <c r="AM33" i="14" s="1"/>
  <c r="J129" i="51"/>
  <c r="J14" i="51" s="1"/>
  <c r="AQ33" i="14" s="1"/>
  <c r="I129" i="51"/>
  <c r="I14" i="51" s="1"/>
  <c r="AP33" i="14" s="1"/>
  <c r="H129" i="51"/>
  <c r="H14" i="51" s="1"/>
  <c r="AO33" i="14" s="1"/>
  <c r="E129" i="51"/>
  <c r="E14" i="51" s="1"/>
  <c r="AL33" i="14" s="1"/>
  <c r="D155" i="51"/>
  <c r="AG15" i="14" s="1"/>
  <c r="F163" i="51"/>
  <c r="F16" i="51" s="1"/>
  <c r="AM35" i="14" s="1"/>
  <c r="J163" i="51"/>
  <c r="J16" i="51" s="1"/>
  <c r="AQ35" i="14" s="1"/>
  <c r="I163" i="51"/>
  <c r="I16" i="51" s="1"/>
  <c r="AP35" i="14" s="1"/>
  <c r="H163" i="51"/>
  <c r="H16" i="51" s="1"/>
  <c r="AO35" i="14" s="1"/>
  <c r="E163" i="51"/>
  <c r="E16" i="51" s="1"/>
  <c r="AL35" i="14" s="1"/>
  <c r="D104" i="49"/>
  <c r="AF12" i="14" s="1"/>
  <c r="F112" i="49"/>
  <c r="F13" i="49" s="1"/>
  <c r="J112" i="49"/>
  <c r="J13" i="49" s="1"/>
  <c r="AQ22" i="14" s="1"/>
  <c r="I112" i="49"/>
  <c r="I13" i="49" s="1"/>
  <c r="AP22" i="14" s="1"/>
  <c r="G112" i="49"/>
  <c r="G13" i="49" s="1"/>
  <c r="AN22" i="14" s="1"/>
  <c r="D138" i="49"/>
  <c r="AF14" i="14" s="1"/>
  <c r="F146" i="49"/>
  <c r="F15" i="49" s="1"/>
  <c r="AM24" i="14" s="1"/>
  <c r="J146" i="49"/>
  <c r="J15" i="49" s="1"/>
  <c r="AQ24" i="14" s="1"/>
  <c r="I146" i="49"/>
  <c r="I15" i="49" s="1"/>
  <c r="AP24" i="14" s="1"/>
  <c r="G146" i="49"/>
  <c r="G15" i="49" s="1"/>
  <c r="AN24" i="14" s="1"/>
  <c r="D172" i="49"/>
  <c r="AF16" i="14" s="1"/>
  <c r="F180" i="49"/>
  <c r="F17" i="49" s="1"/>
  <c r="AM26" i="14" s="1"/>
  <c r="J180" i="49"/>
  <c r="J17" i="49" s="1"/>
  <c r="AQ26" i="14" s="1"/>
  <c r="I180" i="49"/>
  <c r="I17" i="49" s="1"/>
  <c r="AP26" i="14" s="1"/>
  <c r="G180" i="49"/>
  <c r="G17" i="49" s="1"/>
  <c r="AN26" i="14" s="1"/>
  <c r="D127" i="47"/>
  <c r="AE13" i="14" s="1"/>
  <c r="F137" i="47"/>
  <c r="F14" i="47" s="1"/>
  <c r="AM13" i="14" s="1"/>
  <c r="J137" i="47"/>
  <c r="J14" i="47" s="1"/>
  <c r="AQ13" i="14" s="1"/>
  <c r="I137" i="47"/>
  <c r="I14" i="47" s="1"/>
  <c r="AP13" i="14" s="1"/>
  <c r="H137" i="47"/>
  <c r="H14" i="47" s="1"/>
  <c r="AO13" i="14" s="1"/>
  <c r="E137" i="47"/>
  <c r="E14" i="47" s="1"/>
  <c r="AL13" i="14" s="1"/>
  <c r="D163" i="47"/>
  <c r="AE15" i="14" s="1"/>
  <c r="F173" i="47"/>
  <c r="F16" i="47" s="1"/>
  <c r="AM15" i="14" s="1"/>
  <c r="G173" i="47"/>
  <c r="G16" i="47" s="1"/>
  <c r="AN15" i="14" s="1"/>
  <c r="E173" i="47"/>
  <c r="E16" i="47" s="1"/>
  <c r="AL15" i="14" s="1"/>
  <c r="J173" i="47"/>
  <c r="J16" i="47" s="1"/>
  <c r="AQ15" i="14" s="1"/>
  <c r="H173" i="47"/>
  <c r="H16" i="47" s="1"/>
  <c r="AO15" i="14" s="1"/>
  <c r="AF33" i="14"/>
  <c r="H112" i="49"/>
  <c r="H13" i="49" s="1"/>
  <c r="AO22" i="14" s="1"/>
  <c r="E146" i="49"/>
  <c r="E15" i="49" s="1"/>
  <c r="AL24" i="14" s="1"/>
  <c r="H180" i="49"/>
  <c r="H17" i="49" s="1"/>
  <c r="AO26" i="14" s="1"/>
  <c r="G137" i="47"/>
  <c r="G14" i="47" s="1"/>
  <c r="AN13" i="14" s="1"/>
  <c r="I173" i="47"/>
  <c r="I16" i="47" s="1"/>
  <c r="AP15" i="14" s="1"/>
  <c r="G129" i="51"/>
  <c r="G14" i="51" s="1"/>
  <c r="AN33" i="14" s="1"/>
  <c r="G163" i="51"/>
  <c r="G16" i="51" s="1"/>
  <c r="AN35" i="14" s="1"/>
  <c r="I284" i="7"/>
  <c r="Y123" i="7" s="1"/>
  <c r="E284" i="7"/>
  <c r="U123" i="7" s="1"/>
  <c r="G283" i="7"/>
  <c r="Q123" i="7" s="1"/>
  <c r="H284" i="7"/>
  <c r="X123" i="7" s="1"/>
  <c r="D284" i="7"/>
  <c r="T123" i="7" s="1"/>
  <c r="F283" i="7"/>
  <c r="P123" i="7" s="1"/>
  <c r="G284" i="7"/>
  <c r="W123" i="7" s="1"/>
  <c r="E283" i="7"/>
  <c r="O123" i="7" s="1"/>
  <c r="H283" i="7"/>
  <c r="R123" i="7" s="1"/>
  <c r="I276" i="7"/>
  <c r="Y122" i="7" s="1"/>
  <c r="E276" i="7"/>
  <c r="U122" i="7" s="1"/>
  <c r="G275" i="7"/>
  <c r="Q122" i="7" s="1"/>
  <c r="H276" i="7"/>
  <c r="X122" i="7" s="1"/>
  <c r="D276" i="7"/>
  <c r="T122" i="7" s="1"/>
  <c r="F275" i="7"/>
  <c r="P122" i="7" s="1"/>
  <c r="G276" i="7"/>
  <c r="W122" i="7" s="1"/>
  <c r="E275" i="7"/>
  <c r="O122" i="7" s="1"/>
  <c r="H275" i="7"/>
  <c r="R122" i="7" s="1"/>
  <c r="I268" i="7"/>
  <c r="Y121" i="7" s="1"/>
  <c r="E268" i="7"/>
  <c r="U121" i="7" s="1"/>
  <c r="G267" i="7"/>
  <c r="Q121" i="7" s="1"/>
  <c r="H268" i="7"/>
  <c r="X121" i="7" s="1"/>
  <c r="D268" i="7"/>
  <c r="T121" i="7" s="1"/>
  <c r="F267" i="7"/>
  <c r="P121" i="7" s="1"/>
  <c r="G268" i="7"/>
  <c r="W121" i="7" s="1"/>
  <c r="E267" i="7"/>
  <c r="O121" i="7" s="1"/>
  <c r="H267" i="7"/>
  <c r="R121" i="7" s="1"/>
  <c r="I260" i="7"/>
  <c r="Y120" i="7" s="1"/>
  <c r="E260" i="7"/>
  <c r="U120" i="7" s="1"/>
  <c r="G259" i="7"/>
  <c r="Q120" i="7" s="1"/>
  <c r="H260" i="7"/>
  <c r="X120" i="7" s="1"/>
  <c r="D260" i="7"/>
  <c r="T120" i="7" s="1"/>
  <c r="F259" i="7"/>
  <c r="P120" i="7" s="1"/>
  <c r="G260" i="7"/>
  <c r="W120" i="7" s="1"/>
  <c r="E259" i="7"/>
  <c r="O120" i="7" s="1"/>
  <c r="H259" i="7"/>
  <c r="R120" i="7" s="1"/>
  <c r="I252" i="7"/>
  <c r="Y119" i="7" s="1"/>
  <c r="E252" i="7"/>
  <c r="U119" i="7" s="1"/>
  <c r="G251" i="7"/>
  <c r="Q119" i="7" s="1"/>
  <c r="H252" i="7"/>
  <c r="X119" i="7" s="1"/>
  <c r="D252" i="7"/>
  <c r="T119" i="7" s="1"/>
  <c r="F251" i="7"/>
  <c r="P119" i="7" s="1"/>
  <c r="G252" i="7"/>
  <c r="W119" i="7" s="1"/>
  <c r="E251" i="7"/>
  <c r="O119" i="7" s="1"/>
  <c r="H251" i="7"/>
  <c r="R119" i="7" s="1"/>
  <c r="I244" i="7"/>
  <c r="Y118" i="7" s="1"/>
  <c r="E244" i="7"/>
  <c r="U118" i="7" s="1"/>
  <c r="G243" i="7"/>
  <c r="Q118" i="7" s="1"/>
  <c r="H244" i="7"/>
  <c r="X118" i="7" s="1"/>
  <c r="D244" i="7"/>
  <c r="T118" i="7" s="1"/>
  <c r="F243" i="7"/>
  <c r="P118" i="7" s="1"/>
  <c r="G244" i="7"/>
  <c r="W118" i="7" s="1"/>
  <c r="E243" i="7"/>
  <c r="O118" i="7" s="1"/>
  <c r="H243" i="7"/>
  <c r="R118" i="7" s="1"/>
  <c r="I236" i="7"/>
  <c r="Y117" i="7" s="1"/>
  <c r="E236" i="7"/>
  <c r="U117" i="7" s="1"/>
  <c r="G235" i="7"/>
  <c r="Q117" i="7" s="1"/>
  <c r="H236" i="7"/>
  <c r="X117" i="7" s="1"/>
  <c r="D236" i="7"/>
  <c r="T117" i="7" s="1"/>
  <c r="F235" i="7"/>
  <c r="P117" i="7" s="1"/>
  <c r="G236" i="7"/>
  <c r="W117" i="7" s="1"/>
  <c r="E235" i="7"/>
  <c r="O117" i="7" s="1"/>
  <c r="H235" i="7"/>
  <c r="R117" i="7" s="1"/>
  <c r="I228" i="7"/>
  <c r="Y116" i="7" s="1"/>
  <c r="E228" i="7"/>
  <c r="U116" i="7" s="1"/>
  <c r="G227" i="7"/>
  <c r="Q116" i="7" s="1"/>
  <c r="H228" i="7"/>
  <c r="X116" i="7" s="1"/>
  <c r="D228" i="7"/>
  <c r="T116" i="7" s="1"/>
  <c r="F227" i="7"/>
  <c r="P116" i="7" s="1"/>
  <c r="G228" i="7"/>
  <c r="W116" i="7" s="1"/>
  <c r="E227" i="7"/>
  <c r="O116" i="7" s="1"/>
  <c r="H227" i="7"/>
  <c r="R116" i="7" s="1"/>
  <c r="I219" i="7"/>
  <c r="S115" i="7" s="1"/>
  <c r="E219" i="7"/>
  <c r="O115" i="7" s="1"/>
  <c r="H220" i="7"/>
  <c r="X115" i="7" s="1"/>
  <c r="D219" i="7"/>
  <c r="N115" i="7" s="1"/>
  <c r="G220" i="7"/>
  <c r="W115" i="7" s="1"/>
  <c r="F220" i="7"/>
  <c r="V115" i="7" s="1"/>
  <c r="D220" i="7"/>
  <c r="T115" i="7" s="1"/>
  <c r="I220" i="7"/>
  <c r="Y115" i="7" s="1"/>
  <c r="E212" i="7"/>
  <c r="U114" i="7" s="1"/>
  <c r="D211" i="7"/>
  <c r="N114" i="7" s="1"/>
  <c r="F211" i="7"/>
  <c r="P114" i="7" s="1"/>
  <c r="F212" i="7"/>
  <c r="V114" i="7" s="1"/>
  <c r="G211" i="7"/>
  <c r="Q114" i="7" s="1"/>
  <c r="I211" i="7"/>
  <c r="S114" i="7" s="1"/>
  <c r="H211" i="7"/>
  <c r="R114" i="7" s="1"/>
  <c r="I518" i="7"/>
  <c r="Y357" i="7" s="1"/>
  <c r="E518" i="7"/>
  <c r="U357" i="7" s="1"/>
  <c r="G517" i="7"/>
  <c r="Q357" i="7" s="1"/>
  <c r="H518" i="7"/>
  <c r="X357" i="7" s="1"/>
  <c r="D518" i="7"/>
  <c r="T357" i="7" s="1"/>
  <c r="F517" i="7"/>
  <c r="P357" i="7" s="1"/>
  <c r="G518" i="7"/>
  <c r="W357" i="7" s="1"/>
  <c r="E517" i="7"/>
  <c r="O357" i="7" s="1"/>
  <c r="H517" i="7"/>
  <c r="R357" i="7" s="1"/>
  <c r="I510" i="7"/>
  <c r="Y356" i="7" s="1"/>
  <c r="E510" i="7"/>
  <c r="U356" i="7" s="1"/>
  <c r="G509" i="7"/>
  <c r="Q356" i="7" s="1"/>
  <c r="H510" i="7"/>
  <c r="X356" i="7" s="1"/>
  <c r="D510" i="7"/>
  <c r="T356" i="7" s="1"/>
  <c r="F509" i="7"/>
  <c r="P356" i="7" s="1"/>
  <c r="G510" i="7"/>
  <c r="W356" i="7" s="1"/>
  <c r="E509" i="7"/>
  <c r="O356" i="7" s="1"/>
  <c r="H509" i="7"/>
  <c r="R356" i="7" s="1"/>
  <c r="D502" i="7"/>
  <c r="T355" i="7" s="1"/>
  <c r="F502" i="7"/>
  <c r="V355" i="7" s="1"/>
  <c r="G502" i="7"/>
  <c r="W355" i="7" s="1"/>
  <c r="F501" i="7"/>
  <c r="P355" i="7" s="1"/>
  <c r="I502" i="7"/>
  <c r="Y355" i="7" s="1"/>
  <c r="G501" i="7"/>
  <c r="Q355" i="7" s="1"/>
  <c r="G493" i="7"/>
  <c r="Q354" i="7" s="1"/>
  <c r="I494" i="7"/>
  <c r="Y354" i="7" s="1"/>
  <c r="D493" i="7"/>
  <c r="N354" i="7" s="1"/>
  <c r="H493" i="7"/>
  <c r="R354" i="7" s="1"/>
  <c r="E494" i="7"/>
  <c r="U354" i="7" s="1"/>
  <c r="F493" i="7"/>
  <c r="P354" i="7" s="1"/>
  <c r="D486" i="7"/>
  <c r="T353" i="7" s="1"/>
  <c r="E486" i="7"/>
  <c r="U353" i="7" s="1"/>
  <c r="G486" i="7"/>
  <c r="W353" i="7" s="1"/>
  <c r="I486" i="7"/>
  <c r="Y353" i="7" s="1"/>
  <c r="F485" i="7"/>
  <c r="P353" i="7" s="1"/>
  <c r="E485" i="7"/>
  <c r="O353" i="7" s="1"/>
  <c r="F477" i="7"/>
  <c r="P352" i="7" s="1"/>
  <c r="H478" i="7"/>
  <c r="X352" i="7" s="1"/>
  <c r="E478" i="7"/>
  <c r="U352" i="7" s="1"/>
  <c r="D478" i="7"/>
  <c r="T352" i="7" s="1"/>
  <c r="H477" i="7"/>
  <c r="R352" i="7" s="1"/>
  <c r="G478" i="7"/>
  <c r="W352" i="7" s="1"/>
  <c r="G469" i="7"/>
  <c r="Q351" i="7" s="1"/>
  <c r="G470" i="7"/>
  <c r="W351" i="7" s="1"/>
  <c r="F469" i="7"/>
  <c r="P351" i="7" s="1"/>
  <c r="I469" i="7"/>
  <c r="S351" i="7" s="1"/>
  <c r="F470" i="7"/>
  <c r="V351" i="7" s="1"/>
  <c r="E469" i="7"/>
  <c r="O351" i="7" s="1"/>
  <c r="F461" i="7"/>
  <c r="P350" i="7" s="1"/>
  <c r="E462" i="7"/>
  <c r="U350" i="7" s="1"/>
  <c r="H462" i="7"/>
  <c r="X350" i="7" s="1"/>
  <c r="I462" i="7"/>
  <c r="Y350" i="7" s="1"/>
  <c r="G462" i="7"/>
  <c r="W350" i="7" s="1"/>
  <c r="I461" i="7"/>
  <c r="S350" i="7" s="1"/>
  <c r="D453" i="7"/>
  <c r="N349" i="7" s="1"/>
  <c r="I453" i="7"/>
  <c r="S349" i="7" s="1"/>
  <c r="F453" i="7"/>
  <c r="P349" i="7" s="1"/>
  <c r="D454" i="7"/>
  <c r="T349" i="7" s="1"/>
  <c r="H454" i="7"/>
  <c r="X349" i="7" s="1"/>
  <c r="E453" i="7"/>
  <c r="O349" i="7" s="1"/>
  <c r="E446" i="7"/>
  <c r="U348" i="7" s="1"/>
  <c r="H445" i="7"/>
  <c r="R348" i="7" s="1"/>
  <c r="F445" i="7"/>
  <c r="P348" i="7" s="1"/>
  <c r="D445" i="7"/>
  <c r="N348" i="7" s="1"/>
  <c r="G446" i="7"/>
  <c r="W348" i="7" s="1"/>
  <c r="D446" i="7"/>
  <c r="T348" i="7" s="1"/>
  <c r="E445" i="7"/>
  <c r="O348" i="7" s="1"/>
  <c r="C323" i="38"/>
  <c r="C275" i="38"/>
  <c r="C227" i="38"/>
  <c r="C179" i="38"/>
  <c r="C131" i="38"/>
  <c r="C335" i="38"/>
  <c r="C287" i="38"/>
  <c r="C239" i="38"/>
  <c r="C191" i="38"/>
  <c r="C143" i="38"/>
  <c r="C251" i="38"/>
  <c r="C155" i="38"/>
  <c r="C311" i="38"/>
  <c r="C215" i="38"/>
  <c r="C119" i="38"/>
  <c r="G50" i="1"/>
  <c r="E323" i="7"/>
  <c r="I323" i="7"/>
  <c r="G313" i="7"/>
  <c r="F323" i="7"/>
  <c r="D323" i="7"/>
  <c r="H313" i="7"/>
  <c r="I438" i="7"/>
  <c r="Y347" i="7" s="1"/>
  <c r="E438" i="7"/>
  <c r="U347" i="7" s="1"/>
  <c r="H437" i="7"/>
  <c r="R347" i="7" s="1"/>
  <c r="D104" i="51"/>
  <c r="AG12" i="14" s="1"/>
  <c r="F112" i="51"/>
  <c r="F13" i="51" s="1"/>
  <c r="AM32" i="14" s="1"/>
  <c r="J112" i="51"/>
  <c r="J13" i="51" s="1"/>
  <c r="AQ32" i="14" s="1"/>
  <c r="I112" i="51"/>
  <c r="I13" i="51" s="1"/>
  <c r="AP32" i="14" s="1"/>
  <c r="D138" i="51"/>
  <c r="AG14" i="14" s="1"/>
  <c r="F146" i="51"/>
  <c r="F15" i="51" s="1"/>
  <c r="AM34" i="14" s="1"/>
  <c r="J146" i="51"/>
  <c r="J15" i="51" s="1"/>
  <c r="AQ34" i="14" s="1"/>
  <c r="I146" i="51"/>
  <c r="I15" i="51" s="1"/>
  <c r="AP34" i="14" s="1"/>
  <c r="D172" i="51"/>
  <c r="AG16" i="14" s="1"/>
  <c r="G180" i="51"/>
  <c r="G17" i="51" s="1"/>
  <c r="AN36" i="14" s="1"/>
  <c r="E180" i="51"/>
  <c r="E17" i="51" s="1"/>
  <c r="AL36" i="14" s="1"/>
  <c r="H180" i="51"/>
  <c r="H17" i="51" s="1"/>
  <c r="AO36" i="14" s="1"/>
  <c r="D121" i="49"/>
  <c r="AF13" i="14" s="1"/>
  <c r="F129" i="49"/>
  <c r="F14" i="49" s="1"/>
  <c r="AM23" i="14" s="1"/>
  <c r="J129" i="49"/>
  <c r="J14" i="49" s="1"/>
  <c r="AQ23" i="14" s="1"/>
  <c r="I129" i="49"/>
  <c r="I14" i="49" s="1"/>
  <c r="AP23" i="14" s="1"/>
  <c r="D155" i="49"/>
  <c r="AF15" i="14" s="1"/>
  <c r="F163" i="49"/>
  <c r="F16" i="49" s="1"/>
  <c r="AM25" i="14" s="1"/>
  <c r="J163" i="49"/>
  <c r="J16" i="49" s="1"/>
  <c r="AQ25" i="14" s="1"/>
  <c r="I163" i="49"/>
  <c r="I16" i="49" s="1"/>
  <c r="AP25" i="14" s="1"/>
  <c r="D109" i="47"/>
  <c r="AE12" i="14" s="1"/>
  <c r="F119" i="47"/>
  <c r="F13" i="47" s="1"/>
  <c r="AM12" i="14" s="1"/>
  <c r="J119" i="47"/>
  <c r="J13" i="47" s="1"/>
  <c r="AQ12" i="14" s="1"/>
  <c r="I119" i="47"/>
  <c r="I13" i="47" s="1"/>
  <c r="AP12" i="14" s="1"/>
  <c r="D145" i="47"/>
  <c r="AE14" i="14" s="1"/>
  <c r="F155" i="47"/>
  <c r="F15" i="47" s="1"/>
  <c r="AM14" i="14" s="1"/>
  <c r="J155" i="47"/>
  <c r="J15" i="47" s="1"/>
  <c r="AQ14" i="14" s="1"/>
  <c r="I155" i="47"/>
  <c r="I15" i="47" s="1"/>
  <c r="AP14" i="14" s="1"/>
  <c r="D181" i="47"/>
  <c r="AE16" i="14" s="1"/>
  <c r="E191" i="47"/>
  <c r="E17" i="47" s="1"/>
  <c r="AL16" i="14" s="1"/>
  <c r="D540" i="50"/>
  <c r="J540" i="50" s="1"/>
  <c r="D485" i="50"/>
  <c r="Y485" i="50" s="1"/>
  <c r="C18" i="38"/>
  <c r="L143" i="53"/>
  <c r="L85" i="53"/>
  <c r="E256" i="3"/>
  <c r="AF124" i="15"/>
  <c r="E180" i="56"/>
  <c r="G256" i="56"/>
  <c r="F142" i="3"/>
  <c r="H294" i="3"/>
  <c r="F332" i="3"/>
  <c r="F346" i="3" s="1"/>
  <c r="V82" i="38"/>
  <c r="X82" i="38"/>
  <c r="X84" i="38" s="1"/>
  <c r="AM136" i="37"/>
  <c r="E32" i="37"/>
  <c r="C220" i="43" s="1"/>
  <c r="L220" i="43" s="1"/>
  <c r="E28" i="37"/>
  <c r="C172" i="43" s="1"/>
  <c r="L172" i="43" s="1"/>
  <c r="AS128" i="37"/>
  <c r="E24" i="37"/>
  <c r="C124" i="43" s="1"/>
  <c r="L124" i="43" s="1"/>
  <c r="E20" i="37"/>
  <c r="C278" i="43" s="1"/>
  <c r="L56" i="53"/>
  <c r="L114" i="53"/>
  <c r="AI141" i="37"/>
  <c r="W83" i="38" s="1"/>
  <c r="AI162" i="37"/>
  <c r="E34" i="37"/>
  <c r="C292" i="43" s="1"/>
  <c r="K292" i="43" s="1"/>
  <c r="AI158" i="37"/>
  <c r="E30" i="37"/>
  <c r="C288" i="43" s="1"/>
  <c r="K288" i="43" s="1"/>
  <c r="AI154" i="37"/>
  <c r="E26" i="37"/>
  <c r="C284" i="43" s="1"/>
  <c r="K284" i="43" s="1"/>
  <c r="E22" i="37"/>
  <c r="C100" i="43" s="1"/>
  <c r="L100" i="43" s="1"/>
  <c r="D95" i="50"/>
  <c r="Y95" i="50" s="1"/>
  <c r="D230" i="50"/>
  <c r="J230" i="50" s="1"/>
  <c r="D162" i="50"/>
  <c r="J162" i="50" s="1"/>
  <c r="D91" i="50"/>
  <c r="Y91" i="50" s="1"/>
  <c r="D625" i="50"/>
  <c r="J625" i="50" s="1"/>
  <c r="D490" i="50"/>
  <c r="Y490" i="50" s="1"/>
  <c r="D486" i="50"/>
  <c r="Y486" i="50" s="1"/>
  <c r="D557" i="50"/>
  <c r="J557" i="50" s="1"/>
  <c r="L73" i="38"/>
  <c r="J73" i="38"/>
  <c r="I76" i="38"/>
  <c r="K76" i="38"/>
  <c r="L76" i="38"/>
  <c r="R76" i="38"/>
  <c r="I74" i="38"/>
  <c r="K74" i="38"/>
  <c r="D264" i="50"/>
  <c r="J264" i="50" s="1"/>
  <c r="D97" i="50"/>
  <c r="Y97" i="50" s="1"/>
  <c r="D196" i="50"/>
  <c r="J196" i="50" s="1"/>
  <c r="D93" i="50"/>
  <c r="Y93" i="50" s="1"/>
  <c r="D128" i="50"/>
  <c r="J128" i="50" s="1"/>
  <c r="D89" i="50"/>
  <c r="Y89" i="50" s="1"/>
  <c r="D659" i="50"/>
  <c r="J659" i="50" s="1"/>
  <c r="D492" i="50"/>
  <c r="Y492" i="50" s="1"/>
  <c r="D591" i="50"/>
  <c r="J591" i="50" s="1"/>
  <c r="D488" i="50"/>
  <c r="Y488" i="50" s="1"/>
  <c r="R50" i="38"/>
  <c r="U50" i="38" s="1"/>
  <c r="W70" i="38"/>
  <c r="G278" i="43"/>
  <c r="G280" i="43"/>
  <c r="G285" i="43"/>
  <c r="G288" i="43"/>
  <c r="G286" i="43"/>
  <c r="B23" i="1"/>
  <c r="K25" i="46" s="1"/>
  <c r="C184" i="43"/>
  <c r="L184" i="43" s="1"/>
  <c r="B27" i="46"/>
  <c r="G274" i="43"/>
  <c r="G277" i="43"/>
  <c r="C3" i="43"/>
  <c r="E2" i="37"/>
  <c r="G283" i="43"/>
  <c r="G287" i="43"/>
  <c r="G284" i="43"/>
  <c r="G291" i="43"/>
  <c r="G292" i="43"/>
  <c r="G289" i="43"/>
  <c r="G282" i="43"/>
  <c r="G279" i="43"/>
  <c r="G276" i="43"/>
  <c r="C281" i="43"/>
  <c r="K281" i="43" s="1"/>
  <c r="D3" i="58"/>
  <c r="D3" i="3"/>
  <c r="E3" i="37"/>
  <c r="D3" i="50"/>
  <c r="D3" i="51"/>
  <c r="B3" i="46"/>
  <c r="C3" i="34"/>
  <c r="C160" i="43"/>
  <c r="L160" i="43" s="1"/>
  <c r="C196" i="43"/>
  <c r="L196" i="43" s="1"/>
  <c r="N372" i="41"/>
  <c r="G372" i="41" s="1"/>
  <c r="D187" i="38"/>
  <c r="G43" i="51"/>
  <c r="H43" i="51" s="1"/>
  <c r="H46" i="51" s="1"/>
  <c r="E97" i="49"/>
  <c r="G94" i="51"/>
  <c r="H94" i="51" s="1"/>
  <c r="I94" i="51" s="1"/>
  <c r="J94" i="51" s="1"/>
  <c r="J97" i="51" s="1"/>
  <c r="G259" i="15"/>
  <c r="H259" i="15" s="1"/>
  <c r="I259" i="15" s="1"/>
  <c r="J259" i="15" s="1"/>
  <c r="K259" i="15" s="1"/>
  <c r="D2" i="53"/>
  <c r="F100" i="47"/>
  <c r="F103" i="47" s="1"/>
  <c r="F105" i="47" s="1"/>
  <c r="F111" i="49"/>
  <c r="G111" i="49" s="1"/>
  <c r="H111" i="49" s="1"/>
  <c r="E104" i="47"/>
  <c r="G46" i="41"/>
  <c r="O408" i="41"/>
  <c r="A1" i="41" s="1"/>
  <c r="C15" i="1" s="1"/>
  <c r="H15" i="1" s="1"/>
  <c r="C2" i="7"/>
  <c r="F190" i="47"/>
  <c r="G190" i="47" s="1"/>
  <c r="G193" i="47" s="1"/>
  <c r="G194" i="47" s="1"/>
  <c r="B2" i="57"/>
  <c r="B2" i="59"/>
  <c r="E194" i="47"/>
  <c r="D2" i="56"/>
  <c r="F162" i="49"/>
  <c r="G162" i="49" s="1"/>
  <c r="G165" i="49" s="1"/>
  <c r="F46" i="47"/>
  <c r="G46" i="47" s="1"/>
  <c r="H46" i="47" s="1"/>
  <c r="D2" i="15"/>
  <c r="D2" i="50"/>
  <c r="D2" i="51"/>
  <c r="D2" i="49"/>
  <c r="E160" i="47"/>
  <c r="G283" i="15"/>
  <c r="H283" i="15" s="1"/>
  <c r="I283" i="15" s="1"/>
  <c r="J283" i="15" s="1"/>
  <c r="K283" i="15" s="1"/>
  <c r="G235" i="15"/>
  <c r="H235" i="15" s="1"/>
  <c r="I235" i="15" s="1"/>
  <c r="J235" i="15" s="1"/>
  <c r="K235" i="15" s="1"/>
  <c r="D2" i="47"/>
  <c r="B2" i="46"/>
  <c r="E114" i="51"/>
  <c r="E131" i="49"/>
  <c r="E121" i="47"/>
  <c r="E122" i="47" s="1"/>
  <c r="C2" i="44"/>
  <c r="C2" i="43"/>
  <c r="C2" i="45"/>
  <c r="D2" i="58"/>
  <c r="F43" i="49"/>
  <c r="F46" i="49" s="1"/>
  <c r="D2" i="3"/>
  <c r="E159" i="47"/>
  <c r="C2" i="38"/>
  <c r="C2" i="41"/>
  <c r="E123" i="47"/>
  <c r="D103" i="38"/>
  <c r="E52" i="47"/>
  <c r="E50" i="47"/>
  <c r="E51" i="47"/>
  <c r="G128" i="49"/>
  <c r="H128" i="49" s="1"/>
  <c r="F131" i="49"/>
  <c r="E80" i="51"/>
  <c r="E187" i="15"/>
  <c r="E148" i="51"/>
  <c r="F82" i="47"/>
  <c r="F85" i="47" s="1"/>
  <c r="F88" i="47" s="1"/>
  <c r="E271" i="15"/>
  <c r="F154" i="47"/>
  <c r="G154" i="47" s="1"/>
  <c r="H154" i="47" s="1"/>
  <c r="G179" i="51"/>
  <c r="H179" i="51" s="1"/>
  <c r="H182" i="51" s="1"/>
  <c r="F77" i="49"/>
  <c r="G77" i="49" s="1"/>
  <c r="G80" i="49" s="1"/>
  <c r="E195" i="47"/>
  <c r="N367" i="41"/>
  <c r="G367" i="41" s="1"/>
  <c r="F193" i="47"/>
  <c r="F195" i="47" s="1"/>
  <c r="G111" i="51"/>
  <c r="H111" i="51" s="1"/>
  <c r="H114" i="51" s="1"/>
  <c r="E165" i="51"/>
  <c r="E295" i="15"/>
  <c r="E131" i="51"/>
  <c r="F136" i="47"/>
  <c r="G136" i="47" s="1"/>
  <c r="G139" i="47" s="1"/>
  <c r="G140" i="47" s="1"/>
  <c r="F64" i="47"/>
  <c r="G64" i="47" s="1"/>
  <c r="G67" i="47" s="1"/>
  <c r="E97" i="51"/>
  <c r="F179" i="49"/>
  <c r="F60" i="49"/>
  <c r="G60" i="49" s="1"/>
  <c r="G63" i="49" s="1"/>
  <c r="E176" i="47"/>
  <c r="E142" i="47"/>
  <c r="E68" i="47"/>
  <c r="F60" i="51"/>
  <c r="G60" i="51" s="1"/>
  <c r="G63" i="51" s="1"/>
  <c r="E247" i="15"/>
  <c r="D139" i="38"/>
  <c r="D211" i="38"/>
  <c r="D163" i="38"/>
  <c r="G211" i="15"/>
  <c r="H211" i="15" s="1"/>
  <c r="I211" i="15" s="1"/>
  <c r="J211" i="15" s="1"/>
  <c r="K211" i="15" s="1"/>
  <c r="D115" i="38"/>
  <c r="E177" i="47"/>
  <c r="E105" i="47"/>
  <c r="D259" i="38"/>
  <c r="E307" i="15"/>
  <c r="O104" i="15"/>
  <c r="E331" i="15"/>
  <c r="F121" i="47"/>
  <c r="F123" i="47" s="1"/>
  <c r="F148" i="51"/>
  <c r="G145" i="51"/>
  <c r="H145" i="51" s="1"/>
  <c r="I145" i="51" s="1"/>
  <c r="G128" i="51"/>
  <c r="F131" i="51"/>
  <c r="F165" i="51"/>
  <c r="G162" i="51"/>
  <c r="C2" i="34"/>
  <c r="D271" i="38"/>
  <c r="E379" i="15"/>
  <c r="D307" i="38"/>
  <c r="D199" i="38"/>
  <c r="F235" i="38"/>
  <c r="G235" i="38" s="1"/>
  <c r="H235" i="38" s="1"/>
  <c r="I235" i="38" s="1"/>
  <c r="J235" i="38" s="1"/>
  <c r="D235" i="38"/>
  <c r="F331" i="38"/>
  <c r="G331" i="38" s="1"/>
  <c r="H331" i="38" s="1"/>
  <c r="I331" i="38" s="1"/>
  <c r="J331" i="38" s="1"/>
  <c r="D331" i="38"/>
  <c r="F283" i="38"/>
  <c r="G283" i="38" s="1"/>
  <c r="H283" i="38" s="1"/>
  <c r="I283" i="38" s="1"/>
  <c r="J283" i="38" s="1"/>
  <c r="D283" i="38"/>
  <c r="E355" i="15"/>
  <c r="E403" i="15"/>
  <c r="H118" i="47"/>
  <c r="I118" i="47" s="1"/>
  <c r="G121" i="47"/>
  <c r="G123" i="47" s="1"/>
  <c r="G94" i="49"/>
  <c r="E148" i="49"/>
  <c r="F145" i="49"/>
  <c r="F247" i="38"/>
  <c r="G247" i="38" s="1"/>
  <c r="H247" i="38" s="1"/>
  <c r="I247" i="38" s="1"/>
  <c r="J247" i="38" s="1"/>
  <c r="D247" i="38"/>
  <c r="F295" i="38"/>
  <c r="G295" i="38" s="1"/>
  <c r="H295" i="38" s="1"/>
  <c r="I295" i="38" s="1"/>
  <c r="J295" i="38" s="1"/>
  <c r="D295" i="38"/>
  <c r="F80" i="51"/>
  <c r="G77" i="51"/>
  <c r="G80" i="51" s="1"/>
  <c r="D319" i="38"/>
  <c r="D223" i="38"/>
  <c r="M41" i="58"/>
  <c r="N41" i="58" s="1"/>
  <c r="O41" i="58" s="1"/>
  <c r="P41" i="58" s="1"/>
  <c r="Q41" i="58" s="1"/>
  <c r="K41" i="58"/>
  <c r="J41" i="58" s="1"/>
  <c r="I41" i="58" s="1"/>
  <c r="H41" i="58" s="1"/>
  <c r="G41" i="58" s="1"/>
  <c r="F41" i="58" s="1"/>
  <c r="G343" i="15"/>
  <c r="H343" i="15" s="1"/>
  <c r="I343" i="15" s="1"/>
  <c r="J343" i="15" s="1"/>
  <c r="K343" i="15" s="1"/>
  <c r="E343" i="15"/>
  <c r="G367" i="15"/>
  <c r="H367" i="15" s="1"/>
  <c r="I367" i="15" s="1"/>
  <c r="J367" i="15" s="1"/>
  <c r="K367" i="15" s="1"/>
  <c r="E367" i="15"/>
  <c r="G391" i="15"/>
  <c r="H391" i="15" s="1"/>
  <c r="I391" i="15" s="1"/>
  <c r="J391" i="15" s="1"/>
  <c r="K391" i="15" s="1"/>
  <c r="E391" i="15"/>
  <c r="G415" i="15"/>
  <c r="H415" i="15" s="1"/>
  <c r="I415" i="15" s="1"/>
  <c r="J415" i="15" s="1"/>
  <c r="K415" i="15" s="1"/>
  <c r="E415" i="15"/>
  <c r="F177" i="47"/>
  <c r="F178" i="47"/>
  <c r="F176" i="47"/>
  <c r="E88" i="47"/>
  <c r="E87" i="47"/>
  <c r="E86" i="47"/>
  <c r="G49" i="47"/>
  <c r="G142" i="47"/>
  <c r="G141" i="47"/>
  <c r="G172" i="47"/>
  <c r="F157" i="47"/>
  <c r="H136" i="47"/>
  <c r="F80" i="49"/>
  <c r="D151" i="38"/>
  <c r="E199" i="15"/>
  <c r="D175" i="38"/>
  <c r="D127" i="38"/>
  <c r="G223" i="15"/>
  <c r="H223" i="15" s="1"/>
  <c r="I223" i="15" s="1"/>
  <c r="J223" i="15" s="1"/>
  <c r="K223" i="15" s="1"/>
  <c r="E182" i="51"/>
  <c r="E69" i="47"/>
  <c r="E65" i="47" s="1"/>
  <c r="E10" i="47" s="1"/>
  <c r="AL9" i="14" s="1"/>
  <c r="E46" i="51"/>
  <c r="E29" i="51"/>
  <c r="F26" i="51"/>
  <c r="M25" i="58"/>
  <c r="N25" i="58" s="1"/>
  <c r="O25" i="58" s="1"/>
  <c r="P25" i="58" s="1"/>
  <c r="Q25" i="58" s="1"/>
  <c r="K25" i="58"/>
  <c r="J25" i="58" s="1"/>
  <c r="I25" i="58" s="1"/>
  <c r="H25" i="58" s="1"/>
  <c r="G25" i="58" s="1"/>
  <c r="F25" i="58" s="1"/>
  <c r="F28" i="47"/>
  <c r="E31" i="47"/>
  <c r="O116" i="37"/>
  <c r="BA119" i="14"/>
  <c r="K620" i="50" l="1"/>
  <c r="H620" i="50"/>
  <c r="H637" i="50"/>
  <c r="I620" i="50"/>
  <c r="F620" i="50"/>
  <c r="I637" i="50"/>
  <c r="F637" i="50"/>
  <c r="K535" i="50"/>
  <c r="H535" i="50"/>
  <c r="G603" i="50"/>
  <c r="G552" i="50"/>
  <c r="G569" i="50"/>
  <c r="I535" i="50"/>
  <c r="F535" i="50"/>
  <c r="J603" i="50"/>
  <c r="J552" i="50"/>
  <c r="J569" i="50"/>
  <c r="K603" i="50"/>
  <c r="H603" i="50"/>
  <c r="H602" i="50" s="1"/>
  <c r="K552" i="50"/>
  <c r="G620" i="50"/>
  <c r="K569" i="50"/>
  <c r="H569" i="50"/>
  <c r="G637" i="50"/>
  <c r="K586" i="50"/>
  <c r="I603" i="50"/>
  <c r="F603" i="50"/>
  <c r="I552" i="50"/>
  <c r="F552" i="50"/>
  <c r="J620" i="50"/>
  <c r="I569" i="50"/>
  <c r="F569" i="50"/>
  <c r="J637" i="50"/>
  <c r="I586" i="50"/>
  <c r="F586" i="50"/>
  <c r="J654" i="50"/>
  <c r="H60" i="51"/>
  <c r="I43" i="51"/>
  <c r="J43" i="51" s="1"/>
  <c r="J46" i="51" s="1"/>
  <c r="I111" i="51"/>
  <c r="I114" i="51" s="1"/>
  <c r="H552" i="50"/>
  <c r="G535" i="50"/>
  <c r="G670" i="50"/>
  <c r="J670" i="50"/>
  <c r="H586" i="50"/>
  <c r="G654" i="50"/>
  <c r="AN497" i="50"/>
  <c r="K680" i="50" s="1"/>
  <c r="K679" i="50" s="1"/>
  <c r="K688" i="50"/>
  <c r="K687" i="50" s="1"/>
  <c r="AN499" i="50"/>
  <c r="K714" i="50" s="1"/>
  <c r="K713" i="50" s="1"/>
  <c r="K722" i="50"/>
  <c r="K721" i="50" s="1"/>
  <c r="AN501" i="50"/>
  <c r="K748" i="50" s="1"/>
  <c r="K756" i="50"/>
  <c r="K755" i="50" s="1"/>
  <c r="AN503" i="50"/>
  <c r="K782" i="50" s="1"/>
  <c r="K790" i="50"/>
  <c r="K789" i="50" s="1"/>
  <c r="AN505" i="50"/>
  <c r="K816" i="50" s="1"/>
  <c r="K815" i="50" s="1"/>
  <c r="K824" i="50"/>
  <c r="K823" i="50" s="1"/>
  <c r="AJ497" i="50"/>
  <c r="G680" i="50" s="1"/>
  <c r="G679" i="50" s="1"/>
  <c r="G688" i="50"/>
  <c r="G687" i="50" s="1"/>
  <c r="AM497" i="50"/>
  <c r="J680" i="50" s="1"/>
  <c r="J688" i="50"/>
  <c r="J687" i="50" s="1"/>
  <c r="AJ499" i="50"/>
  <c r="G714" i="50" s="1"/>
  <c r="G722" i="50"/>
  <c r="G721" i="50" s="1"/>
  <c r="AM499" i="50"/>
  <c r="J714" i="50" s="1"/>
  <c r="J722" i="50"/>
  <c r="J721" i="50" s="1"/>
  <c r="AJ501" i="50"/>
  <c r="G748" i="50" s="1"/>
  <c r="G756" i="50"/>
  <c r="G755" i="50" s="1"/>
  <c r="AM501" i="50"/>
  <c r="J748" i="50" s="1"/>
  <c r="J756" i="50"/>
  <c r="J755" i="50" s="1"/>
  <c r="AJ503" i="50"/>
  <c r="G782" i="50" s="1"/>
  <c r="G790" i="50"/>
  <c r="G789" i="50" s="1"/>
  <c r="AM503" i="50"/>
  <c r="J782" i="50" s="1"/>
  <c r="J790" i="50"/>
  <c r="J789" i="50" s="1"/>
  <c r="AJ505" i="50"/>
  <c r="G816" i="50" s="1"/>
  <c r="G824" i="50"/>
  <c r="G823" i="50" s="1"/>
  <c r="AM505" i="50"/>
  <c r="J816" i="50" s="1"/>
  <c r="J824" i="50"/>
  <c r="J823" i="50" s="1"/>
  <c r="AN498" i="50"/>
  <c r="K697" i="50" s="1"/>
  <c r="K696" i="50" s="1"/>
  <c r="K705" i="50"/>
  <c r="K704" i="50" s="1"/>
  <c r="AL498" i="50"/>
  <c r="I697" i="50" s="1"/>
  <c r="I696" i="50" s="1"/>
  <c r="I705" i="50"/>
  <c r="I704" i="50" s="1"/>
  <c r="AM498" i="50"/>
  <c r="J697" i="50" s="1"/>
  <c r="J698" i="50" s="1"/>
  <c r="J705" i="50"/>
  <c r="J704" i="50" s="1"/>
  <c r="AN500" i="50"/>
  <c r="K731" i="50" s="1"/>
  <c r="K739" i="50"/>
  <c r="K738" i="50" s="1"/>
  <c r="AL500" i="50"/>
  <c r="I731" i="50" s="1"/>
  <c r="I730" i="50" s="1"/>
  <c r="I739" i="50"/>
  <c r="I738" i="50" s="1"/>
  <c r="AM500" i="50"/>
  <c r="J731" i="50" s="1"/>
  <c r="J730" i="50" s="1"/>
  <c r="J739" i="50"/>
  <c r="J740" i="50" s="1"/>
  <c r="AN502" i="50"/>
  <c r="K765" i="50" s="1"/>
  <c r="K764" i="50" s="1"/>
  <c r="K773" i="50"/>
  <c r="K772" i="50" s="1"/>
  <c r="AL502" i="50"/>
  <c r="I765" i="50" s="1"/>
  <c r="I764" i="50" s="1"/>
  <c r="I773" i="50"/>
  <c r="I772" i="50" s="1"/>
  <c r="AM502" i="50"/>
  <c r="J765" i="50" s="1"/>
  <c r="J764" i="50" s="1"/>
  <c r="J773" i="50"/>
  <c r="J772" i="50" s="1"/>
  <c r="AN504" i="50"/>
  <c r="K799" i="50" s="1"/>
  <c r="K798" i="50" s="1"/>
  <c r="K807" i="50"/>
  <c r="K806" i="50" s="1"/>
  <c r="AL504" i="50"/>
  <c r="I799" i="50" s="1"/>
  <c r="I807" i="50"/>
  <c r="I806" i="50" s="1"/>
  <c r="AM504" i="50"/>
  <c r="J799" i="50" s="1"/>
  <c r="J798" i="50" s="1"/>
  <c r="J807" i="50"/>
  <c r="J806" i="50" s="1"/>
  <c r="AM506" i="50"/>
  <c r="J833" i="50" s="1"/>
  <c r="J841" i="50"/>
  <c r="J840" i="50" s="1"/>
  <c r="J535" i="50"/>
  <c r="K670" i="50"/>
  <c r="H670" i="50"/>
  <c r="I670" i="50"/>
  <c r="F670" i="50"/>
  <c r="AZ521" i="50"/>
  <c r="I688" i="50"/>
  <c r="AY521" i="50"/>
  <c r="H688" i="50"/>
  <c r="H687" i="50" s="1"/>
  <c r="AZ523" i="50"/>
  <c r="I722" i="50"/>
  <c r="AY523" i="50"/>
  <c r="H722" i="50"/>
  <c r="H721" i="50" s="1"/>
  <c r="AZ525" i="50"/>
  <c r="I756" i="50"/>
  <c r="I755" i="50" s="1"/>
  <c r="AY525" i="50"/>
  <c r="H756" i="50"/>
  <c r="AZ527" i="50"/>
  <c r="I790" i="50"/>
  <c r="I789" i="50" s="1"/>
  <c r="AY527" i="50"/>
  <c r="H790" i="50"/>
  <c r="H789" i="50" s="1"/>
  <c r="AZ529" i="50"/>
  <c r="I824" i="50"/>
  <c r="AY529" i="50"/>
  <c r="H824" i="50"/>
  <c r="H823" i="50" s="1"/>
  <c r="AJ498" i="50"/>
  <c r="G697" i="50" s="1"/>
  <c r="G696" i="50" s="1"/>
  <c r="G705" i="50"/>
  <c r="G704" i="50" s="1"/>
  <c r="AY522" i="50"/>
  <c r="H705" i="50"/>
  <c r="AJ500" i="50"/>
  <c r="G731" i="50" s="1"/>
  <c r="G730" i="50" s="1"/>
  <c r="G739" i="50"/>
  <c r="G738" i="50" s="1"/>
  <c r="AY524" i="50"/>
  <c r="H739" i="50"/>
  <c r="H738" i="50" s="1"/>
  <c r="AJ502" i="50"/>
  <c r="G765" i="50" s="1"/>
  <c r="G764" i="50" s="1"/>
  <c r="G773" i="50"/>
  <c r="G772" i="50" s="1"/>
  <c r="AJ504" i="50"/>
  <c r="G799" i="50" s="1"/>
  <c r="G807" i="50"/>
  <c r="G806" i="50" s="1"/>
  <c r="AY528" i="50"/>
  <c r="H807" i="50"/>
  <c r="H806" i="50" s="1"/>
  <c r="AN506" i="50"/>
  <c r="K833" i="50" s="1"/>
  <c r="K832" i="50" s="1"/>
  <c r="K841" i="50"/>
  <c r="AI497" i="50"/>
  <c r="F680" i="50" s="1"/>
  <c r="F688" i="50"/>
  <c r="F687" i="50" s="1"/>
  <c r="AI499" i="50"/>
  <c r="F714" i="50" s="1"/>
  <c r="F722" i="50"/>
  <c r="F721" i="50" s="1"/>
  <c r="AI501" i="50"/>
  <c r="F748" i="50" s="1"/>
  <c r="F756" i="50"/>
  <c r="AI503" i="50"/>
  <c r="F782" i="50" s="1"/>
  <c r="F781" i="50" s="1"/>
  <c r="F790" i="50"/>
  <c r="AI505" i="50"/>
  <c r="F816" i="50" s="1"/>
  <c r="F824" i="50"/>
  <c r="F823" i="50" s="1"/>
  <c r="AI498" i="50"/>
  <c r="F697" i="50" s="1"/>
  <c r="F705" i="50"/>
  <c r="F706" i="50" s="1"/>
  <c r="AI500" i="50"/>
  <c r="F731" i="50" s="1"/>
  <c r="F730" i="50" s="1"/>
  <c r="F739" i="50"/>
  <c r="F738" i="50" s="1"/>
  <c r="AI502" i="50"/>
  <c r="F765" i="50" s="1"/>
  <c r="F764" i="50" s="1"/>
  <c r="F773" i="50"/>
  <c r="F775" i="50" s="1"/>
  <c r="AI504" i="50"/>
  <c r="F799" i="50" s="1"/>
  <c r="F807" i="50"/>
  <c r="F806" i="50" s="1"/>
  <c r="AJ506" i="50"/>
  <c r="G833" i="50" s="1"/>
  <c r="G832" i="50" s="1"/>
  <c r="G841" i="50"/>
  <c r="AL506" i="50"/>
  <c r="I833" i="50" s="1"/>
  <c r="I832" i="50" s="1"/>
  <c r="I841" i="50"/>
  <c r="I840" i="50" s="1"/>
  <c r="AI506" i="50"/>
  <c r="F833" i="50" s="1"/>
  <c r="F832" i="50" s="1"/>
  <c r="F841" i="50"/>
  <c r="F840" i="50" s="1"/>
  <c r="J738" i="50"/>
  <c r="J696" i="50"/>
  <c r="V84" i="38"/>
  <c r="Q287" i="43"/>
  <c r="L287" i="43" s="1"/>
  <c r="S287" i="43"/>
  <c r="T287" i="43"/>
  <c r="R287" i="43"/>
  <c r="M287" i="43" s="1"/>
  <c r="Q284" i="43"/>
  <c r="S284" i="43"/>
  <c r="T284" i="43"/>
  <c r="R284" i="43"/>
  <c r="Q288" i="43"/>
  <c r="S288" i="43"/>
  <c r="T288" i="43"/>
  <c r="R288" i="43"/>
  <c r="M288" i="43" s="1"/>
  <c r="Q292" i="43"/>
  <c r="L292" i="43" s="1"/>
  <c r="S292" i="43"/>
  <c r="T292" i="43"/>
  <c r="R292" i="43"/>
  <c r="M292" i="43" s="1"/>
  <c r="Q281" i="43"/>
  <c r="S281" i="43"/>
  <c r="T281" i="43"/>
  <c r="R281" i="43"/>
  <c r="M281" i="43" s="1"/>
  <c r="Q293" i="34"/>
  <c r="S293" i="34"/>
  <c r="R293" i="34"/>
  <c r="N293" i="34" s="1"/>
  <c r="T293" i="34"/>
  <c r="AY526" i="50"/>
  <c r="J486" i="50"/>
  <c r="Z486" i="50" s="1"/>
  <c r="C561" i="50" s="1"/>
  <c r="C569" i="50" s="1"/>
  <c r="J487" i="50"/>
  <c r="Z487" i="50" s="1"/>
  <c r="C578" i="50" s="1"/>
  <c r="C586" i="50" s="1"/>
  <c r="J485" i="50"/>
  <c r="Z485" i="50" s="1"/>
  <c r="C544" i="50" s="1"/>
  <c r="C552" i="50" s="1"/>
  <c r="Y484" i="50"/>
  <c r="J484" i="50"/>
  <c r="Z484" i="50" s="1"/>
  <c r="C527" i="50" s="1"/>
  <c r="C535" i="50" s="1"/>
  <c r="R162" i="15"/>
  <c r="S162" i="15" s="1"/>
  <c r="O178" i="15"/>
  <c r="C286" i="43"/>
  <c r="K286" i="43" s="1"/>
  <c r="C282" i="43"/>
  <c r="K282" i="43" s="1"/>
  <c r="C64" i="43"/>
  <c r="C280" i="43"/>
  <c r="K280" i="43" s="1"/>
  <c r="C76" i="43"/>
  <c r="C208" i="43"/>
  <c r="L208" i="43" s="1"/>
  <c r="C275" i="43"/>
  <c r="C290" i="43"/>
  <c r="K290" i="43" s="1"/>
  <c r="C289" i="43"/>
  <c r="K289" i="43" s="1"/>
  <c r="C88" i="43"/>
  <c r="C276" i="43"/>
  <c r="C283" i="43"/>
  <c r="K283" i="43" s="1"/>
  <c r="C293" i="43"/>
  <c r="K293" i="43" s="1"/>
  <c r="R73" i="38"/>
  <c r="M73" i="38"/>
  <c r="N73" i="38"/>
  <c r="W73" i="38"/>
  <c r="U70" i="38"/>
  <c r="C244" i="43"/>
  <c r="L244" i="43" s="1"/>
  <c r="C148" i="43"/>
  <c r="L148" i="43" s="1"/>
  <c r="L288" i="43"/>
  <c r="W84" i="38"/>
  <c r="C279" i="43"/>
  <c r="C115" i="7"/>
  <c r="C285" i="43"/>
  <c r="K285" i="43" s="1"/>
  <c r="C291" i="43"/>
  <c r="K291" i="43" s="1"/>
  <c r="C28" i="43"/>
  <c r="C256" i="43"/>
  <c r="L256" i="43" s="1"/>
  <c r="D19" i="58"/>
  <c r="AH7" i="14" s="1"/>
  <c r="I26" i="58"/>
  <c r="J26" i="58" s="1"/>
  <c r="J42" i="58" s="1"/>
  <c r="G42" i="58"/>
  <c r="P34" i="58"/>
  <c r="Q34" i="58" s="1"/>
  <c r="Q50" i="58" s="1"/>
  <c r="F104" i="37"/>
  <c r="O104" i="37"/>
  <c r="AI146" i="37"/>
  <c r="M96" i="37"/>
  <c r="I98" i="37"/>
  <c r="P96" i="37"/>
  <c r="AM102" i="50"/>
  <c r="BA102" i="50" s="1"/>
  <c r="AI102" i="50"/>
  <c r="AK498" i="50"/>
  <c r="AP104" i="50"/>
  <c r="AZ498" i="50"/>
  <c r="AI156" i="37"/>
  <c r="AI160" i="37"/>
  <c r="Q104" i="37"/>
  <c r="AF96" i="37"/>
  <c r="N96" i="37"/>
  <c r="G96" i="37"/>
  <c r="P102" i="37"/>
  <c r="F102" i="37"/>
  <c r="I102" i="37"/>
  <c r="G44" i="1"/>
  <c r="I96" i="37"/>
  <c r="G102" i="37"/>
  <c r="N102" i="37"/>
  <c r="O102" i="37"/>
  <c r="S160" i="37"/>
  <c r="AI149" i="37"/>
  <c r="L162" i="37"/>
  <c r="AP162" i="37" s="1"/>
  <c r="Q102" i="37"/>
  <c r="G42" i="1"/>
  <c r="L156" i="37"/>
  <c r="AP156" i="37" s="1"/>
  <c r="C23" i="38"/>
  <c r="D84" i="15" s="1"/>
  <c r="B84" i="15" s="1"/>
  <c r="AG153" i="37"/>
  <c r="S151" i="37"/>
  <c r="S149" i="37"/>
  <c r="S77" i="38"/>
  <c r="I86" i="38" s="1"/>
  <c r="S65" i="38"/>
  <c r="B137" i="15"/>
  <c r="J94" i="37"/>
  <c r="N100" i="37"/>
  <c r="R98" i="37"/>
  <c r="E105" i="37"/>
  <c r="P105" i="37" s="1"/>
  <c r="E101" i="37"/>
  <c r="F101" i="37" s="1"/>
  <c r="E97" i="37"/>
  <c r="H97" i="37" s="1"/>
  <c r="R167" i="15"/>
  <c r="S167" i="15" s="1"/>
  <c r="R175" i="15"/>
  <c r="R173" i="15"/>
  <c r="S173" i="15" s="1"/>
  <c r="F63" i="51"/>
  <c r="H97" i="51"/>
  <c r="C29" i="38"/>
  <c r="P29" i="38" s="1"/>
  <c r="Q90" i="15" s="1"/>
  <c r="AY103" i="50"/>
  <c r="AY530" i="50"/>
  <c r="AT100" i="50"/>
  <c r="AZ506" i="50"/>
  <c r="AY107" i="50"/>
  <c r="I285" i="50"/>
  <c r="I284" i="50" s="1"/>
  <c r="AP102" i="50"/>
  <c r="AI104" i="50"/>
  <c r="BA101" i="50"/>
  <c r="BA502" i="50"/>
  <c r="AW498" i="50"/>
  <c r="AX505" i="50"/>
  <c r="AX497" i="50"/>
  <c r="AW502" i="50"/>
  <c r="AK506" i="50"/>
  <c r="AI108" i="50"/>
  <c r="AZ504" i="50"/>
  <c r="AK502" i="50"/>
  <c r="AK505" i="50"/>
  <c r="AP108" i="50"/>
  <c r="AK501" i="50"/>
  <c r="AY105" i="50"/>
  <c r="BA504" i="50"/>
  <c r="AY497" i="50"/>
  <c r="AZ100" i="50"/>
  <c r="T164" i="15"/>
  <c r="E260" i="15"/>
  <c r="E266" i="15" s="1"/>
  <c r="E265" i="15" s="1"/>
  <c r="E264" i="15" s="1"/>
  <c r="F284" i="15"/>
  <c r="G284" i="15" s="1"/>
  <c r="H284" i="15" s="1"/>
  <c r="I284" i="15" s="1"/>
  <c r="J284" i="15" s="1"/>
  <c r="E290" i="15"/>
  <c r="S175" i="15"/>
  <c r="E392" i="15"/>
  <c r="F392" i="15" s="1"/>
  <c r="S164" i="15"/>
  <c r="T166" i="15"/>
  <c r="AY102" i="50"/>
  <c r="P178" i="15"/>
  <c r="R163" i="15"/>
  <c r="S163" i="15" s="1"/>
  <c r="R165" i="15"/>
  <c r="S165" i="15" s="1"/>
  <c r="R168" i="15"/>
  <c r="T168" i="15" s="1"/>
  <c r="R174" i="15"/>
  <c r="T174" i="15" s="1"/>
  <c r="R176" i="15"/>
  <c r="T176" i="15" s="1"/>
  <c r="AL505" i="50"/>
  <c r="AL503" i="50"/>
  <c r="AK504" i="50"/>
  <c r="AK500" i="50"/>
  <c r="AL501" i="50"/>
  <c r="AL499" i="50"/>
  <c r="AL497" i="50"/>
  <c r="AK503" i="50"/>
  <c r="AK499" i="50"/>
  <c r="AM100" i="50"/>
  <c r="J285" i="50" s="1"/>
  <c r="AI100" i="50"/>
  <c r="AP100" i="50"/>
  <c r="AM106" i="50"/>
  <c r="J781" i="50" s="1"/>
  <c r="AX500" i="50"/>
  <c r="BB522" i="50"/>
  <c r="BB524" i="50"/>
  <c r="BB526" i="50"/>
  <c r="BB528" i="50"/>
  <c r="AZ104" i="50"/>
  <c r="BB499" i="50"/>
  <c r="BB505" i="50"/>
  <c r="BA505" i="50"/>
  <c r="BA501" i="50"/>
  <c r="BA497" i="50"/>
  <c r="BB502" i="50"/>
  <c r="BB498" i="50"/>
  <c r="AX522" i="50"/>
  <c r="AX524" i="50"/>
  <c r="AX526" i="50"/>
  <c r="AX528" i="50"/>
  <c r="BB530" i="50"/>
  <c r="AW521" i="50"/>
  <c r="AW523" i="50"/>
  <c r="AW525" i="50"/>
  <c r="AW527" i="50"/>
  <c r="AW529" i="50"/>
  <c r="AW522" i="50"/>
  <c r="AW524" i="50"/>
  <c r="AW526" i="50"/>
  <c r="AW528" i="50"/>
  <c r="AX530" i="50"/>
  <c r="AZ530" i="50"/>
  <c r="AW530" i="50"/>
  <c r="G747" i="50"/>
  <c r="AX104" i="50"/>
  <c r="AZ108" i="50"/>
  <c r="AW105" i="50"/>
  <c r="G815" i="50"/>
  <c r="AX108" i="50"/>
  <c r="K730" i="50"/>
  <c r="BB103" i="50"/>
  <c r="J815" i="50"/>
  <c r="BA108" i="50"/>
  <c r="BB105" i="50"/>
  <c r="G713" i="50"/>
  <c r="AX102" i="50"/>
  <c r="Z700" i="50"/>
  <c r="J700" i="50"/>
  <c r="AZ102" i="50"/>
  <c r="BB108" i="50"/>
  <c r="G798" i="50"/>
  <c r="AX107" i="50"/>
  <c r="BB100" i="50"/>
  <c r="AW103" i="50"/>
  <c r="I798" i="50"/>
  <c r="AZ107" i="50"/>
  <c r="BA105" i="50"/>
  <c r="BB109" i="50"/>
  <c r="K781" i="50"/>
  <c r="BB106" i="50"/>
  <c r="AX105" i="50"/>
  <c r="BA109" i="50"/>
  <c r="J832" i="50"/>
  <c r="AY106" i="50"/>
  <c r="BA103" i="50"/>
  <c r="AZ105" i="50"/>
  <c r="J747" i="50"/>
  <c r="BA104" i="50"/>
  <c r="F755" i="50"/>
  <c r="AW128" i="50"/>
  <c r="AX125" i="50"/>
  <c r="AZ127" i="50"/>
  <c r="AX129" i="50"/>
  <c r="AZ131" i="50"/>
  <c r="BB124" i="50"/>
  <c r="BB128" i="50"/>
  <c r="BB132" i="50"/>
  <c r="BA129" i="50"/>
  <c r="AA802" i="50"/>
  <c r="AW126" i="50"/>
  <c r="AY124" i="50"/>
  <c r="BA124" i="50"/>
  <c r="AY127" i="50"/>
  <c r="BA128" i="50"/>
  <c r="AY131" i="50"/>
  <c r="BA132" i="50"/>
  <c r="AX127" i="50"/>
  <c r="AX131" i="50"/>
  <c r="AZ133" i="50"/>
  <c r="AY126" i="50"/>
  <c r="I687" i="50"/>
  <c r="AZ124" i="50"/>
  <c r="BB126" i="50"/>
  <c r="AZ128" i="50"/>
  <c r="BB130" i="50"/>
  <c r="I823" i="50"/>
  <c r="AZ132" i="50"/>
  <c r="J707" i="50"/>
  <c r="AW131" i="50"/>
  <c r="AA696" i="50"/>
  <c r="AA832" i="50"/>
  <c r="BA506" i="50"/>
  <c r="AW497" i="50"/>
  <c r="AX503" i="50"/>
  <c r="BB521" i="50"/>
  <c r="BB523" i="50"/>
  <c r="BB525" i="50"/>
  <c r="BB527" i="50"/>
  <c r="BB529" i="50"/>
  <c r="AX521" i="50"/>
  <c r="BA521" i="50"/>
  <c r="AX523" i="50"/>
  <c r="BA523" i="50"/>
  <c r="AX525" i="50"/>
  <c r="BA525" i="50"/>
  <c r="AX527" i="50"/>
  <c r="BA527" i="50"/>
  <c r="AX529" i="50"/>
  <c r="BA529" i="50"/>
  <c r="AZ522" i="50"/>
  <c r="BA522" i="50"/>
  <c r="AZ524" i="50"/>
  <c r="BA524" i="50"/>
  <c r="AZ526" i="50"/>
  <c r="BA526" i="50"/>
  <c r="AZ528" i="50"/>
  <c r="BA528" i="50"/>
  <c r="BA530" i="50"/>
  <c r="BB107" i="50"/>
  <c r="F798" i="50"/>
  <c r="AW107" i="50"/>
  <c r="F696" i="50"/>
  <c r="AW101" i="50"/>
  <c r="AX100" i="50"/>
  <c r="AX109" i="50"/>
  <c r="G781" i="50"/>
  <c r="AX106" i="50"/>
  <c r="BB101" i="50"/>
  <c r="AY108" i="50"/>
  <c r="J767" i="50"/>
  <c r="J766" i="50"/>
  <c r="H679" i="50"/>
  <c r="AY100" i="50"/>
  <c r="AZ109" i="50"/>
  <c r="AZ106" i="50"/>
  <c r="AY109" i="50"/>
  <c r="K747" i="50"/>
  <c r="BB104" i="50"/>
  <c r="AX103" i="50"/>
  <c r="AW106" i="50"/>
  <c r="AZ103" i="50"/>
  <c r="AY104" i="50"/>
  <c r="AY101" i="50"/>
  <c r="AW109" i="50"/>
  <c r="BB102" i="50"/>
  <c r="AX101" i="50"/>
  <c r="BA107" i="50"/>
  <c r="AZ101" i="50"/>
  <c r="AW124" i="50"/>
  <c r="AW132" i="50"/>
  <c r="BB133" i="50"/>
  <c r="K840" i="50"/>
  <c r="AY128" i="50"/>
  <c r="H755" i="50"/>
  <c r="AW130" i="50"/>
  <c r="F789" i="50"/>
  <c r="BB125" i="50"/>
  <c r="BB129" i="50"/>
  <c r="AX133" i="50"/>
  <c r="G840" i="50"/>
  <c r="AY132" i="50"/>
  <c r="AX124" i="50"/>
  <c r="AZ126" i="50"/>
  <c r="I721" i="50"/>
  <c r="AX128" i="50"/>
  <c r="AZ130" i="50"/>
  <c r="AX132" i="50"/>
  <c r="F742" i="50"/>
  <c r="J741" i="50"/>
  <c r="AY125" i="50"/>
  <c r="H704" i="50"/>
  <c r="BA126" i="50"/>
  <c r="BA127" i="50"/>
  <c r="AY129" i="50"/>
  <c r="H772" i="50"/>
  <c r="BA130" i="50"/>
  <c r="BA131" i="50"/>
  <c r="AY133" i="50"/>
  <c r="H840" i="50"/>
  <c r="AZ125" i="50"/>
  <c r="BB127" i="50"/>
  <c r="AZ129" i="50"/>
  <c r="BB131" i="50"/>
  <c r="AY130" i="50"/>
  <c r="AX126" i="50"/>
  <c r="AX130" i="50"/>
  <c r="BA133" i="50"/>
  <c r="F774" i="50"/>
  <c r="AF92" i="37"/>
  <c r="P98" i="37"/>
  <c r="H92" i="37"/>
  <c r="L163" i="37"/>
  <c r="AP163" i="37" s="1"/>
  <c r="G94" i="37"/>
  <c r="H100" i="37"/>
  <c r="L161" i="37"/>
  <c r="AP161" i="37" s="1"/>
  <c r="AG152" i="37"/>
  <c r="L157" i="37"/>
  <c r="AP157" i="37" s="1"/>
  <c r="M31" i="58"/>
  <c r="N31" i="58" s="1"/>
  <c r="M30" i="58"/>
  <c r="N30" i="58" s="1"/>
  <c r="J28" i="58"/>
  <c r="J44" i="58" s="1"/>
  <c r="K46" i="58"/>
  <c r="Z289" i="50"/>
  <c r="K287" i="50"/>
  <c r="K288" i="50"/>
  <c r="K286" i="50"/>
  <c r="I296" i="50"/>
  <c r="I295" i="50"/>
  <c r="I294" i="50"/>
  <c r="AA287" i="50"/>
  <c r="G295" i="50"/>
  <c r="G296" i="50"/>
  <c r="AA285" i="50"/>
  <c r="G294" i="50"/>
  <c r="H296" i="50"/>
  <c r="H295" i="50"/>
  <c r="AA286" i="50"/>
  <c r="H294" i="50"/>
  <c r="H288" i="50"/>
  <c r="H286" i="50"/>
  <c r="H287" i="50"/>
  <c r="Z286" i="50"/>
  <c r="Z285" i="50"/>
  <c r="G287" i="50"/>
  <c r="G286" i="50"/>
  <c r="G288" i="50"/>
  <c r="J296" i="50"/>
  <c r="J295" i="50"/>
  <c r="AA288" i="50"/>
  <c r="J294" i="50"/>
  <c r="K296" i="50"/>
  <c r="K295" i="50"/>
  <c r="K294" i="50"/>
  <c r="AA289" i="50"/>
  <c r="F295" i="50"/>
  <c r="AA284" i="50"/>
  <c r="F294" i="50"/>
  <c r="F296" i="50"/>
  <c r="AC75" i="50"/>
  <c r="F310" i="50"/>
  <c r="F309" i="50" s="1"/>
  <c r="J302" i="50"/>
  <c r="J301" i="50" s="1"/>
  <c r="J310" i="50"/>
  <c r="J309" i="50" s="1"/>
  <c r="G302" i="50"/>
  <c r="G301" i="50" s="1"/>
  <c r="K302" i="50"/>
  <c r="K301" i="50" s="1"/>
  <c r="H310" i="50"/>
  <c r="H309" i="50" s="1"/>
  <c r="I310" i="50"/>
  <c r="I309" i="50" s="1"/>
  <c r="I302" i="50"/>
  <c r="I301" i="50" s="1"/>
  <c r="K310" i="50"/>
  <c r="K309" i="50" s="1"/>
  <c r="G310" i="50"/>
  <c r="G309" i="50" s="1"/>
  <c r="H302" i="50"/>
  <c r="H301" i="50" s="1"/>
  <c r="F302" i="50"/>
  <c r="F301" i="50" s="1"/>
  <c r="K674" i="50"/>
  <c r="K673" i="50"/>
  <c r="K672" i="50"/>
  <c r="AA667" i="50"/>
  <c r="H674" i="50"/>
  <c r="H673" i="50"/>
  <c r="H672" i="50"/>
  <c r="AA664" i="50"/>
  <c r="I674" i="50"/>
  <c r="I673" i="50"/>
  <c r="I672" i="50"/>
  <c r="AA665" i="50"/>
  <c r="AA662" i="50"/>
  <c r="F674" i="50"/>
  <c r="F673" i="50"/>
  <c r="F672" i="50"/>
  <c r="G674" i="50"/>
  <c r="G673" i="50"/>
  <c r="G672" i="50"/>
  <c r="AA663" i="50"/>
  <c r="J674" i="50"/>
  <c r="J673" i="50"/>
  <c r="J672" i="50"/>
  <c r="AA666" i="50"/>
  <c r="K259" i="50"/>
  <c r="K653" i="50"/>
  <c r="H259" i="50"/>
  <c r="H258" i="50" s="1"/>
  <c r="H653" i="50"/>
  <c r="I259" i="50"/>
  <c r="I653" i="50"/>
  <c r="F259" i="50"/>
  <c r="F258" i="50" s="1"/>
  <c r="F653" i="50"/>
  <c r="G259" i="50"/>
  <c r="G653" i="50"/>
  <c r="J259" i="50"/>
  <c r="J258" i="50" s="1"/>
  <c r="J653" i="50"/>
  <c r="K242" i="50"/>
  <c r="K636" i="50"/>
  <c r="H242" i="50"/>
  <c r="H241" i="50" s="1"/>
  <c r="H636" i="50"/>
  <c r="I242" i="50"/>
  <c r="I636" i="50"/>
  <c r="F242" i="50"/>
  <c r="F241" i="50" s="1"/>
  <c r="F636" i="50"/>
  <c r="G242" i="50"/>
  <c r="G636" i="50"/>
  <c r="J242" i="50"/>
  <c r="J241" i="50" s="1"/>
  <c r="J636" i="50"/>
  <c r="K225" i="50"/>
  <c r="K619" i="50"/>
  <c r="H225" i="50"/>
  <c r="H224" i="50" s="1"/>
  <c r="H619" i="50"/>
  <c r="I225" i="50"/>
  <c r="I619" i="50"/>
  <c r="F225" i="50"/>
  <c r="F224" i="50" s="1"/>
  <c r="F619" i="50"/>
  <c r="G225" i="50"/>
  <c r="G619" i="50"/>
  <c r="J225" i="50"/>
  <c r="J224" i="50" s="1"/>
  <c r="J619" i="50"/>
  <c r="K208" i="50"/>
  <c r="K602" i="50"/>
  <c r="G191" i="50"/>
  <c r="J191" i="50"/>
  <c r="K191" i="50"/>
  <c r="H191" i="50"/>
  <c r="I191" i="50"/>
  <c r="F191" i="50"/>
  <c r="G174" i="50"/>
  <c r="J174" i="50"/>
  <c r="K174" i="50"/>
  <c r="H174" i="50"/>
  <c r="I174" i="50"/>
  <c r="F174" i="50"/>
  <c r="G157" i="50"/>
  <c r="J157" i="50"/>
  <c r="K157" i="50"/>
  <c r="H157" i="50"/>
  <c r="I157" i="50"/>
  <c r="F157" i="50"/>
  <c r="K276" i="50"/>
  <c r="K275" i="50" s="1"/>
  <c r="H276" i="50"/>
  <c r="H275" i="50" s="1"/>
  <c r="I276" i="50"/>
  <c r="I275" i="50" s="1"/>
  <c r="F276" i="50"/>
  <c r="F275" i="50" s="1"/>
  <c r="G276" i="50"/>
  <c r="G275" i="50" s="1"/>
  <c r="J276" i="50"/>
  <c r="J275" i="50" s="1"/>
  <c r="AX119" i="50"/>
  <c r="G208" i="50"/>
  <c r="G207" i="50" s="1"/>
  <c r="BA119" i="50"/>
  <c r="J208" i="50"/>
  <c r="J207" i="50" s="1"/>
  <c r="AY119" i="50"/>
  <c r="H208" i="50"/>
  <c r="H207" i="50" s="1"/>
  <c r="AZ119" i="50"/>
  <c r="I208" i="50"/>
  <c r="I207" i="50" s="1"/>
  <c r="AW119" i="50"/>
  <c r="F208" i="50"/>
  <c r="F207" i="50" s="1"/>
  <c r="V74" i="38"/>
  <c r="L83" i="38" s="1"/>
  <c r="K24" i="38"/>
  <c r="L85" i="15" s="1"/>
  <c r="O35" i="38"/>
  <c r="P96" i="15" s="1"/>
  <c r="AR90" i="14"/>
  <c r="H64" i="50"/>
  <c r="H458" i="50"/>
  <c r="H63" i="50"/>
  <c r="G64" i="50"/>
  <c r="G63" i="50"/>
  <c r="G458" i="50"/>
  <c r="R172" i="15"/>
  <c r="S172" i="15" s="1"/>
  <c r="H290" i="15"/>
  <c r="R161" i="15"/>
  <c r="T161" i="15" s="1"/>
  <c r="R159" i="15"/>
  <c r="S159" i="15" s="1"/>
  <c r="R94" i="37"/>
  <c r="G100" i="37"/>
  <c r="F98" i="37"/>
  <c r="R92" i="37"/>
  <c r="L155" i="37"/>
  <c r="AP155" i="37" s="1"/>
  <c r="AI157" i="37"/>
  <c r="G92" i="37"/>
  <c r="K98" i="37"/>
  <c r="O98" i="37"/>
  <c r="AI155" i="37"/>
  <c r="P94" i="37"/>
  <c r="N98" i="37"/>
  <c r="M94" i="37"/>
  <c r="L150" i="37"/>
  <c r="AP150" i="37" s="1"/>
  <c r="AG157" i="37"/>
  <c r="AI150" i="37"/>
  <c r="AI152" i="37"/>
  <c r="I104" i="37"/>
  <c r="H104" i="37"/>
  <c r="P104" i="37"/>
  <c r="AI145" i="37"/>
  <c r="AI161" i="37"/>
  <c r="R96" i="37"/>
  <c r="J96" i="37"/>
  <c r="K96" i="37"/>
  <c r="K104" i="37"/>
  <c r="H94" i="37"/>
  <c r="H98" i="37"/>
  <c r="M98" i="37"/>
  <c r="S155" i="37"/>
  <c r="S163" i="37"/>
  <c r="O94" i="37"/>
  <c r="H96" i="37"/>
  <c r="O96" i="37"/>
  <c r="Q98" i="37"/>
  <c r="AF98" i="37"/>
  <c r="M104" i="37"/>
  <c r="R104" i="37"/>
  <c r="S161" i="37"/>
  <c r="AI159" i="37"/>
  <c r="AI163" i="37"/>
  <c r="G104" i="37"/>
  <c r="G98" i="37"/>
  <c r="F96" i="37"/>
  <c r="S152" i="37"/>
  <c r="AG150" i="37"/>
  <c r="S145" i="37"/>
  <c r="H384" i="3"/>
  <c r="I120" i="58"/>
  <c r="J104" i="58"/>
  <c r="J121" i="58"/>
  <c r="K105" i="58"/>
  <c r="H309" i="58"/>
  <c r="I293" i="58"/>
  <c r="P241" i="58"/>
  <c r="Q225" i="58"/>
  <c r="Q241" i="58" s="1"/>
  <c r="K198" i="58"/>
  <c r="L182" i="58"/>
  <c r="N374" i="58"/>
  <c r="M390" i="58"/>
  <c r="H385" i="58"/>
  <c r="I369" i="58"/>
  <c r="G346" i="58"/>
  <c r="H330" i="58"/>
  <c r="G308" i="58"/>
  <c r="H292" i="58"/>
  <c r="K274" i="58"/>
  <c r="L258" i="58"/>
  <c r="H195" i="58"/>
  <c r="I179" i="58"/>
  <c r="J370" i="58"/>
  <c r="I386" i="58"/>
  <c r="O223" i="58"/>
  <c r="N239" i="58"/>
  <c r="L199" i="58"/>
  <c r="M183" i="58"/>
  <c r="J142" i="58"/>
  <c r="I158" i="58"/>
  <c r="L123" i="58"/>
  <c r="M107" i="58"/>
  <c r="P89" i="58"/>
  <c r="Q73" i="58"/>
  <c r="Q89" i="58" s="1"/>
  <c r="L85" i="58"/>
  <c r="M69" i="58"/>
  <c r="O375" i="58"/>
  <c r="N391" i="58"/>
  <c r="L351" i="58"/>
  <c r="M335" i="58"/>
  <c r="H271" i="58"/>
  <c r="I255" i="58"/>
  <c r="J218" i="58"/>
  <c r="I234" i="58"/>
  <c r="G156" i="58"/>
  <c r="H140" i="58"/>
  <c r="K388" i="58"/>
  <c r="L372" i="58"/>
  <c r="P203" i="58"/>
  <c r="Q187" i="58"/>
  <c r="Q203" i="58" s="1"/>
  <c r="O126" i="58"/>
  <c r="P110" i="58"/>
  <c r="G118" i="58"/>
  <c r="H102" i="58"/>
  <c r="N70" i="58"/>
  <c r="M86" i="58"/>
  <c r="P355" i="58"/>
  <c r="Q339" i="58"/>
  <c r="Q355" i="58" s="1"/>
  <c r="P279" i="58"/>
  <c r="Q263" i="58"/>
  <c r="Q279" i="58" s="1"/>
  <c r="O240" i="58"/>
  <c r="P224" i="58"/>
  <c r="H157" i="58"/>
  <c r="I141" i="58"/>
  <c r="G80" i="58"/>
  <c r="J256" i="58"/>
  <c r="I272" i="58"/>
  <c r="O261" i="58"/>
  <c r="N277" i="58"/>
  <c r="J294" i="58"/>
  <c r="I310" i="58"/>
  <c r="N298" i="58"/>
  <c r="M314" i="58"/>
  <c r="J332" i="58"/>
  <c r="I348" i="58"/>
  <c r="N336" i="58"/>
  <c r="M352" i="58"/>
  <c r="K371" i="58"/>
  <c r="J387" i="58"/>
  <c r="N146" i="58"/>
  <c r="M162" i="58"/>
  <c r="J180" i="58"/>
  <c r="I196" i="58"/>
  <c r="N184" i="58"/>
  <c r="M200" i="58"/>
  <c r="K219" i="58"/>
  <c r="J235" i="58"/>
  <c r="N125" i="58"/>
  <c r="O109" i="58"/>
  <c r="M124" i="58"/>
  <c r="N108" i="58"/>
  <c r="H347" i="58"/>
  <c r="I331" i="58"/>
  <c r="L275" i="58"/>
  <c r="M259" i="58"/>
  <c r="H233" i="58"/>
  <c r="I217" i="58"/>
  <c r="G194" i="58"/>
  <c r="H178" i="58"/>
  <c r="P393" i="58"/>
  <c r="Q377" i="58"/>
  <c r="Q393" i="58" s="1"/>
  <c r="K350" i="58"/>
  <c r="L334" i="58"/>
  <c r="K312" i="58"/>
  <c r="L296" i="58"/>
  <c r="O278" i="58"/>
  <c r="P262" i="58"/>
  <c r="G270" i="58"/>
  <c r="H254" i="58"/>
  <c r="K160" i="58"/>
  <c r="L144" i="58"/>
  <c r="O392" i="58"/>
  <c r="P376" i="58"/>
  <c r="G384" i="58"/>
  <c r="H368" i="58"/>
  <c r="O354" i="58"/>
  <c r="P338" i="58"/>
  <c r="O316" i="58"/>
  <c r="P300" i="58"/>
  <c r="L237" i="58"/>
  <c r="M221" i="58"/>
  <c r="P165" i="58"/>
  <c r="Q149" i="58"/>
  <c r="Q165" i="58" s="1"/>
  <c r="P127" i="58"/>
  <c r="Q111" i="58"/>
  <c r="Q127" i="58" s="1"/>
  <c r="H119" i="58"/>
  <c r="I103" i="58"/>
  <c r="O71" i="58"/>
  <c r="N87" i="58"/>
  <c r="J66" i="58"/>
  <c r="I82" i="58"/>
  <c r="L389" i="58"/>
  <c r="M373" i="58"/>
  <c r="L313" i="58"/>
  <c r="M297" i="58"/>
  <c r="N222" i="58"/>
  <c r="M238" i="58"/>
  <c r="G232" i="58"/>
  <c r="H216" i="58"/>
  <c r="O202" i="58"/>
  <c r="P186" i="58"/>
  <c r="O164" i="58"/>
  <c r="P148" i="58"/>
  <c r="H81" i="58"/>
  <c r="I65" i="58"/>
  <c r="K257" i="58"/>
  <c r="J273" i="58"/>
  <c r="L161" i="58"/>
  <c r="M145" i="58"/>
  <c r="K122" i="58"/>
  <c r="L106" i="58"/>
  <c r="O88" i="58"/>
  <c r="P72" i="58"/>
  <c r="K67" i="58"/>
  <c r="J83" i="58"/>
  <c r="P317" i="58"/>
  <c r="Q301" i="58"/>
  <c r="Q317" i="58" s="1"/>
  <c r="K236" i="58"/>
  <c r="L220" i="58"/>
  <c r="K84" i="58"/>
  <c r="L68" i="58"/>
  <c r="N260" i="58"/>
  <c r="M276" i="58"/>
  <c r="K295" i="58"/>
  <c r="J311" i="58"/>
  <c r="O299" i="58"/>
  <c r="N315" i="58"/>
  <c r="K333" i="58"/>
  <c r="J349" i="58"/>
  <c r="O337" i="58"/>
  <c r="N353" i="58"/>
  <c r="K143" i="58"/>
  <c r="J159" i="58"/>
  <c r="O147" i="58"/>
  <c r="N163" i="58"/>
  <c r="K181" i="58"/>
  <c r="J197" i="58"/>
  <c r="O185" i="58"/>
  <c r="N201" i="58"/>
  <c r="N32" i="58"/>
  <c r="N48" i="58" s="1"/>
  <c r="K29" i="58"/>
  <c r="K45" i="58" s="1"/>
  <c r="I27" i="58"/>
  <c r="J27" i="58" s="1"/>
  <c r="AG159" i="37"/>
  <c r="S159" i="37"/>
  <c r="J483" i="50"/>
  <c r="Z483" i="50" s="1"/>
  <c r="C510" i="50" s="1"/>
  <c r="C518" i="50" s="1"/>
  <c r="G290" i="15"/>
  <c r="T175" i="15"/>
  <c r="AG145" i="37"/>
  <c r="S153" i="37"/>
  <c r="F89" i="37"/>
  <c r="P89" i="37"/>
  <c r="P28" i="38"/>
  <c r="Q89" i="15" s="1"/>
  <c r="S148" i="37"/>
  <c r="L148" i="37"/>
  <c r="AP148" i="37" s="1"/>
  <c r="E90" i="37"/>
  <c r="AF93" i="37"/>
  <c r="N94" i="37"/>
  <c r="I94" i="37"/>
  <c r="Q94" i="37"/>
  <c r="M100" i="37"/>
  <c r="Q92" i="37"/>
  <c r="F94" i="37"/>
  <c r="AF94" i="37"/>
  <c r="AF100" i="37"/>
  <c r="B143" i="15"/>
  <c r="F92" i="37"/>
  <c r="K92" i="37"/>
  <c r="Q100" i="37"/>
  <c r="B151" i="15"/>
  <c r="AF89" i="37"/>
  <c r="R100" i="37"/>
  <c r="J100" i="37"/>
  <c r="K100" i="37"/>
  <c r="N92" i="37"/>
  <c r="I92" i="37"/>
  <c r="J92" i="37"/>
  <c r="B136" i="15"/>
  <c r="M92" i="37"/>
  <c r="O92" i="37"/>
  <c r="I100" i="37"/>
  <c r="P100" i="37"/>
  <c r="O100" i="37"/>
  <c r="AF101" i="37"/>
  <c r="I93" i="37"/>
  <c r="J105" i="37"/>
  <c r="AW26" i="14"/>
  <c r="J89" i="37"/>
  <c r="K93" i="37"/>
  <c r="G89" i="37"/>
  <c r="K105" i="37"/>
  <c r="C21" i="38"/>
  <c r="L21" i="38" s="1"/>
  <c r="M82" i="15" s="1"/>
  <c r="B147" i="15"/>
  <c r="F105" i="37"/>
  <c r="E332" i="15"/>
  <c r="N49" i="58"/>
  <c r="O33" i="58"/>
  <c r="L144" i="37"/>
  <c r="AP144" i="37" s="1"/>
  <c r="E86" i="37"/>
  <c r="S146" i="37"/>
  <c r="E88" i="37"/>
  <c r="E47" i="47"/>
  <c r="E9" i="47" s="1"/>
  <c r="AL8" i="14" s="1"/>
  <c r="H87" i="37"/>
  <c r="M103" i="37"/>
  <c r="R87" i="37"/>
  <c r="AF91" i="37"/>
  <c r="F65" i="37"/>
  <c r="N54" i="37"/>
  <c r="J99" i="37"/>
  <c r="D212" i="38"/>
  <c r="D218" i="38" s="1"/>
  <c r="D216" i="38" s="1"/>
  <c r="H95" i="37"/>
  <c r="C33" i="38"/>
  <c r="K33" i="38" s="1"/>
  <c r="L94" i="15" s="1"/>
  <c r="F99" i="37"/>
  <c r="Q91" i="37"/>
  <c r="M60" i="37"/>
  <c r="G23" i="1"/>
  <c r="D308" i="38"/>
  <c r="D314" i="38" s="1"/>
  <c r="D312" i="38" s="1"/>
  <c r="AG144" i="37"/>
  <c r="R54" i="37"/>
  <c r="O31" i="38"/>
  <c r="P92" i="15" s="1"/>
  <c r="M61" i="37"/>
  <c r="F95" i="37"/>
  <c r="J103" i="37"/>
  <c r="C22" i="38"/>
  <c r="K22" i="38" s="1"/>
  <c r="L83" i="15" s="1"/>
  <c r="K28" i="38"/>
  <c r="L89" i="15" s="1"/>
  <c r="N28" i="38"/>
  <c r="O89" i="15" s="1"/>
  <c r="O20" i="38"/>
  <c r="P81" i="15" s="1"/>
  <c r="L20" i="38"/>
  <c r="M81" i="15" s="1"/>
  <c r="N24" i="38"/>
  <c r="O85" i="15" s="1"/>
  <c r="BB119" i="50"/>
  <c r="Y116" i="50"/>
  <c r="Y117" i="50" s="1"/>
  <c r="Y118" i="50" s="1"/>
  <c r="Y119" i="50" s="1"/>
  <c r="O30" i="38"/>
  <c r="P91" i="15" s="1"/>
  <c r="Q65" i="37"/>
  <c r="O89" i="37"/>
  <c r="O93" i="37"/>
  <c r="B134" i="15"/>
  <c r="J62" i="37"/>
  <c r="O62" i="37"/>
  <c r="L146" i="37"/>
  <c r="AP146" i="37" s="1"/>
  <c r="O105" i="37"/>
  <c r="N57" i="37"/>
  <c r="G65" i="37"/>
  <c r="N101" i="37"/>
  <c r="J93" i="37"/>
  <c r="R93" i="37"/>
  <c r="H89" i="37"/>
  <c r="N89" i="37"/>
  <c r="D16" i="15"/>
  <c r="C28" i="44" s="1"/>
  <c r="P60" i="37"/>
  <c r="H31" i="15"/>
  <c r="G483" i="7" s="1"/>
  <c r="AE353" i="7" s="1"/>
  <c r="F67" i="7"/>
  <c r="F22" i="7" s="1"/>
  <c r="H67" i="7"/>
  <c r="H22" i="7" s="1"/>
  <c r="D67" i="7"/>
  <c r="D22" i="7" s="1"/>
  <c r="E67" i="7"/>
  <c r="E22" i="7" s="1"/>
  <c r="G67" i="7"/>
  <c r="G22" i="7" s="1"/>
  <c r="I67" i="7"/>
  <c r="I22" i="7" s="1"/>
  <c r="BB59" i="14"/>
  <c r="BB50" i="14"/>
  <c r="AM145" i="37" s="1"/>
  <c r="J83" i="38"/>
  <c r="O18" i="38"/>
  <c r="P79" i="15" s="1"/>
  <c r="O27" i="38"/>
  <c r="P88" i="15" s="1"/>
  <c r="U77" i="38"/>
  <c r="K86" i="38" s="1"/>
  <c r="AS160" i="37"/>
  <c r="AT160" i="37" s="1"/>
  <c r="AA160" i="37" s="1"/>
  <c r="O24" i="38"/>
  <c r="P85" i="15" s="1"/>
  <c r="S75" i="38"/>
  <c r="I84" i="38" s="1"/>
  <c r="O28" i="38"/>
  <c r="P89" i="15" s="1"/>
  <c r="M31" i="38"/>
  <c r="N92" i="15" s="1"/>
  <c r="N35" i="38"/>
  <c r="O96" i="15" s="1"/>
  <c r="N34" i="38"/>
  <c r="O95" i="15" s="1"/>
  <c r="N31" i="38"/>
  <c r="O92" i="15" s="1"/>
  <c r="K27" i="38"/>
  <c r="L88" i="15" s="1"/>
  <c r="P31" i="38"/>
  <c r="Q92" i="15" s="1"/>
  <c r="L27" i="38"/>
  <c r="M88" i="15" s="1"/>
  <c r="M27" i="15"/>
  <c r="E168" i="44" s="1"/>
  <c r="AS161" i="37"/>
  <c r="AT161" i="37" s="1"/>
  <c r="AA161" i="37" s="1"/>
  <c r="B16" i="15"/>
  <c r="K30" i="38"/>
  <c r="L91" i="15" s="1"/>
  <c r="O29" i="38"/>
  <c r="P90" i="15" s="1"/>
  <c r="G103" i="37"/>
  <c r="P103" i="37"/>
  <c r="R103" i="37"/>
  <c r="AF103" i="37"/>
  <c r="K99" i="37"/>
  <c r="P99" i="37"/>
  <c r="R99" i="37"/>
  <c r="I95" i="37"/>
  <c r="M95" i="37"/>
  <c r="P95" i="37"/>
  <c r="N95" i="37"/>
  <c r="O95" i="37"/>
  <c r="N91" i="37"/>
  <c r="I91" i="37"/>
  <c r="R91" i="37"/>
  <c r="O91" i="37"/>
  <c r="I87" i="37"/>
  <c r="K87" i="37"/>
  <c r="Q87" i="37"/>
  <c r="G87" i="37"/>
  <c r="P87" i="37"/>
  <c r="D296" i="38"/>
  <c r="E296" i="38" s="1"/>
  <c r="D140" i="38"/>
  <c r="D116" i="38"/>
  <c r="D122" i="38" s="1"/>
  <c r="D188" i="38"/>
  <c r="D152" i="38"/>
  <c r="E152" i="38" s="1"/>
  <c r="D236" i="38"/>
  <c r="E236" i="38" s="1"/>
  <c r="D224" i="38"/>
  <c r="E224" i="38" s="1"/>
  <c r="D320" i="38"/>
  <c r="E320" i="38" s="1"/>
  <c r="L147" i="37"/>
  <c r="AP147" i="37" s="1"/>
  <c r="S147" i="37"/>
  <c r="AG147" i="37"/>
  <c r="D81" i="15"/>
  <c r="B20" i="15" s="1"/>
  <c r="K20" i="38"/>
  <c r="L81" i="15" s="1"/>
  <c r="D89" i="15"/>
  <c r="F28" i="15" s="1"/>
  <c r="L28" i="38"/>
  <c r="M89" i="15" s="1"/>
  <c r="B92" i="15"/>
  <c r="L31" i="15"/>
  <c r="D216" i="44" s="1"/>
  <c r="D95" i="15"/>
  <c r="O34" i="15" s="1"/>
  <c r="O34" i="38"/>
  <c r="P95" i="15" s="1"/>
  <c r="M34" i="38"/>
  <c r="N95" i="15" s="1"/>
  <c r="L34" i="38"/>
  <c r="M95" i="15" s="1"/>
  <c r="D96" i="15"/>
  <c r="Q35" i="15" s="1"/>
  <c r="K35" i="38"/>
  <c r="L96" i="15" s="1"/>
  <c r="P35" i="38"/>
  <c r="Q96" i="15" s="1"/>
  <c r="D85" i="15"/>
  <c r="J24" i="15" s="1"/>
  <c r="I127" i="45" s="1"/>
  <c r="P24" i="38"/>
  <c r="Q85" i="15" s="1"/>
  <c r="K31" i="38"/>
  <c r="L92" i="15" s="1"/>
  <c r="AI144" i="37"/>
  <c r="F87" i="37"/>
  <c r="J87" i="37"/>
  <c r="AF87" i="37"/>
  <c r="N27" i="38"/>
  <c r="O88" i="15" s="1"/>
  <c r="M20" i="38"/>
  <c r="N81" i="15" s="1"/>
  <c r="M27" i="38"/>
  <c r="N88" i="15" s="1"/>
  <c r="L31" i="38"/>
  <c r="M92" i="15" s="1"/>
  <c r="P27" i="38"/>
  <c r="Q88" i="15" s="1"/>
  <c r="N23" i="38"/>
  <c r="O84" i="15" s="1"/>
  <c r="M24" i="38"/>
  <c r="N85" i="15" s="1"/>
  <c r="N21" i="38"/>
  <c r="O82" i="15" s="1"/>
  <c r="J27" i="15"/>
  <c r="I451" i="7" s="1"/>
  <c r="AG349" i="7" s="1"/>
  <c r="F31" i="15"/>
  <c r="E211" i="44" s="1"/>
  <c r="L35" i="38"/>
  <c r="M96" i="15" s="1"/>
  <c r="M35" i="38"/>
  <c r="N96" i="15" s="1"/>
  <c r="P34" i="38"/>
  <c r="Q95" i="15" s="1"/>
  <c r="P20" i="38"/>
  <c r="Q81" i="15" s="1"/>
  <c r="AI147" i="37"/>
  <c r="N87" i="37"/>
  <c r="M87" i="37"/>
  <c r="AF95" i="37"/>
  <c r="D272" i="38"/>
  <c r="D278" i="38" s="1"/>
  <c r="D276" i="38" s="1"/>
  <c r="D164" i="38"/>
  <c r="E164" i="38" s="1"/>
  <c r="D176" i="38"/>
  <c r="D182" i="38" s="1"/>
  <c r="D180" i="38" s="1"/>
  <c r="D104" i="38"/>
  <c r="D110" i="38" s="1"/>
  <c r="M28" i="38"/>
  <c r="N89" i="15" s="1"/>
  <c r="S144" i="37"/>
  <c r="C25" i="38"/>
  <c r="D86" i="15" s="1"/>
  <c r="F25" i="15" s="1"/>
  <c r="E139" i="44" s="1"/>
  <c r="I99" i="37"/>
  <c r="K91" i="37"/>
  <c r="G95" i="37"/>
  <c r="I103" i="37"/>
  <c r="D332" i="38"/>
  <c r="C32" i="38"/>
  <c r="P32" i="38" s="1"/>
  <c r="Q93" i="15" s="1"/>
  <c r="N99" i="37"/>
  <c r="P91" i="37"/>
  <c r="Q103" i="37"/>
  <c r="C164" i="37"/>
  <c r="E23" i="15"/>
  <c r="D115" i="45" s="1"/>
  <c r="E24" i="15"/>
  <c r="D127" i="45" s="1"/>
  <c r="K56" i="37"/>
  <c r="O56" i="37"/>
  <c r="M66" i="37"/>
  <c r="F66" i="37"/>
  <c r="L26" i="38"/>
  <c r="M87" i="15" s="1"/>
  <c r="D87" i="15"/>
  <c r="J26" i="15" s="1"/>
  <c r="I151" i="45" s="1"/>
  <c r="I58" i="37"/>
  <c r="B78" i="15"/>
  <c r="D90" i="15"/>
  <c r="B29" i="15" s="1"/>
  <c r="M105" i="37"/>
  <c r="Q101" i="37"/>
  <c r="J101" i="37"/>
  <c r="M93" i="37"/>
  <c r="Q93" i="37"/>
  <c r="G93" i="37"/>
  <c r="P93" i="37"/>
  <c r="Q89" i="37"/>
  <c r="I89" i="37"/>
  <c r="M89" i="37"/>
  <c r="K89" i="37"/>
  <c r="M19" i="38"/>
  <c r="N80" i="15" s="1"/>
  <c r="D80" i="15"/>
  <c r="D83" i="15"/>
  <c r="L22" i="15" s="1"/>
  <c r="D412" i="7" s="1"/>
  <c r="AH344" i="7" s="1"/>
  <c r="D82" i="15"/>
  <c r="P21" i="15" s="1"/>
  <c r="H404" i="7" s="1"/>
  <c r="AL343" i="7" s="1"/>
  <c r="G101" i="37"/>
  <c r="H93" i="37"/>
  <c r="F93" i="37"/>
  <c r="R89" i="37"/>
  <c r="L24" i="38"/>
  <c r="M85" i="15" s="1"/>
  <c r="N20" i="38"/>
  <c r="O81" i="15" s="1"/>
  <c r="D91" i="15"/>
  <c r="H30" i="15" s="1"/>
  <c r="O103" i="37"/>
  <c r="N103" i="37"/>
  <c r="F103" i="37"/>
  <c r="K103" i="37"/>
  <c r="O99" i="37"/>
  <c r="AF99" i="37"/>
  <c r="G99" i="37"/>
  <c r="H99" i="37"/>
  <c r="Q99" i="37"/>
  <c r="Q95" i="37"/>
  <c r="J95" i="37"/>
  <c r="K95" i="37"/>
  <c r="M91" i="37"/>
  <c r="G91" i="37"/>
  <c r="H91" i="37"/>
  <c r="F91" i="37"/>
  <c r="D248" i="38"/>
  <c r="D200" i="38"/>
  <c r="D284" i="38"/>
  <c r="D260" i="38"/>
  <c r="D128" i="38"/>
  <c r="D79" i="15"/>
  <c r="Q66" i="37"/>
  <c r="N55" i="37"/>
  <c r="F58" i="37"/>
  <c r="G66" i="37"/>
  <c r="H60" i="37"/>
  <c r="K66" i="37"/>
  <c r="G56" i="37"/>
  <c r="R58" i="37"/>
  <c r="Q60" i="37"/>
  <c r="P55" i="37"/>
  <c r="E272" i="15"/>
  <c r="E404" i="15"/>
  <c r="F404" i="15" s="1"/>
  <c r="G27" i="15"/>
  <c r="F163" i="45" s="1"/>
  <c r="O23" i="15"/>
  <c r="G420" i="7" s="1"/>
  <c r="AK345" i="7" s="1"/>
  <c r="I27" i="15"/>
  <c r="H163" i="45" s="1"/>
  <c r="Q27" i="15"/>
  <c r="I168" i="44" s="1"/>
  <c r="E31" i="15"/>
  <c r="D483" i="7" s="1"/>
  <c r="AB353" i="7" s="1"/>
  <c r="M31" i="15"/>
  <c r="E216" i="45" s="1"/>
  <c r="T171" i="15"/>
  <c r="S171" i="15"/>
  <c r="T170" i="15"/>
  <c r="G270" i="56"/>
  <c r="I308" i="56"/>
  <c r="L30" i="38"/>
  <c r="M91" i="15" s="1"/>
  <c r="N18" i="38"/>
  <c r="O79" i="15" s="1"/>
  <c r="S68" i="38"/>
  <c r="AS154" i="37"/>
  <c r="AT154" i="37" s="1"/>
  <c r="AA154" i="37" s="1"/>
  <c r="AS152" i="37"/>
  <c r="AT152" i="37" s="1"/>
  <c r="AA152" i="37" s="1"/>
  <c r="U73" i="38"/>
  <c r="K82" i="38" s="1"/>
  <c r="AS162" i="37"/>
  <c r="AT162" i="37" s="1"/>
  <c r="AA162" i="37" s="1"/>
  <c r="AS144" i="37"/>
  <c r="AT144" i="37" s="1"/>
  <c r="AA144" i="37" s="1"/>
  <c r="AS156" i="37"/>
  <c r="AT156" i="37" s="1"/>
  <c r="AA156" i="37" s="1"/>
  <c r="AS148" i="37"/>
  <c r="AT148" i="37" s="1"/>
  <c r="AA148" i="37" s="1"/>
  <c r="U75" i="38"/>
  <c r="K84" i="38" s="1"/>
  <c r="N30" i="38"/>
  <c r="O91" i="15" s="1"/>
  <c r="P30" i="38"/>
  <c r="Q91" i="15" s="1"/>
  <c r="M30" i="38"/>
  <c r="N91" i="15" s="1"/>
  <c r="R61" i="37"/>
  <c r="H65" i="37"/>
  <c r="I62" i="37"/>
  <c r="G62" i="37"/>
  <c r="J54" i="37"/>
  <c r="J64" i="37"/>
  <c r="G64" i="37"/>
  <c r="D17" i="15"/>
  <c r="C275" i="44" s="1"/>
  <c r="B48" i="15"/>
  <c r="E236" i="15"/>
  <c r="F236" i="15" s="1"/>
  <c r="G236" i="15" s="1"/>
  <c r="E356" i="15"/>
  <c r="F356" i="15" s="1"/>
  <c r="F362" i="15" s="1"/>
  <c r="T165" i="15"/>
  <c r="E380" i="15"/>
  <c r="E386" i="15" s="1"/>
  <c r="E398" i="15"/>
  <c r="S177" i="15"/>
  <c r="E416" i="15"/>
  <c r="AS145" i="37"/>
  <c r="AT145" i="37" s="1"/>
  <c r="AA145" i="37" s="1"/>
  <c r="AS146" i="37"/>
  <c r="AT146" i="37" s="1"/>
  <c r="AA146" i="37" s="1"/>
  <c r="P23" i="15"/>
  <c r="H120" i="45" s="1"/>
  <c r="B27" i="15"/>
  <c r="N27" i="15"/>
  <c r="F168" i="45" s="1"/>
  <c r="L27" i="15"/>
  <c r="D168" i="45" s="1"/>
  <c r="D27" i="15"/>
  <c r="C233" i="38" s="1"/>
  <c r="I233" i="38" s="1"/>
  <c r="F27" i="15"/>
  <c r="E163" i="45" s="1"/>
  <c r="P27" i="15"/>
  <c r="H168" i="44" s="1"/>
  <c r="H27" i="15"/>
  <c r="G451" i="7" s="1"/>
  <c r="AE349" i="7" s="1"/>
  <c r="E27" i="15"/>
  <c r="D451" i="7" s="1"/>
  <c r="AB349" i="7" s="1"/>
  <c r="O27" i="15"/>
  <c r="G168" i="44" s="1"/>
  <c r="O31" i="15"/>
  <c r="G484" i="7" s="1"/>
  <c r="AK353" i="7" s="1"/>
  <c r="N31" i="15"/>
  <c r="F216" i="44" s="1"/>
  <c r="D31" i="15"/>
  <c r="C281" i="38" s="1"/>
  <c r="I281" i="38" s="1"/>
  <c r="J31" i="15"/>
  <c r="I211" i="45" s="1"/>
  <c r="G31" i="15"/>
  <c r="F483" i="7" s="1"/>
  <c r="AD353" i="7" s="1"/>
  <c r="Q31" i="15"/>
  <c r="I216" i="44" s="1"/>
  <c r="P31" i="15"/>
  <c r="H484" i="7" s="1"/>
  <c r="AL353" i="7" s="1"/>
  <c r="I31" i="15"/>
  <c r="H483" i="7" s="1"/>
  <c r="AF353" i="7" s="1"/>
  <c r="B31" i="15"/>
  <c r="B50" i="15"/>
  <c r="E320" i="15"/>
  <c r="T169" i="15"/>
  <c r="S169" i="15"/>
  <c r="G43" i="49"/>
  <c r="G46" i="49" s="1"/>
  <c r="H60" i="49"/>
  <c r="H63" i="49" s="1"/>
  <c r="G131" i="49"/>
  <c r="G114" i="49"/>
  <c r="F63" i="49"/>
  <c r="F114" i="49"/>
  <c r="G46" i="51"/>
  <c r="G97" i="51"/>
  <c r="Q35" i="58"/>
  <c r="Q51" i="58" s="1"/>
  <c r="P51" i="58"/>
  <c r="N26" i="60"/>
  <c r="E194" i="56"/>
  <c r="C22" i="60"/>
  <c r="I66" i="37"/>
  <c r="K60" i="37"/>
  <c r="R60" i="37"/>
  <c r="R66" i="37"/>
  <c r="F56" i="37"/>
  <c r="Q58" i="37"/>
  <c r="H58" i="37"/>
  <c r="N58" i="37"/>
  <c r="I56" i="37"/>
  <c r="F55" i="37"/>
  <c r="O55" i="37"/>
  <c r="H56" i="37"/>
  <c r="F61" i="37"/>
  <c r="O61" i="37"/>
  <c r="I65" i="37"/>
  <c r="N62" i="37"/>
  <c r="C166" i="7"/>
  <c r="G57" i="37"/>
  <c r="P54" i="37"/>
  <c r="I54" i="37"/>
  <c r="C88" i="34"/>
  <c r="P64" i="37"/>
  <c r="K61" i="37"/>
  <c r="H54" i="37"/>
  <c r="K57" i="37"/>
  <c r="Q61" i="37"/>
  <c r="H64" i="37"/>
  <c r="F64" i="37"/>
  <c r="P57" i="37"/>
  <c r="K62" i="37"/>
  <c r="N64" i="37"/>
  <c r="AS150" i="37"/>
  <c r="AT150" i="37" s="1"/>
  <c r="AA150" i="37" s="1"/>
  <c r="AS157" i="37"/>
  <c r="AT157" i="37" s="1"/>
  <c r="AA157" i="37" s="1"/>
  <c r="AS149" i="37"/>
  <c r="AT149" i="37" s="1"/>
  <c r="AA149" i="37" s="1"/>
  <c r="AS163" i="37"/>
  <c r="AT163" i="37" s="1"/>
  <c r="AA163" i="37" s="1"/>
  <c r="AS159" i="37"/>
  <c r="AT159" i="37" s="1"/>
  <c r="AA159" i="37" s="1"/>
  <c r="AS155" i="37"/>
  <c r="AT155" i="37" s="1"/>
  <c r="AA155" i="37" s="1"/>
  <c r="AS151" i="37"/>
  <c r="AT151" i="37" s="1"/>
  <c r="AA151" i="37" s="1"/>
  <c r="AS147" i="37"/>
  <c r="AT147" i="37" s="1"/>
  <c r="AA147" i="37" s="1"/>
  <c r="AS158" i="37"/>
  <c r="AT158" i="37" s="1"/>
  <c r="AA158" i="37" s="1"/>
  <c r="AS153" i="37"/>
  <c r="AT153" i="37" s="1"/>
  <c r="AA153" i="37" s="1"/>
  <c r="E62" i="41"/>
  <c r="I61" i="37"/>
  <c r="H61" i="37"/>
  <c r="G61" i="37"/>
  <c r="R65" i="37"/>
  <c r="O65" i="37"/>
  <c r="N65" i="37"/>
  <c r="O66" i="37"/>
  <c r="H62" i="37"/>
  <c r="P62" i="37"/>
  <c r="G60" i="37"/>
  <c r="F60" i="37"/>
  <c r="J60" i="37"/>
  <c r="F62" i="37"/>
  <c r="R62" i="37"/>
  <c r="Q62" i="37"/>
  <c r="J66" i="37"/>
  <c r="H66" i="37"/>
  <c r="N66" i="37"/>
  <c r="P66" i="37"/>
  <c r="P56" i="37"/>
  <c r="Q56" i="37"/>
  <c r="J56" i="37"/>
  <c r="C279" i="34"/>
  <c r="R56" i="37"/>
  <c r="N56" i="37"/>
  <c r="M56" i="37"/>
  <c r="O54" i="37"/>
  <c r="G54" i="37"/>
  <c r="Q55" i="37"/>
  <c r="G55" i="37"/>
  <c r="R57" i="37"/>
  <c r="K55" i="37"/>
  <c r="I55" i="37"/>
  <c r="P58" i="37"/>
  <c r="O58" i="37"/>
  <c r="G58" i="37"/>
  <c r="J58" i="37"/>
  <c r="K58" i="37"/>
  <c r="O64" i="37"/>
  <c r="O60" i="37"/>
  <c r="J65" i="37"/>
  <c r="M57" i="37"/>
  <c r="O57" i="37"/>
  <c r="Q57" i="37"/>
  <c r="J57" i="37"/>
  <c r="N60" i="37"/>
  <c r="J61" i="37"/>
  <c r="I64" i="37"/>
  <c r="R64" i="37"/>
  <c r="Q64" i="37"/>
  <c r="P65" i="37"/>
  <c r="M65" i="37"/>
  <c r="H55" i="37"/>
  <c r="J55" i="37"/>
  <c r="R55" i="37"/>
  <c r="M54" i="37"/>
  <c r="H57" i="37"/>
  <c r="K54" i="37"/>
  <c r="I57" i="37"/>
  <c r="F54" i="37"/>
  <c r="P61" i="37"/>
  <c r="M64" i="37"/>
  <c r="BC69" i="14"/>
  <c r="BC108" i="14" s="1"/>
  <c r="BB52" i="14"/>
  <c r="AM147" i="37" s="1"/>
  <c r="N70" i="60"/>
  <c r="C66" i="60"/>
  <c r="BB57" i="14"/>
  <c r="N180" i="60"/>
  <c r="C176" i="60"/>
  <c r="BB68" i="14"/>
  <c r="C418" i="60"/>
  <c r="N422" i="60"/>
  <c r="BB63" i="14"/>
  <c r="C308" i="60"/>
  <c r="N312" i="60"/>
  <c r="BB73" i="14"/>
  <c r="N532" i="60"/>
  <c r="C528" i="60"/>
  <c r="BB70" i="14"/>
  <c r="C462" i="60"/>
  <c r="N466" i="60"/>
  <c r="BB56" i="14"/>
  <c r="N158" i="60"/>
  <c r="C154" i="60"/>
  <c r="BB61" i="14"/>
  <c r="C264" i="60"/>
  <c r="N268" i="60"/>
  <c r="BB74" i="14"/>
  <c r="C550" i="60"/>
  <c r="N554" i="60"/>
  <c r="N510" i="60"/>
  <c r="BB72" i="14"/>
  <c r="C506" i="60"/>
  <c r="BB62" i="14"/>
  <c r="N290" i="60"/>
  <c r="C286" i="60"/>
  <c r="C27" i="60"/>
  <c r="C49" i="60"/>
  <c r="C159" i="60"/>
  <c r="C401" i="60"/>
  <c r="C511" i="60"/>
  <c r="C313" i="60"/>
  <c r="C379" i="60"/>
  <c r="C423" i="60"/>
  <c r="C137" i="60"/>
  <c r="C181" i="60"/>
  <c r="C115" i="60"/>
  <c r="C71" i="60"/>
  <c r="C203" i="60"/>
  <c r="C489" i="60"/>
  <c r="C335" i="60"/>
  <c r="C533" i="60"/>
  <c r="C291" i="60"/>
  <c r="C467" i="60"/>
  <c r="C555" i="60"/>
  <c r="C247" i="60"/>
  <c r="C269" i="60"/>
  <c r="C357" i="60"/>
  <c r="C93" i="60"/>
  <c r="C44" i="60"/>
  <c r="N48" i="60"/>
  <c r="BB51" i="14"/>
  <c r="AM146" i="37" s="1"/>
  <c r="BB54" i="14"/>
  <c r="AM149" i="37" s="1"/>
  <c r="C110" i="60"/>
  <c r="N114" i="60"/>
  <c r="BB55" i="14"/>
  <c r="N136" i="60"/>
  <c r="C132" i="60"/>
  <c r="BB66" i="14"/>
  <c r="C374" i="60"/>
  <c r="N378" i="60"/>
  <c r="N400" i="60"/>
  <c r="BB67" i="14"/>
  <c r="C396" i="60"/>
  <c r="C198" i="60"/>
  <c r="BB58" i="14"/>
  <c r="N202" i="60"/>
  <c r="BB53" i="14"/>
  <c r="AM148" i="37" s="1"/>
  <c r="N92" i="60"/>
  <c r="C88" i="60"/>
  <c r="BB65" i="14"/>
  <c r="C352" i="60"/>
  <c r="N356" i="60"/>
  <c r="BB60" i="14"/>
  <c r="N246" i="60"/>
  <c r="C242" i="60"/>
  <c r="BB71" i="14"/>
  <c r="N488" i="60"/>
  <c r="C484" i="60"/>
  <c r="BB64" i="14"/>
  <c r="C330" i="60"/>
  <c r="N334" i="60"/>
  <c r="E270" i="3"/>
  <c r="I194" i="3"/>
  <c r="N63" i="37"/>
  <c r="O67" i="37"/>
  <c r="Q63" i="37"/>
  <c r="C445" i="60"/>
  <c r="C225" i="60"/>
  <c r="G196" i="47"/>
  <c r="H26" i="49"/>
  <c r="I26" i="49" s="1"/>
  <c r="I29" i="49" s="1"/>
  <c r="H77" i="51"/>
  <c r="H80" i="51" s="1"/>
  <c r="G157" i="47"/>
  <c r="G158" i="47" s="1"/>
  <c r="F29" i="49"/>
  <c r="F104" i="47"/>
  <c r="F87" i="47"/>
  <c r="H29" i="49"/>
  <c r="H77" i="49"/>
  <c r="H80" i="49" s="1"/>
  <c r="F86" i="47"/>
  <c r="H148" i="51"/>
  <c r="H190" i="47"/>
  <c r="I190" i="47" s="1"/>
  <c r="G195" i="47"/>
  <c r="H162" i="49"/>
  <c r="H165" i="49" s="1"/>
  <c r="F165" i="49"/>
  <c r="F106" i="47"/>
  <c r="G82" i="47"/>
  <c r="G85" i="47" s="1"/>
  <c r="G44" i="7"/>
  <c r="I346" i="56"/>
  <c r="E63" i="41"/>
  <c r="B147" i="14"/>
  <c r="C147" i="14" s="1"/>
  <c r="E272" i="38"/>
  <c r="E278" i="38" s="1"/>
  <c r="E276" i="38" s="1"/>
  <c r="D30" i="38" s="1"/>
  <c r="E91" i="15" s="1"/>
  <c r="B49" i="15"/>
  <c r="B17" i="15"/>
  <c r="B55" i="15"/>
  <c r="B52" i="15"/>
  <c r="B54" i="15"/>
  <c r="B56" i="15"/>
  <c r="B60" i="15"/>
  <c r="B62" i="15"/>
  <c r="B64" i="15"/>
  <c r="B66" i="15"/>
  <c r="D302" i="38"/>
  <c r="D300" i="38" s="1"/>
  <c r="H44" i="7"/>
  <c r="O26" i="38"/>
  <c r="P87" i="15" s="1"/>
  <c r="N26" i="38"/>
  <c r="O87" i="15" s="1"/>
  <c r="P26" i="38"/>
  <c r="Q87" i="15" s="1"/>
  <c r="M26" i="38"/>
  <c r="N87" i="15" s="1"/>
  <c r="F34" i="7"/>
  <c r="K26" i="38"/>
  <c r="L87" i="15" s="1"/>
  <c r="I34" i="7"/>
  <c r="G34" i="7"/>
  <c r="T162" i="15"/>
  <c r="T158" i="15"/>
  <c r="D34" i="7"/>
  <c r="Q178" i="15"/>
  <c r="S174" i="15"/>
  <c r="F344" i="15"/>
  <c r="E350" i="15"/>
  <c r="S161" i="15"/>
  <c r="S158" i="15"/>
  <c r="E188" i="15"/>
  <c r="E212" i="15"/>
  <c r="S160" i="15"/>
  <c r="H34" i="7"/>
  <c r="F44" i="7"/>
  <c r="I44" i="7"/>
  <c r="E44" i="7"/>
  <c r="B178" i="15"/>
  <c r="I155" i="15" s="1"/>
  <c r="D44" i="7"/>
  <c r="H15" i="7"/>
  <c r="C285" i="34"/>
  <c r="P285" i="34" s="1"/>
  <c r="L285" i="34" s="1"/>
  <c r="C256" i="34"/>
  <c r="L256" i="34" s="1"/>
  <c r="C278" i="7"/>
  <c r="C123" i="7"/>
  <c r="C274" i="34"/>
  <c r="C104" i="7"/>
  <c r="C28" i="34"/>
  <c r="C126" i="7"/>
  <c r="C276" i="34"/>
  <c r="C106" i="7"/>
  <c r="C52" i="34"/>
  <c r="C142" i="7"/>
  <c r="C277" i="34"/>
  <c r="C150" i="7"/>
  <c r="C107" i="7"/>
  <c r="C64" i="34"/>
  <c r="D15" i="7"/>
  <c r="L284" i="43"/>
  <c r="J67" i="37"/>
  <c r="R63" i="37"/>
  <c r="I67" i="37"/>
  <c r="I63" i="37"/>
  <c r="N67" i="37"/>
  <c r="F67" i="37"/>
  <c r="R67" i="37"/>
  <c r="F63" i="37"/>
  <c r="H63" i="37"/>
  <c r="J63" i="37"/>
  <c r="O63" i="37"/>
  <c r="P67" i="37"/>
  <c r="H67" i="37"/>
  <c r="F15" i="7"/>
  <c r="I15" i="7"/>
  <c r="E15" i="7"/>
  <c r="E34" i="7"/>
  <c r="G15" i="7"/>
  <c r="H308" i="3"/>
  <c r="F156" i="3"/>
  <c r="E145" i="53"/>
  <c r="E149" i="53" s="1"/>
  <c r="E116" i="53"/>
  <c r="E120" i="53" s="1"/>
  <c r="F87" i="53"/>
  <c r="F91" i="53" s="1"/>
  <c r="E58" i="53"/>
  <c r="E62" i="53" s="1"/>
  <c r="B19" i="1"/>
  <c r="G19" i="1" s="1"/>
  <c r="F156" i="56"/>
  <c r="AM163" i="37"/>
  <c r="AT136" i="37"/>
  <c r="AF117" i="15"/>
  <c r="AZ516" i="50"/>
  <c r="H142" i="56"/>
  <c r="H156" i="56" s="1"/>
  <c r="AW514" i="50"/>
  <c r="C289" i="34"/>
  <c r="P289" i="34" s="1"/>
  <c r="L289" i="34" s="1"/>
  <c r="C208" i="34"/>
  <c r="L208" i="34" s="1"/>
  <c r="C246" i="7"/>
  <c r="P63" i="37"/>
  <c r="G63" i="37"/>
  <c r="K63" i="37"/>
  <c r="K67" i="37"/>
  <c r="Q67" i="37"/>
  <c r="G67" i="37"/>
  <c r="AL492" i="50"/>
  <c r="I595" i="50" s="1"/>
  <c r="BA118" i="50"/>
  <c r="I87" i="53"/>
  <c r="I91" i="53" s="1"/>
  <c r="AH117" i="15"/>
  <c r="AM489" i="50"/>
  <c r="J544" i="50" s="1"/>
  <c r="I142" i="3"/>
  <c r="I156" i="3" s="1"/>
  <c r="H256" i="56"/>
  <c r="H270" i="56" s="1"/>
  <c r="AT94" i="50"/>
  <c r="AU493" i="50"/>
  <c r="F370" i="3"/>
  <c r="F384" i="3" s="1"/>
  <c r="N59" i="37"/>
  <c r="P59" i="37"/>
  <c r="O59" i="37"/>
  <c r="G59" i="37"/>
  <c r="H59" i="37"/>
  <c r="I59" i="37"/>
  <c r="Q59" i="37"/>
  <c r="M59" i="37"/>
  <c r="R59" i="37"/>
  <c r="F59" i="37"/>
  <c r="K59" i="37"/>
  <c r="J59" i="37"/>
  <c r="C214" i="7"/>
  <c r="C160" i="34"/>
  <c r="L160" i="34" s="1"/>
  <c r="S292" i="56"/>
  <c r="AJ111" i="15"/>
  <c r="AO82" i="15"/>
  <c r="AO54" i="15" s="1"/>
  <c r="AN127" i="37"/>
  <c r="AQ127" i="37"/>
  <c r="AQ135" i="37"/>
  <c r="AS135" i="37"/>
  <c r="AI124" i="37"/>
  <c r="AP124" i="37"/>
  <c r="AJ132" i="37"/>
  <c r="AT132" i="37"/>
  <c r="AO132" i="37"/>
  <c r="AG124" i="15"/>
  <c r="AO124" i="15"/>
  <c r="AF112" i="15"/>
  <c r="AQ112" i="15"/>
  <c r="F332" i="56"/>
  <c r="F346" i="56" s="1"/>
  <c r="E332" i="56"/>
  <c r="E346" i="56" s="1"/>
  <c r="AN116" i="15"/>
  <c r="AK116" i="15"/>
  <c r="AP89" i="15"/>
  <c r="AQ89" i="15"/>
  <c r="AP118" i="15"/>
  <c r="AI118" i="15"/>
  <c r="AO120" i="15"/>
  <c r="AM120" i="15"/>
  <c r="AM63" i="15" s="1"/>
  <c r="AJ93" i="15"/>
  <c r="AG122" i="15"/>
  <c r="AN92" i="50"/>
  <c r="AT491" i="50"/>
  <c r="AL111" i="15"/>
  <c r="AG111" i="15"/>
  <c r="E294" i="56"/>
  <c r="E308" i="56" s="1"/>
  <c r="AF120" i="15"/>
  <c r="AU491" i="50"/>
  <c r="AK127" i="37"/>
  <c r="AK124" i="37"/>
  <c r="AM154" i="37"/>
  <c r="AF122" i="15"/>
  <c r="AN112" i="15"/>
  <c r="AI101" i="37"/>
  <c r="AI490" i="50"/>
  <c r="F561" i="50" s="1"/>
  <c r="AT125" i="37"/>
  <c r="AP125" i="37"/>
  <c r="AS102" i="37"/>
  <c r="AM133" i="37"/>
  <c r="AT130" i="37"/>
  <c r="AJ130" i="37"/>
  <c r="AK114" i="15"/>
  <c r="AI114" i="15"/>
  <c r="AI110" i="15"/>
  <c r="AF110" i="15"/>
  <c r="AN115" i="15"/>
  <c r="AF115" i="15"/>
  <c r="AJ119" i="15"/>
  <c r="AL119" i="15"/>
  <c r="AL92" i="15"/>
  <c r="AN121" i="15"/>
  <c r="AO121" i="15"/>
  <c r="AG123" i="15"/>
  <c r="AM123" i="15"/>
  <c r="AJ488" i="50"/>
  <c r="G527" i="50" s="1"/>
  <c r="AS99" i="50"/>
  <c r="I116" i="53"/>
  <c r="I120" i="53" s="1"/>
  <c r="AI115" i="15"/>
  <c r="AM117" i="15"/>
  <c r="AF123" i="15"/>
  <c r="AG121" i="15"/>
  <c r="AN110" i="15"/>
  <c r="AR99" i="50"/>
  <c r="AU495" i="50"/>
  <c r="AM92" i="50"/>
  <c r="AP96" i="50"/>
  <c r="E180" i="3"/>
  <c r="E194" i="3" s="1"/>
  <c r="F180" i="3"/>
  <c r="F194" i="3" s="1"/>
  <c r="E87" i="53"/>
  <c r="E91" i="53" s="1"/>
  <c r="E142" i="3"/>
  <c r="E156" i="3" s="1"/>
  <c r="AL113" i="15"/>
  <c r="F218" i="56"/>
  <c r="F232" i="56" s="1"/>
  <c r="AH115" i="15"/>
  <c r="AM115" i="15"/>
  <c r="AI117" i="15"/>
  <c r="AI123" i="15"/>
  <c r="AH113" i="15"/>
  <c r="AG119" i="15"/>
  <c r="AO119" i="15"/>
  <c r="AL121" i="15"/>
  <c r="AF114" i="15"/>
  <c r="AN114" i="15"/>
  <c r="AS133" i="37"/>
  <c r="AI133" i="37"/>
  <c r="AL125" i="37"/>
  <c r="AN125" i="37"/>
  <c r="AM152" i="37"/>
  <c r="AO133" i="37"/>
  <c r="AN133" i="37"/>
  <c r="AM160" i="37"/>
  <c r="S254" i="56"/>
  <c r="AM121" i="15"/>
  <c r="AG114" i="15"/>
  <c r="AL136" i="37"/>
  <c r="AP489" i="50"/>
  <c r="O19" i="38"/>
  <c r="P80" i="15" s="1"/>
  <c r="N19" i="38"/>
  <c r="O80" i="15" s="1"/>
  <c r="L19" i="38"/>
  <c r="M80" i="15" s="1"/>
  <c r="P19" i="38"/>
  <c r="Q80" i="15" s="1"/>
  <c r="K19" i="38"/>
  <c r="L80" i="15" s="1"/>
  <c r="C275" i="34"/>
  <c r="C134" i="7"/>
  <c r="C105" i="7"/>
  <c r="C40" i="34"/>
  <c r="I332" i="3"/>
  <c r="I346" i="3" s="1"/>
  <c r="AG113" i="15"/>
  <c r="H218" i="56"/>
  <c r="H232" i="56" s="1"/>
  <c r="AF118" i="15"/>
  <c r="AM118" i="15"/>
  <c r="AI120" i="15"/>
  <c r="AP113" i="15"/>
  <c r="AH116" i="15"/>
  <c r="AP116" i="15"/>
  <c r="AQ122" i="15"/>
  <c r="AM122" i="15"/>
  <c r="AL122" i="15"/>
  <c r="AN122" i="15"/>
  <c r="AJ116" i="15"/>
  <c r="AM89" i="15"/>
  <c r="E212" i="38"/>
  <c r="C111" i="7"/>
  <c r="C112" i="34"/>
  <c r="L112" i="34" s="1"/>
  <c r="C281" i="34"/>
  <c r="P281" i="34" s="1"/>
  <c r="L281" i="34" s="1"/>
  <c r="C182" i="7"/>
  <c r="C283" i="34"/>
  <c r="P283" i="34" s="1"/>
  <c r="L283" i="34" s="1"/>
  <c r="C113" i="7"/>
  <c r="C198" i="7"/>
  <c r="C136" i="34"/>
  <c r="L136" i="34" s="1"/>
  <c r="C121" i="7"/>
  <c r="C291" i="34"/>
  <c r="P291" i="34" s="1"/>
  <c r="L291" i="34" s="1"/>
  <c r="C262" i="7"/>
  <c r="C232" i="34"/>
  <c r="L232" i="34" s="1"/>
  <c r="E188" i="38"/>
  <c r="D194" i="38"/>
  <c r="D192" i="38" s="1"/>
  <c r="C117" i="7"/>
  <c r="C287" i="34"/>
  <c r="P287" i="34" s="1"/>
  <c r="L287" i="34" s="1"/>
  <c r="C230" i="7"/>
  <c r="C184" i="34"/>
  <c r="L184" i="34" s="1"/>
  <c r="E104" i="38"/>
  <c r="AJ96" i="37"/>
  <c r="AT127" i="37"/>
  <c r="AO127" i="37"/>
  <c r="AJ127" i="37"/>
  <c r="AR127" i="37"/>
  <c r="AL127" i="37"/>
  <c r="AP131" i="37"/>
  <c r="AL131" i="37"/>
  <c r="AR131" i="37"/>
  <c r="AJ131" i="37"/>
  <c r="AR104" i="37"/>
  <c r="AL135" i="37"/>
  <c r="AN104" i="37"/>
  <c r="AO135" i="37"/>
  <c r="AM162" i="37"/>
  <c r="AP135" i="37"/>
  <c r="AN135" i="37"/>
  <c r="AM135" i="37"/>
  <c r="AK135" i="37"/>
  <c r="AI135" i="37"/>
  <c r="AR135" i="37"/>
  <c r="AR66" i="37" s="1"/>
  <c r="AO95" i="37"/>
  <c r="AM153" i="37"/>
  <c r="AL126" i="37"/>
  <c r="AS126" i="37"/>
  <c r="AQ126" i="37"/>
  <c r="AI126" i="37"/>
  <c r="AP126" i="37"/>
  <c r="AT103" i="37"/>
  <c r="AM134" i="37"/>
  <c r="AM161" i="37"/>
  <c r="AN134" i="37"/>
  <c r="AQ134" i="37"/>
  <c r="AI134" i="37"/>
  <c r="G58" i="53"/>
  <c r="G62" i="53" s="1"/>
  <c r="F58" i="53"/>
  <c r="F62" i="53" s="1"/>
  <c r="J58" i="53"/>
  <c r="J62" i="53" s="1"/>
  <c r="AL93" i="37"/>
  <c r="AM124" i="37"/>
  <c r="AS93" i="37"/>
  <c r="AT93" i="37"/>
  <c r="AT124" i="37"/>
  <c r="AS124" i="37"/>
  <c r="AJ124" i="37"/>
  <c r="AR124" i="37"/>
  <c r="AL124" i="37"/>
  <c r="AK132" i="37"/>
  <c r="AM159" i="37"/>
  <c r="AP132" i="37"/>
  <c r="AN132" i="37"/>
  <c r="AI132" i="37"/>
  <c r="AM132" i="37"/>
  <c r="AL132" i="37"/>
  <c r="G332" i="3"/>
  <c r="G346" i="3" s="1"/>
  <c r="J332" i="3"/>
  <c r="J346" i="3" s="1"/>
  <c r="H332" i="3"/>
  <c r="H346" i="3" s="1"/>
  <c r="S216" i="3"/>
  <c r="J218" i="3"/>
  <c r="J232" i="3" s="1"/>
  <c r="F218" i="3"/>
  <c r="F232" i="3" s="1"/>
  <c r="E218" i="3"/>
  <c r="E232" i="3" s="1"/>
  <c r="I218" i="3"/>
  <c r="I232" i="3" s="1"/>
  <c r="S178" i="56"/>
  <c r="H180" i="56"/>
  <c r="H194" i="56" s="1"/>
  <c r="AQ95" i="15"/>
  <c r="AH95" i="15"/>
  <c r="AP124" i="15"/>
  <c r="AK124" i="15"/>
  <c r="AH124" i="15"/>
  <c r="AI124" i="15"/>
  <c r="AN124" i="15"/>
  <c r="AJ83" i="15"/>
  <c r="AO112" i="15"/>
  <c r="AL112" i="15"/>
  <c r="AH112" i="15"/>
  <c r="AM112" i="15"/>
  <c r="AJ112" i="15"/>
  <c r="AG112" i="15"/>
  <c r="F256" i="3"/>
  <c r="F270" i="3" s="1"/>
  <c r="G256" i="3"/>
  <c r="G270" i="3" s="1"/>
  <c r="J256" i="3"/>
  <c r="J270" i="3" s="1"/>
  <c r="S254" i="3"/>
  <c r="H256" i="3"/>
  <c r="H270" i="3" s="1"/>
  <c r="F145" i="53"/>
  <c r="F149" i="53" s="1"/>
  <c r="J145" i="53"/>
  <c r="J149" i="53" s="1"/>
  <c r="J370" i="56"/>
  <c r="J384" i="56" s="1"/>
  <c r="H370" i="56"/>
  <c r="H384" i="56" s="1"/>
  <c r="F370" i="56"/>
  <c r="F384" i="56" s="1"/>
  <c r="G370" i="56"/>
  <c r="G384" i="56" s="1"/>
  <c r="I145" i="53"/>
  <c r="I149" i="53" s="1"/>
  <c r="I58" i="53"/>
  <c r="I62" i="53" s="1"/>
  <c r="E332" i="3"/>
  <c r="E346" i="3" s="1"/>
  <c r="I256" i="3"/>
  <c r="I270" i="3" s="1"/>
  <c r="H218" i="3"/>
  <c r="H232" i="3" s="1"/>
  <c r="I180" i="56"/>
  <c r="I194" i="56" s="1"/>
  <c r="S368" i="56"/>
  <c r="E370" i="56"/>
  <c r="E384" i="56" s="1"/>
  <c r="AO124" i="37"/>
  <c r="AN124" i="37"/>
  <c r="AM151" i="37"/>
  <c r="AI127" i="37"/>
  <c r="AM127" i="37"/>
  <c r="AP127" i="37"/>
  <c r="AS132" i="37"/>
  <c r="AQ132" i="37"/>
  <c r="AJ135" i="37"/>
  <c r="AT135" i="37"/>
  <c r="AM124" i="15"/>
  <c r="AL124" i="15"/>
  <c r="AK112" i="15"/>
  <c r="AI112" i="15"/>
  <c r="H58" i="53"/>
  <c r="H62" i="53" s="1"/>
  <c r="S330" i="3"/>
  <c r="AR132" i="37"/>
  <c r="G218" i="3"/>
  <c r="G232" i="3" s="1"/>
  <c r="AS134" i="37"/>
  <c r="AK126" i="37"/>
  <c r="AK95" i="37"/>
  <c r="AF95" i="15"/>
  <c r="AF67" i="15" s="1"/>
  <c r="AS100" i="37"/>
  <c r="G180" i="3"/>
  <c r="G194" i="3" s="1"/>
  <c r="S178" i="3"/>
  <c r="AK84" i="15"/>
  <c r="AO84" i="15"/>
  <c r="AM86" i="15"/>
  <c r="AG115" i="15"/>
  <c r="AF88" i="15"/>
  <c r="AN88" i="15"/>
  <c r="AH90" i="15"/>
  <c r="AN90" i="15"/>
  <c r="AG90" i="15"/>
  <c r="AM90" i="15"/>
  <c r="AQ119" i="15"/>
  <c r="AO92" i="15"/>
  <c r="AN92" i="15"/>
  <c r="AG92" i="15"/>
  <c r="AM92" i="15"/>
  <c r="AQ121" i="15"/>
  <c r="AO94" i="15"/>
  <c r="AH123" i="15"/>
  <c r="H180" i="3"/>
  <c r="H194" i="3" s="1"/>
  <c r="AM113" i="15"/>
  <c r="AK113" i="15"/>
  <c r="AF113" i="15"/>
  <c r="S216" i="56"/>
  <c r="I218" i="56"/>
  <c r="I232" i="56" s="1"/>
  <c r="E218" i="56"/>
  <c r="E232" i="56" s="1"/>
  <c r="AJ115" i="15"/>
  <c r="AL115" i="15"/>
  <c r="AQ115" i="15"/>
  <c r="AJ117" i="15"/>
  <c r="AN117" i="15"/>
  <c r="AQ117" i="15"/>
  <c r="AJ123" i="15"/>
  <c r="AN123" i="15"/>
  <c r="AQ123" i="15"/>
  <c r="AI113" i="15"/>
  <c r="AQ113" i="15"/>
  <c r="AH119" i="15"/>
  <c r="AK119" i="15"/>
  <c r="AP119" i="15"/>
  <c r="AH121" i="15"/>
  <c r="AK121" i="15"/>
  <c r="AP121" i="15"/>
  <c r="AK115" i="15"/>
  <c r="AO115" i="15"/>
  <c r="AK117" i="15"/>
  <c r="AO117" i="15"/>
  <c r="AP123" i="15"/>
  <c r="AO113" i="15"/>
  <c r="AM119" i="15"/>
  <c r="AF121" i="15"/>
  <c r="AJ121" i="15"/>
  <c r="AP117" i="15"/>
  <c r="AO123" i="15"/>
  <c r="AL90" i="15"/>
  <c r="AL84" i="15"/>
  <c r="AQ88" i="15"/>
  <c r="AF90" i="15"/>
  <c r="AF92" i="15"/>
  <c r="AJ84" i="15"/>
  <c r="AJ56" i="15" s="1"/>
  <c r="AF86" i="15"/>
  <c r="AG94" i="15"/>
  <c r="AK94" i="15"/>
  <c r="AK90" i="15"/>
  <c r="AL98" i="37"/>
  <c r="AO129" i="37"/>
  <c r="AS99" i="37"/>
  <c r="AO130" i="37"/>
  <c r="AP130" i="37"/>
  <c r="H116" i="53"/>
  <c r="H120" i="53" s="1"/>
  <c r="G116" i="53"/>
  <c r="G120" i="53" s="1"/>
  <c r="AS136" i="37"/>
  <c r="AI136" i="37"/>
  <c r="J294" i="3"/>
  <c r="J308" i="3" s="1"/>
  <c r="G294" i="3"/>
  <c r="G308" i="3" s="1"/>
  <c r="AO81" i="15"/>
  <c r="AK110" i="15"/>
  <c r="J294" i="56"/>
  <c r="J308" i="56" s="1"/>
  <c r="G294" i="56"/>
  <c r="G308" i="56" s="1"/>
  <c r="S330" i="56"/>
  <c r="J332" i="56"/>
  <c r="J346" i="56" s="1"/>
  <c r="J370" i="3"/>
  <c r="J384" i="3" s="1"/>
  <c r="G370" i="3"/>
  <c r="G384" i="3" s="1"/>
  <c r="AM82" i="15"/>
  <c r="AH82" i="15"/>
  <c r="AQ82" i="15"/>
  <c r="AL82" i="15"/>
  <c r="AH111" i="15"/>
  <c r="J142" i="56"/>
  <c r="J156" i="56" s="1"/>
  <c r="S140" i="56"/>
  <c r="AO87" i="15"/>
  <c r="AM87" i="15"/>
  <c r="AQ87" i="15"/>
  <c r="AM116" i="15"/>
  <c r="AQ116" i="15"/>
  <c r="AG89" i="15"/>
  <c r="AH118" i="15"/>
  <c r="AG118" i="15"/>
  <c r="AP91" i="15"/>
  <c r="AH120" i="15"/>
  <c r="AK120" i="15"/>
  <c r="AG120" i="15"/>
  <c r="AI93" i="15"/>
  <c r="AM93" i="15"/>
  <c r="AP93" i="15"/>
  <c r="AJ122" i="15"/>
  <c r="AO122" i="15"/>
  <c r="J116" i="53"/>
  <c r="J120" i="53" s="1"/>
  <c r="F116" i="53"/>
  <c r="F120" i="53" s="1"/>
  <c r="J87" i="53"/>
  <c r="J91" i="53" s="1"/>
  <c r="I370" i="3"/>
  <c r="I384" i="3" s="1"/>
  <c r="E370" i="3"/>
  <c r="E384" i="3" s="1"/>
  <c r="I294" i="3"/>
  <c r="I308" i="3" s="1"/>
  <c r="E294" i="3"/>
  <c r="E308" i="3" s="1"/>
  <c r="H142" i="3"/>
  <c r="H156" i="3" s="1"/>
  <c r="AM111" i="15"/>
  <c r="AK111" i="15"/>
  <c r="AF111" i="15"/>
  <c r="H332" i="56"/>
  <c r="H346" i="56" s="1"/>
  <c r="I256" i="56"/>
  <c r="I270" i="56" s="1"/>
  <c r="E256" i="56"/>
  <c r="E270" i="56" s="1"/>
  <c r="F294" i="56"/>
  <c r="F308" i="56" s="1"/>
  <c r="H294" i="56"/>
  <c r="H308" i="56" s="1"/>
  <c r="I142" i="56"/>
  <c r="I156" i="56" s="1"/>
  <c r="E142" i="56"/>
  <c r="E156" i="56" s="1"/>
  <c r="AJ118" i="15"/>
  <c r="AN118" i="15"/>
  <c r="AQ118" i="15"/>
  <c r="AJ120" i="15"/>
  <c r="AN120" i="15"/>
  <c r="AQ120" i="15"/>
  <c r="AN111" i="15"/>
  <c r="AQ111" i="15"/>
  <c r="AG116" i="15"/>
  <c r="AL116" i="15"/>
  <c r="AO116" i="15"/>
  <c r="AH110" i="15"/>
  <c r="AL110" i="15"/>
  <c r="AO110" i="15"/>
  <c r="AH114" i="15"/>
  <c r="AL114" i="15"/>
  <c r="AO114" i="15"/>
  <c r="AR125" i="37"/>
  <c r="AK125" i="37"/>
  <c r="AI125" i="37"/>
  <c r="AS125" i="37"/>
  <c r="AJ125" i="37"/>
  <c r="AO125" i="37"/>
  <c r="AK133" i="37"/>
  <c r="AR133" i="37"/>
  <c r="AJ133" i="37"/>
  <c r="AQ133" i="37"/>
  <c r="AT133" i="37"/>
  <c r="AI122" i="15"/>
  <c r="AH122" i="15"/>
  <c r="AK122" i="15"/>
  <c r="AP122" i="15"/>
  <c r="AP120" i="15"/>
  <c r="AP111" i="15"/>
  <c r="AM110" i="15"/>
  <c r="G142" i="56"/>
  <c r="G156" i="56" s="1"/>
  <c r="AI116" i="15"/>
  <c r="AR130" i="37"/>
  <c r="AJ110" i="15"/>
  <c r="AR129" i="37"/>
  <c r="S368" i="3"/>
  <c r="AL118" i="15"/>
  <c r="AN136" i="37"/>
  <c r="AO123" i="37"/>
  <c r="AI128" i="37"/>
  <c r="AO118" i="15"/>
  <c r="S292" i="3"/>
  <c r="G332" i="56"/>
  <c r="G346" i="56" s="1"/>
  <c r="AL87" i="15"/>
  <c r="AQ97" i="50"/>
  <c r="AJ87" i="15"/>
  <c r="AJ82" i="15"/>
  <c r="AN92" i="37"/>
  <c r="AI105" i="37"/>
  <c r="AP85" i="15"/>
  <c r="AI89" i="15"/>
  <c r="AN99" i="37"/>
  <c r="AM99" i="37"/>
  <c r="AO92" i="37"/>
  <c r="AT123" i="37"/>
  <c r="AJ123" i="37"/>
  <c r="AL123" i="37"/>
  <c r="AO97" i="37"/>
  <c r="AM155" i="37"/>
  <c r="AN128" i="37"/>
  <c r="AQ128" i="37"/>
  <c r="AS105" i="37"/>
  <c r="AK105" i="37"/>
  <c r="AP105" i="37"/>
  <c r="G142" i="3"/>
  <c r="G156" i="3" s="1"/>
  <c r="S140" i="3"/>
  <c r="H87" i="53"/>
  <c r="H91" i="53" s="1"/>
  <c r="G87" i="53"/>
  <c r="G91" i="53" s="1"/>
  <c r="AN82" i="15"/>
  <c r="AF82" i="15"/>
  <c r="AI82" i="15"/>
  <c r="AI111" i="15"/>
  <c r="AP82" i="15"/>
  <c r="AH87" i="15"/>
  <c r="AG87" i="15"/>
  <c r="AF87" i="15"/>
  <c r="AK87" i="15"/>
  <c r="AP87" i="15"/>
  <c r="AF116" i="15"/>
  <c r="AJ89" i="15"/>
  <c r="AN89" i="15"/>
  <c r="AO89" i="15"/>
  <c r="AK118" i="15"/>
  <c r="AJ91" i="15"/>
  <c r="AG91" i="15"/>
  <c r="AL91" i="15"/>
  <c r="AN91" i="15"/>
  <c r="AO91" i="15"/>
  <c r="AL120" i="15"/>
  <c r="AN93" i="15"/>
  <c r="AO93" i="15"/>
  <c r="AF93" i="15"/>
  <c r="AK93" i="15"/>
  <c r="AL93" i="15"/>
  <c r="AQ93" i="15"/>
  <c r="AN96" i="37"/>
  <c r="AK96" i="37"/>
  <c r="AT96" i="37"/>
  <c r="AQ96" i="37"/>
  <c r="AP96" i="37"/>
  <c r="AJ100" i="37"/>
  <c r="AI100" i="37"/>
  <c r="AP100" i="37"/>
  <c r="AO100" i="37"/>
  <c r="AO62" i="37" s="1"/>
  <c r="AM100" i="37"/>
  <c r="AK131" i="37"/>
  <c r="AI131" i="37"/>
  <c r="AQ131" i="37"/>
  <c r="AM158" i="37"/>
  <c r="AS131" i="37"/>
  <c r="AN131" i="37"/>
  <c r="AM131" i="37"/>
  <c r="AL104" i="37"/>
  <c r="AT104" i="37"/>
  <c r="AK104" i="37"/>
  <c r="AM95" i="37"/>
  <c r="AI95" i="37"/>
  <c r="AJ126" i="37"/>
  <c r="AS95" i="37"/>
  <c r="AJ95" i="37"/>
  <c r="AP95" i="37"/>
  <c r="AL95" i="37"/>
  <c r="AR95" i="37"/>
  <c r="AN95" i="37"/>
  <c r="AR126" i="37"/>
  <c r="AO126" i="37"/>
  <c r="AM126" i="37"/>
  <c r="AT126" i="37"/>
  <c r="AN126" i="37"/>
  <c r="AP103" i="37"/>
  <c r="AI103" i="37"/>
  <c r="AM103" i="37"/>
  <c r="AS103" i="37"/>
  <c r="AL103" i="37"/>
  <c r="AK103" i="37"/>
  <c r="AK65" i="37" s="1"/>
  <c r="AR103" i="37"/>
  <c r="AN103" i="37"/>
  <c r="AO103" i="37"/>
  <c r="AJ103" i="37"/>
  <c r="AQ103" i="37"/>
  <c r="AP134" i="37"/>
  <c r="AR134" i="37"/>
  <c r="AO134" i="37"/>
  <c r="AJ134" i="37"/>
  <c r="AT134" i="37"/>
  <c r="AL134" i="37"/>
  <c r="AL65" i="37" s="1"/>
  <c r="AJ93" i="37"/>
  <c r="AP93" i="37"/>
  <c r="AO93" i="37"/>
  <c r="AR93" i="37"/>
  <c r="AM93" i="37"/>
  <c r="AK93" i="37"/>
  <c r="AI93" i="37"/>
  <c r="AN93" i="37"/>
  <c r="AQ93" i="37"/>
  <c r="AQ124" i="37"/>
  <c r="AR101" i="37"/>
  <c r="AK101" i="37"/>
  <c r="AO101" i="37"/>
  <c r="AT101" i="37"/>
  <c r="AM101" i="37"/>
  <c r="AJ101" i="37"/>
  <c r="AS101" i="37"/>
  <c r="AN101" i="37"/>
  <c r="AP101" i="37"/>
  <c r="AI95" i="15"/>
  <c r="AL95" i="15"/>
  <c r="AJ95" i="15"/>
  <c r="AO95" i="15"/>
  <c r="AN95" i="15"/>
  <c r="AK95" i="15"/>
  <c r="AM95" i="15"/>
  <c r="AJ124" i="15"/>
  <c r="AK83" i="15"/>
  <c r="AN83" i="15"/>
  <c r="AI83" i="15"/>
  <c r="AF83" i="15"/>
  <c r="AO83" i="15"/>
  <c r="AL83" i="15"/>
  <c r="AH83" i="15"/>
  <c r="AQ83" i="15"/>
  <c r="AP83" i="15"/>
  <c r="AG82" i="15"/>
  <c r="AK82" i="15"/>
  <c r="AN87" i="15"/>
  <c r="AI87" i="15"/>
  <c r="AL89" i="15"/>
  <c r="AH89" i="15"/>
  <c r="AF89" i="15"/>
  <c r="AK89" i="15"/>
  <c r="AI91" i="15"/>
  <c r="AQ91" i="15"/>
  <c r="AH91" i="15"/>
  <c r="AF91" i="15"/>
  <c r="AK91" i="15"/>
  <c r="AG93" i="15"/>
  <c r="AH93" i="15"/>
  <c r="AM94" i="37"/>
  <c r="AM56" i="37" s="1"/>
  <c r="AI94" i="37"/>
  <c r="AR94" i="37"/>
  <c r="AN98" i="37"/>
  <c r="AQ98" i="37"/>
  <c r="AJ102" i="37"/>
  <c r="AM102" i="37"/>
  <c r="AP99" i="37"/>
  <c r="AO99" i="37"/>
  <c r="AT99" i="37"/>
  <c r="AL99" i="37"/>
  <c r="AK99" i="37"/>
  <c r="AQ99" i="37"/>
  <c r="AL92" i="37"/>
  <c r="AS123" i="37"/>
  <c r="AS92" i="37"/>
  <c r="AJ92" i="37"/>
  <c r="AP92" i="37"/>
  <c r="AM97" i="37"/>
  <c r="AP97" i="37"/>
  <c r="AN97" i="37"/>
  <c r="AP128" i="37"/>
  <c r="AS97" i="37"/>
  <c r="AS59" i="37" s="1"/>
  <c r="AL97" i="37"/>
  <c r="AK97" i="37"/>
  <c r="AR97" i="37"/>
  <c r="AQ105" i="37"/>
  <c r="AM105" i="37"/>
  <c r="AM67" i="37" s="1"/>
  <c r="AR105" i="37"/>
  <c r="AN105" i="37"/>
  <c r="AO105" i="37"/>
  <c r="AT105" i="37"/>
  <c r="AJ105" i="37"/>
  <c r="AM85" i="15"/>
  <c r="AI85" i="15"/>
  <c r="AF85" i="15"/>
  <c r="AO85" i="15"/>
  <c r="AG81" i="15"/>
  <c r="AI81" i="15"/>
  <c r="AF81" i="15"/>
  <c r="AP81" i="15"/>
  <c r="AG84" i="15"/>
  <c r="AH84" i="15"/>
  <c r="AN84" i="15"/>
  <c r="AF84" i="15"/>
  <c r="AI84" i="15"/>
  <c r="AG86" i="15"/>
  <c r="AP86" i="15"/>
  <c r="AO86" i="15"/>
  <c r="AJ86" i="15"/>
  <c r="AH86" i="15"/>
  <c r="AI88" i="15"/>
  <c r="AM88" i="15"/>
  <c r="AJ88" i="15"/>
  <c r="AK88" i="15"/>
  <c r="AP88" i="15"/>
  <c r="AI90" i="15"/>
  <c r="AO90" i="15"/>
  <c r="AH92" i="15"/>
  <c r="AI92" i="15"/>
  <c r="AK92" i="15"/>
  <c r="AM94" i="15"/>
  <c r="AH94" i="15"/>
  <c r="AP94" i="15"/>
  <c r="AJ94" i="15"/>
  <c r="AI94" i="15"/>
  <c r="AL94" i="15"/>
  <c r="AG110" i="15"/>
  <c r="AJ114" i="15"/>
  <c r="AM114" i="15"/>
  <c r="AQ130" i="37"/>
  <c r="AK130" i="37"/>
  <c r="AM130" i="37"/>
  <c r="AI130" i="37"/>
  <c r="AN130" i="37"/>
  <c r="AS130" i="37"/>
  <c r="AM157" i="37"/>
  <c r="F294" i="3"/>
  <c r="F308" i="3" s="1"/>
  <c r="AP114" i="15"/>
  <c r="AQ114" i="15"/>
  <c r="AQ110" i="15"/>
  <c r="AP110" i="15"/>
  <c r="AI119" i="15"/>
  <c r="AI121" i="15"/>
  <c r="AI129" i="37"/>
  <c r="AL129" i="37"/>
  <c r="AS129" i="37"/>
  <c r="AM156" i="37"/>
  <c r="AG117" i="15"/>
  <c r="AK123" i="15"/>
  <c r="AF119" i="15"/>
  <c r="AP136" i="37"/>
  <c r="AJ136" i="37"/>
  <c r="AO136" i="37"/>
  <c r="AR136" i="37"/>
  <c r="AL128" i="37"/>
  <c r="AK123" i="37"/>
  <c r="AI123" i="37"/>
  <c r="AQ123" i="37"/>
  <c r="AM123" i="37"/>
  <c r="AN123" i="37"/>
  <c r="AP123" i="37"/>
  <c r="AM150" i="37"/>
  <c r="AM128" i="37"/>
  <c r="AT128" i="37"/>
  <c r="AJ128" i="37"/>
  <c r="AO128" i="37"/>
  <c r="AR128" i="37"/>
  <c r="AL130" i="37"/>
  <c r="AK136" i="37"/>
  <c r="AQ136" i="37"/>
  <c r="AP115" i="15"/>
  <c r="AL123" i="15"/>
  <c r="AK128" i="37"/>
  <c r="J180" i="3"/>
  <c r="J194" i="3" s="1"/>
  <c r="J218" i="56"/>
  <c r="J232" i="56" s="1"/>
  <c r="AJ129" i="37"/>
  <c r="AT129" i="37"/>
  <c r="AM129" i="37"/>
  <c r="AN129" i="37"/>
  <c r="AQ129" i="37"/>
  <c r="J142" i="3"/>
  <c r="J156" i="3" s="1"/>
  <c r="AP90" i="15"/>
  <c r="AN119" i="15"/>
  <c r="AP92" i="15"/>
  <c r="AP84" i="15"/>
  <c r="AN113" i="15"/>
  <c r="AI95" i="50"/>
  <c r="AQ86" i="15"/>
  <c r="AN86" i="15"/>
  <c r="AO88" i="15"/>
  <c r="AJ90" i="15"/>
  <c r="AQ90" i="15"/>
  <c r="AJ92" i="15"/>
  <c r="AQ92" i="15"/>
  <c r="AQ94" i="15"/>
  <c r="AN94" i="15"/>
  <c r="AM84" i="15"/>
  <c r="AH88" i="15"/>
  <c r="AK86" i="15"/>
  <c r="AR99" i="37"/>
  <c r="AQ97" i="37"/>
  <c r="AJ99" i="37"/>
  <c r="AK92" i="37"/>
  <c r="AJ97" i="37"/>
  <c r="AL105" i="37"/>
  <c r="AR92" i="37"/>
  <c r="AR54" i="37" s="1"/>
  <c r="AT97" i="37"/>
  <c r="AI99" i="37"/>
  <c r="AI86" i="15"/>
  <c r="AL86" i="15"/>
  <c r="AG88" i="15"/>
  <c r="AL88" i="15"/>
  <c r="AL60" i="15" s="1"/>
  <c r="AF94" i="15"/>
  <c r="AQ84" i="15"/>
  <c r="AI92" i="37"/>
  <c r="AJ85" i="15"/>
  <c r="AJ81" i="15"/>
  <c r="AQ92" i="37"/>
  <c r="AI97" i="37"/>
  <c r="AM81" i="15"/>
  <c r="AG85" i="15"/>
  <c r="AT98" i="37"/>
  <c r="AO94" i="37"/>
  <c r="AL94" i="37"/>
  <c r="AR98" i="37"/>
  <c r="AS94" i="37"/>
  <c r="AO102" i="37"/>
  <c r="AP102" i="37"/>
  <c r="AP64" i="37" s="1"/>
  <c r="AK98" i="37"/>
  <c r="AK60" i="37" s="1"/>
  <c r="AI102" i="37"/>
  <c r="AS127" i="37"/>
  <c r="AO96" i="37"/>
  <c r="AR96" i="37"/>
  <c r="AI96" i="37"/>
  <c r="AL96" i="37"/>
  <c r="AS96" i="37"/>
  <c r="AM96" i="37"/>
  <c r="AT131" i="37"/>
  <c r="AR100" i="37"/>
  <c r="AL100" i="37"/>
  <c r="AQ100" i="37"/>
  <c r="AK100" i="37"/>
  <c r="AN100" i="37"/>
  <c r="AT100" i="37"/>
  <c r="AT62" i="37" s="1"/>
  <c r="AQ104" i="37"/>
  <c r="AS104" i="37"/>
  <c r="AM104" i="37"/>
  <c r="AP104" i="37"/>
  <c r="AJ104" i="37"/>
  <c r="AO104" i="37"/>
  <c r="AI104" i="37"/>
  <c r="C284" i="34"/>
  <c r="C206" i="7"/>
  <c r="C114" i="7"/>
  <c r="C148" i="34"/>
  <c r="L148" i="34" s="1"/>
  <c r="C292" i="34"/>
  <c r="C122" i="7"/>
  <c r="C244" i="34"/>
  <c r="L244" i="34" s="1"/>
  <c r="C270" i="7"/>
  <c r="C108" i="7"/>
  <c r="C76" i="34"/>
  <c r="C278" i="34"/>
  <c r="C158" i="7"/>
  <c r="AT92" i="37"/>
  <c r="AM92" i="37"/>
  <c r="C282" i="34"/>
  <c r="C190" i="7"/>
  <c r="C112" i="7"/>
  <c r="C124" i="34"/>
  <c r="C290" i="34"/>
  <c r="C120" i="7"/>
  <c r="C220" i="34"/>
  <c r="L220" i="34" s="1"/>
  <c r="C254" i="7"/>
  <c r="J256" i="56"/>
  <c r="J270" i="56" s="1"/>
  <c r="F256" i="56"/>
  <c r="F270" i="56" s="1"/>
  <c r="AL85" i="15"/>
  <c r="AQ85" i="15"/>
  <c r="AH85" i="15"/>
  <c r="AN85" i="15"/>
  <c r="AK85" i="15"/>
  <c r="AL81" i="15"/>
  <c r="AN81" i="15"/>
  <c r="AK81" i="15"/>
  <c r="AH81" i="15"/>
  <c r="AQ81" i="15"/>
  <c r="K18" i="38"/>
  <c r="L18" i="38"/>
  <c r="M79" i="15" s="1"/>
  <c r="P18" i="38"/>
  <c r="Q79" i="15" s="1"/>
  <c r="M18" i="38"/>
  <c r="N79" i="15" s="1"/>
  <c r="A1" i="51"/>
  <c r="E242" i="38"/>
  <c r="E240" i="38" s="1"/>
  <c r="D27" i="38" s="1"/>
  <c r="E88" i="15" s="1"/>
  <c r="F236" i="38"/>
  <c r="AQ125" i="37"/>
  <c r="AP94" i="37"/>
  <c r="AJ94" i="37"/>
  <c r="AT94" i="37"/>
  <c r="AN94" i="37"/>
  <c r="AK94" i="37"/>
  <c r="AQ94" i="37"/>
  <c r="AP129" i="37"/>
  <c r="AS98" i="37"/>
  <c r="AM98" i="37"/>
  <c r="AO98" i="37"/>
  <c r="AI98" i="37"/>
  <c r="AJ98" i="37"/>
  <c r="AP98" i="37"/>
  <c r="AL133" i="37"/>
  <c r="AQ102" i="37"/>
  <c r="AT102" i="37"/>
  <c r="AK102" i="37"/>
  <c r="AN102" i="37"/>
  <c r="AR102" i="37"/>
  <c r="AL102" i="37"/>
  <c r="AL64" i="37" s="1"/>
  <c r="C280" i="34"/>
  <c r="C174" i="7"/>
  <c r="C100" i="34"/>
  <c r="L100" i="34" s="1"/>
  <c r="C110" i="7"/>
  <c r="AT95" i="37"/>
  <c r="AQ95" i="37"/>
  <c r="C288" i="34"/>
  <c r="C118" i="7"/>
  <c r="C238" i="7"/>
  <c r="C196" i="34"/>
  <c r="L196" i="34" s="1"/>
  <c r="C286" i="34"/>
  <c r="P286" i="34" s="1"/>
  <c r="L286" i="34" s="1"/>
  <c r="C116" i="7"/>
  <c r="C172" i="34"/>
  <c r="L172" i="34" s="1"/>
  <c r="C222" i="7"/>
  <c r="AQ101" i="37"/>
  <c r="AL101" i="37"/>
  <c r="G180" i="56"/>
  <c r="G194" i="56" s="1"/>
  <c r="F180" i="56"/>
  <c r="F194" i="56" s="1"/>
  <c r="J180" i="56"/>
  <c r="J194" i="56" s="1"/>
  <c r="AQ124" i="15"/>
  <c r="AP95" i="15"/>
  <c r="AG95" i="15"/>
  <c r="AP112" i="15"/>
  <c r="AG83" i="15"/>
  <c r="AM83" i="15"/>
  <c r="H145" i="53"/>
  <c r="H149" i="53" s="1"/>
  <c r="G145" i="53"/>
  <c r="G149" i="53" s="1"/>
  <c r="AM22" i="14"/>
  <c r="A1" i="49"/>
  <c r="S50" i="38"/>
  <c r="T50" i="38"/>
  <c r="T76" i="38"/>
  <c r="J85" i="38" s="1"/>
  <c r="S76" i="38"/>
  <c r="I85" i="38" s="1"/>
  <c r="U76" i="38"/>
  <c r="K85" i="38" s="1"/>
  <c r="M284" i="43"/>
  <c r="U74" i="38"/>
  <c r="K83" i="38" s="1"/>
  <c r="L281" i="43"/>
  <c r="H64" i="47"/>
  <c r="I64" i="47" s="1"/>
  <c r="I179" i="51"/>
  <c r="I182" i="51" s="1"/>
  <c r="G100" i="47"/>
  <c r="G103" i="47" s="1"/>
  <c r="F67" i="47"/>
  <c r="F70" i="47" s="1"/>
  <c r="G182" i="51"/>
  <c r="E124" i="47"/>
  <c r="F49" i="47"/>
  <c r="F50" i="47" s="1"/>
  <c r="H121" i="47"/>
  <c r="H122" i="47" s="1"/>
  <c r="F124" i="47"/>
  <c r="F122" i="47"/>
  <c r="J26" i="49"/>
  <c r="G114" i="51"/>
  <c r="G148" i="51"/>
  <c r="F139" i="47"/>
  <c r="F142" i="47" s="1"/>
  <c r="G179" i="49"/>
  <c r="F182" i="49"/>
  <c r="F194" i="47"/>
  <c r="F196" i="47"/>
  <c r="I97" i="51"/>
  <c r="H82" i="47"/>
  <c r="G165" i="51"/>
  <c r="H162" i="51"/>
  <c r="H128" i="51"/>
  <c r="G131" i="51"/>
  <c r="J111" i="51"/>
  <c r="J114" i="51" s="1"/>
  <c r="G122" i="47"/>
  <c r="G124" i="47"/>
  <c r="G145" i="49"/>
  <c r="F148" i="49"/>
  <c r="H94" i="49"/>
  <c r="G97" i="49"/>
  <c r="H100" i="47"/>
  <c r="I77" i="51"/>
  <c r="H43" i="49"/>
  <c r="G175" i="47"/>
  <c r="H172" i="47"/>
  <c r="G68" i="47"/>
  <c r="G69" i="47"/>
  <c r="G65" i="47" s="1"/>
  <c r="G10" i="47" s="1"/>
  <c r="AN9" i="14" s="1"/>
  <c r="G70" i="47"/>
  <c r="G159" i="47"/>
  <c r="H49" i="47"/>
  <c r="I46" i="47"/>
  <c r="I46" i="51"/>
  <c r="J145" i="51"/>
  <c r="J148" i="51" s="1"/>
  <c r="I148" i="51"/>
  <c r="F31" i="47"/>
  <c r="G28" i="47"/>
  <c r="E32" i="47"/>
  <c r="E29" i="47" s="1"/>
  <c r="E8" i="47" s="1"/>
  <c r="AL7" i="14" s="1"/>
  <c r="E34" i="47"/>
  <c r="E33" i="47"/>
  <c r="G26" i="51"/>
  <c r="F29" i="51"/>
  <c r="H139" i="47"/>
  <c r="I136" i="47"/>
  <c r="F159" i="47"/>
  <c r="F160" i="47"/>
  <c r="F158" i="47"/>
  <c r="H63" i="51"/>
  <c r="I60" i="51"/>
  <c r="H157" i="47"/>
  <c r="I154" i="47"/>
  <c r="G51" i="47"/>
  <c r="G50" i="47"/>
  <c r="G52" i="47"/>
  <c r="H114" i="49"/>
  <c r="I111" i="49"/>
  <c r="H131" i="49"/>
  <c r="I128" i="49"/>
  <c r="I121" i="47"/>
  <c r="J118" i="47"/>
  <c r="J121" i="47" s="1"/>
  <c r="M293" i="34"/>
  <c r="F772" i="50" l="1"/>
  <c r="F776" i="50"/>
  <c r="F741" i="50"/>
  <c r="J768" i="50"/>
  <c r="Z768" i="50"/>
  <c r="F843" i="50"/>
  <c r="F707" i="50"/>
  <c r="J699" i="50"/>
  <c r="BB500" i="50"/>
  <c r="BB504" i="50"/>
  <c r="BA499" i="50"/>
  <c r="BA503" i="50"/>
  <c r="BB503" i="50"/>
  <c r="BB497" i="50"/>
  <c r="BB501" i="50"/>
  <c r="BA500" i="50"/>
  <c r="AZ500" i="50"/>
  <c r="AX501" i="50"/>
  <c r="BA498" i="50"/>
  <c r="AX499" i="50"/>
  <c r="AZ502" i="50"/>
  <c r="AW501" i="50"/>
  <c r="BB506" i="50"/>
  <c r="AW505" i="50"/>
  <c r="AX504" i="50"/>
  <c r="AW504" i="50"/>
  <c r="J179" i="51"/>
  <c r="J182" i="51" s="1"/>
  <c r="I162" i="49"/>
  <c r="AA734" i="50"/>
  <c r="AW499" i="50"/>
  <c r="AW503" i="50"/>
  <c r="J708" i="50"/>
  <c r="J809" i="50"/>
  <c r="AX498" i="50"/>
  <c r="AX502" i="50"/>
  <c r="AX506" i="50"/>
  <c r="AW506" i="50"/>
  <c r="AW500" i="50"/>
  <c r="K26" i="58"/>
  <c r="L26" i="58" s="1"/>
  <c r="L42" i="58" s="1"/>
  <c r="AY499" i="50"/>
  <c r="H714" i="50"/>
  <c r="AZ497" i="50"/>
  <c r="I680" i="50"/>
  <c r="I679" i="50" s="1"/>
  <c r="AZ501" i="50"/>
  <c r="I748" i="50"/>
  <c r="AY504" i="50"/>
  <c r="H799" i="50"/>
  <c r="AZ505" i="50"/>
  <c r="I816" i="50"/>
  <c r="I815" i="50" s="1"/>
  <c r="AY502" i="50"/>
  <c r="H765" i="50"/>
  <c r="AY506" i="50"/>
  <c r="H833" i="50"/>
  <c r="H832" i="50" s="1"/>
  <c r="AY498" i="50"/>
  <c r="H697" i="50"/>
  <c r="H696" i="50" s="1"/>
  <c r="F704" i="50"/>
  <c r="AA764" i="50"/>
  <c r="J742" i="50"/>
  <c r="F740" i="50"/>
  <c r="AA730" i="50"/>
  <c r="F844" i="50"/>
  <c r="F842" i="50"/>
  <c r="F708" i="50"/>
  <c r="J706" i="50"/>
  <c r="AA700" i="50"/>
  <c r="J808" i="50"/>
  <c r="J810" i="50"/>
  <c r="AY503" i="50"/>
  <c r="H782" i="50"/>
  <c r="H781" i="50" s="1"/>
  <c r="AZ499" i="50"/>
  <c r="I714" i="50"/>
  <c r="I713" i="50" s="1"/>
  <c r="AY500" i="50"/>
  <c r="H731" i="50"/>
  <c r="AZ503" i="50"/>
  <c r="I782" i="50"/>
  <c r="I781" i="50" s="1"/>
  <c r="AY501" i="50"/>
  <c r="H748" i="50"/>
  <c r="AY505" i="50"/>
  <c r="H816" i="50"/>
  <c r="H815" i="50" s="1"/>
  <c r="K21" i="38"/>
  <c r="L82" i="15" s="1"/>
  <c r="E296" i="15"/>
  <c r="T163" i="15"/>
  <c r="S168" i="15"/>
  <c r="S176" i="15"/>
  <c r="O28" i="15"/>
  <c r="G180" i="44" s="1"/>
  <c r="T167" i="15"/>
  <c r="E397" i="15" s="1"/>
  <c r="E396" i="15" s="1"/>
  <c r="T173" i="15"/>
  <c r="AH17" i="14"/>
  <c r="C100" i="3"/>
  <c r="C101" i="3" s="1"/>
  <c r="S102" i="3" s="1"/>
  <c r="O32" i="58"/>
  <c r="P32" i="58" s="1"/>
  <c r="Q286" i="34"/>
  <c r="S286" i="34"/>
  <c r="R286" i="34"/>
  <c r="N286" i="34" s="1"/>
  <c r="T286" i="34"/>
  <c r="Q287" i="34"/>
  <c r="M287" i="34" s="1"/>
  <c r="S287" i="34"/>
  <c r="R287" i="34"/>
  <c r="N287" i="34" s="1"/>
  <c r="T287" i="34"/>
  <c r="Q291" i="34"/>
  <c r="S291" i="34"/>
  <c r="R291" i="34"/>
  <c r="N291" i="34" s="1"/>
  <c r="T291" i="34"/>
  <c r="Q285" i="43"/>
  <c r="L285" i="43" s="1"/>
  <c r="S285" i="43"/>
  <c r="T285" i="43"/>
  <c r="R285" i="43"/>
  <c r="Q283" i="43"/>
  <c r="L283" i="43" s="1"/>
  <c r="S283" i="43"/>
  <c r="T283" i="43"/>
  <c r="R283" i="43"/>
  <c r="M283" i="43" s="1"/>
  <c r="Q290" i="43"/>
  <c r="L290" i="43" s="1"/>
  <c r="S290" i="43"/>
  <c r="T290" i="43"/>
  <c r="R290" i="43"/>
  <c r="M290" i="43" s="1"/>
  <c r="Q280" i="43"/>
  <c r="L280" i="43" s="1"/>
  <c r="S280" i="43"/>
  <c r="R280" i="43"/>
  <c r="M280" i="43" s="1"/>
  <c r="T280" i="43"/>
  <c r="Q282" i="43"/>
  <c r="S282" i="43"/>
  <c r="T282" i="43"/>
  <c r="R282" i="43"/>
  <c r="Q283" i="34"/>
  <c r="S283" i="34"/>
  <c r="R283" i="34"/>
  <c r="T283" i="34"/>
  <c r="Q281" i="34"/>
  <c r="M281" i="34" s="1"/>
  <c r="S281" i="34"/>
  <c r="R281" i="34"/>
  <c r="N281" i="34" s="1"/>
  <c r="T281" i="34"/>
  <c r="Q289" i="34"/>
  <c r="M289" i="34" s="1"/>
  <c r="S289" i="34"/>
  <c r="R289" i="34"/>
  <c r="N289" i="34" s="1"/>
  <c r="T289" i="34"/>
  <c r="Q285" i="34"/>
  <c r="M285" i="34" s="1"/>
  <c r="S285" i="34"/>
  <c r="R285" i="34"/>
  <c r="N285" i="34" s="1"/>
  <c r="T285" i="34"/>
  <c r="Q291" i="43"/>
  <c r="L291" i="43" s="1"/>
  <c r="S291" i="43"/>
  <c r="T291" i="43"/>
  <c r="R291" i="43"/>
  <c r="M291" i="43" s="1"/>
  <c r="Q293" i="43"/>
  <c r="L293" i="43" s="1"/>
  <c r="S293" i="43"/>
  <c r="T293" i="43"/>
  <c r="R293" i="43"/>
  <c r="M293" i="43" s="1"/>
  <c r="Q289" i="43"/>
  <c r="L289" i="43" s="1"/>
  <c r="S289" i="43"/>
  <c r="T289" i="43"/>
  <c r="R289" i="43"/>
  <c r="M289" i="43" s="1"/>
  <c r="Q286" i="43"/>
  <c r="L286" i="43" s="1"/>
  <c r="S286" i="43"/>
  <c r="T286" i="43"/>
  <c r="R286" i="43"/>
  <c r="M286" i="43" s="1"/>
  <c r="G261" i="50"/>
  <c r="G258" i="50"/>
  <c r="I261" i="50"/>
  <c r="I258" i="50"/>
  <c r="K261" i="50"/>
  <c r="K258" i="50"/>
  <c r="G244" i="50"/>
  <c r="G241" i="50"/>
  <c r="I244" i="50"/>
  <c r="I241" i="50"/>
  <c r="K244" i="50"/>
  <c r="K241" i="50"/>
  <c r="G227" i="50"/>
  <c r="G224" i="50"/>
  <c r="I227" i="50"/>
  <c r="I224" i="50"/>
  <c r="K227" i="50"/>
  <c r="K224" i="50"/>
  <c r="K210" i="50"/>
  <c r="K207" i="50"/>
  <c r="I194" i="50"/>
  <c r="I190" i="50"/>
  <c r="K194" i="50"/>
  <c r="K190" i="50"/>
  <c r="G194" i="50"/>
  <c r="G190" i="50"/>
  <c r="AA182" i="50"/>
  <c r="F190" i="50"/>
  <c r="H194" i="50"/>
  <c r="H190" i="50"/>
  <c r="J194" i="50"/>
  <c r="J190" i="50"/>
  <c r="I177" i="50"/>
  <c r="I173" i="50"/>
  <c r="K177" i="50"/>
  <c r="K173" i="50"/>
  <c r="G177" i="50"/>
  <c r="G173" i="50"/>
  <c r="AA165" i="50"/>
  <c r="F173" i="50"/>
  <c r="H177" i="50"/>
  <c r="H173" i="50"/>
  <c r="J177" i="50"/>
  <c r="J173" i="50"/>
  <c r="I160" i="50"/>
  <c r="I156" i="50"/>
  <c r="K160" i="50"/>
  <c r="K156" i="50"/>
  <c r="G160" i="50"/>
  <c r="G156" i="50"/>
  <c r="AA148" i="50"/>
  <c r="F156" i="50"/>
  <c r="H160" i="50"/>
  <c r="H156" i="50"/>
  <c r="J160" i="50"/>
  <c r="J156" i="50"/>
  <c r="J288" i="50"/>
  <c r="J284" i="50"/>
  <c r="J606" i="50"/>
  <c r="J602" i="50"/>
  <c r="I605" i="50"/>
  <c r="I602" i="50"/>
  <c r="G606" i="50"/>
  <c r="G602" i="50"/>
  <c r="AA594" i="50"/>
  <c r="F602" i="50"/>
  <c r="F817" i="50"/>
  <c r="F815" i="50"/>
  <c r="Z747" i="50"/>
  <c r="F747" i="50"/>
  <c r="F716" i="50"/>
  <c r="F713" i="50"/>
  <c r="I682" i="50"/>
  <c r="E224" i="15"/>
  <c r="E230" i="15" s="1"/>
  <c r="E229" i="15" s="1"/>
  <c r="E228" i="15" s="1"/>
  <c r="F290" i="15"/>
  <c r="F289" i="15" s="1"/>
  <c r="F288" i="15" s="1"/>
  <c r="I290" i="15"/>
  <c r="I289" i="15" s="1"/>
  <c r="I288" i="15" s="1"/>
  <c r="F260" i="15"/>
  <c r="E362" i="15"/>
  <c r="E361" i="15" s="1"/>
  <c r="E360" i="15" s="1"/>
  <c r="AM144" i="37"/>
  <c r="P274" i="34" s="1"/>
  <c r="L274" i="34" s="1"/>
  <c r="M282" i="43"/>
  <c r="L282" i="43"/>
  <c r="P279" i="34"/>
  <c r="L279" i="34" s="1"/>
  <c r="P277" i="34"/>
  <c r="L277" i="34" s="1"/>
  <c r="T73" i="38"/>
  <c r="S73" i="38"/>
  <c r="I82" i="38" s="1"/>
  <c r="D121" i="38"/>
  <c r="I90" i="38"/>
  <c r="J90" i="38"/>
  <c r="V73" i="38"/>
  <c r="L82" i="38" s="1"/>
  <c r="G23" i="15"/>
  <c r="F419" i="7" s="1"/>
  <c r="AD345" i="7" s="1"/>
  <c r="Q23" i="15"/>
  <c r="I120" i="44" s="1"/>
  <c r="L23" i="15"/>
  <c r="D420" i="7" s="1"/>
  <c r="AH345" i="7" s="1"/>
  <c r="N29" i="38"/>
  <c r="O90" i="15" s="1"/>
  <c r="K29" i="38"/>
  <c r="L90" i="15" s="1"/>
  <c r="B23" i="15"/>
  <c r="I23" i="15"/>
  <c r="H419" i="7" s="1"/>
  <c r="AF345" i="7" s="1"/>
  <c r="D23" i="15"/>
  <c r="C185" i="38" s="1"/>
  <c r="I185" i="38" s="1"/>
  <c r="N23" i="15"/>
  <c r="F420" i="7" s="1"/>
  <c r="AJ345" i="7" s="1"/>
  <c r="F23" i="15"/>
  <c r="E115" i="45" s="1"/>
  <c r="J23" i="15"/>
  <c r="I419" i="7" s="1"/>
  <c r="AG345" i="7" s="1"/>
  <c r="M29" i="38"/>
  <c r="N90" i="15" s="1"/>
  <c r="P22" i="38"/>
  <c r="Q83" i="15" s="1"/>
  <c r="M23" i="38"/>
  <c r="N84" i="15" s="1"/>
  <c r="P23" i="38"/>
  <c r="Q84" i="15" s="1"/>
  <c r="M23" i="15"/>
  <c r="E120" i="44" s="1"/>
  <c r="K23" i="38"/>
  <c r="L84" i="15" s="1"/>
  <c r="L29" i="38"/>
  <c r="M90" i="15" s="1"/>
  <c r="H23" i="15"/>
  <c r="G115" i="45" s="1"/>
  <c r="O23" i="38"/>
  <c r="P84" i="15" s="1"/>
  <c r="L23" i="38"/>
  <c r="M84" i="15" s="1"/>
  <c r="M285" i="43"/>
  <c r="I42" i="58"/>
  <c r="M47" i="58"/>
  <c r="K28" i="58"/>
  <c r="L28" i="58" s="1"/>
  <c r="P50" i="58"/>
  <c r="H193" i="47"/>
  <c r="G160" i="47"/>
  <c r="AG61" i="15"/>
  <c r="K101" i="37"/>
  <c r="M101" i="37"/>
  <c r="P101" i="37"/>
  <c r="O101" i="37"/>
  <c r="R101" i="37"/>
  <c r="H101" i="37"/>
  <c r="I101" i="37"/>
  <c r="J97" i="37"/>
  <c r="Q97" i="37"/>
  <c r="G97" i="37"/>
  <c r="H105" i="37"/>
  <c r="G105" i="37"/>
  <c r="AF97" i="37"/>
  <c r="Z713" i="50"/>
  <c r="F715" i="50"/>
  <c r="F717" i="50"/>
  <c r="AW102" i="50"/>
  <c r="F751" i="50"/>
  <c r="E308" i="38"/>
  <c r="E176" i="38"/>
  <c r="D93" i="15"/>
  <c r="E32" i="15" s="1"/>
  <c r="D223" i="44" s="1"/>
  <c r="N105" i="37"/>
  <c r="M97" i="37"/>
  <c r="R97" i="37"/>
  <c r="I105" i="37"/>
  <c r="Q105" i="37"/>
  <c r="R105" i="37"/>
  <c r="I97" i="37"/>
  <c r="O97" i="37"/>
  <c r="K97" i="37"/>
  <c r="N97" i="37"/>
  <c r="AF105" i="37"/>
  <c r="P97" i="37"/>
  <c r="F97" i="37"/>
  <c r="H289" i="15"/>
  <c r="H288" i="15" s="1"/>
  <c r="E289" i="15"/>
  <c r="E288" i="15" s="1"/>
  <c r="E368" i="15"/>
  <c r="F368" i="15" s="1"/>
  <c r="I286" i="50"/>
  <c r="I60" i="49"/>
  <c r="I63" i="49" s="1"/>
  <c r="D94" i="15"/>
  <c r="D33" i="15" s="1"/>
  <c r="C305" i="38" s="1"/>
  <c r="I305" i="38" s="1"/>
  <c r="O21" i="38"/>
  <c r="P82" i="15" s="1"/>
  <c r="Z288" i="50"/>
  <c r="Z682" i="50"/>
  <c r="I288" i="50"/>
  <c r="F749" i="50"/>
  <c r="F750" i="50"/>
  <c r="Z815" i="50"/>
  <c r="F819" i="50"/>
  <c r="AW100" i="50"/>
  <c r="I287" i="50"/>
  <c r="Z287" i="50"/>
  <c r="F818" i="50"/>
  <c r="AW104" i="50"/>
  <c r="AW108" i="50"/>
  <c r="BA106" i="50"/>
  <c r="BA100" i="50"/>
  <c r="T172" i="15"/>
  <c r="E308" i="15"/>
  <c r="E314" i="15" s="1"/>
  <c r="E313" i="15" s="1"/>
  <c r="E312" i="15" s="1"/>
  <c r="E248" i="15"/>
  <c r="F248" i="15" s="1"/>
  <c r="E200" i="15"/>
  <c r="E206" i="15" s="1"/>
  <c r="G289" i="15"/>
  <c r="G288" i="15" s="1"/>
  <c r="J286" i="50"/>
  <c r="J287" i="50"/>
  <c r="F679" i="50"/>
  <c r="F285" i="50"/>
  <c r="F284" i="50" s="1"/>
  <c r="K284" i="15"/>
  <c r="K290" i="15" s="1"/>
  <c r="K289" i="15" s="1"/>
  <c r="K288" i="15" s="1"/>
  <c r="J290" i="15"/>
  <c r="J289" i="15" s="1"/>
  <c r="J288" i="15" s="1"/>
  <c r="C274" i="44"/>
  <c r="J844" i="50"/>
  <c r="AA836" i="50"/>
  <c r="J843" i="50"/>
  <c r="J842" i="50"/>
  <c r="K810" i="50"/>
  <c r="K809" i="50"/>
  <c r="K808" i="50"/>
  <c r="AA803" i="50"/>
  <c r="I776" i="50"/>
  <c r="I775" i="50"/>
  <c r="I774" i="50"/>
  <c r="AA767" i="50"/>
  <c r="K742" i="50"/>
  <c r="AA735" i="50"/>
  <c r="K741" i="50"/>
  <c r="K740" i="50"/>
  <c r="I708" i="50"/>
  <c r="I707" i="50"/>
  <c r="AA699" i="50"/>
  <c r="I706" i="50"/>
  <c r="H844" i="50"/>
  <c r="AA834" i="50"/>
  <c r="H843" i="50"/>
  <c r="H842" i="50"/>
  <c r="J793" i="50"/>
  <c r="J792" i="50"/>
  <c r="AA785" i="50"/>
  <c r="J791" i="50"/>
  <c r="H706" i="50"/>
  <c r="H708" i="50"/>
  <c r="H707" i="50"/>
  <c r="AA698" i="50"/>
  <c r="G758" i="50"/>
  <c r="G759" i="50"/>
  <c r="G757" i="50"/>
  <c r="AA748" i="50"/>
  <c r="I725" i="50"/>
  <c r="I723" i="50"/>
  <c r="AA716" i="50"/>
  <c r="I724" i="50"/>
  <c r="G844" i="50"/>
  <c r="G843" i="50"/>
  <c r="AA833" i="50"/>
  <c r="G842" i="50"/>
  <c r="K775" i="50"/>
  <c r="AA769" i="50"/>
  <c r="K774" i="50"/>
  <c r="K776" i="50"/>
  <c r="K708" i="50"/>
  <c r="K707" i="50"/>
  <c r="AA701" i="50"/>
  <c r="K706" i="50"/>
  <c r="AA781" i="50"/>
  <c r="F791" i="50"/>
  <c r="F792" i="50"/>
  <c r="F793" i="50"/>
  <c r="H759" i="50"/>
  <c r="H757" i="50"/>
  <c r="AA749" i="50"/>
  <c r="H758" i="50"/>
  <c r="K844" i="50"/>
  <c r="K842" i="50"/>
  <c r="K843" i="50"/>
  <c r="AA837" i="50"/>
  <c r="AA679" i="50"/>
  <c r="F690" i="50"/>
  <c r="F691" i="50"/>
  <c r="F689" i="50"/>
  <c r="Z785" i="50"/>
  <c r="J784" i="50"/>
  <c r="J783" i="50"/>
  <c r="J785" i="50"/>
  <c r="Z718" i="50"/>
  <c r="K717" i="50"/>
  <c r="K715" i="50"/>
  <c r="K716" i="50"/>
  <c r="I733" i="50"/>
  <c r="Z733" i="50"/>
  <c r="I734" i="50"/>
  <c r="I732" i="50"/>
  <c r="Z731" i="50"/>
  <c r="G734" i="50"/>
  <c r="G732" i="50"/>
  <c r="G733" i="50"/>
  <c r="Z752" i="50"/>
  <c r="K751" i="50"/>
  <c r="K749" i="50"/>
  <c r="K750" i="50"/>
  <c r="H683" i="50"/>
  <c r="Z681" i="50"/>
  <c r="H682" i="50"/>
  <c r="H681" i="50"/>
  <c r="Z701" i="50"/>
  <c r="K699" i="50"/>
  <c r="K698" i="50"/>
  <c r="K700" i="50"/>
  <c r="Z833" i="50"/>
  <c r="G834" i="50"/>
  <c r="G835" i="50"/>
  <c r="G836" i="50"/>
  <c r="F802" i="50"/>
  <c r="F800" i="50"/>
  <c r="F801" i="50"/>
  <c r="Z798" i="50"/>
  <c r="K801" i="50"/>
  <c r="Z803" i="50"/>
  <c r="K802" i="50"/>
  <c r="K800" i="50"/>
  <c r="H725" i="50"/>
  <c r="H723" i="50"/>
  <c r="H724" i="50"/>
  <c r="AA715" i="50"/>
  <c r="I843" i="50"/>
  <c r="AA835" i="50"/>
  <c r="I844" i="50"/>
  <c r="I842" i="50"/>
  <c r="G810" i="50"/>
  <c r="G808" i="50"/>
  <c r="G809" i="50"/>
  <c r="AA799" i="50"/>
  <c r="G741" i="50"/>
  <c r="G740" i="50"/>
  <c r="AA731" i="50"/>
  <c r="G742" i="50"/>
  <c r="H810" i="50"/>
  <c r="H809" i="50"/>
  <c r="H808" i="50"/>
  <c r="AA800" i="50"/>
  <c r="J759" i="50"/>
  <c r="J757" i="50"/>
  <c r="J758" i="50"/>
  <c r="AA751" i="50"/>
  <c r="AA732" i="50"/>
  <c r="H740" i="50"/>
  <c r="H741" i="50"/>
  <c r="H742" i="50"/>
  <c r="J691" i="50"/>
  <c r="J689" i="50"/>
  <c r="J690" i="50"/>
  <c r="AA683" i="50"/>
  <c r="K826" i="50"/>
  <c r="K827" i="50"/>
  <c r="AA820" i="50"/>
  <c r="K825" i="50"/>
  <c r="K759" i="50"/>
  <c r="K757" i="50"/>
  <c r="AA752" i="50"/>
  <c r="K758" i="50"/>
  <c r="K690" i="50"/>
  <c r="K691" i="50"/>
  <c r="AA684" i="50"/>
  <c r="K689" i="50"/>
  <c r="F759" i="50"/>
  <c r="F757" i="50"/>
  <c r="AA747" i="50"/>
  <c r="F758" i="50"/>
  <c r="J751" i="50"/>
  <c r="J749" i="50"/>
  <c r="J750" i="50"/>
  <c r="Z751" i="50"/>
  <c r="Z767" i="50"/>
  <c r="I768" i="50"/>
  <c r="I767" i="50"/>
  <c r="I766" i="50"/>
  <c r="J734" i="50"/>
  <c r="Z734" i="50"/>
  <c r="J733" i="50"/>
  <c r="J732" i="50"/>
  <c r="H783" i="50"/>
  <c r="J836" i="50"/>
  <c r="J835" i="50"/>
  <c r="Z836" i="50"/>
  <c r="J834" i="50"/>
  <c r="G766" i="50"/>
  <c r="Z765" i="50"/>
  <c r="G767" i="50"/>
  <c r="G768" i="50"/>
  <c r="Z837" i="50"/>
  <c r="K835" i="50"/>
  <c r="K834" i="50"/>
  <c r="K836" i="50"/>
  <c r="F733" i="50"/>
  <c r="Z730" i="50"/>
  <c r="F732" i="50"/>
  <c r="F734" i="50"/>
  <c r="I717" i="50"/>
  <c r="Z769" i="50"/>
  <c r="K767" i="50"/>
  <c r="K768" i="50"/>
  <c r="K766" i="50"/>
  <c r="Z819" i="50"/>
  <c r="J818" i="50"/>
  <c r="J817" i="50"/>
  <c r="J819" i="50"/>
  <c r="G793" i="50"/>
  <c r="G791" i="50"/>
  <c r="AA782" i="50"/>
  <c r="G792" i="50"/>
  <c r="G724" i="50"/>
  <c r="G725" i="50"/>
  <c r="AA714" i="50"/>
  <c r="G723" i="50"/>
  <c r="H792" i="50"/>
  <c r="AA783" i="50"/>
  <c r="H793" i="50"/>
  <c r="H791" i="50"/>
  <c r="AA766" i="50"/>
  <c r="H774" i="50"/>
  <c r="H775" i="50"/>
  <c r="H776" i="50"/>
  <c r="J725" i="50"/>
  <c r="AA717" i="50"/>
  <c r="J724" i="50"/>
  <c r="J723" i="50"/>
  <c r="G827" i="50"/>
  <c r="G825" i="50"/>
  <c r="AA816" i="50"/>
  <c r="G826" i="50"/>
  <c r="I793" i="50"/>
  <c r="I791" i="50"/>
  <c r="AA784" i="50"/>
  <c r="I792" i="50"/>
  <c r="G691" i="50"/>
  <c r="G689" i="50"/>
  <c r="AA680" i="50"/>
  <c r="G690" i="50"/>
  <c r="H826" i="50"/>
  <c r="AA817" i="50"/>
  <c r="H825" i="50"/>
  <c r="H827" i="50"/>
  <c r="AA815" i="50"/>
  <c r="F826" i="50"/>
  <c r="F827" i="50"/>
  <c r="F825" i="50"/>
  <c r="Z699" i="50"/>
  <c r="I700" i="50"/>
  <c r="I698" i="50"/>
  <c r="I699" i="50"/>
  <c r="J802" i="50"/>
  <c r="J800" i="50"/>
  <c r="J801" i="50"/>
  <c r="Z802" i="50"/>
  <c r="G698" i="50"/>
  <c r="G699" i="50"/>
  <c r="Z697" i="50"/>
  <c r="G700" i="50"/>
  <c r="F835" i="50"/>
  <c r="F834" i="50"/>
  <c r="F836" i="50"/>
  <c r="Z832" i="50"/>
  <c r="Z698" i="50"/>
  <c r="F785" i="50"/>
  <c r="F783" i="50"/>
  <c r="F784" i="50"/>
  <c r="Z781" i="50"/>
  <c r="Z834" i="50"/>
  <c r="Z784" i="50"/>
  <c r="Z835" i="50"/>
  <c r="I834" i="50"/>
  <c r="I835" i="50"/>
  <c r="I836" i="50"/>
  <c r="H817" i="50"/>
  <c r="Z782" i="50"/>
  <c r="G785" i="50"/>
  <c r="G783" i="50"/>
  <c r="G784" i="50"/>
  <c r="Z680" i="50"/>
  <c r="G683" i="50"/>
  <c r="G681" i="50"/>
  <c r="G682" i="50"/>
  <c r="F700" i="50"/>
  <c r="Z696" i="50"/>
  <c r="F699" i="50"/>
  <c r="F698" i="50"/>
  <c r="AA798" i="50"/>
  <c r="F810" i="50"/>
  <c r="F808" i="50"/>
  <c r="F809" i="50"/>
  <c r="I826" i="50"/>
  <c r="I827" i="50"/>
  <c r="AA818" i="50"/>
  <c r="I825" i="50"/>
  <c r="K792" i="50"/>
  <c r="K791" i="50"/>
  <c r="K793" i="50"/>
  <c r="AA786" i="50"/>
  <c r="I759" i="50"/>
  <c r="I757" i="50"/>
  <c r="AA750" i="50"/>
  <c r="I758" i="50"/>
  <c r="K725" i="50"/>
  <c r="K723" i="50"/>
  <c r="AA718" i="50"/>
  <c r="K724" i="50"/>
  <c r="I691" i="50"/>
  <c r="I689" i="50"/>
  <c r="AA682" i="50"/>
  <c r="I690" i="50"/>
  <c r="J826" i="50"/>
  <c r="AA819" i="50"/>
  <c r="J825" i="50"/>
  <c r="J827" i="50"/>
  <c r="H690" i="50"/>
  <c r="AA681" i="50"/>
  <c r="H689" i="50"/>
  <c r="H691" i="50"/>
  <c r="AA713" i="50"/>
  <c r="F723" i="50"/>
  <c r="F725" i="50"/>
  <c r="F724" i="50"/>
  <c r="J774" i="50"/>
  <c r="AA768" i="50"/>
  <c r="J776" i="50"/>
  <c r="J775" i="50"/>
  <c r="I809" i="50"/>
  <c r="I810" i="50"/>
  <c r="AA801" i="50"/>
  <c r="I808" i="50"/>
  <c r="G776" i="50"/>
  <c r="G775" i="50"/>
  <c r="G774" i="50"/>
  <c r="AA765" i="50"/>
  <c r="I742" i="50"/>
  <c r="AA733" i="50"/>
  <c r="I741" i="50"/>
  <c r="I740" i="50"/>
  <c r="G708" i="50"/>
  <c r="G707" i="50"/>
  <c r="AA697" i="50"/>
  <c r="G706" i="50"/>
  <c r="K784" i="50"/>
  <c r="K785" i="50"/>
  <c r="Z786" i="50"/>
  <c r="K783" i="50"/>
  <c r="Z801" i="50"/>
  <c r="I802" i="50"/>
  <c r="I800" i="50"/>
  <c r="I801" i="50"/>
  <c r="K682" i="50"/>
  <c r="Z684" i="50"/>
  <c r="K683" i="50"/>
  <c r="K681" i="50"/>
  <c r="G801" i="50"/>
  <c r="G802" i="50"/>
  <c r="Z799" i="50"/>
  <c r="G800" i="50"/>
  <c r="K818" i="50"/>
  <c r="K819" i="50"/>
  <c r="Z820" i="50"/>
  <c r="K817" i="50"/>
  <c r="G716" i="50"/>
  <c r="G717" i="50"/>
  <c r="Z714" i="50"/>
  <c r="G715" i="50"/>
  <c r="K733" i="50"/>
  <c r="Z735" i="50"/>
  <c r="K732" i="50"/>
  <c r="K734" i="50"/>
  <c r="G818" i="50"/>
  <c r="Z816" i="50"/>
  <c r="G819" i="50"/>
  <c r="G817" i="50"/>
  <c r="F768" i="50"/>
  <c r="F767" i="50"/>
  <c r="F766" i="50"/>
  <c r="Z764" i="50"/>
  <c r="I819" i="50"/>
  <c r="Z748" i="50"/>
  <c r="G751" i="50"/>
  <c r="G749" i="50"/>
  <c r="G750" i="50"/>
  <c r="M46" i="58"/>
  <c r="K260" i="50"/>
  <c r="AA238" i="50"/>
  <c r="H604" i="50"/>
  <c r="F261" i="50"/>
  <c r="F606" i="50"/>
  <c r="AA598" i="50"/>
  <c r="G245" i="50"/>
  <c r="I243" i="50"/>
  <c r="J262" i="50"/>
  <c r="I262" i="50"/>
  <c r="F604" i="50"/>
  <c r="H606" i="50"/>
  <c r="J605" i="50"/>
  <c r="H228" i="50"/>
  <c r="J243" i="50"/>
  <c r="G226" i="50"/>
  <c r="AA219" i="50"/>
  <c r="K226" i="50"/>
  <c r="AA234" i="50"/>
  <c r="AA233" i="50"/>
  <c r="H243" i="50"/>
  <c r="K245" i="50"/>
  <c r="G260" i="50"/>
  <c r="AA253" i="50"/>
  <c r="H262" i="50"/>
  <c r="J228" i="50"/>
  <c r="F227" i="50"/>
  <c r="I228" i="50"/>
  <c r="AA221" i="50"/>
  <c r="K228" i="50"/>
  <c r="J245" i="50"/>
  <c r="G243" i="50"/>
  <c r="F244" i="50"/>
  <c r="AA236" i="50"/>
  <c r="I245" i="50"/>
  <c r="H245" i="50"/>
  <c r="K243" i="50"/>
  <c r="J260" i="50"/>
  <c r="AA251" i="50"/>
  <c r="G262" i="50"/>
  <c r="AA250" i="50"/>
  <c r="I260" i="50"/>
  <c r="H260" i="50"/>
  <c r="AA255" i="50"/>
  <c r="K262" i="50"/>
  <c r="F605" i="50"/>
  <c r="AA596" i="50"/>
  <c r="H605" i="50"/>
  <c r="J604" i="50"/>
  <c r="J226" i="50"/>
  <c r="AA217" i="50"/>
  <c r="G228" i="50"/>
  <c r="AA216" i="50"/>
  <c r="I226" i="50"/>
  <c r="H226" i="50"/>
  <c r="AA204" i="50"/>
  <c r="K211" i="50"/>
  <c r="K209" i="50"/>
  <c r="I604" i="50"/>
  <c r="AA597" i="50"/>
  <c r="I606" i="50"/>
  <c r="G605" i="50"/>
  <c r="I159" i="50"/>
  <c r="AA167" i="50"/>
  <c r="J193" i="50"/>
  <c r="AA220" i="50"/>
  <c r="J227" i="50"/>
  <c r="F226" i="50"/>
  <c r="F228" i="50"/>
  <c r="AA218" i="50"/>
  <c r="H227" i="50"/>
  <c r="AA237" i="50"/>
  <c r="J244" i="50"/>
  <c r="F243" i="50"/>
  <c r="F245" i="50"/>
  <c r="AA235" i="50"/>
  <c r="H244" i="50"/>
  <c r="AA254" i="50"/>
  <c r="J261" i="50"/>
  <c r="F260" i="50"/>
  <c r="F262" i="50"/>
  <c r="AA252" i="50"/>
  <c r="H261" i="50"/>
  <c r="F158" i="50"/>
  <c r="F177" i="50"/>
  <c r="K176" i="50"/>
  <c r="F194" i="50"/>
  <c r="AA184" i="50"/>
  <c r="K193" i="50"/>
  <c r="AA595" i="50"/>
  <c r="G604" i="50"/>
  <c r="F303" i="50"/>
  <c r="F304" i="50"/>
  <c r="Z301" i="50"/>
  <c r="F305" i="50"/>
  <c r="G312" i="50"/>
  <c r="AA302" i="50"/>
  <c r="G313" i="50"/>
  <c r="G311" i="50"/>
  <c r="I305" i="50"/>
  <c r="I303" i="50"/>
  <c r="Z304" i="50"/>
  <c r="I304" i="50"/>
  <c r="H313" i="50"/>
  <c r="H311" i="50"/>
  <c r="H312" i="50"/>
  <c r="AA303" i="50"/>
  <c r="Z302" i="50"/>
  <c r="G304" i="50"/>
  <c r="G303" i="50"/>
  <c r="G305" i="50"/>
  <c r="Z305" i="50"/>
  <c r="J303" i="50"/>
  <c r="J305" i="50"/>
  <c r="J304" i="50"/>
  <c r="AC76" i="50"/>
  <c r="I327" i="50"/>
  <c r="I326" i="50" s="1"/>
  <c r="F319" i="50"/>
  <c r="F318" i="50" s="1"/>
  <c r="H319" i="50"/>
  <c r="H318" i="50" s="1"/>
  <c r="G319" i="50"/>
  <c r="G318" i="50" s="1"/>
  <c r="K319" i="50"/>
  <c r="K318" i="50" s="1"/>
  <c r="J319" i="50"/>
  <c r="J318" i="50" s="1"/>
  <c r="I319" i="50"/>
  <c r="I318" i="50" s="1"/>
  <c r="H327" i="50"/>
  <c r="H326" i="50" s="1"/>
  <c r="K327" i="50"/>
  <c r="K326" i="50" s="1"/>
  <c r="G327" i="50"/>
  <c r="G326" i="50" s="1"/>
  <c r="J327" i="50"/>
  <c r="J326" i="50" s="1"/>
  <c r="F327" i="50"/>
  <c r="F326" i="50" s="1"/>
  <c r="H304" i="50"/>
  <c r="Z303" i="50"/>
  <c r="H305" i="50"/>
  <c r="H303" i="50"/>
  <c r="K313" i="50"/>
  <c r="K312" i="50"/>
  <c r="K311" i="50"/>
  <c r="AA306" i="50"/>
  <c r="I312" i="50"/>
  <c r="I313" i="50"/>
  <c r="AA304" i="50"/>
  <c r="I311" i="50"/>
  <c r="K305" i="50"/>
  <c r="Z306" i="50"/>
  <c r="K303" i="50"/>
  <c r="K304" i="50"/>
  <c r="J313" i="50"/>
  <c r="AA305" i="50"/>
  <c r="J312" i="50"/>
  <c r="J311" i="50"/>
  <c r="F313" i="50"/>
  <c r="F311" i="50"/>
  <c r="AA301" i="50"/>
  <c r="F312" i="50"/>
  <c r="H159" i="50"/>
  <c r="AA152" i="50"/>
  <c r="G159" i="50"/>
  <c r="J176" i="50"/>
  <c r="F192" i="50"/>
  <c r="I193" i="50"/>
  <c r="H193" i="50"/>
  <c r="AA186" i="50"/>
  <c r="G193" i="50"/>
  <c r="J657" i="50"/>
  <c r="J656" i="50"/>
  <c r="J655" i="50"/>
  <c r="AA649" i="50"/>
  <c r="G657" i="50"/>
  <c r="G656" i="50"/>
  <c r="G655" i="50"/>
  <c r="AA646" i="50"/>
  <c r="AA645" i="50"/>
  <c r="F657" i="50"/>
  <c r="F656" i="50"/>
  <c r="F655" i="50"/>
  <c r="I657" i="50"/>
  <c r="I656" i="50"/>
  <c r="I655" i="50"/>
  <c r="AA648" i="50"/>
  <c r="H657" i="50"/>
  <c r="H656" i="50"/>
  <c r="H655" i="50"/>
  <c r="AA647" i="50"/>
  <c r="K657" i="50"/>
  <c r="K656" i="50"/>
  <c r="K655" i="50"/>
  <c r="AA650" i="50"/>
  <c r="F160" i="50"/>
  <c r="AA150" i="50"/>
  <c r="K159" i="50"/>
  <c r="J159" i="50"/>
  <c r="F175" i="50"/>
  <c r="I176" i="50"/>
  <c r="H176" i="50"/>
  <c r="AA169" i="50"/>
  <c r="G176" i="50"/>
  <c r="F193" i="50"/>
  <c r="AA185" i="50"/>
  <c r="I192" i="50"/>
  <c r="H192" i="50"/>
  <c r="AA187" i="50"/>
  <c r="K192" i="50"/>
  <c r="J192" i="50"/>
  <c r="AA183" i="50"/>
  <c r="G192" i="50"/>
  <c r="J640" i="50"/>
  <c r="J639" i="50"/>
  <c r="J638" i="50"/>
  <c r="AA632" i="50"/>
  <c r="G640" i="50"/>
  <c r="G639" i="50"/>
  <c r="G638" i="50"/>
  <c r="AA629" i="50"/>
  <c r="AA628" i="50"/>
  <c r="F640" i="50"/>
  <c r="F639" i="50"/>
  <c r="F638" i="50"/>
  <c r="I640" i="50"/>
  <c r="I639" i="50"/>
  <c r="I638" i="50"/>
  <c r="AA631" i="50"/>
  <c r="H640" i="50"/>
  <c r="H639" i="50"/>
  <c r="H638" i="50"/>
  <c r="AA630" i="50"/>
  <c r="K640" i="50"/>
  <c r="K639" i="50"/>
  <c r="K638" i="50"/>
  <c r="AA633" i="50"/>
  <c r="J623" i="50"/>
  <c r="J622" i="50"/>
  <c r="J621" i="50"/>
  <c r="AA615" i="50"/>
  <c r="G623" i="50"/>
  <c r="G622" i="50"/>
  <c r="G621" i="50"/>
  <c r="AA612" i="50"/>
  <c r="AA611" i="50"/>
  <c r="F623" i="50"/>
  <c r="F622" i="50"/>
  <c r="F621" i="50"/>
  <c r="I623" i="50"/>
  <c r="I622" i="50"/>
  <c r="I621" i="50"/>
  <c r="AA614" i="50"/>
  <c r="H623" i="50"/>
  <c r="H622" i="50"/>
  <c r="H621" i="50"/>
  <c r="AA613" i="50"/>
  <c r="K623" i="50"/>
  <c r="K622" i="50"/>
  <c r="K621" i="50"/>
  <c r="AA616" i="50"/>
  <c r="K606" i="50"/>
  <c r="K605" i="50"/>
  <c r="K604" i="50"/>
  <c r="AA599" i="50"/>
  <c r="F200" i="50"/>
  <c r="F203" i="50" s="1"/>
  <c r="F159" i="50"/>
  <c r="AA151" i="50"/>
  <c r="I158" i="50"/>
  <c r="H158" i="50"/>
  <c r="AA153" i="50"/>
  <c r="K158" i="50"/>
  <c r="J158" i="50"/>
  <c r="AA149" i="50"/>
  <c r="G158" i="50"/>
  <c r="F176" i="50"/>
  <c r="AA168" i="50"/>
  <c r="I175" i="50"/>
  <c r="H175" i="50"/>
  <c r="AA170" i="50"/>
  <c r="K175" i="50"/>
  <c r="J175" i="50"/>
  <c r="AA166" i="50"/>
  <c r="G175" i="50"/>
  <c r="J149" i="50"/>
  <c r="K149" i="50"/>
  <c r="J279" i="50"/>
  <c r="J278" i="50"/>
  <c r="J277" i="50"/>
  <c r="AA271" i="50"/>
  <c r="G279" i="50"/>
  <c r="G278" i="50"/>
  <c r="G277" i="50"/>
  <c r="AA268" i="50"/>
  <c r="AA267" i="50"/>
  <c r="F279" i="50"/>
  <c r="F278" i="50"/>
  <c r="F277" i="50"/>
  <c r="I279" i="50"/>
  <c r="I278" i="50"/>
  <c r="I277" i="50"/>
  <c r="AA270" i="50"/>
  <c r="H279" i="50"/>
  <c r="H278" i="50"/>
  <c r="H277" i="50"/>
  <c r="AA269" i="50"/>
  <c r="K279" i="50"/>
  <c r="K278" i="50"/>
  <c r="K277" i="50"/>
  <c r="AA272" i="50"/>
  <c r="J211" i="50"/>
  <c r="J210" i="50"/>
  <c r="J209" i="50"/>
  <c r="AA203" i="50"/>
  <c r="G211" i="50"/>
  <c r="G210" i="50"/>
  <c r="G209" i="50"/>
  <c r="AA200" i="50"/>
  <c r="AA199" i="50"/>
  <c r="F211" i="50"/>
  <c r="F210" i="50"/>
  <c r="F209" i="50"/>
  <c r="I211" i="50"/>
  <c r="I210" i="50"/>
  <c r="I209" i="50"/>
  <c r="AA202" i="50"/>
  <c r="H211" i="50"/>
  <c r="H210" i="50"/>
  <c r="H209" i="50"/>
  <c r="AA201" i="50"/>
  <c r="R178" i="15"/>
  <c r="E242" i="15"/>
  <c r="E241" i="15" s="1"/>
  <c r="E240" i="15" s="1"/>
  <c r="E385" i="15"/>
  <c r="E384" i="15" s="1"/>
  <c r="T159" i="15"/>
  <c r="M68" i="58"/>
  <c r="L84" i="58"/>
  <c r="M220" i="58"/>
  <c r="L236" i="58"/>
  <c r="Q72" i="58"/>
  <c r="Q88" i="58" s="1"/>
  <c r="P88" i="58"/>
  <c r="L122" i="58"/>
  <c r="M106" i="58"/>
  <c r="N145" i="58"/>
  <c r="M161" i="58"/>
  <c r="J65" i="58"/>
  <c r="I81" i="58"/>
  <c r="Q148" i="58"/>
  <c r="Q164" i="58" s="1"/>
  <c r="P164" i="58"/>
  <c r="Q186" i="58"/>
  <c r="Q202" i="58" s="1"/>
  <c r="P202" i="58"/>
  <c r="I216" i="58"/>
  <c r="H232" i="58"/>
  <c r="N297" i="58"/>
  <c r="M313" i="58"/>
  <c r="N373" i="58"/>
  <c r="M389" i="58"/>
  <c r="I119" i="58"/>
  <c r="J103" i="58"/>
  <c r="N221" i="58"/>
  <c r="M237" i="58"/>
  <c r="Q300" i="58"/>
  <c r="Q316" i="58" s="1"/>
  <c r="P316" i="58"/>
  <c r="Q338" i="58"/>
  <c r="Q354" i="58" s="1"/>
  <c r="P354" i="58"/>
  <c r="I368" i="58"/>
  <c r="H384" i="58"/>
  <c r="Q376" i="58"/>
  <c r="Q392" i="58" s="1"/>
  <c r="P392" i="58"/>
  <c r="M144" i="58"/>
  <c r="L160" i="58"/>
  <c r="I254" i="58"/>
  <c r="H270" i="58"/>
  <c r="Q262" i="58"/>
  <c r="Q278" i="58" s="1"/>
  <c r="P278" i="58"/>
  <c r="M296" i="58"/>
  <c r="L312" i="58"/>
  <c r="M334" i="58"/>
  <c r="L350" i="58"/>
  <c r="I178" i="58"/>
  <c r="H194" i="58"/>
  <c r="J217" i="58"/>
  <c r="I233" i="58"/>
  <c r="N259" i="58"/>
  <c r="M275" i="58"/>
  <c r="J331" i="58"/>
  <c r="I347" i="58"/>
  <c r="N124" i="58"/>
  <c r="O108" i="58"/>
  <c r="O125" i="58"/>
  <c r="P109" i="58"/>
  <c r="H80" i="58"/>
  <c r="J141" i="58"/>
  <c r="I157" i="58"/>
  <c r="Q224" i="58"/>
  <c r="Q240" i="58" s="1"/>
  <c r="P240" i="58"/>
  <c r="H118" i="58"/>
  <c r="I102" i="58"/>
  <c r="P126" i="58"/>
  <c r="Q110" i="58"/>
  <c r="Q126" i="58" s="1"/>
  <c r="M372" i="58"/>
  <c r="L388" i="58"/>
  <c r="I140" i="58"/>
  <c r="H156" i="58"/>
  <c r="J255" i="58"/>
  <c r="I271" i="58"/>
  <c r="N335" i="58"/>
  <c r="M351" i="58"/>
  <c r="N69" i="58"/>
  <c r="M85" i="58"/>
  <c r="M123" i="58"/>
  <c r="N107" i="58"/>
  <c r="N183" i="58"/>
  <c r="M199" i="58"/>
  <c r="J179" i="58"/>
  <c r="I195" i="58"/>
  <c r="M258" i="58"/>
  <c r="L274" i="58"/>
  <c r="I292" i="58"/>
  <c r="H308" i="58"/>
  <c r="I330" i="58"/>
  <c r="H346" i="58"/>
  <c r="J369" i="58"/>
  <c r="I385" i="58"/>
  <c r="M182" i="58"/>
  <c r="L198" i="58"/>
  <c r="J293" i="58"/>
  <c r="I309" i="58"/>
  <c r="K121" i="58"/>
  <c r="L105" i="58"/>
  <c r="J120" i="58"/>
  <c r="K104" i="58"/>
  <c r="O201" i="58"/>
  <c r="P185" i="58"/>
  <c r="K197" i="58"/>
  <c r="L181" i="58"/>
  <c r="O163" i="58"/>
  <c r="P147" i="58"/>
  <c r="K159" i="58"/>
  <c r="L143" i="58"/>
  <c r="O353" i="58"/>
  <c r="P337" i="58"/>
  <c r="K349" i="58"/>
  <c r="L333" i="58"/>
  <c r="O315" i="58"/>
  <c r="P299" i="58"/>
  <c r="K311" i="58"/>
  <c r="L295" i="58"/>
  <c r="N276" i="58"/>
  <c r="O260" i="58"/>
  <c r="K83" i="58"/>
  <c r="L67" i="58"/>
  <c r="K273" i="58"/>
  <c r="L257" i="58"/>
  <c r="N238" i="58"/>
  <c r="O222" i="58"/>
  <c r="J82" i="58"/>
  <c r="K66" i="58"/>
  <c r="O87" i="58"/>
  <c r="P71" i="58"/>
  <c r="K235" i="58"/>
  <c r="L219" i="58"/>
  <c r="N200" i="58"/>
  <c r="O184" i="58"/>
  <c r="J196" i="58"/>
  <c r="K180" i="58"/>
  <c r="N162" i="58"/>
  <c r="O146" i="58"/>
  <c r="K387" i="58"/>
  <c r="L371" i="58"/>
  <c r="N352" i="58"/>
  <c r="O336" i="58"/>
  <c r="J348" i="58"/>
  <c r="K332" i="58"/>
  <c r="N314" i="58"/>
  <c r="O298" i="58"/>
  <c r="J310" i="58"/>
  <c r="K294" i="58"/>
  <c r="O277" i="58"/>
  <c r="P261" i="58"/>
  <c r="J272" i="58"/>
  <c r="K256" i="58"/>
  <c r="N86" i="58"/>
  <c r="O70" i="58"/>
  <c r="J234" i="58"/>
  <c r="K218" i="58"/>
  <c r="O391" i="58"/>
  <c r="P375" i="58"/>
  <c r="J158" i="58"/>
  <c r="K142" i="58"/>
  <c r="O239" i="58"/>
  <c r="P223" i="58"/>
  <c r="J386" i="58"/>
  <c r="K370" i="58"/>
  <c r="N390" i="58"/>
  <c r="O374" i="58"/>
  <c r="L29" i="58"/>
  <c r="L45" i="58" s="1"/>
  <c r="I43" i="58"/>
  <c r="G356" i="15"/>
  <c r="G362" i="15" s="1"/>
  <c r="C360" i="7"/>
  <c r="O22" i="38"/>
  <c r="P83" i="15" s="1"/>
  <c r="M21" i="38"/>
  <c r="N82" i="15" s="1"/>
  <c r="P21" i="38"/>
  <c r="Q82" i="15" s="1"/>
  <c r="D242" i="38"/>
  <c r="D240" i="38" s="1"/>
  <c r="H90" i="37"/>
  <c r="AF90" i="37"/>
  <c r="R90" i="37"/>
  <c r="J90" i="37"/>
  <c r="N90" i="37"/>
  <c r="Q90" i="37"/>
  <c r="O90" i="37"/>
  <c r="I90" i="37"/>
  <c r="M90" i="37"/>
  <c r="K90" i="37"/>
  <c r="P90" i="37"/>
  <c r="F90" i="37"/>
  <c r="G90" i="37"/>
  <c r="D230" i="38"/>
  <c r="D228" i="38" s="1"/>
  <c r="F242" i="15"/>
  <c r="F241" i="15" s="1"/>
  <c r="F240" i="15" s="1"/>
  <c r="E410" i="15"/>
  <c r="E409" i="15" s="1"/>
  <c r="E408" i="15" s="1"/>
  <c r="B153" i="15"/>
  <c r="I128" i="15" s="1"/>
  <c r="AW27" i="14"/>
  <c r="E338" i="15"/>
  <c r="F332" i="15"/>
  <c r="AB16" i="15"/>
  <c r="O33" i="38"/>
  <c r="P94" i="15" s="1"/>
  <c r="L33" i="38"/>
  <c r="M94" i="15" s="1"/>
  <c r="L22" i="38"/>
  <c r="M83" i="15" s="1"/>
  <c r="P33" i="58"/>
  <c r="O49" i="58"/>
  <c r="C113" i="38"/>
  <c r="I113" i="38" s="1"/>
  <c r="D326" i="38"/>
  <c r="D324" i="38" s="1"/>
  <c r="C101" i="38"/>
  <c r="I101" i="38" s="1"/>
  <c r="G88" i="37"/>
  <c r="P88" i="37"/>
  <c r="K88" i="37"/>
  <c r="AF88" i="37"/>
  <c r="R88" i="37"/>
  <c r="Q88" i="37"/>
  <c r="H88" i="37"/>
  <c r="O88" i="37"/>
  <c r="F88" i="37"/>
  <c r="M88" i="37"/>
  <c r="N88" i="37"/>
  <c r="I88" i="37"/>
  <c r="J88" i="37"/>
  <c r="AF86" i="37"/>
  <c r="M86" i="37"/>
  <c r="N86" i="37"/>
  <c r="J86" i="37"/>
  <c r="F86" i="37"/>
  <c r="I86" i="37"/>
  <c r="G86" i="37"/>
  <c r="O86" i="37"/>
  <c r="P86" i="37"/>
  <c r="R86" i="37"/>
  <c r="Q86" i="37"/>
  <c r="H86" i="37"/>
  <c r="K86" i="37"/>
  <c r="E26" i="15"/>
  <c r="D443" i="7" s="1"/>
  <c r="AB348" i="7" s="1"/>
  <c r="B139" i="14"/>
  <c r="I72" i="53" s="1"/>
  <c r="AP71" i="14" s="1"/>
  <c r="D158" i="38"/>
  <c r="D156" i="38" s="1"/>
  <c r="G211" i="45"/>
  <c r="D170" i="38"/>
  <c r="D168" i="38" s="1"/>
  <c r="C338" i="7"/>
  <c r="D338" i="7" s="1"/>
  <c r="M33" i="38"/>
  <c r="N94" i="15" s="1"/>
  <c r="P33" i="38"/>
  <c r="Q94" i="15" s="1"/>
  <c r="C274" i="45"/>
  <c r="N25" i="15"/>
  <c r="F436" i="7" s="1"/>
  <c r="AJ347" i="7" s="1"/>
  <c r="N33" i="38"/>
  <c r="O94" i="15" s="1"/>
  <c r="E326" i="38"/>
  <c r="E324" i="38" s="1"/>
  <c r="D34" i="38" s="1"/>
  <c r="E95" i="15" s="1"/>
  <c r="F320" i="38"/>
  <c r="G320" i="38" s="1"/>
  <c r="M22" i="38"/>
  <c r="N22" i="38"/>
  <c r="O83" i="15" s="1"/>
  <c r="C28" i="45"/>
  <c r="E170" i="38"/>
  <c r="E168" i="38" s="1"/>
  <c r="D21" i="38" s="1"/>
  <c r="E82" i="15" s="1"/>
  <c r="F164" i="38"/>
  <c r="F170" i="38" s="1"/>
  <c r="F168" i="38" s="1"/>
  <c r="E21" i="38" s="1"/>
  <c r="F82" i="15" s="1"/>
  <c r="F272" i="38"/>
  <c r="G211" i="44"/>
  <c r="N224" i="60"/>
  <c r="D109" i="38"/>
  <c r="D108" i="38" s="1"/>
  <c r="D120" i="38"/>
  <c r="AR495" i="50"/>
  <c r="AU92" i="50"/>
  <c r="BB92" i="50" s="1"/>
  <c r="C220" i="60"/>
  <c r="BB98" i="14"/>
  <c r="BC59" i="14"/>
  <c r="BC98" i="14" s="1"/>
  <c r="BC50" i="14"/>
  <c r="BB89" i="14"/>
  <c r="G47" i="47"/>
  <c r="G9" i="47" s="1"/>
  <c r="AN8" i="14" s="1"/>
  <c r="E116" i="38"/>
  <c r="P28" i="15"/>
  <c r="G35" i="15"/>
  <c r="D19" i="15"/>
  <c r="C64" i="44" s="1"/>
  <c r="M32" i="38"/>
  <c r="N93" i="15" s="1"/>
  <c r="M25" i="38"/>
  <c r="N86" i="15" s="1"/>
  <c r="D25" i="15"/>
  <c r="AL491" i="50"/>
  <c r="I578" i="50" s="1"/>
  <c r="I163" i="44"/>
  <c r="I168" i="45"/>
  <c r="B28" i="15"/>
  <c r="D28" i="15"/>
  <c r="AB28" i="15" s="1"/>
  <c r="G28" i="15"/>
  <c r="F175" i="44" s="1"/>
  <c r="G34" i="15"/>
  <c r="I26" i="15"/>
  <c r="P26" i="15"/>
  <c r="H156" i="44" s="1"/>
  <c r="E216" i="44"/>
  <c r="J32" i="15"/>
  <c r="I491" i="7" s="1"/>
  <c r="AG354" i="7" s="1"/>
  <c r="D35" i="15"/>
  <c r="P35" i="15"/>
  <c r="H264" i="44" s="1"/>
  <c r="E168" i="45"/>
  <c r="I34" i="15"/>
  <c r="H247" i="44" s="1"/>
  <c r="D32" i="15"/>
  <c r="C293" i="38" s="1"/>
  <c r="I293" i="38" s="1"/>
  <c r="Q28" i="15"/>
  <c r="I180" i="45" s="1"/>
  <c r="B26" i="15"/>
  <c r="H28" i="15"/>
  <c r="G175" i="45" s="1"/>
  <c r="F35" i="15"/>
  <c r="E259" i="44" s="1"/>
  <c r="O35" i="15"/>
  <c r="G264" i="45" s="1"/>
  <c r="H34" i="15"/>
  <c r="N28" i="15"/>
  <c r="E139" i="45"/>
  <c r="D419" i="7"/>
  <c r="AB345" i="7" s="1"/>
  <c r="E483" i="7"/>
  <c r="AC353" i="7" s="1"/>
  <c r="P24" i="15"/>
  <c r="H428" i="7" s="1"/>
  <c r="AL346" i="7" s="1"/>
  <c r="F22" i="15"/>
  <c r="G21" i="15"/>
  <c r="F91" i="44" s="1"/>
  <c r="O25" i="38"/>
  <c r="P25" i="38"/>
  <c r="E435" i="7"/>
  <c r="AC347" i="7" s="1"/>
  <c r="D484" i="7"/>
  <c r="AH353" i="7" s="1"/>
  <c r="D427" i="7"/>
  <c r="AB346" i="7" s="1"/>
  <c r="D26" i="15"/>
  <c r="C284" i="44" s="1"/>
  <c r="G24" i="15"/>
  <c r="F127" i="44" s="1"/>
  <c r="M24" i="15"/>
  <c r="E428" i="7" s="1"/>
  <c r="AI346" i="7" s="1"/>
  <c r="B19" i="15"/>
  <c r="N26" i="15"/>
  <c r="F156" i="45" s="1"/>
  <c r="Q25" i="15"/>
  <c r="I436" i="7" s="1"/>
  <c r="AM347" i="7" s="1"/>
  <c r="M26" i="15"/>
  <c r="E444" i="7" s="1"/>
  <c r="AI348" i="7" s="1"/>
  <c r="O25" i="15"/>
  <c r="I264" i="45"/>
  <c r="I516" i="7"/>
  <c r="AM357" i="7" s="1"/>
  <c r="G508" i="7"/>
  <c r="AK356" i="7" s="1"/>
  <c r="G252" i="44"/>
  <c r="E175" i="45"/>
  <c r="E175" i="44"/>
  <c r="E459" i="7"/>
  <c r="AC350" i="7" s="1"/>
  <c r="E452" i="7"/>
  <c r="AI349" i="7" s="1"/>
  <c r="I163" i="45"/>
  <c r="M34" i="15"/>
  <c r="E252" i="45" s="1"/>
  <c r="L34" i="15"/>
  <c r="I28" i="15"/>
  <c r="H459" i="7" s="1"/>
  <c r="AF350" i="7" s="1"/>
  <c r="D115" i="44"/>
  <c r="M28" i="15"/>
  <c r="E28" i="15"/>
  <c r="D175" i="44" s="1"/>
  <c r="D20" i="15"/>
  <c r="C149" i="38" s="1"/>
  <c r="I149" i="38" s="1"/>
  <c r="H35" i="15"/>
  <c r="I35" i="15"/>
  <c r="N35" i="15"/>
  <c r="F264" i="45" s="1"/>
  <c r="E35" i="15"/>
  <c r="I30" i="15"/>
  <c r="H199" i="45" s="1"/>
  <c r="P34" i="15"/>
  <c r="H252" i="44" s="1"/>
  <c r="Q34" i="15"/>
  <c r="I252" i="45" s="1"/>
  <c r="J35" i="15"/>
  <c r="L25" i="38"/>
  <c r="N25" i="38"/>
  <c r="O86" i="15" s="1"/>
  <c r="K25" i="38"/>
  <c r="L86" i="15" s="1"/>
  <c r="D216" i="45"/>
  <c r="I264" i="44"/>
  <c r="E211" i="45"/>
  <c r="D211" i="45"/>
  <c r="D127" i="44"/>
  <c r="D24" i="15"/>
  <c r="O24" i="15"/>
  <c r="G132" i="44" s="1"/>
  <c r="H24" i="15"/>
  <c r="G127" i="45" s="1"/>
  <c r="G252" i="45"/>
  <c r="N29" i="15"/>
  <c r="F468" i="7" s="1"/>
  <c r="AJ351" i="7" s="1"/>
  <c r="L33" i="15"/>
  <c r="J25" i="15"/>
  <c r="I435" i="7" s="1"/>
  <c r="AG347" i="7" s="1"/>
  <c r="H25" i="15"/>
  <c r="L25" i="15"/>
  <c r="C208" i="44"/>
  <c r="C208" i="45"/>
  <c r="C160" i="44"/>
  <c r="L160" i="44" s="1"/>
  <c r="C160" i="45"/>
  <c r="L160" i="45" s="1"/>
  <c r="C112" i="45"/>
  <c r="L112" i="45" s="1"/>
  <c r="D338" i="38"/>
  <c r="D336" i="38" s="1"/>
  <c r="E332" i="38"/>
  <c r="B85" i="15"/>
  <c r="I24" i="15"/>
  <c r="L24" i="15"/>
  <c r="N24" i="15"/>
  <c r="B24" i="15"/>
  <c r="E140" i="38"/>
  <c r="D146" i="38"/>
  <c r="D144" i="38" s="1"/>
  <c r="N32" i="15"/>
  <c r="F228" i="45" s="1"/>
  <c r="Q24" i="15"/>
  <c r="F24" i="15"/>
  <c r="E127" i="44" s="1"/>
  <c r="I25" i="15"/>
  <c r="H139" i="44" s="1"/>
  <c r="E25" i="15"/>
  <c r="C232" i="45"/>
  <c r="L232" i="45" s="1"/>
  <c r="G25" i="15"/>
  <c r="C40" i="44"/>
  <c r="C40" i="45"/>
  <c r="P25" i="15"/>
  <c r="H144" i="44" s="1"/>
  <c r="B25" i="15"/>
  <c r="M25" i="15"/>
  <c r="E144" i="44" s="1"/>
  <c r="B86" i="15"/>
  <c r="L32" i="38"/>
  <c r="M93" i="15" s="1"/>
  <c r="K32" i="38"/>
  <c r="N32" i="38"/>
  <c r="O93" i="15" s="1"/>
  <c r="O32" i="38"/>
  <c r="P93" i="15" s="1"/>
  <c r="B96" i="15"/>
  <c r="B35" i="15"/>
  <c r="M35" i="15"/>
  <c r="L35" i="15"/>
  <c r="B95" i="15"/>
  <c r="D34" i="15"/>
  <c r="C317" i="38" s="1"/>
  <c r="I317" i="38" s="1"/>
  <c r="E34" i="15"/>
  <c r="N34" i="15"/>
  <c r="B34" i="15"/>
  <c r="J34" i="15"/>
  <c r="F34" i="15"/>
  <c r="J28" i="15"/>
  <c r="L28" i="15"/>
  <c r="B89" i="15"/>
  <c r="B81" i="15"/>
  <c r="BB80" i="14"/>
  <c r="BB119" i="14" s="1"/>
  <c r="D211" i="44"/>
  <c r="G120" i="45"/>
  <c r="E484" i="7"/>
  <c r="AI353" i="7" s="1"/>
  <c r="B79" i="15"/>
  <c r="D18" i="15"/>
  <c r="C125" i="38" s="1"/>
  <c r="I125" i="38" s="1"/>
  <c r="B18" i="15"/>
  <c r="E128" i="38"/>
  <c r="D134" i="38"/>
  <c r="D132" i="38" s="1"/>
  <c r="E260" i="38"/>
  <c r="D266" i="38"/>
  <c r="D264" i="38" s="1"/>
  <c r="E200" i="38"/>
  <c r="D206" i="38"/>
  <c r="D204" i="38" s="1"/>
  <c r="B30" i="15"/>
  <c r="J30" i="15"/>
  <c r="N30" i="15"/>
  <c r="B91" i="15"/>
  <c r="Q30" i="15"/>
  <c r="O30" i="15"/>
  <c r="M30" i="15"/>
  <c r="F30" i="15"/>
  <c r="G30" i="15"/>
  <c r="L30" i="15"/>
  <c r="D204" i="45" s="1"/>
  <c r="D30" i="15"/>
  <c r="P30" i="15"/>
  <c r="H204" i="44" s="1"/>
  <c r="B94" i="15"/>
  <c r="E33" i="15"/>
  <c r="J33" i="15"/>
  <c r="O33" i="15"/>
  <c r="B33" i="15"/>
  <c r="G33" i="15"/>
  <c r="F235" i="45" s="1"/>
  <c r="B82" i="15"/>
  <c r="B21" i="15"/>
  <c r="Q21" i="15"/>
  <c r="M21" i="15"/>
  <c r="I21" i="15"/>
  <c r="H21" i="15"/>
  <c r="F21" i="15"/>
  <c r="E21" i="15"/>
  <c r="N21" i="15"/>
  <c r="D21" i="15"/>
  <c r="AB21" i="15" s="1"/>
  <c r="B83" i="15"/>
  <c r="N22" i="15"/>
  <c r="J22" i="15"/>
  <c r="Q22" i="15"/>
  <c r="O22" i="15"/>
  <c r="E22" i="15"/>
  <c r="I22" i="15"/>
  <c r="B22" i="15"/>
  <c r="M22" i="15"/>
  <c r="P22" i="15"/>
  <c r="H412" i="7" s="1"/>
  <c r="AL344" i="7" s="1"/>
  <c r="G22" i="15"/>
  <c r="D22" i="15"/>
  <c r="D108" i="45"/>
  <c r="H22" i="15"/>
  <c r="E30" i="15"/>
  <c r="D199" i="44" s="1"/>
  <c r="O21" i="15"/>
  <c r="L21" i="15"/>
  <c r="J21" i="15"/>
  <c r="I91" i="44" s="1"/>
  <c r="H163" i="44"/>
  <c r="H451" i="7"/>
  <c r="AF349" i="7" s="1"/>
  <c r="F163" i="44"/>
  <c r="F451" i="7"/>
  <c r="AD349" i="7" s="1"/>
  <c r="B90" i="15"/>
  <c r="I29" i="15"/>
  <c r="Q29" i="15"/>
  <c r="J29" i="15"/>
  <c r="M29" i="15"/>
  <c r="D29" i="15"/>
  <c r="C257" i="38" s="1"/>
  <c r="I257" i="38" s="1"/>
  <c r="P29" i="15"/>
  <c r="G29" i="15"/>
  <c r="L29" i="15"/>
  <c r="O29" i="15"/>
  <c r="E29" i="15"/>
  <c r="H29" i="15"/>
  <c r="G467" i="7" s="1"/>
  <c r="AE351" i="7" s="1"/>
  <c r="F29" i="15"/>
  <c r="C349" i="7"/>
  <c r="D349" i="7" s="1"/>
  <c r="C345" i="7"/>
  <c r="D345" i="7" s="1"/>
  <c r="E284" i="38"/>
  <c r="D290" i="38"/>
  <c r="D288" i="38" s="1"/>
  <c r="D254" i="38"/>
  <c r="D252" i="38" s="1"/>
  <c r="E248" i="38"/>
  <c r="F32" i="15"/>
  <c r="B80" i="15"/>
  <c r="B87" i="15"/>
  <c r="O26" i="15"/>
  <c r="G26" i="15"/>
  <c r="F26" i="15"/>
  <c r="H26" i="15"/>
  <c r="L26" i="15"/>
  <c r="Q26" i="15"/>
  <c r="H216" i="44"/>
  <c r="AE80" i="37"/>
  <c r="G120" i="44"/>
  <c r="I452" i="7"/>
  <c r="AM349" i="7" s="1"/>
  <c r="I115" i="45"/>
  <c r="F272" i="15"/>
  <c r="E278" i="15"/>
  <c r="E277" i="15" s="1"/>
  <c r="E276" i="15" s="1"/>
  <c r="L79" i="15"/>
  <c r="C291" i="45"/>
  <c r="K291" i="45" s="1"/>
  <c r="AB17" i="15"/>
  <c r="C275" i="45"/>
  <c r="C480" i="7"/>
  <c r="C289" i="45"/>
  <c r="C285" i="44"/>
  <c r="P285" i="44" s="1"/>
  <c r="L285" i="44" s="1"/>
  <c r="C285" i="45"/>
  <c r="K285" i="45" s="1"/>
  <c r="AP60" i="37"/>
  <c r="AJ57" i="37"/>
  <c r="AN489" i="50"/>
  <c r="K544" i="50" s="1"/>
  <c r="AL55" i="37"/>
  <c r="I77" i="49"/>
  <c r="J77" i="49" s="1"/>
  <c r="J80" i="49" s="1"/>
  <c r="F68" i="47"/>
  <c r="C289" i="44"/>
  <c r="F211" i="44"/>
  <c r="I443" i="7"/>
  <c r="AG348" i="7" s="1"/>
  <c r="H452" i="7"/>
  <c r="AL349" i="7" s="1"/>
  <c r="F168" i="44"/>
  <c r="H96" i="44"/>
  <c r="F452" i="7"/>
  <c r="AJ349" i="7" s="1"/>
  <c r="C368" i="7"/>
  <c r="AB33" i="15"/>
  <c r="I211" i="44"/>
  <c r="I483" i="7"/>
  <c r="AG353" i="7" s="1"/>
  <c r="G163" i="44"/>
  <c r="H420" i="7"/>
  <c r="AL345" i="7" s="1"/>
  <c r="F216" i="45"/>
  <c r="C339" i="7"/>
  <c r="D339" i="7" s="1"/>
  <c r="D168" i="44"/>
  <c r="F484" i="7"/>
  <c r="AJ353" i="7" s="1"/>
  <c r="H211" i="45"/>
  <c r="I216" i="45"/>
  <c r="G452" i="7"/>
  <c r="AK349" i="7" s="1"/>
  <c r="E163" i="44"/>
  <c r="AB31" i="15"/>
  <c r="C448" i="7"/>
  <c r="H168" i="45"/>
  <c r="F120" i="44"/>
  <c r="H216" i="45"/>
  <c r="I427" i="7"/>
  <c r="AG346" i="7" s="1"/>
  <c r="E374" i="15"/>
  <c r="C353" i="7"/>
  <c r="D353" i="7" s="1"/>
  <c r="AB27" i="15"/>
  <c r="C281" i="44"/>
  <c r="P281" i="44" s="1"/>
  <c r="L281" i="44" s="1"/>
  <c r="F211" i="45"/>
  <c r="H96" i="45"/>
  <c r="I151" i="44"/>
  <c r="F380" i="15"/>
  <c r="F386" i="15" s="1"/>
  <c r="D108" i="44"/>
  <c r="D163" i="44"/>
  <c r="D163" i="45"/>
  <c r="G216" i="44"/>
  <c r="I115" i="44"/>
  <c r="I127" i="44"/>
  <c r="G216" i="45"/>
  <c r="B68" i="15"/>
  <c r="I42" i="15" s="1"/>
  <c r="Y27" i="15" s="1"/>
  <c r="C496" i="7"/>
  <c r="E326" i="15"/>
  <c r="F320" i="15"/>
  <c r="F416" i="15"/>
  <c r="E422" i="15"/>
  <c r="E421" i="15" s="1"/>
  <c r="E420" i="15" s="1"/>
  <c r="F398" i="15"/>
  <c r="G392" i="15"/>
  <c r="D120" i="44"/>
  <c r="H211" i="44"/>
  <c r="D120" i="45"/>
  <c r="D452" i="7"/>
  <c r="AH349" i="7" s="1"/>
  <c r="I484" i="7"/>
  <c r="AM353" i="7" s="1"/>
  <c r="E451" i="7"/>
  <c r="AC349" i="7" s="1"/>
  <c r="G168" i="45"/>
  <c r="H120" i="44"/>
  <c r="G163" i="45"/>
  <c r="E254" i="15"/>
  <c r="G404" i="15"/>
  <c r="F410" i="15"/>
  <c r="AR65" i="37"/>
  <c r="AN490" i="50"/>
  <c r="K561" i="50" s="1"/>
  <c r="O48" i="58"/>
  <c r="K44" i="58"/>
  <c r="O31" i="58"/>
  <c r="N47" i="58"/>
  <c r="K27" i="58"/>
  <c r="J43" i="58"/>
  <c r="O30" i="58"/>
  <c r="N46" i="58"/>
  <c r="AT96" i="50"/>
  <c r="AI94" i="50"/>
  <c r="AP61" i="15"/>
  <c r="BB110" i="14"/>
  <c r="BC71" i="14"/>
  <c r="BC110" i="14" s="1"/>
  <c r="BB104" i="14"/>
  <c r="BC65" i="14"/>
  <c r="BC104" i="14" s="1"/>
  <c r="BB106" i="14"/>
  <c r="BC67" i="14"/>
  <c r="BC106" i="14" s="1"/>
  <c r="BB105" i="14"/>
  <c r="BC66" i="14"/>
  <c r="BC105" i="14" s="1"/>
  <c r="BB93" i="14"/>
  <c r="BC54" i="14"/>
  <c r="BC93" i="14" s="1"/>
  <c r="BB100" i="14"/>
  <c r="BC61" i="14"/>
  <c r="BC100" i="14" s="1"/>
  <c r="BB109" i="14"/>
  <c r="BC70" i="14"/>
  <c r="BC109" i="14" s="1"/>
  <c r="BB102" i="14"/>
  <c r="BC63" i="14"/>
  <c r="BC102" i="14" s="1"/>
  <c r="BB96" i="14"/>
  <c r="BC57" i="14"/>
  <c r="BC96" i="14" s="1"/>
  <c r="BB103" i="14"/>
  <c r="BC64" i="14"/>
  <c r="BC103" i="14" s="1"/>
  <c r="BB99" i="14"/>
  <c r="BC60" i="14"/>
  <c r="BC99" i="14" s="1"/>
  <c r="BB92" i="14"/>
  <c r="BC53" i="14"/>
  <c r="BC92" i="14" s="1"/>
  <c r="BB97" i="14"/>
  <c r="BC58" i="14"/>
  <c r="BC97" i="14" s="1"/>
  <c r="BB94" i="14"/>
  <c r="BC55" i="14"/>
  <c r="BC94" i="14" s="1"/>
  <c r="BB90" i="14"/>
  <c r="BC51" i="14"/>
  <c r="BC90" i="14" s="1"/>
  <c r="BB101" i="14"/>
  <c r="BC62" i="14"/>
  <c r="BC101" i="14" s="1"/>
  <c r="BB111" i="14"/>
  <c r="BC72" i="14"/>
  <c r="BC111" i="14" s="1"/>
  <c r="BB113" i="14"/>
  <c r="BC74" i="14"/>
  <c r="BC113" i="14" s="1"/>
  <c r="BB95" i="14"/>
  <c r="BC56" i="14"/>
  <c r="BC95" i="14" s="1"/>
  <c r="BB112" i="14"/>
  <c r="BC73" i="14"/>
  <c r="BC112" i="14" s="1"/>
  <c r="BB107" i="14"/>
  <c r="BC68" i="14"/>
  <c r="BC107" i="14" s="1"/>
  <c r="BB91" i="14"/>
  <c r="BC52" i="14"/>
  <c r="BC91" i="14" s="1"/>
  <c r="AJ495" i="50"/>
  <c r="G646" i="50" s="1"/>
  <c r="AX519" i="50"/>
  <c r="AJ493" i="50"/>
  <c r="G612" i="50" s="1"/>
  <c r="AT490" i="50"/>
  <c r="AS94" i="50"/>
  <c r="AR94" i="50"/>
  <c r="AL64" i="15"/>
  <c r="AQ492" i="50"/>
  <c r="AS96" i="50"/>
  <c r="AR493" i="50"/>
  <c r="AJ93" i="50"/>
  <c r="F141" i="47"/>
  <c r="H67" i="47"/>
  <c r="H69" i="47" s="1"/>
  <c r="H65" i="47" s="1"/>
  <c r="H10" i="47" s="1"/>
  <c r="AO9" i="14" s="1"/>
  <c r="H123" i="47"/>
  <c r="F69" i="47"/>
  <c r="F65" i="47" s="1"/>
  <c r="F10" i="47" s="1"/>
  <c r="AM9" i="14" s="1"/>
  <c r="J29" i="49"/>
  <c r="D19" i="49"/>
  <c r="AF7" i="14" s="1"/>
  <c r="AF17" i="14" s="1"/>
  <c r="AN98" i="50"/>
  <c r="AN66" i="37"/>
  <c r="H115" i="45"/>
  <c r="H115" i="44"/>
  <c r="F115" i="44"/>
  <c r="F296" i="38"/>
  <c r="E302" i="38"/>
  <c r="E300" i="38" s="1"/>
  <c r="D32" i="38" s="1"/>
  <c r="E93" i="15" s="1"/>
  <c r="G475" i="7"/>
  <c r="AE352" i="7" s="1"/>
  <c r="G199" i="45"/>
  <c r="G199" i="44"/>
  <c r="AK98" i="50"/>
  <c r="F296" i="15"/>
  <c r="E302" i="15"/>
  <c r="AI93" i="50"/>
  <c r="G344" i="15"/>
  <c r="F350" i="15"/>
  <c r="F212" i="15"/>
  <c r="E218" i="15"/>
  <c r="E194" i="15"/>
  <c r="F188" i="15"/>
  <c r="F224" i="15"/>
  <c r="G242" i="15"/>
  <c r="G241" i="15" s="1"/>
  <c r="G240" i="15" s="1"/>
  <c r="H236" i="15"/>
  <c r="N283" i="34"/>
  <c r="P276" i="34"/>
  <c r="L276" i="34" s="1"/>
  <c r="AP59" i="37"/>
  <c r="AY520" i="50"/>
  <c r="AP493" i="50"/>
  <c r="M291" i="34"/>
  <c r="AQ489" i="50"/>
  <c r="AK96" i="50"/>
  <c r="AP490" i="50"/>
  <c r="AW490" i="50" s="1"/>
  <c r="AT492" i="50"/>
  <c r="M283" i="34"/>
  <c r="AN491" i="50"/>
  <c r="K578" i="50" s="1"/>
  <c r="AQ56" i="37"/>
  <c r="AM59" i="15"/>
  <c r="AR57" i="37"/>
  <c r="AX515" i="50"/>
  <c r="AT93" i="50"/>
  <c r="AY121" i="50"/>
  <c r="AQ59" i="15"/>
  <c r="AU93" i="50"/>
  <c r="AQ490" i="50"/>
  <c r="AS489" i="50"/>
  <c r="AQ94" i="50"/>
  <c r="AM94" i="50"/>
  <c r="AR492" i="50"/>
  <c r="AR490" i="50"/>
  <c r="AS490" i="50"/>
  <c r="AZ513" i="50"/>
  <c r="AH60" i="15"/>
  <c r="AK56" i="15"/>
  <c r="AT67" i="37"/>
  <c r="AP57" i="15"/>
  <c r="AF60" i="15"/>
  <c r="AX116" i="50"/>
  <c r="AO61" i="37"/>
  <c r="AG63" i="15"/>
  <c r="AS97" i="50"/>
  <c r="AL97" i="50"/>
  <c r="AT496" i="50"/>
  <c r="AO64" i="15"/>
  <c r="AI63" i="37"/>
  <c r="AR96" i="50"/>
  <c r="AI63" i="15"/>
  <c r="AF61" i="15"/>
  <c r="AT98" i="50"/>
  <c r="AR489" i="50"/>
  <c r="AP93" i="50"/>
  <c r="AJ99" i="50"/>
  <c r="AS492" i="50"/>
  <c r="AZ492" i="50" s="1"/>
  <c r="AQ92" i="50"/>
  <c r="AI99" i="50"/>
  <c r="BB123" i="50"/>
  <c r="BB117" i="50"/>
  <c r="AQ59" i="37"/>
  <c r="AJ491" i="50"/>
  <c r="G578" i="50" s="1"/>
  <c r="M286" i="34"/>
  <c r="AL92" i="50"/>
  <c r="AN93" i="50"/>
  <c r="AK57" i="15"/>
  <c r="AL66" i="15"/>
  <c r="AL59" i="37"/>
  <c r="AM57" i="15"/>
  <c r="AG53" i="15"/>
  <c r="AY123" i="50"/>
  <c r="AY512" i="50"/>
  <c r="AQ66" i="37"/>
  <c r="AK59" i="37"/>
  <c r="AP58" i="15"/>
  <c r="AM59" i="37"/>
  <c r="AO67" i="37"/>
  <c r="AZ121" i="50"/>
  <c r="AQ63" i="15"/>
  <c r="AK54" i="15"/>
  <c r="AJ63" i="37"/>
  <c r="AN58" i="37"/>
  <c r="AO63" i="15"/>
  <c r="AL54" i="15"/>
  <c r="AU496" i="50"/>
  <c r="AP492" i="50"/>
  <c r="AO62" i="15"/>
  <c r="AP491" i="50"/>
  <c r="AU96" i="50"/>
  <c r="AI495" i="50"/>
  <c r="F646" i="50" s="1"/>
  <c r="BA519" i="50"/>
  <c r="AP488" i="50"/>
  <c r="AI57" i="15"/>
  <c r="AJ98" i="50"/>
  <c r="AY514" i="50"/>
  <c r="AZ118" i="50"/>
  <c r="AP56" i="37"/>
  <c r="AM64" i="37"/>
  <c r="AK59" i="15"/>
  <c r="AT97" i="50"/>
  <c r="BA515" i="50"/>
  <c r="AN488" i="50"/>
  <c r="K527" i="50" s="1"/>
  <c r="AL98" i="50"/>
  <c r="AX513" i="50"/>
  <c r="AI489" i="50"/>
  <c r="F544" i="50" s="1"/>
  <c r="AS93" i="50"/>
  <c r="AN94" i="50"/>
  <c r="AT493" i="50"/>
  <c r="AL490" i="50"/>
  <c r="I561" i="50" s="1"/>
  <c r="AY519" i="50"/>
  <c r="AU99" i="50"/>
  <c r="AK495" i="50"/>
  <c r="H646" i="50" s="1"/>
  <c r="AR93" i="50"/>
  <c r="AU94" i="50"/>
  <c r="AL94" i="50"/>
  <c r="AN493" i="50"/>
  <c r="K612" i="50" s="1"/>
  <c r="AJ63" i="15"/>
  <c r="AY117" i="50"/>
  <c r="AL93" i="50"/>
  <c r="AN61" i="15"/>
  <c r="AM54" i="15"/>
  <c r="AP98" i="50"/>
  <c r="AK93" i="50"/>
  <c r="AT489" i="50"/>
  <c r="BA489" i="50" s="1"/>
  <c r="BA513" i="50"/>
  <c r="AZ519" i="50"/>
  <c r="AO60" i="37"/>
  <c r="AL56" i="37"/>
  <c r="AM96" i="50"/>
  <c r="AI61" i="15"/>
  <c r="AJ54" i="15"/>
  <c r="AN496" i="50"/>
  <c r="K663" i="50" s="1"/>
  <c r="AL494" i="50"/>
  <c r="I629" i="50" s="1"/>
  <c r="AI98" i="50"/>
  <c r="AX117" i="50"/>
  <c r="AQ93" i="50"/>
  <c r="AP94" i="50"/>
  <c r="AW118" i="50"/>
  <c r="AM493" i="50"/>
  <c r="J612" i="50" s="1"/>
  <c r="AL493" i="50"/>
  <c r="I612" i="50" s="1"/>
  <c r="BA516" i="50"/>
  <c r="BA116" i="50"/>
  <c r="AI492" i="50"/>
  <c r="F595" i="50" s="1"/>
  <c r="F594" i="50" s="1"/>
  <c r="AN492" i="50"/>
  <c r="K595" i="50" s="1"/>
  <c r="BB116" i="50"/>
  <c r="AK99" i="50"/>
  <c r="AX118" i="50"/>
  <c r="BA123" i="50"/>
  <c r="BB517" i="50"/>
  <c r="AN64" i="37"/>
  <c r="AS66" i="37"/>
  <c r="AS56" i="37"/>
  <c r="AP95" i="50"/>
  <c r="AW95" i="50" s="1"/>
  <c r="AG57" i="15"/>
  <c r="AH58" i="15"/>
  <c r="AF57" i="15"/>
  <c r="AI494" i="50"/>
  <c r="F629" i="50" s="1"/>
  <c r="AR488" i="50"/>
  <c r="AW123" i="50"/>
  <c r="AL489" i="50"/>
  <c r="I544" i="50" s="1"/>
  <c r="AU490" i="50"/>
  <c r="AR491" i="50"/>
  <c r="AX121" i="50"/>
  <c r="AU98" i="50"/>
  <c r="AK494" i="50"/>
  <c r="H629" i="50" s="1"/>
  <c r="AX120" i="50"/>
  <c r="AM98" i="50"/>
  <c r="AM93" i="50"/>
  <c r="AQ495" i="50"/>
  <c r="AM490" i="50"/>
  <c r="J561" i="50" s="1"/>
  <c r="AJ94" i="50"/>
  <c r="AQ496" i="50"/>
  <c r="AM53" i="15"/>
  <c r="AQ54" i="37"/>
  <c r="AJ53" i="15"/>
  <c r="AJ62" i="15"/>
  <c r="AN58" i="15"/>
  <c r="AP62" i="15"/>
  <c r="AJ95" i="50"/>
  <c r="AI66" i="15"/>
  <c r="AG65" i="15"/>
  <c r="AF63" i="15"/>
  <c r="AT63" i="37"/>
  <c r="AK55" i="37"/>
  <c r="AP55" i="37"/>
  <c r="AH59" i="15"/>
  <c r="AO66" i="15"/>
  <c r="AQ98" i="50"/>
  <c r="AI67" i="37"/>
  <c r="AK97" i="50"/>
  <c r="AP54" i="15"/>
  <c r="AF64" i="15"/>
  <c r="AQ65" i="37"/>
  <c r="AR64" i="37"/>
  <c r="AQ64" i="37"/>
  <c r="AQ53" i="15"/>
  <c r="AK53" i="15"/>
  <c r="AM54" i="37"/>
  <c r="AR62" i="37"/>
  <c r="AR58" i="37"/>
  <c r="AO56" i="37"/>
  <c r="AJ57" i="15"/>
  <c r="AK66" i="15"/>
  <c r="AH64" i="15"/>
  <c r="AM60" i="15"/>
  <c r="AT61" i="37"/>
  <c r="AH65" i="15"/>
  <c r="AH63" i="15"/>
  <c r="AR97" i="50"/>
  <c r="AQ61" i="15"/>
  <c r="AK62" i="15"/>
  <c r="AG64" i="15"/>
  <c r="AK488" i="50"/>
  <c r="H527" i="50" s="1"/>
  <c r="AS491" i="50"/>
  <c r="AZ515" i="50"/>
  <c r="AN96" i="50"/>
  <c r="AS495" i="50"/>
  <c r="AY515" i="50"/>
  <c r="AP495" i="50"/>
  <c r="AJ65" i="15"/>
  <c r="AM488" i="50"/>
  <c r="J527" i="50" s="1"/>
  <c r="AS493" i="50"/>
  <c r="AZ517" i="50"/>
  <c r="AK492" i="50"/>
  <c r="H595" i="50" s="1"/>
  <c r="AL67" i="37"/>
  <c r="AH62" i="15"/>
  <c r="AQ494" i="50"/>
  <c r="AW515" i="50"/>
  <c r="AI491" i="50"/>
  <c r="F578" i="50" s="1"/>
  <c r="AM495" i="50"/>
  <c r="J646" i="50" s="1"/>
  <c r="AM55" i="15"/>
  <c r="AI59" i="37"/>
  <c r="AK58" i="15"/>
  <c r="AM56" i="15"/>
  <c r="AQ66" i="15"/>
  <c r="AJ64" i="15"/>
  <c r="AP56" i="15"/>
  <c r="AN54" i="37"/>
  <c r="AF62" i="15"/>
  <c r="AI64" i="15"/>
  <c r="AJ66" i="15"/>
  <c r="AK60" i="15"/>
  <c r="AI56" i="37"/>
  <c r="AN59" i="15"/>
  <c r="AQ55" i="15"/>
  <c r="AL55" i="15"/>
  <c r="AN55" i="15"/>
  <c r="AO67" i="15"/>
  <c r="AL67" i="15"/>
  <c r="AM63" i="37"/>
  <c r="AO63" i="37"/>
  <c r="AR63" i="37"/>
  <c r="AI55" i="37"/>
  <c r="AJ55" i="37"/>
  <c r="AT65" i="37"/>
  <c r="AS65" i="37"/>
  <c r="AI57" i="37"/>
  <c r="AK66" i="37"/>
  <c r="AP62" i="37"/>
  <c r="AP64" i="15"/>
  <c r="AL58" i="15"/>
  <c r="AQ64" i="15"/>
  <c r="AR55" i="37"/>
  <c r="AT55" i="37"/>
  <c r="AM65" i="37"/>
  <c r="AJ62" i="37"/>
  <c r="AJ59" i="15"/>
  <c r="AM65" i="15"/>
  <c r="AQ488" i="50"/>
  <c r="AX488" i="50" s="1"/>
  <c r="AK491" i="50"/>
  <c r="H578" i="50" s="1"/>
  <c r="AL96" i="50"/>
  <c r="AT495" i="50"/>
  <c r="AW519" i="50"/>
  <c r="AM492" i="50"/>
  <c r="J595" i="50" s="1"/>
  <c r="AK490" i="50"/>
  <c r="H561" i="50" s="1"/>
  <c r="AI92" i="50"/>
  <c r="AK92" i="50"/>
  <c r="AS92" i="50"/>
  <c r="AL495" i="50"/>
  <c r="I646" i="50" s="1"/>
  <c r="AJ496" i="50"/>
  <c r="G663" i="50" s="1"/>
  <c r="AK63" i="37"/>
  <c r="AT95" i="50"/>
  <c r="AX123" i="50"/>
  <c r="AZ116" i="50"/>
  <c r="AM491" i="50"/>
  <c r="J578" i="50" s="1"/>
  <c r="BB515" i="50"/>
  <c r="BB121" i="50"/>
  <c r="BA514" i="50"/>
  <c r="AG67" i="15"/>
  <c r="AQ67" i="15"/>
  <c r="AK56" i="37"/>
  <c r="AT56" i="37"/>
  <c r="AL53" i="15"/>
  <c r="AI66" i="37"/>
  <c r="AJ66" i="37"/>
  <c r="AM66" i="37"/>
  <c r="AQ62" i="37"/>
  <c r="AM58" i="37"/>
  <c r="AL58" i="37"/>
  <c r="AM66" i="15"/>
  <c r="AI53" i="15"/>
  <c r="AO57" i="15"/>
  <c r="BA121" i="50"/>
  <c r="AL61" i="15"/>
  <c r="AG54" i="15"/>
  <c r="AF55" i="15"/>
  <c r="AQ58" i="37"/>
  <c r="AK58" i="37"/>
  <c r="AX122" i="50"/>
  <c r="AF65" i="15"/>
  <c r="AJ97" i="50"/>
  <c r="AK489" i="50"/>
  <c r="H544" i="50" s="1"/>
  <c r="AS488" i="50"/>
  <c r="AI488" i="50"/>
  <c r="F527" i="50" s="1"/>
  <c r="AL99" i="50"/>
  <c r="AY516" i="50"/>
  <c r="AS64" i="37"/>
  <c r="AQ491" i="50"/>
  <c r="AI96" i="50"/>
  <c r="AQ96" i="50"/>
  <c r="AW121" i="50"/>
  <c r="AT92" i="50"/>
  <c r="BA92" i="50" s="1"/>
  <c r="AW116" i="50"/>
  <c r="AY116" i="50"/>
  <c r="AW512" i="50"/>
  <c r="AG66" i="15"/>
  <c r="AN64" i="15"/>
  <c r="AQ95" i="50"/>
  <c r="AK55" i="15"/>
  <c r="AX512" i="50"/>
  <c r="AM494" i="50"/>
  <c r="J629" i="50" s="1"/>
  <c r="AJ92" i="50"/>
  <c r="AN495" i="50"/>
  <c r="K646" i="50" s="1"/>
  <c r="AR92" i="50"/>
  <c r="AX518" i="50"/>
  <c r="AP55" i="15"/>
  <c r="AN53" i="15"/>
  <c r="AH57" i="15"/>
  <c r="BB519" i="50"/>
  <c r="AF66" i="15"/>
  <c r="AG60" i="15"/>
  <c r="AI58" i="15"/>
  <c r="AJ61" i="37"/>
  <c r="AR494" i="50"/>
  <c r="AN62" i="15"/>
  <c r="AQ60" i="37"/>
  <c r="AL61" i="37"/>
  <c r="AU494" i="50"/>
  <c r="AM95" i="50"/>
  <c r="AR67" i="37"/>
  <c r="AJ67" i="37"/>
  <c r="AK63" i="15"/>
  <c r="AR496" i="50"/>
  <c r="AF58" i="15"/>
  <c r="AQ60" i="15"/>
  <c r="AL56" i="15"/>
  <c r="AO60" i="15"/>
  <c r="AS98" i="50"/>
  <c r="AZ123" i="50"/>
  <c r="AY517" i="50"/>
  <c r="AP53" i="15"/>
  <c r="AS61" i="37"/>
  <c r="AQ61" i="37"/>
  <c r="AH66" i="15"/>
  <c r="AK64" i="15"/>
  <c r="AG58" i="15"/>
  <c r="AI56" i="15"/>
  <c r="AG56" i="15"/>
  <c r="BA518" i="50"/>
  <c r="AF53" i="15"/>
  <c r="AL54" i="37"/>
  <c r="AP61" i="37"/>
  <c r="AP63" i="37"/>
  <c r="AS63" i="37"/>
  <c r="AM55" i="37"/>
  <c r="AO55" i="37"/>
  <c r="AN65" i="37"/>
  <c r="AI65" i="37"/>
  <c r="AP57" i="37"/>
  <c r="AL66" i="37"/>
  <c r="AG59" i="15"/>
  <c r="AO54" i="37"/>
  <c r="AP63" i="15"/>
  <c r="AI65" i="15"/>
  <c r="AO53" i="15"/>
  <c r="AI496" i="50"/>
  <c r="F663" i="50" s="1"/>
  <c r="AL62" i="15"/>
  <c r="AU95" i="50"/>
  <c r="AM64" i="15"/>
  <c r="AM58" i="15"/>
  <c r="AL65" i="15"/>
  <c r="AT99" i="50"/>
  <c r="AM99" i="50"/>
  <c r="AM61" i="15"/>
  <c r="AR98" i="50"/>
  <c r="BB513" i="50"/>
  <c r="AW117" i="50"/>
  <c r="AZ117" i="50"/>
  <c r="AQ493" i="50"/>
  <c r="BA517" i="50"/>
  <c r="BB516" i="50"/>
  <c r="AP92" i="50"/>
  <c r="AJ96" i="50"/>
  <c r="AW513" i="50"/>
  <c r="BB118" i="50"/>
  <c r="AW517" i="50"/>
  <c r="AI493" i="50"/>
  <c r="F612" i="50" s="1"/>
  <c r="AJ492" i="50"/>
  <c r="G595" i="50" s="1"/>
  <c r="AZ514" i="50"/>
  <c r="AU492" i="50"/>
  <c r="AU489" i="50"/>
  <c r="AX517" i="50"/>
  <c r="BA117" i="50"/>
  <c r="AK94" i="50"/>
  <c r="AJ489" i="50"/>
  <c r="G544" i="50" s="1"/>
  <c r="BB514" i="50"/>
  <c r="AX516" i="50"/>
  <c r="AY118" i="50"/>
  <c r="AN57" i="15"/>
  <c r="AO64" i="37"/>
  <c r="AO58" i="15"/>
  <c r="AX514" i="50"/>
  <c r="AW516" i="50"/>
  <c r="AQ99" i="50"/>
  <c r="AJ490" i="50"/>
  <c r="G561" i="50" s="1"/>
  <c r="AP67" i="15"/>
  <c r="AL63" i="37"/>
  <c r="AQ57" i="37"/>
  <c r="AN56" i="37"/>
  <c r="AO66" i="37"/>
  <c r="AP66" i="37"/>
  <c r="AL62" i="37"/>
  <c r="AI64" i="37"/>
  <c r="AN66" i="15"/>
  <c r="AS494" i="50"/>
  <c r="AP60" i="15"/>
  <c r="AJ60" i="15"/>
  <c r="AI60" i="15"/>
  <c r="AH56" i="15"/>
  <c r="AH55" i="15"/>
  <c r="AO55" i="15"/>
  <c r="AM67" i="15"/>
  <c r="AN67" i="15"/>
  <c r="AO57" i="37"/>
  <c r="AL57" i="37"/>
  <c r="AS62" i="37"/>
  <c r="AT58" i="37"/>
  <c r="AN65" i="15"/>
  <c r="AP59" i="15"/>
  <c r="AM62" i="15"/>
  <c r="AG62" i="15"/>
  <c r="AK95" i="50"/>
  <c r="AY120" i="50"/>
  <c r="AY513" i="50"/>
  <c r="AK493" i="50"/>
  <c r="H612" i="50" s="1"/>
  <c r="AP54" i="37"/>
  <c r="AK61" i="37"/>
  <c r="AP65" i="15"/>
  <c r="AO59" i="15"/>
  <c r="AH54" i="15"/>
  <c r="P275" i="34"/>
  <c r="L275" i="34" s="1"/>
  <c r="AR61" i="37"/>
  <c r="AW120" i="50"/>
  <c r="AP496" i="50"/>
  <c r="AN61" i="37"/>
  <c r="AN60" i="15"/>
  <c r="AN95" i="50"/>
  <c r="AK57" i="37"/>
  <c r="AJ55" i="15"/>
  <c r="AH67" i="15"/>
  <c r="AP99" i="50"/>
  <c r="AJ64" i="37"/>
  <c r="AT64" i="37"/>
  <c r="AJ60" i="37"/>
  <c r="AS60" i="37"/>
  <c r="AJ56" i="37"/>
  <c r="AQ57" i="15"/>
  <c r="AN62" i="37"/>
  <c r="AR60" i="37"/>
  <c r="AW122" i="50"/>
  <c r="AZ120" i="50"/>
  <c r="AN97" i="50"/>
  <c r="BB520" i="50"/>
  <c r="AW518" i="50"/>
  <c r="AP494" i="50"/>
  <c r="AL488" i="50"/>
  <c r="I527" i="50" s="1"/>
  <c r="AZ512" i="50"/>
  <c r="AT488" i="50"/>
  <c r="BA512" i="50"/>
  <c r="AN99" i="50"/>
  <c r="K662" i="50" s="1"/>
  <c r="BB512" i="50"/>
  <c r="AU488" i="50"/>
  <c r="AR95" i="50"/>
  <c r="AT54" i="37"/>
  <c r="BB122" i="50"/>
  <c r="AK67" i="37"/>
  <c r="AQ65" i="15"/>
  <c r="AK65" i="15"/>
  <c r="AO65" i="15"/>
  <c r="AN63" i="15"/>
  <c r="AF54" i="15"/>
  <c r="AI97" i="50"/>
  <c r="AW520" i="50"/>
  <c r="AS67" i="37"/>
  <c r="AL63" i="15"/>
  <c r="AK61" i="15"/>
  <c r="AF59" i="15"/>
  <c r="AI54" i="15"/>
  <c r="AP67" i="37"/>
  <c r="AJ54" i="37"/>
  <c r="AM61" i="37"/>
  <c r="F152" i="38"/>
  <c r="E158" i="38"/>
  <c r="E156" i="38" s="1"/>
  <c r="D20" i="38" s="1"/>
  <c r="E81" i="15" s="1"/>
  <c r="F224" i="38"/>
  <c r="E230" i="38"/>
  <c r="E228" i="38" s="1"/>
  <c r="D26" i="38" s="1"/>
  <c r="E87" i="15" s="1"/>
  <c r="AN60" i="37"/>
  <c r="AO61" i="15"/>
  <c r="AN54" i="15"/>
  <c r="AJ61" i="15"/>
  <c r="AK496" i="50"/>
  <c r="H663" i="50" s="1"/>
  <c r="AP66" i="15"/>
  <c r="AQ56" i="15"/>
  <c r="AF56" i="15"/>
  <c r="AQ62" i="15"/>
  <c r="AO56" i="15"/>
  <c r="AK67" i="15"/>
  <c r="AS57" i="37"/>
  <c r="E110" i="38"/>
  <c r="F104" i="38"/>
  <c r="E194" i="38"/>
  <c r="E192" i="38" s="1"/>
  <c r="D23" i="38" s="1"/>
  <c r="E84" i="15" s="1"/>
  <c r="F188" i="38"/>
  <c r="F326" i="38"/>
  <c r="F324" i="38" s="1"/>
  <c r="E34" i="38" s="1"/>
  <c r="F95" i="15" s="1"/>
  <c r="F212" i="38"/>
  <c r="E218" i="38"/>
  <c r="E216" i="38" s="1"/>
  <c r="D25" i="38" s="1"/>
  <c r="E86" i="15" s="1"/>
  <c r="AN67" i="37"/>
  <c r="AS496" i="50"/>
  <c r="AG55" i="15"/>
  <c r="AQ63" i="37"/>
  <c r="AI58" i="37"/>
  <c r="AO58" i="37"/>
  <c r="AQ58" i="15"/>
  <c r="AJ58" i="15"/>
  <c r="AI55" i="15"/>
  <c r="AI67" i="15"/>
  <c r="AN63" i="37"/>
  <c r="AN55" i="37"/>
  <c r="AT66" i="37"/>
  <c r="AP58" i="37"/>
  <c r="AS55" i="37"/>
  <c r="AJ58" i="37"/>
  <c r="AL59" i="15"/>
  <c r="AK64" i="37"/>
  <c r="AH53" i="15"/>
  <c r="AL57" i="15"/>
  <c r="AR59" i="37"/>
  <c r="AL60" i="37"/>
  <c r="AR56" i="37"/>
  <c r="AH61" i="15"/>
  <c r="AI59" i="15"/>
  <c r="AQ55" i="37"/>
  <c r="AJ65" i="37"/>
  <c r="AO65" i="37"/>
  <c r="AN57" i="37"/>
  <c r="AM62" i="37"/>
  <c r="AQ54" i="15"/>
  <c r="BA122" i="50"/>
  <c r="AM97" i="50"/>
  <c r="AZ122" i="50"/>
  <c r="AM496" i="50"/>
  <c r="J663" i="50" s="1"/>
  <c r="BA520" i="50"/>
  <c r="AZ518" i="50"/>
  <c r="AN494" i="50"/>
  <c r="K629" i="50" s="1"/>
  <c r="AN56" i="15"/>
  <c r="AO59" i="37"/>
  <c r="AT494" i="50"/>
  <c r="AI62" i="15"/>
  <c r="AN59" i="37"/>
  <c r="AS54" i="37"/>
  <c r="AY122" i="50"/>
  <c r="AY518" i="50"/>
  <c r="BA120" i="50"/>
  <c r="AT57" i="37"/>
  <c r="AI60" i="37"/>
  <c r="AM60" i="37"/>
  <c r="AK62" i="37"/>
  <c r="AS58" i="37"/>
  <c r="AQ67" i="37"/>
  <c r="AJ67" i="15"/>
  <c r="AP65" i="37"/>
  <c r="AM57" i="37"/>
  <c r="AI62" i="37"/>
  <c r="BB120" i="50"/>
  <c r="AT60" i="37"/>
  <c r="AT59" i="37"/>
  <c r="AK54" i="37"/>
  <c r="AJ494" i="50"/>
  <c r="G629" i="50" s="1"/>
  <c r="AX520" i="50"/>
  <c r="AP97" i="50"/>
  <c r="BB518" i="50"/>
  <c r="AJ59" i="37"/>
  <c r="AI54" i="37"/>
  <c r="AI61" i="37"/>
  <c r="AL95" i="50"/>
  <c r="AU97" i="50"/>
  <c r="AS95" i="50"/>
  <c r="AZ520" i="50"/>
  <c r="AL496" i="50"/>
  <c r="I663" i="50" s="1"/>
  <c r="I242" i="3"/>
  <c r="AP65" i="14" s="1"/>
  <c r="P288" i="34"/>
  <c r="L288" i="34" s="1"/>
  <c r="P280" i="34"/>
  <c r="L280" i="34" s="1"/>
  <c r="F242" i="38"/>
  <c r="F240" i="38" s="1"/>
  <c r="E27" i="38" s="1"/>
  <c r="F88" i="15" s="1"/>
  <c r="G236" i="38"/>
  <c r="X1" i="51"/>
  <c r="C32" i="1"/>
  <c r="H32" i="1" s="1"/>
  <c r="P290" i="34"/>
  <c r="L290" i="34" s="1"/>
  <c r="P282" i="34"/>
  <c r="L282" i="34" s="1"/>
  <c r="P292" i="34"/>
  <c r="L292" i="34" s="1"/>
  <c r="P284" i="34"/>
  <c r="L284" i="34" s="1"/>
  <c r="C31" i="1"/>
  <c r="H31" i="1" s="1"/>
  <c r="X1" i="49"/>
  <c r="C139" i="14"/>
  <c r="AE81" i="37"/>
  <c r="F278" i="38"/>
  <c r="F276" i="38" s="1"/>
  <c r="E30" i="38" s="1"/>
  <c r="F91" i="15" s="1"/>
  <c r="G272" i="38"/>
  <c r="G164" i="38"/>
  <c r="P278" i="34"/>
  <c r="L278" i="34" s="1"/>
  <c r="H124" i="47"/>
  <c r="F140" i="47"/>
  <c r="F51" i="47"/>
  <c r="F52" i="47"/>
  <c r="F47" i="47" s="1"/>
  <c r="F9" i="47" s="1"/>
  <c r="AM8" i="14" s="1"/>
  <c r="H179" i="49"/>
  <c r="G182" i="49"/>
  <c r="G86" i="47"/>
  <c r="G88" i="47"/>
  <c r="G87" i="47"/>
  <c r="H85" i="47"/>
  <c r="I82" i="47"/>
  <c r="H131" i="51"/>
  <c r="I128" i="51"/>
  <c r="H165" i="51"/>
  <c r="I162" i="51"/>
  <c r="H103" i="47"/>
  <c r="I100" i="47"/>
  <c r="I94" i="49"/>
  <c r="H97" i="49"/>
  <c r="H145" i="49"/>
  <c r="G148" i="49"/>
  <c r="G104" i="47"/>
  <c r="G106" i="47"/>
  <c r="G105" i="47"/>
  <c r="I124" i="47"/>
  <c r="I122" i="47"/>
  <c r="I123" i="47"/>
  <c r="J154" i="47"/>
  <c r="J157" i="47" s="1"/>
  <c r="I157" i="47"/>
  <c r="H68" i="47"/>
  <c r="J60" i="51"/>
  <c r="J63" i="51" s="1"/>
  <c r="I63" i="51"/>
  <c r="J190" i="47"/>
  <c r="J193" i="47" s="1"/>
  <c r="I193" i="47"/>
  <c r="H141" i="47"/>
  <c r="H142" i="47"/>
  <c r="H140" i="47"/>
  <c r="G29" i="51"/>
  <c r="H26" i="51"/>
  <c r="F32" i="47"/>
  <c r="F29" i="47" s="1"/>
  <c r="F8" i="47" s="1"/>
  <c r="AM7" i="14" s="1"/>
  <c r="F33" i="47"/>
  <c r="F34" i="47"/>
  <c r="I49" i="47"/>
  <c r="J46" i="47"/>
  <c r="G178" i="47"/>
  <c r="G176" i="47"/>
  <c r="G177" i="47"/>
  <c r="J60" i="49"/>
  <c r="J63" i="49" s="1"/>
  <c r="J123" i="47"/>
  <c r="J124" i="47"/>
  <c r="J122" i="47"/>
  <c r="J128" i="49"/>
  <c r="J131" i="49" s="1"/>
  <c r="I131" i="49"/>
  <c r="I165" i="49"/>
  <c r="J162" i="49"/>
  <c r="J165" i="49" s="1"/>
  <c r="I114" i="49"/>
  <c r="J111" i="49"/>
  <c r="J114" i="49" s="1"/>
  <c r="H158" i="47"/>
  <c r="H159" i="47"/>
  <c r="H160" i="47"/>
  <c r="I67" i="47"/>
  <c r="J64" i="47"/>
  <c r="H195" i="47"/>
  <c r="H196" i="47"/>
  <c r="H194" i="47"/>
  <c r="I139" i="47"/>
  <c r="J136" i="47"/>
  <c r="J139" i="47" s="1"/>
  <c r="H28" i="47"/>
  <c r="G31" i="47"/>
  <c r="H50" i="47"/>
  <c r="H52" i="47"/>
  <c r="H51" i="47"/>
  <c r="H175" i="47"/>
  <c r="I172" i="47"/>
  <c r="H46" i="49"/>
  <c r="I43" i="49"/>
  <c r="J77" i="51"/>
  <c r="J80" i="51" s="1"/>
  <c r="I80" i="51"/>
  <c r="G180" i="45" l="1"/>
  <c r="E420" i="7"/>
  <c r="AI345" i="7" s="1"/>
  <c r="E120" i="45"/>
  <c r="G460" i="7"/>
  <c r="AK350" i="7" s="1"/>
  <c r="I818" i="50"/>
  <c r="H819" i="50"/>
  <c r="I785" i="50"/>
  <c r="H834" i="50"/>
  <c r="H698" i="50"/>
  <c r="I716" i="50"/>
  <c r="Z783" i="50"/>
  <c r="I817" i="50"/>
  <c r="Z818" i="50"/>
  <c r="Z817" i="50"/>
  <c r="H818" i="50"/>
  <c r="I783" i="50"/>
  <c r="I784" i="50"/>
  <c r="H836" i="50"/>
  <c r="H835" i="50"/>
  <c r="H699" i="50"/>
  <c r="H700" i="50"/>
  <c r="I715" i="50"/>
  <c r="Z716" i="50"/>
  <c r="H785" i="50"/>
  <c r="H784" i="50"/>
  <c r="I681" i="50"/>
  <c r="I80" i="49"/>
  <c r="M26" i="58"/>
  <c r="K42" i="58"/>
  <c r="H662" i="50"/>
  <c r="H751" i="50"/>
  <c r="H749" i="50"/>
  <c r="H747" i="50"/>
  <c r="Z749" i="50"/>
  <c r="H750" i="50"/>
  <c r="H730" i="50"/>
  <c r="H733" i="50"/>
  <c r="Z732" i="50"/>
  <c r="H734" i="50"/>
  <c r="H732" i="50"/>
  <c r="H764" i="50"/>
  <c r="H766" i="50"/>
  <c r="Z766" i="50"/>
  <c r="H767" i="50"/>
  <c r="H768" i="50"/>
  <c r="H800" i="50"/>
  <c r="Z800" i="50"/>
  <c r="H798" i="50"/>
  <c r="H802" i="50"/>
  <c r="H801" i="50"/>
  <c r="I750" i="50"/>
  <c r="I751" i="50"/>
  <c r="I747" i="50"/>
  <c r="Z750" i="50"/>
  <c r="I749" i="50"/>
  <c r="H717" i="50"/>
  <c r="H716" i="50"/>
  <c r="H713" i="50"/>
  <c r="Z715" i="50"/>
  <c r="H715" i="50"/>
  <c r="G662" i="50"/>
  <c r="J662" i="50"/>
  <c r="I662" i="50"/>
  <c r="G628" i="50"/>
  <c r="F662" i="50"/>
  <c r="I683" i="50"/>
  <c r="G34" i="37"/>
  <c r="E247" i="34" s="1"/>
  <c r="E349" i="15"/>
  <c r="E348" i="15" s="1"/>
  <c r="F397" i="15"/>
  <c r="F396" i="15" s="1"/>
  <c r="E325" i="15"/>
  <c r="E324" i="15" s="1"/>
  <c r="C355" i="7"/>
  <c r="D355" i="7" s="1"/>
  <c r="E373" i="15"/>
  <c r="E372" i="15" s="1"/>
  <c r="C416" i="7"/>
  <c r="C291" i="44"/>
  <c r="P291" i="44" s="1"/>
  <c r="L291" i="44" s="1"/>
  <c r="S291" i="44" s="1"/>
  <c r="F308" i="15"/>
  <c r="F314" i="15" s="1"/>
  <c r="F313" i="15" s="1"/>
  <c r="F312" i="15" s="1"/>
  <c r="Q33" i="15"/>
  <c r="I500" i="7" s="1"/>
  <c r="AM355" i="7" s="1"/>
  <c r="H33" i="15"/>
  <c r="G235" i="44" s="1"/>
  <c r="I33" i="15"/>
  <c r="H235" i="45" s="1"/>
  <c r="M33" i="15"/>
  <c r="E500" i="7" s="1"/>
  <c r="AI355" i="7" s="1"/>
  <c r="F33" i="15"/>
  <c r="E235" i="45" s="1"/>
  <c r="P33" i="15"/>
  <c r="H500" i="7" s="1"/>
  <c r="AL355" i="7" s="1"/>
  <c r="C232" i="44"/>
  <c r="L232" i="44" s="1"/>
  <c r="N33" i="15"/>
  <c r="F240" i="44" s="1"/>
  <c r="E337" i="15"/>
  <c r="E336" i="15" s="1"/>
  <c r="G361" i="15"/>
  <c r="G360" i="15" s="1"/>
  <c r="F361" i="15"/>
  <c r="F360" i="15" s="1"/>
  <c r="S285" i="44"/>
  <c r="Q285" i="44"/>
  <c r="M285" i="44" s="1"/>
  <c r="E164" i="44" s="1"/>
  <c r="E165" i="44" s="1"/>
  <c r="T285" i="44"/>
  <c r="R285" i="44"/>
  <c r="Q291" i="44"/>
  <c r="M291" i="44" s="1"/>
  <c r="R291" i="44"/>
  <c r="S281" i="44"/>
  <c r="Q281" i="44"/>
  <c r="M281" i="44" s="1"/>
  <c r="T281" i="44"/>
  <c r="R281" i="44"/>
  <c r="S285" i="45"/>
  <c r="R285" i="45"/>
  <c r="M285" i="45" s="1"/>
  <c r="Q285" i="45"/>
  <c r="L285" i="45" s="1"/>
  <c r="T285" i="45"/>
  <c r="S291" i="45"/>
  <c r="R291" i="45"/>
  <c r="M291" i="45" s="1"/>
  <c r="Q291" i="45"/>
  <c r="L291" i="45" s="1"/>
  <c r="T291" i="45"/>
  <c r="Q292" i="34"/>
  <c r="S292" i="34"/>
  <c r="R292" i="34"/>
  <c r="N292" i="34" s="1"/>
  <c r="T292" i="34"/>
  <c r="Q290" i="34"/>
  <c r="S290" i="34"/>
  <c r="R290" i="34"/>
  <c r="N290" i="34" s="1"/>
  <c r="T290" i="34"/>
  <c r="Q288" i="34"/>
  <c r="S288" i="34"/>
  <c r="R288" i="34"/>
  <c r="N288" i="34" s="1"/>
  <c r="T288" i="34"/>
  <c r="Q284" i="34"/>
  <c r="S284" i="34"/>
  <c r="R284" i="34"/>
  <c r="N284" i="34" s="1"/>
  <c r="T284" i="34"/>
  <c r="Q282" i="34"/>
  <c r="S282" i="34"/>
  <c r="R282" i="34"/>
  <c r="N282" i="34" s="1"/>
  <c r="T282" i="34"/>
  <c r="Q280" i="34"/>
  <c r="M280" i="34" s="1"/>
  <c r="S280" i="34"/>
  <c r="R280" i="34"/>
  <c r="T280" i="34"/>
  <c r="L52" i="34"/>
  <c r="Q276" i="34"/>
  <c r="M276" i="34" s="1"/>
  <c r="S276" i="34"/>
  <c r="R276" i="34"/>
  <c r="N276" i="34" s="1"/>
  <c r="T276" i="34"/>
  <c r="K275" i="43"/>
  <c r="Q275" i="43" s="1"/>
  <c r="L275" i="43" s="1"/>
  <c r="Q275" i="34"/>
  <c r="M275" i="34" s="1"/>
  <c r="S275" i="34"/>
  <c r="R275" i="34"/>
  <c r="N275" i="34" s="1"/>
  <c r="T275" i="34"/>
  <c r="Q279" i="34"/>
  <c r="M279" i="34" s="1"/>
  <c r="S279" i="34"/>
  <c r="R279" i="34"/>
  <c r="T279" i="34"/>
  <c r="Q278" i="34"/>
  <c r="M278" i="34" s="1"/>
  <c r="S278" i="34"/>
  <c r="R278" i="34"/>
  <c r="N278" i="34" s="1"/>
  <c r="T278" i="34"/>
  <c r="L64" i="34"/>
  <c r="Q277" i="34"/>
  <c r="M277" i="34" s="1"/>
  <c r="S277" i="34"/>
  <c r="R277" i="34"/>
  <c r="N277" i="34" s="1"/>
  <c r="T277" i="34"/>
  <c r="S274" i="34"/>
  <c r="T274" i="34"/>
  <c r="Q274" i="34"/>
  <c r="R274" i="34"/>
  <c r="N274" i="34" s="1"/>
  <c r="S275" i="43"/>
  <c r="F202" i="50"/>
  <c r="F199" i="50"/>
  <c r="Z153" i="50"/>
  <c r="K148" i="50"/>
  <c r="J152" i="50"/>
  <c r="J148" i="50"/>
  <c r="J715" i="50"/>
  <c r="J713" i="50"/>
  <c r="J683" i="50"/>
  <c r="J679" i="50"/>
  <c r="F115" i="45"/>
  <c r="F120" i="45"/>
  <c r="G419" i="7"/>
  <c r="AE345" i="7" s="1"/>
  <c r="G115" i="44"/>
  <c r="H356" i="15"/>
  <c r="I356" i="15" s="1"/>
  <c r="I362" i="15" s="1"/>
  <c r="I420" i="7"/>
  <c r="AM345" i="7" s="1"/>
  <c r="E419" i="7"/>
  <c r="AC345" i="7" s="1"/>
  <c r="I120" i="45"/>
  <c r="F266" i="15"/>
  <c r="F265" i="15" s="1"/>
  <c r="F264" i="15" s="1"/>
  <c r="G260" i="15"/>
  <c r="Z717" i="50"/>
  <c r="J716" i="50"/>
  <c r="J717" i="50"/>
  <c r="J356" i="56"/>
  <c r="AQ58" i="14" s="1"/>
  <c r="N279" i="34"/>
  <c r="L88" i="34"/>
  <c r="K279" i="43"/>
  <c r="K278" i="43"/>
  <c r="L76" i="34"/>
  <c r="K277" i="43"/>
  <c r="K276" i="43"/>
  <c r="J82" i="38"/>
  <c r="AR109" i="14"/>
  <c r="AR83" i="14" s="1"/>
  <c r="AR122" i="14" s="1"/>
  <c r="AR99" i="14"/>
  <c r="AR89" i="14"/>
  <c r="AR100" i="14"/>
  <c r="AR101" i="14"/>
  <c r="E115" i="44"/>
  <c r="AB23" i="15"/>
  <c r="C281" i="45"/>
  <c r="K281" i="45" s="1"/>
  <c r="H32" i="15"/>
  <c r="G223" i="45" s="1"/>
  <c r="B93" i="15"/>
  <c r="D491" i="7"/>
  <c r="AB354" i="7" s="1"/>
  <c r="C112" i="44"/>
  <c r="L112" i="44" s="1"/>
  <c r="B32" i="15"/>
  <c r="I12" i="15" s="1"/>
  <c r="L40" i="34"/>
  <c r="K274" i="43"/>
  <c r="H30" i="37"/>
  <c r="F241" i="7" s="1"/>
  <c r="AD118" i="7" s="1"/>
  <c r="R25" i="37"/>
  <c r="I144" i="34" s="1"/>
  <c r="I356" i="3"/>
  <c r="AP68" i="14" s="1"/>
  <c r="J682" i="50"/>
  <c r="F308" i="38"/>
  <c r="E314" i="38"/>
  <c r="E312" i="38" s="1"/>
  <c r="D33" i="38" s="1"/>
  <c r="E94" i="15" s="1"/>
  <c r="O32" i="15"/>
  <c r="G492" i="7" s="1"/>
  <c r="AK354" i="7" s="1"/>
  <c r="Q32" i="15"/>
  <c r="I228" i="45" s="1"/>
  <c r="D223" i="45"/>
  <c r="M32" i="15"/>
  <c r="E228" i="44" s="1"/>
  <c r="P32" i="15"/>
  <c r="H228" i="45" s="1"/>
  <c r="L32" i="15"/>
  <c r="D228" i="44" s="1"/>
  <c r="G32" i="15"/>
  <c r="F223" i="44" s="1"/>
  <c r="I32" i="15"/>
  <c r="H491" i="7" s="1"/>
  <c r="AF354" i="7" s="1"/>
  <c r="E182" i="38"/>
  <c r="E180" i="38" s="1"/>
  <c r="D22" i="38" s="1"/>
  <c r="E83" i="15" s="1"/>
  <c r="F176" i="38"/>
  <c r="I35" i="37"/>
  <c r="G259" i="34" s="1"/>
  <c r="J681" i="50"/>
  <c r="M29" i="58"/>
  <c r="M45" i="58" s="1"/>
  <c r="E130" i="53"/>
  <c r="AL73" i="14" s="1"/>
  <c r="E356" i="56"/>
  <c r="AL58" i="14" s="1"/>
  <c r="G159" i="53"/>
  <c r="AN74" i="14" s="1"/>
  <c r="Z683" i="50"/>
  <c r="F682" i="50"/>
  <c r="F681" i="50"/>
  <c r="Z679" i="50"/>
  <c r="F683" i="50"/>
  <c r="H362" i="15"/>
  <c r="H361" i="15" s="1"/>
  <c r="H360" i="15" s="1"/>
  <c r="F287" i="50"/>
  <c r="Z284" i="50"/>
  <c r="F288" i="50"/>
  <c r="F286" i="50"/>
  <c r="P106" i="37"/>
  <c r="J106" i="37"/>
  <c r="P31" i="37"/>
  <c r="G216" i="34" s="1"/>
  <c r="N26" i="37"/>
  <c r="E156" i="43" s="1"/>
  <c r="K26" i="37"/>
  <c r="I209" i="7" s="1"/>
  <c r="AG114" i="7" s="1"/>
  <c r="K25" i="37"/>
  <c r="I140" i="43" s="1"/>
  <c r="K151" i="50"/>
  <c r="Z152" i="50"/>
  <c r="F201" i="50"/>
  <c r="J151" i="50"/>
  <c r="Z199" i="50"/>
  <c r="J329" i="50"/>
  <c r="AA322" i="50"/>
  <c r="J330" i="50"/>
  <c r="J328" i="50"/>
  <c r="K330" i="50"/>
  <c r="AA323" i="50"/>
  <c r="K328" i="50"/>
  <c r="K329" i="50"/>
  <c r="I320" i="50"/>
  <c r="Z321" i="50"/>
  <c r="I321" i="50"/>
  <c r="I322" i="50"/>
  <c r="Z323" i="50"/>
  <c r="K320" i="50"/>
  <c r="K322" i="50"/>
  <c r="K321" i="50"/>
  <c r="H321" i="50"/>
  <c r="Z320" i="50"/>
  <c r="H322" i="50"/>
  <c r="H320" i="50"/>
  <c r="I329" i="50"/>
  <c r="I330" i="50"/>
  <c r="AA321" i="50"/>
  <c r="I328" i="50"/>
  <c r="AA318" i="50"/>
  <c r="F329" i="50"/>
  <c r="F330" i="50"/>
  <c r="F328" i="50"/>
  <c r="G330" i="50"/>
  <c r="G329" i="50"/>
  <c r="AA319" i="50"/>
  <c r="G328" i="50"/>
  <c r="AA320" i="50"/>
  <c r="H330" i="50"/>
  <c r="H329" i="50"/>
  <c r="H328" i="50"/>
  <c r="J322" i="50"/>
  <c r="Z322" i="50"/>
  <c r="J320" i="50"/>
  <c r="J321" i="50"/>
  <c r="Z319" i="50"/>
  <c r="G321" i="50"/>
  <c r="G320" i="50"/>
  <c r="G322" i="50"/>
  <c r="F322" i="50"/>
  <c r="Z318" i="50"/>
  <c r="F321" i="50"/>
  <c r="F320" i="50"/>
  <c r="AC77" i="50"/>
  <c r="J344" i="50"/>
  <c r="J343" i="50" s="1"/>
  <c r="J336" i="50"/>
  <c r="J335" i="50" s="1"/>
  <c r="H336" i="50"/>
  <c r="H335" i="50" s="1"/>
  <c r="I344" i="50"/>
  <c r="I343" i="50" s="1"/>
  <c r="F344" i="50"/>
  <c r="F343" i="50" s="1"/>
  <c r="K344" i="50"/>
  <c r="K343" i="50" s="1"/>
  <c r="G344" i="50"/>
  <c r="G343" i="50" s="1"/>
  <c r="H344" i="50"/>
  <c r="H343" i="50" s="1"/>
  <c r="G336" i="50"/>
  <c r="G335" i="50" s="1"/>
  <c r="K336" i="50"/>
  <c r="K335" i="50" s="1"/>
  <c r="F336" i="50"/>
  <c r="F335" i="50" s="1"/>
  <c r="I336" i="50"/>
  <c r="I335" i="50" s="1"/>
  <c r="K150" i="50"/>
  <c r="K152" i="50"/>
  <c r="J150" i="50"/>
  <c r="Z666" i="50"/>
  <c r="J666" i="50"/>
  <c r="J665" i="50"/>
  <c r="J664" i="50"/>
  <c r="Z665" i="50"/>
  <c r="I666" i="50"/>
  <c r="I665" i="50"/>
  <c r="I664" i="50"/>
  <c r="H666" i="50"/>
  <c r="H665" i="50"/>
  <c r="Z664" i="50"/>
  <c r="H664" i="50"/>
  <c r="Z667" i="50"/>
  <c r="K666" i="50"/>
  <c r="K665" i="50"/>
  <c r="K664" i="50"/>
  <c r="F666" i="50"/>
  <c r="F665" i="50"/>
  <c r="F664" i="50"/>
  <c r="Z662" i="50"/>
  <c r="Z663" i="50"/>
  <c r="G666" i="50"/>
  <c r="G665" i="50"/>
  <c r="G664" i="50"/>
  <c r="J251" i="50"/>
  <c r="J645" i="50"/>
  <c r="F251" i="50"/>
  <c r="F645" i="50"/>
  <c r="I251" i="50"/>
  <c r="I645" i="50"/>
  <c r="G251" i="50"/>
  <c r="G250" i="50" s="1"/>
  <c r="G645" i="50"/>
  <c r="H251" i="50"/>
  <c r="H645" i="50"/>
  <c r="K251" i="50"/>
  <c r="K250" i="50" s="1"/>
  <c r="K645" i="50"/>
  <c r="J234" i="50"/>
  <c r="J628" i="50"/>
  <c r="F234" i="50"/>
  <c r="F628" i="50"/>
  <c r="K234" i="50"/>
  <c r="K628" i="50"/>
  <c r="Z629" i="50"/>
  <c r="G632" i="50"/>
  <c r="G631" i="50"/>
  <c r="G630" i="50"/>
  <c r="H234" i="50"/>
  <c r="H628" i="50"/>
  <c r="I234" i="50"/>
  <c r="I628" i="50"/>
  <c r="G217" i="50"/>
  <c r="G216" i="50" s="1"/>
  <c r="G611" i="50"/>
  <c r="F217" i="50"/>
  <c r="F611" i="50"/>
  <c r="K217" i="50"/>
  <c r="K611" i="50"/>
  <c r="H217" i="50"/>
  <c r="H611" i="50"/>
  <c r="I217" i="50"/>
  <c r="I216" i="50" s="1"/>
  <c r="I611" i="50"/>
  <c r="J217" i="50"/>
  <c r="J611" i="50"/>
  <c r="H200" i="50"/>
  <c r="H594" i="50"/>
  <c r="I200" i="50"/>
  <c r="I199" i="50" s="1"/>
  <c r="I594" i="50"/>
  <c r="K200" i="50"/>
  <c r="K594" i="50"/>
  <c r="J200" i="50"/>
  <c r="J594" i="50"/>
  <c r="G200" i="50"/>
  <c r="G594" i="50"/>
  <c r="F598" i="50"/>
  <c r="F597" i="50"/>
  <c r="F596" i="50"/>
  <c r="Z594" i="50"/>
  <c r="H183" i="50"/>
  <c r="G183" i="50"/>
  <c r="I183" i="50"/>
  <c r="I182" i="50" s="1"/>
  <c r="J183" i="50"/>
  <c r="F183" i="50"/>
  <c r="K183" i="50"/>
  <c r="K182" i="50" s="1"/>
  <c r="K166" i="50"/>
  <c r="K165" i="50" s="1"/>
  <c r="G166" i="50"/>
  <c r="J166" i="50"/>
  <c r="H166" i="50"/>
  <c r="I166" i="50"/>
  <c r="F166" i="50"/>
  <c r="G149" i="50"/>
  <c r="G148" i="50" s="1"/>
  <c r="F149" i="50"/>
  <c r="I149" i="50"/>
  <c r="I148" i="50" s="1"/>
  <c r="H149" i="50"/>
  <c r="H268" i="50"/>
  <c r="H267" i="50" s="1"/>
  <c r="K268" i="50"/>
  <c r="K267" i="50" s="1"/>
  <c r="J268" i="50"/>
  <c r="J267" i="50" s="1"/>
  <c r="I268" i="50"/>
  <c r="I267" i="50" s="1"/>
  <c r="F268" i="50"/>
  <c r="F267" i="50" s="1"/>
  <c r="G268" i="50"/>
  <c r="G267" i="50" s="1"/>
  <c r="F254" i="50"/>
  <c r="AX97" i="50"/>
  <c r="G234" i="50"/>
  <c r="G233" i="50" s="1"/>
  <c r="J205" i="15"/>
  <c r="J204" i="15" s="1"/>
  <c r="H205" i="15"/>
  <c r="H204" i="15" s="1"/>
  <c r="K205" i="15"/>
  <c r="K204" i="15" s="1"/>
  <c r="F205" i="15"/>
  <c r="F204" i="15" s="1"/>
  <c r="G205" i="15"/>
  <c r="G204" i="15" s="1"/>
  <c r="I205" i="15"/>
  <c r="I204" i="15" s="1"/>
  <c r="L124" i="34"/>
  <c r="P32" i="37"/>
  <c r="G228" i="34" s="1"/>
  <c r="J23" i="37"/>
  <c r="H115" i="34" s="1"/>
  <c r="G35" i="37"/>
  <c r="E259" i="43" s="1"/>
  <c r="Q30" i="37"/>
  <c r="H242" i="7" s="1"/>
  <c r="AL118" i="7" s="1"/>
  <c r="J29" i="37"/>
  <c r="H187" i="34" s="1"/>
  <c r="J27" i="37"/>
  <c r="H217" i="7" s="1"/>
  <c r="AF115" i="7" s="1"/>
  <c r="I26" i="37"/>
  <c r="G152" i="43" s="1"/>
  <c r="N27" i="37"/>
  <c r="E168" i="34" s="1"/>
  <c r="P374" i="58"/>
  <c r="O390" i="58"/>
  <c r="L370" i="58"/>
  <c r="K386" i="58"/>
  <c r="Q223" i="58"/>
  <c r="Q239" i="58" s="1"/>
  <c r="P239" i="58"/>
  <c r="L142" i="58"/>
  <c r="K158" i="58"/>
  <c r="Q375" i="58"/>
  <c r="Q391" i="58" s="1"/>
  <c r="P391" i="58"/>
  <c r="L218" i="58"/>
  <c r="K234" i="58"/>
  <c r="P70" i="58"/>
  <c r="O86" i="58"/>
  <c r="L256" i="58"/>
  <c r="K272" i="58"/>
  <c r="Q261" i="58"/>
  <c r="Q277" i="58" s="1"/>
  <c r="P277" i="58"/>
  <c r="L294" i="58"/>
  <c r="K310" i="58"/>
  <c r="P298" i="58"/>
  <c r="O314" i="58"/>
  <c r="L332" i="58"/>
  <c r="K348" i="58"/>
  <c r="P336" i="58"/>
  <c r="O352" i="58"/>
  <c r="M371" i="58"/>
  <c r="L387" i="58"/>
  <c r="P146" i="58"/>
  <c r="O162" i="58"/>
  <c r="L180" i="58"/>
  <c r="K196" i="58"/>
  <c r="P184" i="58"/>
  <c r="O200" i="58"/>
  <c r="M219" i="58"/>
  <c r="L235" i="58"/>
  <c r="Q71" i="58"/>
  <c r="Q87" i="58" s="1"/>
  <c r="P87" i="58"/>
  <c r="L66" i="58"/>
  <c r="K82" i="58"/>
  <c r="P222" i="58"/>
  <c r="O238" i="58"/>
  <c r="M257" i="58"/>
  <c r="L273" i="58"/>
  <c r="M67" i="58"/>
  <c r="L83" i="58"/>
  <c r="P260" i="58"/>
  <c r="O276" i="58"/>
  <c r="M295" i="58"/>
  <c r="L311" i="58"/>
  <c r="Q299" i="58"/>
  <c r="Q315" i="58" s="1"/>
  <c r="P315" i="58"/>
  <c r="M333" i="58"/>
  <c r="L349" i="58"/>
  <c r="Q337" i="58"/>
  <c r="Q353" i="58" s="1"/>
  <c r="P353" i="58"/>
  <c r="M143" i="58"/>
  <c r="L159" i="58"/>
  <c r="Q147" i="58"/>
  <c r="Q163" i="58" s="1"/>
  <c r="P163" i="58"/>
  <c r="M181" i="58"/>
  <c r="L197" i="58"/>
  <c r="Q185" i="58"/>
  <c r="Q201" i="58" s="1"/>
  <c r="P201" i="58"/>
  <c r="K120" i="58"/>
  <c r="L104" i="58"/>
  <c r="L121" i="58"/>
  <c r="M105" i="58"/>
  <c r="N123" i="58"/>
  <c r="O107" i="58"/>
  <c r="I118" i="58"/>
  <c r="J102" i="58"/>
  <c r="P125" i="58"/>
  <c r="Q109" i="58"/>
  <c r="Q125" i="58" s="1"/>
  <c r="O124" i="58"/>
  <c r="P108" i="58"/>
  <c r="J119" i="58"/>
  <c r="K103" i="58"/>
  <c r="M122" i="58"/>
  <c r="N106" i="58"/>
  <c r="J309" i="58"/>
  <c r="K293" i="58"/>
  <c r="M198" i="58"/>
  <c r="N182" i="58"/>
  <c r="J385" i="58"/>
  <c r="K369" i="58"/>
  <c r="I346" i="58"/>
  <c r="J330" i="58"/>
  <c r="I308" i="58"/>
  <c r="J292" i="58"/>
  <c r="M274" i="58"/>
  <c r="N258" i="58"/>
  <c r="J195" i="58"/>
  <c r="K179" i="58"/>
  <c r="N199" i="58"/>
  <c r="O183" i="58"/>
  <c r="N85" i="58"/>
  <c r="O69" i="58"/>
  <c r="N351" i="58"/>
  <c r="O335" i="58"/>
  <c r="J271" i="58"/>
  <c r="K255" i="58"/>
  <c r="I156" i="58"/>
  <c r="J140" i="58"/>
  <c r="M388" i="58"/>
  <c r="N372" i="58"/>
  <c r="J157" i="58"/>
  <c r="K141" i="58"/>
  <c r="I80" i="58"/>
  <c r="J347" i="58"/>
  <c r="K331" i="58"/>
  <c r="N275" i="58"/>
  <c r="O259" i="58"/>
  <c r="J233" i="58"/>
  <c r="K217" i="58"/>
  <c r="I194" i="58"/>
  <c r="J178" i="58"/>
  <c r="M350" i="58"/>
  <c r="N334" i="58"/>
  <c r="M312" i="58"/>
  <c r="N296" i="58"/>
  <c r="I270" i="58"/>
  <c r="J254" i="58"/>
  <c r="M160" i="58"/>
  <c r="N144" i="58"/>
  <c r="I384" i="58"/>
  <c r="J368" i="58"/>
  <c r="N237" i="58"/>
  <c r="O221" i="58"/>
  <c r="N389" i="58"/>
  <c r="O373" i="58"/>
  <c r="N313" i="58"/>
  <c r="O297" i="58"/>
  <c r="I232" i="58"/>
  <c r="J216" i="58"/>
  <c r="J81" i="58"/>
  <c r="K65" i="58"/>
  <c r="N161" i="58"/>
  <c r="O145" i="58"/>
  <c r="M236" i="58"/>
  <c r="N220" i="58"/>
  <c r="M84" i="58"/>
  <c r="N68" i="58"/>
  <c r="Y28" i="15"/>
  <c r="C354" i="7"/>
  <c r="D354" i="7" s="1"/>
  <c r="J204" i="56"/>
  <c r="AQ54" i="14" s="1"/>
  <c r="J318" i="56"/>
  <c r="AQ57" i="14" s="1"/>
  <c r="G242" i="56"/>
  <c r="AN55" i="14" s="1"/>
  <c r="F318" i="3"/>
  <c r="AM67" i="14" s="1"/>
  <c r="R106" i="37"/>
  <c r="G132" i="45"/>
  <c r="H108" i="45"/>
  <c r="AB19" i="15"/>
  <c r="D151" i="45"/>
  <c r="D151" i="44"/>
  <c r="H106" i="37"/>
  <c r="Q106" i="37"/>
  <c r="C209" i="38"/>
  <c r="I209" i="38" s="1"/>
  <c r="C347" i="7"/>
  <c r="D347" i="7" s="1"/>
  <c r="F116" i="38"/>
  <c r="G116" i="38" s="1"/>
  <c r="E122" i="38"/>
  <c r="F130" i="53"/>
  <c r="AM73" i="14" s="1"/>
  <c r="G101" i="53"/>
  <c r="AN72" i="14" s="1"/>
  <c r="G356" i="3"/>
  <c r="AN68" i="14" s="1"/>
  <c r="G166" i="3"/>
  <c r="AN63" i="14" s="1"/>
  <c r="J166" i="3"/>
  <c r="AQ63" i="14" s="1"/>
  <c r="G318" i="56"/>
  <c r="AN57" i="14" s="1"/>
  <c r="F166" i="56"/>
  <c r="AM53" i="14" s="1"/>
  <c r="J242" i="56"/>
  <c r="AQ55" i="14" s="1"/>
  <c r="I394" i="56"/>
  <c r="AP59" i="14" s="1"/>
  <c r="E394" i="3"/>
  <c r="AL69" i="14" s="1"/>
  <c r="E166" i="56"/>
  <c r="AL53" i="14" s="1"/>
  <c r="K33" i="37"/>
  <c r="H27" i="37"/>
  <c r="F163" i="34" s="1"/>
  <c r="I31" i="37"/>
  <c r="G212" i="34" s="1"/>
  <c r="I24" i="37"/>
  <c r="M30" i="37"/>
  <c r="P35" i="37"/>
  <c r="M34" i="37"/>
  <c r="D253" i="43" s="1"/>
  <c r="K30" i="37"/>
  <c r="I200" i="43" s="1"/>
  <c r="P23" i="37"/>
  <c r="G120" i="34" s="1"/>
  <c r="O24" i="37"/>
  <c r="F133" i="43" s="1"/>
  <c r="M27" i="37"/>
  <c r="D168" i="34" s="1"/>
  <c r="Q35" i="37"/>
  <c r="H264" i="43" s="1"/>
  <c r="P29" i="37"/>
  <c r="H23" i="37"/>
  <c r="F185" i="7" s="1"/>
  <c r="AD111" i="7" s="1"/>
  <c r="O25" i="37"/>
  <c r="O26" i="37"/>
  <c r="F210" i="7" s="1"/>
  <c r="AJ114" i="7" s="1"/>
  <c r="O22" i="37"/>
  <c r="P34" i="37"/>
  <c r="G252" i="43" s="1"/>
  <c r="F28" i="37"/>
  <c r="D176" i="43" s="1"/>
  <c r="G29" i="37"/>
  <c r="E187" i="43" s="1"/>
  <c r="R28" i="37"/>
  <c r="I180" i="43" s="1"/>
  <c r="G31" i="37"/>
  <c r="E212" i="43" s="1"/>
  <c r="R35" i="37"/>
  <c r="Q31" i="37"/>
  <c r="H216" i="34" s="1"/>
  <c r="K22" i="37"/>
  <c r="Q32" i="37"/>
  <c r="H258" i="7" s="1"/>
  <c r="AL120" i="7" s="1"/>
  <c r="M25" i="37"/>
  <c r="D144" i="43" s="1"/>
  <c r="P26" i="37"/>
  <c r="G156" i="43" s="1"/>
  <c r="M24" i="37"/>
  <c r="J28" i="37"/>
  <c r="R33" i="37"/>
  <c r="I266" i="7" s="1"/>
  <c r="AM121" i="7" s="1"/>
  <c r="F32" i="37"/>
  <c r="G25" i="37"/>
  <c r="E140" i="34" s="1"/>
  <c r="H24" i="37"/>
  <c r="K28" i="37"/>
  <c r="I176" i="43" s="1"/>
  <c r="H28" i="37"/>
  <c r="J22" i="37"/>
  <c r="N32" i="37"/>
  <c r="E229" i="43" s="1"/>
  <c r="J34" i="37"/>
  <c r="H248" i="43" s="1"/>
  <c r="G23" i="37"/>
  <c r="N28" i="37"/>
  <c r="M32" i="37"/>
  <c r="O31" i="37"/>
  <c r="I33" i="37"/>
  <c r="G235" i="34" s="1"/>
  <c r="O34" i="37"/>
  <c r="F253" i="43" s="1"/>
  <c r="J24" i="37"/>
  <c r="H193" i="7" s="1"/>
  <c r="AF112" i="7" s="1"/>
  <c r="O32" i="37"/>
  <c r="F229" i="43" s="1"/>
  <c r="H25" i="37"/>
  <c r="F139" i="43" s="1"/>
  <c r="G27" i="37"/>
  <c r="G30" i="37"/>
  <c r="E199" i="34" s="1"/>
  <c r="O23" i="37"/>
  <c r="F121" i="43" s="1"/>
  <c r="F26" i="37"/>
  <c r="D152" i="43" s="1"/>
  <c r="F31" i="37"/>
  <c r="P25" i="37"/>
  <c r="Q33" i="37"/>
  <c r="H240" i="34" s="1"/>
  <c r="K32" i="37"/>
  <c r="I223" i="43" s="1"/>
  <c r="O35" i="37"/>
  <c r="F282" i="7" s="1"/>
  <c r="AJ123" i="7" s="1"/>
  <c r="R27" i="37"/>
  <c r="I169" i="34" s="1"/>
  <c r="I30" i="37"/>
  <c r="R29" i="37"/>
  <c r="G308" i="15"/>
  <c r="H308" i="15" s="1"/>
  <c r="F515" i="7"/>
  <c r="AD357" i="7" s="1"/>
  <c r="F259" i="44"/>
  <c r="D280" i="56"/>
  <c r="G204" i="56"/>
  <c r="AN54" i="14" s="1"/>
  <c r="F356" i="56"/>
  <c r="AM58" i="14" s="1"/>
  <c r="D204" i="56"/>
  <c r="H280" i="56"/>
  <c r="AO56" i="14" s="1"/>
  <c r="E72" i="53"/>
  <c r="AL71" i="14" s="1"/>
  <c r="G166" i="56"/>
  <c r="AN53" i="14" s="1"/>
  <c r="F242" i="56"/>
  <c r="AM55" i="14" s="1"/>
  <c r="F318" i="56"/>
  <c r="AM57" i="14" s="1"/>
  <c r="F280" i="3"/>
  <c r="AM66" i="14" s="1"/>
  <c r="J166" i="56"/>
  <c r="AQ53" i="14" s="1"/>
  <c r="F204" i="56"/>
  <c r="AM54" i="14" s="1"/>
  <c r="G280" i="56"/>
  <c r="AN56" i="14" s="1"/>
  <c r="I356" i="56"/>
  <c r="AP58" i="14" s="1"/>
  <c r="F394" i="56"/>
  <c r="AM59" i="14" s="1"/>
  <c r="G280" i="3"/>
  <c r="AN66" i="14" s="1"/>
  <c r="I204" i="3"/>
  <c r="AP64" i="14" s="1"/>
  <c r="H280" i="3"/>
  <c r="AO66" i="14" s="1"/>
  <c r="H394" i="3"/>
  <c r="AO69" i="14" s="1"/>
  <c r="H101" i="53"/>
  <c r="AO72" i="14" s="1"/>
  <c r="Y21" i="15"/>
  <c r="Y32" i="15"/>
  <c r="F259" i="45"/>
  <c r="F25" i="37"/>
  <c r="D139" i="34" s="1"/>
  <c r="H22" i="37"/>
  <c r="F103" i="43" s="1"/>
  <c r="M23" i="37"/>
  <c r="D121" i="43" s="1"/>
  <c r="R34" i="37"/>
  <c r="I252" i="43" s="1"/>
  <c r="M29" i="37"/>
  <c r="D192" i="43" s="1"/>
  <c r="R32" i="37"/>
  <c r="N22" i="37"/>
  <c r="E108" i="43" s="1"/>
  <c r="N29" i="37"/>
  <c r="E234" i="7" s="1"/>
  <c r="AI117" i="7" s="1"/>
  <c r="I28" i="37"/>
  <c r="G175" i="34" s="1"/>
  <c r="F24" i="37"/>
  <c r="D127" i="43" s="1"/>
  <c r="M35" i="37"/>
  <c r="K27" i="37"/>
  <c r="I163" i="43" s="1"/>
  <c r="Q27" i="37"/>
  <c r="H168" i="34" s="1"/>
  <c r="O27" i="37"/>
  <c r="F35" i="37"/>
  <c r="D259" i="43" s="1"/>
  <c r="R31" i="37"/>
  <c r="N31" i="37"/>
  <c r="E216" i="34" s="1"/>
  <c r="J30" i="37"/>
  <c r="H199" i="43" s="1"/>
  <c r="P22" i="37"/>
  <c r="G33" i="37"/>
  <c r="E235" i="43" s="1"/>
  <c r="P28" i="37"/>
  <c r="G180" i="43" s="1"/>
  <c r="J31" i="37"/>
  <c r="H211" i="34" s="1"/>
  <c r="Q34" i="37"/>
  <c r="K24" i="37"/>
  <c r="I127" i="43" s="1"/>
  <c r="H32" i="37"/>
  <c r="H33" i="37"/>
  <c r="F236" i="43" s="1"/>
  <c r="R26" i="37"/>
  <c r="I156" i="34" s="1"/>
  <c r="N23" i="37"/>
  <c r="E120" i="34" s="1"/>
  <c r="F27" i="37"/>
  <c r="D217" i="7" s="1"/>
  <c r="AB115" i="7" s="1"/>
  <c r="I27" i="37"/>
  <c r="G164" i="34" s="1"/>
  <c r="P27" i="37"/>
  <c r="G169" i="34" s="1"/>
  <c r="K31" i="37"/>
  <c r="I212" i="34" s="1"/>
  <c r="I25" i="37"/>
  <c r="G201" i="7" s="1"/>
  <c r="AE113" i="7" s="1"/>
  <c r="R23" i="37"/>
  <c r="P33" i="37"/>
  <c r="G240" i="34" s="1"/>
  <c r="J25" i="37"/>
  <c r="J33" i="37"/>
  <c r="H236" i="43" s="1"/>
  <c r="J26" i="37"/>
  <c r="H209" i="7" s="1"/>
  <c r="AF114" i="7" s="1"/>
  <c r="I23" i="37"/>
  <c r="G116" i="43" s="1"/>
  <c r="Q23" i="37"/>
  <c r="H121" i="43" s="1"/>
  <c r="N24" i="37"/>
  <c r="E132" i="43" s="1"/>
  <c r="P24" i="37"/>
  <c r="H34" i="37"/>
  <c r="F273" i="7" s="1"/>
  <c r="AD122" i="7" s="1"/>
  <c r="F30" i="37"/>
  <c r="D241" i="7" s="1"/>
  <c r="AB118" i="7" s="1"/>
  <c r="P30" i="37"/>
  <c r="G205" i="43" s="1"/>
  <c r="O33" i="37"/>
  <c r="F240" i="43" s="1"/>
  <c r="I29" i="37"/>
  <c r="G233" i="7" s="1"/>
  <c r="AE117" i="7" s="1"/>
  <c r="K29" i="37"/>
  <c r="I188" i="43" s="1"/>
  <c r="H26" i="37"/>
  <c r="I34" i="37"/>
  <c r="G248" i="43" s="1"/>
  <c r="K35" i="37"/>
  <c r="I259" i="43" s="1"/>
  <c r="H35" i="37"/>
  <c r="F259" i="34" s="1"/>
  <c r="H31" i="37"/>
  <c r="N35" i="37"/>
  <c r="E282" i="7" s="1"/>
  <c r="AI123" i="7" s="1"/>
  <c r="J35" i="37"/>
  <c r="F22" i="37"/>
  <c r="M22" i="37"/>
  <c r="D108" i="43" s="1"/>
  <c r="M33" i="37"/>
  <c r="D240" i="43" s="1"/>
  <c r="I32" i="37"/>
  <c r="G223" i="43" s="1"/>
  <c r="Q25" i="37"/>
  <c r="O28" i="37"/>
  <c r="F181" i="43" s="1"/>
  <c r="G26" i="37"/>
  <c r="E151" i="43" s="1"/>
  <c r="K23" i="37"/>
  <c r="I115" i="34" s="1"/>
  <c r="G22" i="37"/>
  <c r="E103" i="34" s="1"/>
  <c r="R24" i="37"/>
  <c r="I133" i="43" s="1"/>
  <c r="Q24" i="37"/>
  <c r="H133" i="43" s="1"/>
  <c r="N34" i="37"/>
  <c r="E253" i="43" s="1"/>
  <c r="R30" i="37"/>
  <c r="G28" i="37"/>
  <c r="E176" i="34" s="1"/>
  <c r="N33" i="37"/>
  <c r="E241" i="34" s="1"/>
  <c r="H29" i="37"/>
  <c r="F187" i="34" s="1"/>
  <c r="Q29" i="37"/>
  <c r="H234" i="7" s="1"/>
  <c r="AL117" i="7" s="1"/>
  <c r="I22" i="37"/>
  <c r="G103" i="43" s="1"/>
  <c r="O29" i="37"/>
  <c r="F193" i="34" s="1"/>
  <c r="F23" i="37"/>
  <c r="D115" i="34" s="1"/>
  <c r="Q26" i="37"/>
  <c r="H157" i="43" s="1"/>
  <c r="G32" i="37"/>
  <c r="E224" i="43" s="1"/>
  <c r="G24" i="37"/>
  <c r="E193" i="7" s="1"/>
  <c r="AC112" i="7" s="1"/>
  <c r="AW28" i="14"/>
  <c r="N30" i="37"/>
  <c r="R22" i="37"/>
  <c r="F34" i="37"/>
  <c r="Q28" i="37"/>
  <c r="H181" i="34" s="1"/>
  <c r="K34" i="37"/>
  <c r="I247" i="43" s="1"/>
  <c r="O106" i="37"/>
  <c r="I106" i="37"/>
  <c r="M106" i="37"/>
  <c r="G380" i="15"/>
  <c r="H380" i="15" s="1"/>
  <c r="Y18" i="15"/>
  <c r="Y20" i="15"/>
  <c r="Y24" i="15"/>
  <c r="N106" i="37"/>
  <c r="F106" i="37"/>
  <c r="K106" i="37"/>
  <c r="G106" i="37"/>
  <c r="F338" i="15"/>
  <c r="F337" i="15" s="1"/>
  <c r="F336" i="15" s="1"/>
  <c r="G332" i="15"/>
  <c r="G144" i="44"/>
  <c r="G144" i="45"/>
  <c r="C173" i="38"/>
  <c r="I173" i="38" s="1"/>
  <c r="C344" i="7"/>
  <c r="D344" i="7" s="1"/>
  <c r="C161" i="38"/>
  <c r="I161" i="38" s="1"/>
  <c r="C343" i="7"/>
  <c r="D343" i="7" s="1"/>
  <c r="C172" i="45"/>
  <c r="L172" i="45" s="1"/>
  <c r="C286" i="45"/>
  <c r="K286" i="45" s="1"/>
  <c r="I159" i="53"/>
  <c r="AP74" i="14" s="1"/>
  <c r="J130" i="53"/>
  <c r="AQ73" i="14" s="1"/>
  <c r="F159" i="53"/>
  <c r="AM74" i="14" s="1"/>
  <c r="G72" i="53"/>
  <c r="AN71" i="14" s="1"/>
  <c r="F394" i="3"/>
  <c r="AM69" i="14" s="1"/>
  <c r="E356" i="3"/>
  <c r="AL68" i="14" s="1"/>
  <c r="G318" i="3"/>
  <c r="AN67" i="14" s="1"/>
  <c r="E242" i="3"/>
  <c r="AL65" i="14" s="1"/>
  <c r="E204" i="3"/>
  <c r="AL64" i="14" s="1"/>
  <c r="E166" i="3"/>
  <c r="AL63" i="14" s="1"/>
  <c r="I166" i="3"/>
  <c r="AP63" i="14" s="1"/>
  <c r="J394" i="3"/>
  <c r="AQ69" i="14" s="1"/>
  <c r="J318" i="3"/>
  <c r="AQ67" i="14" s="1"/>
  <c r="G242" i="3"/>
  <c r="AN65" i="14" s="1"/>
  <c r="J394" i="56"/>
  <c r="AQ59" i="14" s="1"/>
  <c r="G356" i="56"/>
  <c r="AN58" i="14" s="1"/>
  <c r="E318" i="56"/>
  <c r="AL57" i="14" s="1"/>
  <c r="I318" i="56"/>
  <c r="AP57" i="14" s="1"/>
  <c r="I280" i="56"/>
  <c r="AP56" i="14" s="1"/>
  <c r="I242" i="56"/>
  <c r="AP55" i="14" s="1"/>
  <c r="H204" i="56"/>
  <c r="AO54" i="14" s="1"/>
  <c r="H166" i="56"/>
  <c r="AO53" i="14" s="1"/>
  <c r="B140" i="14"/>
  <c r="B143" i="14" s="1"/>
  <c r="E318" i="3"/>
  <c r="AL67" i="14" s="1"/>
  <c r="H242" i="3"/>
  <c r="AO65" i="14" s="1"/>
  <c r="H318" i="56"/>
  <c r="AO57" i="14" s="1"/>
  <c r="E280" i="56"/>
  <c r="AL56" i="14" s="1"/>
  <c r="H242" i="56"/>
  <c r="AO55" i="14" s="1"/>
  <c r="E204" i="56"/>
  <c r="AL54" i="14" s="1"/>
  <c r="I166" i="56"/>
  <c r="AP53" i="14" s="1"/>
  <c r="G130" i="53"/>
  <c r="AN73" i="14" s="1"/>
  <c r="G394" i="56"/>
  <c r="AN59" i="14" s="1"/>
  <c r="F280" i="56"/>
  <c r="AM56" i="14" s="1"/>
  <c r="J280" i="56"/>
  <c r="AQ56" i="14" s="1"/>
  <c r="B141" i="14"/>
  <c r="E29" i="60" s="1"/>
  <c r="F101" i="53"/>
  <c r="AM72" i="14" s="1"/>
  <c r="H204" i="3"/>
  <c r="AO64" i="14" s="1"/>
  <c r="H356" i="56"/>
  <c r="AO58" i="14" s="1"/>
  <c r="E242" i="56"/>
  <c r="AL55" i="14" s="1"/>
  <c r="I204" i="56"/>
  <c r="AP54" i="14" s="1"/>
  <c r="B144" i="14"/>
  <c r="D196" i="3" s="1"/>
  <c r="B145" i="14"/>
  <c r="C36" i="38" s="1"/>
  <c r="C197" i="38"/>
  <c r="I197" i="38" s="1"/>
  <c r="C346" i="7"/>
  <c r="D346" i="7" s="1"/>
  <c r="D508" i="7"/>
  <c r="AH356" i="7" s="1"/>
  <c r="D252" i="44"/>
  <c r="H139" i="45"/>
  <c r="C288" i="45"/>
  <c r="K288" i="45" s="1"/>
  <c r="C352" i="7"/>
  <c r="D352" i="7" s="1"/>
  <c r="P86" i="15"/>
  <c r="F403" i="7"/>
  <c r="AD343" i="7" s="1"/>
  <c r="F91" i="45"/>
  <c r="N83" i="15"/>
  <c r="F144" i="45"/>
  <c r="F144" i="44"/>
  <c r="E159" i="53"/>
  <c r="AL74" i="14" s="1"/>
  <c r="H159" i="53"/>
  <c r="AO74" i="14" s="1"/>
  <c r="J159" i="53"/>
  <c r="H130" i="53"/>
  <c r="AO73" i="14" s="1"/>
  <c r="E101" i="53"/>
  <c r="I101" i="53"/>
  <c r="AP72" i="14" s="1"/>
  <c r="I130" i="53"/>
  <c r="AP73" i="14" s="1"/>
  <c r="F72" i="53"/>
  <c r="AM71" i="14" s="1"/>
  <c r="H72" i="53"/>
  <c r="AO71" i="14" s="1"/>
  <c r="J72" i="53"/>
  <c r="AQ71" i="14" s="1"/>
  <c r="G394" i="3"/>
  <c r="I394" i="3"/>
  <c r="AP69" i="14" s="1"/>
  <c r="F356" i="3"/>
  <c r="J356" i="3"/>
  <c r="AQ68" i="14" s="1"/>
  <c r="I318" i="3"/>
  <c r="AP67" i="14" s="1"/>
  <c r="I280" i="3"/>
  <c r="AP66" i="14" s="1"/>
  <c r="F242" i="3"/>
  <c r="AM65" i="14" s="1"/>
  <c r="J242" i="3"/>
  <c r="AQ65" i="14" s="1"/>
  <c r="F204" i="3"/>
  <c r="AM64" i="14" s="1"/>
  <c r="J204" i="3"/>
  <c r="AQ64" i="14" s="1"/>
  <c r="F166" i="3"/>
  <c r="AM63" i="14" s="1"/>
  <c r="H166" i="3"/>
  <c r="AO63" i="14" s="1"/>
  <c r="J101" i="53"/>
  <c r="AQ72" i="14" s="1"/>
  <c r="H356" i="3"/>
  <c r="H318" i="3"/>
  <c r="AO67" i="14" s="1"/>
  <c r="E280" i="3"/>
  <c r="J280" i="3"/>
  <c r="AQ66" i="14" s="1"/>
  <c r="G204" i="3"/>
  <c r="E394" i="56"/>
  <c r="AL59" i="14" s="1"/>
  <c r="H394" i="56"/>
  <c r="AO59" i="14" s="1"/>
  <c r="C220" i="44"/>
  <c r="L220" i="44" s="1"/>
  <c r="P49" i="58"/>
  <c r="Q33" i="58"/>
  <c r="Q49" i="58" s="1"/>
  <c r="AB30" i="15"/>
  <c r="C269" i="38"/>
  <c r="I269" i="38" s="1"/>
  <c r="AB26" i="15"/>
  <c r="C221" i="38"/>
  <c r="I221" i="38" s="1"/>
  <c r="C350" i="7"/>
  <c r="D350" i="7" s="1"/>
  <c r="C245" i="38"/>
  <c r="I245" i="38" s="1"/>
  <c r="C384" i="7"/>
  <c r="C137" i="38"/>
  <c r="I137" i="38" s="1"/>
  <c r="Q22" i="37"/>
  <c r="AB35" i="15"/>
  <c r="C329" i="38"/>
  <c r="I329" i="38" s="1"/>
  <c r="M28" i="37"/>
  <c r="D181" i="34" s="1"/>
  <c r="F29" i="37"/>
  <c r="D188" i="34" s="1"/>
  <c r="F33" i="37"/>
  <c r="D236" i="34" s="1"/>
  <c r="J32" i="37"/>
  <c r="N25" i="37"/>
  <c r="E145" i="34" s="1"/>
  <c r="M26" i="37"/>
  <c r="M31" i="37"/>
  <c r="D217" i="34" s="1"/>
  <c r="O30" i="37"/>
  <c r="E247" i="43"/>
  <c r="E121" i="38"/>
  <c r="K17" i="38" s="1"/>
  <c r="L78" i="15" s="1"/>
  <c r="E109" i="38"/>
  <c r="K16" i="38" s="1"/>
  <c r="L77" i="15" s="1"/>
  <c r="Y31" i="15"/>
  <c r="P289" i="44" s="1"/>
  <c r="L289" i="44" s="1"/>
  <c r="Y30" i="15"/>
  <c r="Y19" i="15"/>
  <c r="BC89" i="14"/>
  <c r="AZ491" i="50"/>
  <c r="AY495" i="50"/>
  <c r="H47" i="47"/>
  <c r="H9" i="47" s="1"/>
  <c r="AO8" i="14" s="1"/>
  <c r="F500" i="7"/>
  <c r="AJ355" i="7" s="1"/>
  <c r="H259" i="44"/>
  <c r="H515" i="7"/>
  <c r="AF357" i="7" s="1"/>
  <c r="H259" i="45"/>
  <c r="C342" i="7"/>
  <c r="D342" i="7" s="1"/>
  <c r="C392" i="7"/>
  <c r="D492" i="7"/>
  <c r="AH354" i="7" s="1"/>
  <c r="H132" i="44"/>
  <c r="H132" i="45"/>
  <c r="G507" i="7"/>
  <c r="AE356" i="7" s="1"/>
  <c r="G247" i="45"/>
  <c r="G247" i="44"/>
  <c r="G264" i="44"/>
  <c r="G516" i="7"/>
  <c r="AK357" i="7" s="1"/>
  <c r="C290" i="45"/>
  <c r="K290" i="45" s="1"/>
  <c r="AB32" i="15"/>
  <c r="D467" i="7"/>
  <c r="AB351" i="7" s="1"/>
  <c r="D187" i="44"/>
  <c r="AB22" i="15"/>
  <c r="C408" i="7"/>
  <c r="C279" i="44"/>
  <c r="P279" i="44" s="1"/>
  <c r="L279" i="44" s="1"/>
  <c r="C279" i="45"/>
  <c r="K279" i="45" s="1"/>
  <c r="E248" i="43"/>
  <c r="E273" i="7"/>
  <c r="AC122" i="7" s="1"/>
  <c r="F139" i="44"/>
  <c r="F139" i="45"/>
  <c r="G139" i="45"/>
  <c r="G435" i="7"/>
  <c r="AE347" i="7" s="1"/>
  <c r="M86" i="15"/>
  <c r="H252" i="45"/>
  <c r="H508" i="7"/>
  <c r="AL356" i="7" s="1"/>
  <c r="D259" i="44"/>
  <c r="D259" i="45"/>
  <c r="C76" i="45"/>
  <c r="C76" i="44"/>
  <c r="C278" i="45"/>
  <c r="E460" i="7"/>
  <c r="AI350" i="7" s="1"/>
  <c r="E180" i="45"/>
  <c r="I144" i="44"/>
  <c r="I144" i="45"/>
  <c r="C148" i="44"/>
  <c r="L148" i="44" s="1"/>
  <c r="C284" i="45"/>
  <c r="K284" i="45" s="1"/>
  <c r="C440" i="7"/>
  <c r="C348" i="7"/>
  <c r="D348" i="7" s="1"/>
  <c r="H223" i="45"/>
  <c r="C220" i="45"/>
  <c r="L220" i="45" s="1"/>
  <c r="C290" i="44"/>
  <c r="P290" i="44" s="1"/>
  <c r="L290" i="44" s="1"/>
  <c r="C488" i="7"/>
  <c r="H443" i="7"/>
  <c r="AF348" i="7" s="1"/>
  <c r="H151" i="44"/>
  <c r="H151" i="45"/>
  <c r="C172" i="44"/>
  <c r="L172" i="44" s="1"/>
  <c r="C286" i="44"/>
  <c r="P286" i="44" s="1"/>
  <c r="L286" i="44" s="1"/>
  <c r="C456" i="7"/>
  <c r="C277" i="44"/>
  <c r="P277" i="44" s="1"/>
  <c r="L277" i="44" s="1"/>
  <c r="C64" i="45"/>
  <c r="C277" i="45"/>
  <c r="C341" i="7"/>
  <c r="D341" i="7" s="1"/>
  <c r="H180" i="45"/>
  <c r="H180" i="44"/>
  <c r="H460" i="7"/>
  <c r="AL350" i="7" s="1"/>
  <c r="C148" i="45"/>
  <c r="L148" i="45" s="1"/>
  <c r="E412" i="7"/>
  <c r="AI344" i="7" s="1"/>
  <c r="E108" i="45"/>
  <c r="L93" i="15"/>
  <c r="H436" i="7"/>
  <c r="AL347" i="7" s="1"/>
  <c r="H144" i="45"/>
  <c r="D139" i="45"/>
  <c r="D435" i="7"/>
  <c r="AB347" i="7" s="1"/>
  <c r="D139" i="44"/>
  <c r="I132" i="44"/>
  <c r="I428" i="7"/>
  <c r="AM346" i="7" s="1"/>
  <c r="F492" i="7"/>
  <c r="AJ354" i="7" s="1"/>
  <c r="F228" i="44"/>
  <c r="D144" i="44"/>
  <c r="D144" i="45"/>
  <c r="G427" i="7"/>
  <c r="AE346" i="7" s="1"/>
  <c r="G127" i="44"/>
  <c r="C124" i="44"/>
  <c r="L124" i="44" s="1"/>
  <c r="C424" i="7"/>
  <c r="I259" i="44"/>
  <c r="I259" i="45"/>
  <c r="H175" i="44"/>
  <c r="H175" i="45"/>
  <c r="F427" i="7"/>
  <c r="AD346" i="7" s="1"/>
  <c r="F127" i="45"/>
  <c r="F180" i="44"/>
  <c r="F180" i="45"/>
  <c r="G459" i="7"/>
  <c r="AE350" i="7" s="1"/>
  <c r="G175" i="44"/>
  <c r="H444" i="7"/>
  <c r="AL348" i="7" s="1"/>
  <c r="H156" i="45"/>
  <c r="F175" i="45"/>
  <c r="F459" i="7"/>
  <c r="AD350" i="7" s="1"/>
  <c r="C432" i="7"/>
  <c r="AB25" i="15"/>
  <c r="G411" i="7"/>
  <c r="AE344" i="7" s="1"/>
  <c r="G103" i="44"/>
  <c r="F411" i="7"/>
  <c r="AD344" i="7" s="1"/>
  <c r="F103" i="44"/>
  <c r="F404" i="7"/>
  <c r="AJ343" i="7" s="1"/>
  <c r="F96" i="44"/>
  <c r="G499" i="7"/>
  <c r="AE355" i="7" s="1"/>
  <c r="H476" i="7"/>
  <c r="AL352" i="7" s="1"/>
  <c r="H204" i="45"/>
  <c r="I508" i="7"/>
  <c r="AM356" i="7" s="1"/>
  <c r="I252" i="44"/>
  <c r="H475" i="7"/>
  <c r="AF352" i="7" s="1"/>
  <c r="H199" i="44"/>
  <c r="F516" i="7"/>
  <c r="AJ357" i="7" s="1"/>
  <c r="F264" i="44"/>
  <c r="G259" i="44"/>
  <c r="G259" i="45"/>
  <c r="G515" i="7"/>
  <c r="AE357" i="7" s="1"/>
  <c r="D175" i="45"/>
  <c r="D459" i="7"/>
  <c r="AB350" i="7" s="1"/>
  <c r="E508" i="7"/>
  <c r="AI356" i="7" s="1"/>
  <c r="E252" i="44"/>
  <c r="E156" i="45"/>
  <c r="E156" i="44"/>
  <c r="F156" i="44"/>
  <c r="F444" i="7"/>
  <c r="AJ348" i="7" s="1"/>
  <c r="E132" i="44"/>
  <c r="E132" i="45"/>
  <c r="Q86" i="15"/>
  <c r="E103" i="44"/>
  <c r="E103" i="45"/>
  <c r="E411" i="7"/>
  <c r="AC344" i="7" s="1"/>
  <c r="E515" i="7"/>
  <c r="AC357" i="7" s="1"/>
  <c r="E259" i="45"/>
  <c r="I180" i="44"/>
  <c r="I460" i="7"/>
  <c r="AM350" i="7" s="1"/>
  <c r="H507" i="7"/>
  <c r="AF356" i="7" s="1"/>
  <c r="H247" i="45"/>
  <c r="H264" i="45"/>
  <c r="H516" i="7"/>
  <c r="AL357" i="7" s="1"/>
  <c r="C256" i="45"/>
  <c r="L256" i="45" s="1"/>
  <c r="C293" i="45"/>
  <c r="K293" i="45" s="1"/>
  <c r="C512" i="7"/>
  <c r="C293" i="44"/>
  <c r="P293" i="44" s="1"/>
  <c r="L293" i="44" s="1"/>
  <c r="C357" i="7"/>
  <c r="D357" i="7" s="1"/>
  <c r="I223" i="45"/>
  <c r="I223" i="44"/>
  <c r="F507" i="7"/>
  <c r="AD356" i="7" s="1"/>
  <c r="F247" i="45"/>
  <c r="F247" i="44"/>
  <c r="C136" i="44"/>
  <c r="L136" i="44" s="1"/>
  <c r="C283" i="45"/>
  <c r="K283" i="45" s="1"/>
  <c r="C283" i="44"/>
  <c r="P283" i="44" s="1"/>
  <c r="L283" i="44" s="1"/>
  <c r="G436" i="7"/>
  <c r="AK347" i="7" s="1"/>
  <c r="C256" i="44"/>
  <c r="L256" i="44" s="1"/>
  <c r="I515" i="7"/>
  <c r="AG357" i="7" s="1"/>
  <c r="C136" i="45"/>
  <c r="L136" i="45" s="1"/>
  <c r="D240" i="45"/>
  <c r="D240" i="44"/>
  <c r="F460" i="7"/>
  <c r="AJ350" i="7" s="1"/>
  <c r="C124" i="45"/>
  <c r="L124" i="45" s="1"/>
  <c r="G428" i="7"/>
  <c r="AK346" i="7" s="1"/>
  <c r="D252" i="45"/>
  <c r="H108" i="44"/>
  <c r="C280" i="44"/>
  <c r="P280" i="44" s="1"/>
  <c r="L280" i="44" s="1"/>
  <c r="AB20" i="15"/>
  <c r="E127" i="45"/>
  <c r="E180" i="44"/>
  <c r="G139" i="44"/>
  <c r="C472" i="7"/>
  <c r="D500" i="7"/>
  <c r="AH355" i="7" s="1"/>
  <c r="F499" i="7"/>
  <c r="AD355" i="7" s="1"/>
  <c r="C288" i="44"/>
  <c r="P288" i="44" s="1"/>
  <c r="E427" i="7"/>
  <c r="AC346" i="7" s="1"/>
  <c r="H435" i="7"/>
  <c r="AF347" i="7" s="1"/>
  <c r="F235" i="44"/>
  <c r="C278" i="44"/>
  <c r="D515" i="7"/>
  <c r="AB357" i="7" s="1"/>
  <c r="N291" i="44"/>
  <c r="D241" i="44" s="1"/>
  <c r="G96" i="45"/>
  <c r="G96" i="44"/>
  <c r="G404" i="7"/>
  <c r="AK343" i="7" s="1"/>
  <c r="N285" i="44"/>
  <c r="D169" i="44" s="1"/>
  <c r="D170" i="44" s="1"/>
  <c r="G103" i="45"/>
  <c r="AB24" i="15"/>
  <c r="C282" i="44"/>
  <c r="P282" i="44" s="1"/>
  <c r="L282" i="44" s="1"/>
  <c r="F103" i="45"/>
  <c r="I139" i="44"/>
  <c r="F96" i="45"/>
  <c r="H499" i="7"/>
  <c r="AF355" i="7" s="1"/>
  <c r="D476" i="7"/>
  <c r="AH352" i="7" s="1"/>
  <c r="D204" i="44"/>
  <c r="I132" i="45"/>
  <c r="G235" i="45"/>
  <c r="E108" i="44"/>
  <c r="F192" i="44"/>
  <c r="F192" i="45"/>
  <c r="I139" i="45"/>
  <c r="D436" i="7"/>
  <c r="AH347" i="7" s="1"/>
  <c r="F435" i="7"/>
  <c r="AD347" i="7" s="1"/>
  <c r="C282" i="45"/>
  <c r="K282" i="45" s="1"/>
  <c r="C100" i="44"/>
  <c r="L100" i="44" s="1"/>
  <c r="C100" i="45"/>
  <c r="L100" i="45" s="1"/>
  <c r="C88" i="44"/>
  <c r="L88" i="44" s="1"/>
  <c r="C88" i="45"/>
  <c r="L88" i="45" s="1"/>
  <c r="C196" i="44"/>
  <c r="L196" i="44" s="1"/>
  <c r="C196" i="45"/>
  <c r="L196" i="45" s="1"/>
  <c r="D180" i="44"/>
  <c r="D460" i="7"/>
  <c r="AH350" i="7" s="1"/>
  <c r="D180" i="45"/>
  <c r="E247" i="44"/>
  <c r="E507" i="7"/>
  <c r="AC356" i="7" s="1"/>
  <c r="E247" i="45"/>
  <c r="D507" i="7"/>
  <c r="AB356" i="7" s="1"/>
  <c r="D247" i="44"/>
  <c r="D247" i="45"/>
  <c r="E516" i="7"/>
  <c r="AI357" i="7" s="1"/>
  <c r="E264" i="45"/>
  <c r="E264" i="44"/>
  <c r="E436" i="7"/>
  <c r="AI347" i="7" s="1"/>
  <c r="E144" i="45"/>
  <c r="F140" i="38"/>
  <c r="E146" i="38"/>
  <c r="E144" i="38" s="1"/>
  <c r="D19" i="38" s="1"/>
  <c r="E80" i="15" s="1"/>
  <c r="F428" i="7"/>
  <c r="AJ346" i="7" s="1"/>
  <c r="F132" i="44"/>
  <c r="F132" i="45"/>
  <c r="H427" i="7"/>
  <c r="AF346" i="7" s="1"/>
  <c r="H127" i="44"/>
  <c r="H127" i="45"/>
  <c r="F332" i="38"/>
  <c r="E338" i="38"/>
  <c r="E336" i="38" s="1"/>
  <c r="D35" i="38" s="1"/>
  <c r="E96" i="15" s="1"/>
  <c r="C184" i="44"/>
  <c r="L184" i="44" s="1"/>
  <c r="C184" i="45"/>
  <c r="L184" i="45" s="1"/>
  <c r="C287" i="45"/>
  <c r="K287" i="45" s="1"/>
  <c r="C52" i="44"/>
  <c r="C52" i="45"/>
  <c r="C276" i="45"/>
  <c r="I175" i="44"/>
  <c r="I459" i="7"/>
  <c r="AG350" i="7" s="1"/>
  <c r="I175" i="45"/>
  <c r="I507" i="7"/>
  <c r="AG356" i="7" s="1"/>
  <c r="I247" i="44"/>
  <c r="I247" i="45"/>
  <c r="F508" i="7"/>
  <c r="AJ356" i="7" s="1"/>
  <c r="F252" i="45"/>
  <c r="F252" i="44"/>
  <c r="C244" i="44"/>
  <c r="L244" i="44" s="1"/>
  <c r="C244" i="45"/>
  <c r="L244" i="45" s="1"/>
  <c r="C292" i="45"/>
  <c r="K292" i="45" s="1"/>
  <c r="C504" i="7"/>
  <c r="AB34" i="15"/>
  <c r="C292" i="44"/>
  <c r="C356" i="7"/>
  <c r="D356" i="7" s="1"/>
  <c r="D516" i="7"/>
  <c r="AH357" i="7" s="1"/>
  <c r="D264" i="44"/>
  <c r="D264" i="45"/>
  <c r="D132" i="45"/>
  <c r="D132" i="44"/>
  <c r="D428" i="7"/>
  <c r="AH346" i="7" s="1"/>
  <c r="BC80" i="14"/>
  <c r="BC119" i="14" s="1"/>
  <c r="I403" i="7"/>
  <c r="AG343" i="7" s="1"/>
  <c r="I91" i="45"/>
  <c r="E467" i="7"/>
  <c r="AC351" i="7" s="1"/>
  <c r="E187" i="44"/>
  <c r="D404" i="7"/>
  <c r="AH343" i="7" s="1"/>
  <c r="D96" i="44"/>
  <c r="D187" i="45"/>
  <c r="E187" i="45"/>
  <c r="D96" i="45"/>
  <c r="I156" i="44"/>
  <c r="I156" i="45"/>
  <c r="I444" i="7"/>
  <c r="AM348" i="7" s="1"/>
  <c r="G443" i="7"/>
  <c r="AE348" i="7" s="1"/>
  <c r="G151" i="45"/>
  <c r="G151" i="44"/>
  <c r="F443" i="7"/>
  <c r="AD348" i="7" s="1"/>
  <c r="F151" i="45"/>
  <c r="F151" i="44"/>
  <c r="I492" i="7"/>
  <c r="AM354" i="7" s="1"/>
  <c r="E254" i="38"/>
  <c r="E252" i="38" s="1"/>
  <c r="D28" i="38" s="1"/>
  <c r="E89" i="15" s="1"/>
  <c r="F248" i="38"/>
  <c r="D192" i="44"/>
  <c r="D192" i="45"/>
  <c r="D468" i="7"/>
  <c r="AH351" i="7" s="1"/>
  <c r="H192" i="45"/>
  <c r="H192" i="44"/>
  <c r="H468" i="7"/>
  <c r="AL351" i="7" s="1"/>
  <c r="E192" i="44"/>
  <c r="E192" i="45"/>
  <c r="E468" i="7"/>
  <c r="AI351" i="7" s="1"/>
  <c r="I192" i="45"/>
  <c r="I468" i="7"/>
  <c r="AM351" i="7" s="1"/>
  <c r="I192" i="44"/>
  <c r="D475" i="7"/>
  <c r="AB352" i="7" s="1"/>
  <c r="D199" i="45"/>
  <c r="C280" i="45"/>
  <c r="K280" i="45" s="1"/>
  <c r="D103" i="44"/>
  <c r="D103" i="45"/>
  <c r="D411" i="7"/>
  <c r="AB344" i="7" s="1"/>
  <c r="I108" i="45"/>
  <c r="I412" i="7"/>
  <c r="AM344" i="7" s="1"/>
  <c r="I108" i="44"/>
  <c r="F108" i="45"/>
  <c r="F412" i="7"/>
  <c r="AJ344" i="7" s="1"/>
  <c r="F108" i="44"/>
  <c r="C400" i="7"/>
  <c r="D91" i="45"/>
  <c r="D403" i="7"/>
  <c r="AB343" i="7" s="1"/>
  <c r="D91" i="44"/>
  <c r="G91" i="45"/>
  <c r="G91" i="44"/>
  <c r="G403" i="7"/>
  <c r="AE343" i="7" s="1"/>
  <c r="E96" i="45"/>
  <c r="E404" i="7"/>
  <c r="AI343" i="7" s="1"/>
  <c r="E96" i="44"/>
  <c r="G240" i="45"/>
  <c r="G500" i="7"/>
  <c r="AK355" i="7" s="1"/>
  <c r="G240" i="44"/>
  <c r="I235" i="45"/>
  <c r="I499" i="7"/>
  <c r="AG355" i="7" s="1"/>
  <c r="I235" i="44"/>
  <c r="D235" i="45"/>
  <c r="D235" i="44"/>
  <c r="D499" i="7"/>
  <c r="AB355" i="7" s="1"/>
  <c r="F475" i="7"/>
  <c r="AD352" i="7" s="1"/>
  <c r="F199" i="44"/>
  <c r="F199" i="45"/>
  <c r="E476" i="7"/>
  <c r="AI352" i="7" s="1"/>
  <c r="E204" i="45"/>
  <c r="E204" i="44"/>
  <c r="I476" i="7"/>
  <c r="AM352" i="7" s="1"/>
  <c r="I204" i="45"/>
  <c r="I204" i="44"/>
  <c r="F204" i="44"/>
  <c r="F476" i="7"/>
  <c r="AJ352" i="7" s="1"/>
  <c r="F204" i="45"/>
  <c r="E206" i="38"/>
  <c r="E204" i="38" s="1"/>
  <c r="D24" i="38" s="1"/>
  <c r="E85" i="15" s="1"/>
  <c r="F200" i="38"/>
  <c r="E266" i="38"/>
  <c r="E264" i="38" s="1"/>
  <c r="D29" i="38" s="1"/>
  <c r="E90" i="15" s="1"/>
  <c r="F260" i="38"/>
  <c r="E134" i="38"/>
  <c r="E132" i="38" s="1"/>
  <c r="D18" i="38" s="1"/>
  <c r="E79" i="15" s="1"/>
  <c r="F128" i="38"/>
  <c r="B97" i="15"/>
  <c r="I71" i="15" s="1"/>
  <c r="D156" i="44"/>
  <c r="D156" i="45"/>
  <c r="D444" i="7"/>
  <c r="AH348" i="7" s="1"/>
  <c r="E443" i="7"/>
  <c r="AC348" i="7" s="1"/>
  <c r="E151" i="44"/>
  <c r="E151" i="45"/>
  <c r="G156" i="45"/>
  <c r="G156" i="44"/>
  <c r="G444" i="7"/>
  <c r="AK348" i="7" s="1"/>
  <c r="G223" i="44"/>
  <c r="E223" i="45"/>
  <c r="E491" i="7"/>
  <c r="AC354" i="7" s="1"/>
  <c r="E223" i="44"/>
  <c r="E290" i="38"/>
  <c r="E288" i="38" s="1"/>
  <c r="D31" i="38" s="1"/>
  <c r="E92" i="15" s="1"/>
  <c r="F284" i="38"/>
  <c r="G187" i="45"/>
  <c r="G187" i="44"/>
  <c r="G192" i="45"/>
  <c r="G468" i="7"/>
  <c r="AK351" i="7" s="1"/>
  <c r="G192" i="44"/>
  <c r="F467" i="7"/>
  <c r="AD351" i="7" s="1"/>
  <c r="F187" i="44"/>
  <c r="F187" i="45"/>
  <c r="C464" i="7"/>
  <c r="C351" i="7"/>
  <c r="D351" i="7" s="1"/>
  <c r="C287" i="44"/>
  <c r="P287" i="44" s="1"/>
  <c r="L287" i="44" s="1"/>
  <c r="AB29" i="15"/>
  <c r="I187" i="44"/>
  <c r="I467" i="7"/>
  <c r="AG351" i="7" s="1"/>
  <c r="I187" i="45"/>
  <c r="H187" i="45"/>
  <c r="H187" i="44"/>
  <c r="H467" i="7"/>
  <c r="AF351" i="7" s="1"/>
  <c r="I240" i="45"/>
  <c r="I240" i="44"/>
  <c r="H411" i="7"/>
  <c r="AF344" i="7" s="1"/>
  <c r="H103" i="44"/>
  <c r="H103" i="45"/>
  <c r="G108" i="44"/>
  <c r="G108" i="45"/>
  <c r="G412" i="7"/>
  <c r="AK344" i="7" s="1"/>
  <c r="I103" i="45"/>
  <c r="I411" i="7"/>
  <c r="AG344" i="7" s="1"/>
  <c r="I103" i="44"/>
  <c r="E91" i="44"/>
  <c r="E91" i="45"/>
  <c r="E403" i="7"/>
  <c r="AC343" i="7" s="1"/>
  <c r="H403" i="7"/>
  <c r="AF343" i="7" s="1"/>
  <c r="H91" i="45"/>
  <c r="H91" i="44"/>
  <c r="I404" i="7"/>
  <c r="AM343" i="7" s="1"/>
  <c r="I96" i="45"/>
  <c r="I96" i="44"/>
  <c r="E240" i="45"/>
  <c r="E499" i="7"/>
  <c r="AC355" i="7" s="1"/>
  <c r="E235" i="44"/>
  <c r="H240" i="45"/>
  <c r="E475" i="7"/>
  <c r="AC352" i="7" s="1"/>
  <c r="E199" i="45"/>
  <c r="E199" i="44"/>
  <c r="G476" i="7"/>
  <c r="AK352" i="7" s="1"/>
  <c r="G204" i="44"/>
  <c r="G204" i="45"/>
  <c r="I199" i="45"/>
  <c r="I199" i="44"/>
  <c r="I475" i="7"/>
  <c r="AG352" i="7" s="1"/>
  <c r="C376" i="7"/>
  <c r="C276" i="44"/>
  <c r="AB18" i="15"/>
  <c r="C340" i="7"/>
  <c r="D340" i="7" s="1"/>
  <c r="F278" i="15"/>
  <c r="F277" i="15" s="1"/>
  <c r="F276" i="15" s="1"/>
  <c r="G272" i="15"/>
  <c r="Y22" i="15"/>
  <c r="Y35" i="15"/>
  <c r="Y26" i="15"/>
  <c r="Y17" i="15"/>
  <c r="P275" i="44" s="1"/>
  <c r="L275" i="44" s="1"/>
  <c r="Y23" i="15"/>
  <c r="Y16" i="15"/>
  <c r="P274" i="44" s="1"/>
  <c r="L274" i="44" s="1"/>
  <c r="Y34" i="15"/>
  <c r="Y29" i="15"/>
  <c r="Y33" i="15"/>
  <c r="Y25" i="15"/>
  <c r="BB489" i="50"/>
  <c r="H70" i="47"/>
  <c r="G368" i="15"/>
  <c r="F374" i="15"/>
  <c r="F373" i="15" s="1"/>
  <c r="F372" i="15" s="1"/>
  <c r="H404" i="15"/>
  <c r="G410" i="15"/>
  <c r="G409" i="15" s="1"/>
  <c r="G408" i="15" s="1"/>
  <c r="F254" i="15"/>
  <c r="F253" i="15" s="1"/>
  <c r="F252" i="15" s="1"/>
  <c r="G248" i="15"/>
  <c r="G416" i="15"/>
  <c r="F422" i="15"/>
  <c r="F421" i="15" s="1"/>
  <c r="F420" i="15" s="1"/>
  <c r="F409" i="15"/>
  <c r="F408" i="15" s="1"/>
  <c r="E253" i="15"/>
  <c r="E252" i="15" s="1"/>
  <c r="H392" i="15"/>
  <c r="G398" i="15"/>
  <c r="G397" i="15" s="1"/>
  <c r="G396" i="15" s="1"/>
  <c r="F326" i="15"/>
  <c r="F325" i="15" s="1"/>
  <c r="F324" i="15" s="1"/>
  <c r="G320" i="15"/>
  <c r="BB490" i="50"/>
  <c r="AW94" i="50"/>
  <c r="J67" i="47"/>
  <c r="D55" i="47"/>
  <c r="AE9" i="14" s="1"/>
  <c r="N26" i="58"/>
  <c r="M42" i="58"/>
  <c r="P30" i="58"/>
  <c r="O46" i="58"/>
  <c r="K43" i="58"/>
  <c r="L27" i="58"/>
  <c r="O47" i="58"/>
  <c r="P31" i="58"/>
  <c r="M28" i="58"/>
  <c r="L44" i="58"/>
  <c r="P48" i="58"/>
  <c r="Q32" i="58"/>
  <c r="Q48" i="58" s="1"/>
  <c r="AX493" i="50"/>
  <c r="AX495" i="50"/>
  <c r="AY98" i="50"/>
  <c r="AZ94" i="50"/>
  <c r="M274" i="34"/>
  <c r="BB98" i="50"/>
  <c r="AX93" i="50"/>
  <c r="BA490" i="50"/>
  <c r="L28" i="34"/>
  <c r="J49" i="47"/>
  <c r="J50" i="47" s="1"/>
  <c r="D37" i="47"/>
  <c r="AE8" i="14" s="1"/>
  <c r="AW93" i="50"/>
  <c r="P284" i="44"/>
  <c r="L284" i="44" s="1"/>
  <c r="F302" i="38"/>
  <c r="F300" i="38" s="1"/>
  <c r="E32" i="38" s="1"/>
  <c r="F93" i="15" s="1"/>
  <c r="G296" i="38"/>
  <c r="E301" i="15"/>
  <c r="E300" i="15" s="1"/>
  <c r="G296" i="15"/>
  <c r="F302" i="15"/>
  <c r="F301" i="15" s="1"/>
  <c r="F300" i="15" s="1"/>
  <c r="F349" i="15"/>
  <c r="F348" i="15" s="1"/>
  <c r="H344" i="15"/>
  <c r="G350" i="15"/>
  <c r="F230" i="15"/>
  <c r="F229" i="15" s="1"/>
  <c r="F228" i="15" s="1"/>
  <c r="G224" i="15"/>
  <c r="F218" i="15"/>
  <c r="G212" i="15"/>
  <c r="I236" i="15"/>
  <c r="H242" i="15"/>
  <c r="H241" i="15" s="1"/>
  <c r="H240" i="15" s="1"/>
  <c r="F385" i="15"/>
  <c r="F384" i="15" s="1"/>
  <c r="F194" i="15"/>
  <c r="F193" i="15" s="1"/>
  <c r="F192" i="15" s="1"/>
  <c r="G188" i="15"/>
  <c r="E217" i="15"/>
  <c r="E216" i="15" s="1"/>
  <c r="AW493" i="50"/>
  <c r="BB491" i="50"/>
  <c r="AY96" i="50"/>
  <c r="AX98" i="50"/>
  <c r="BA94" i="50"/>
  <c r="AZ95" i="50"/>
  <c r="AX491" i="50"/>
  <c r="AW489" i="50"/>
  <c r="AX99" i="50"/>
  <c r="AW494" i="50"/>
  <c r="AY494" i="50"/>
  <c r="AZ92" i="50"/>
  <c r="AW99" i="50"/>
  <c r="AW495" i="50"/>
  <c r="AZ97" i="50"/>
  <c r="AW92" i="50"/>
  <c r="AY99" i="50"/>
  <c r="BA491" i="50"/>
  <c r="AY97" i="50"/>
  <c r="BA93" i="50"/>
  <c r="AX489" i="50"/>
  <c r="AZ98" i="50"/>
  <c r="BB493" i="50"/>
  <c r="AY93" i="50"/>
  <c r="BB94" i="50"/>
  <c r="AW492" i="50"/>
  <c r="BB93" i="50"/>
  <c r="AW496" i="50"/>
  <c r="J356" i="15"/>
  <c r="AZ93" i="50"/>
  <c r="BB488" i="50"/>
  <c r="AZ490" i="50"/>
  <c r="AZ494" i="50"/>
  <c r="BA98" i="50"/>
  <c r="AW491" i="50"/>
  <c r="BB99" i="50"/>
  <c r="BB97" i="50"/>
  <c r="BA488" i="50"/>
  <c r="BA96" i="50"/>
  <c r="AZ495" i="50"/>
  <c r="AX496" i="50"/>
  <c r="BB496" i="50"/>
  <c r="AY491" i="50"/>
  <c r="AW98" i="50"/>
  <c r="BA493" i="50"/>
  <c r="BB492" i="50"/>
  <c r="AY92" i="50"/>
  <c r="BB95" i="50"/>
  <c r="BA99" i="50"/>
  <c r="BA95" i="50"/>
  <c r="BB495" i="50"/>
  <c r="AX94" i="50"/>
  <c r="AX95" i="50"/>
  <c r="BA492" i="50"/>
  <c r="AZ489" i="50"/>
  <c r="AZ493" i="50"/>
  <c r="BA494" i="50"/>
  <c r="BA495" i="50"/>
  <c r="AY488" i="50"/>
  <c r="AX92" i="50"/>
  <c r="AY492" i="50"/>
  <c r="AY490" i="50"/>
  <c r="BB96" i="50"/>
  <c r="AY95" i="50"/>
  <c r="AY489" i="50"/>
  <c r="AZ96" i="50"/>
  <c r="AZ99" i="50"/>
  <c r="AY496" i="50"/>
  <c r="AW96" i="50"/>
  <c r="AW488" i="50"/>
  <c r="AX96" i="50"/>
  <c r="AY493" i="50"/>
  <c r="AX490" i="50"/>
  <c r="BA97" i="50"/>
  <c r="AW97" i="50"/>
  <c r="AY94" i="50"/>
  <c r="AX492" i="50"/>
  <c r="AZ488" i="50"/>
  <c r="G212" i="38"/>
  <c r="F218" i="38"/>
  <c r="F216" i="38" s="1"/>
  <c r="E25" i="38" s="1"/>
  <c r="F86" i="15" s="1"/>
  <c r="F122" i="38"/>
  <c r="G326" i="38"/>
  <c r="G324" i="38" s="1"/>
  <c r="F34" i="38" s="1"/>
  <c r="G95" i="15" s="1"/>
  <c r="H320" i="38"/>
  <c r="G188" i="38"/>
  <c r="F194" i="38"/>
  <c r="F192" i="38" s="1"/>
  <c r="E23" i="38" s="1"/>
  <c r="F84" i="15" s="1"/>
  <c r="F110" i="38"/>
  <c r="G104" i="38"/>
  <c r="F230" i="38"/>
  <c r="F228" i="38" s="1"/>
  <c r="E26" i="38" s="1"/>
  <c r="F87" i="15" s="1"/>
  <c r="G224" i="38"/>
  <c r="F158" i="38"/>
  <c r="F156" i="38" s="1"/>
  <c r="E20" i="38" s="1"/>
  <c r="F81" i="15" s="1"/>
  <c r="G152" i="38"/>
  <c r="BB494" i="50"/>
  <c r="BA496" i="50"/>
  <c r="AX494" i="50"/>
  <c r="AZ496" i="50"/>
  <c r="N281" i="44"/>
  <c r="M284" i="34"/>
  <c r="M292" i="34"/>
  <c r="G170" i="38"/>
  <c r="G168" i="38" s="1"/>
  <c r="F21" i="38" s="1"/>
  <c r="G82" i="15" s="1"/>
  <c r="H164" i="38"/>
  <c r="H272" i="38"/>
  <c r="G278" i="38"/>
  <c r="G276" i="38" s="1"/>
  <c r="F30" i="38" s="1"/>
  <c r="G91" i="15" s="1"/>
  <c r="I73" i="53"/>
  <c r="AP110" i="14" s="1"/>
  <c r="I243" i="3"/>
  <c r="AP104" i="14" s="1"/>
  <c r="G91" i="56"/>
  <c r="AN90" i="14" s="1"/>
  <c r="I91" i="56"/>
  <c r="AP90" i="14" s="1"/>
  <c r="C140" i="14"/>
  <c r="C143" i="14" s="1"/>
  <c r="C141" i="14"/>
  <c r="E91" i="56"/>
  <c r="AL90" i="14" s="1"/>
  <c r="D281" i="56"/>
  <c r="C144" i="14"/>
  <c r="C145" i="14"/>
  <c r="F91" i="56"/>
  <c r="AM90" i="14" s="1"/>
  <c r="H91" i="56"/>
  <c r="AO90" i="14" s="1"/>
  <c r="J91" i="56"/>
  <c r="AQ90" i="14" s="1"/>
  <c r="D205" i="56"/>
  <c r="M282" i="34"/>
  <c r="M290" i="34"/>
  <c r="G242" i="38"/>
  <c r="G240" i="38" s="1"/>
  <c r="F27" i="38" s="1"/>
  <c r="G88" i="15" s="1"/>
  <c r="H236" i="38"/>
  <c r="N280" i="34"/>
  <c r="M288" i="34"/>
  <c r="I179" i="49"/>
  <c r="H182" i="49"/>
  <c r="J82" i="47"/>
  <c r="J85" i="47" s="1"/>
  <c r="I85" i="47"/>
  <c r="H87" i="47"/>
  <c r="H86" i="47"/>
  <c r="H88" i="47"/>
  <c r="J162" i="51"/>
  <c r="J165" i="51" s="1"/>
  <c r="I165" i="51"/>
  <c r="I131" i="51"/>
  <c r="J128" i="51"/>
  <c r="J131" i="51" s="1"/>
  <c r="J100" i="47"/>
  <c r="J103" i="47" s="1"/>
  <c r="I103" i="47"/>
  <c r="I145" i="49"/>
  <c r="H148" i="49"/>
  <c r="J94" i="49"/>
  <c r="J97" i="49" s="1"/>
  <c r="I97" i="49"/>
  <c r="H104" i="47"/>
  <c r="H105" i="47"/>
  <c r="H106" i="47"/>
  <c r="H177" i="47"/>
  <c r="H178" i="47"/>
  <c r="H176" i="47"/>
  <c r="G32" i="47"/>
  <c r="G29" i="47" s="1"/>
  <c r="G8" i="47" s="1"/>
  <c r="AN7" i="14" s="1"/>
  <c r="G34" i="47"/>
  <c r="G33" i="47"/>
  <c r="J141" i="47"/>
  <c r="J140" i="47"/>
  <c r="J142" i="47"/>
  <c r="J69" i="47"/>
  <c r="J65" i="47" s="1"/>
  <c r="J10" i="47" s="1"/>
  <c r="AQ9" i="14" s="1"/>
  <c r="J70" i="47"/>
  <c r="J68" i="47"/>
  <c r="I50" i="47"/>
  <c r="I52" i="47"/>
  <c r="I51" i="47"/>
  <c r="H29" i="51"/>
  <c r="I26" i="51"/>
  <c r="J194" i="47"/>
  <c r="J195" i="47"/>
  <c r="J196" i="47"/>
  <c r="J158" i="47"/>
  <c r="J159" i="47"/>
  <c r="J160" i="47"/>
  <c r="J43" i="49"/>
  <c r="J46" i="49" s="1"/>
  <c r="I46" i="49"/>
  <c r="I175" i="47"/>
  <c r="J172" i="47"/>
  <c r="J175" i="47" s="1"/>
  <c r="I28" i="47"/>
  <c r="H31" i="47"/>
  <c r="I142" i="47"/>
  <c r="I140" i="47"/>
  <c r="I141" i="47"/>
  <c r="I69" i="47"/>
  <c r="I65" i="47" s="1"/>
  <c r="I10" i="47" s="1"/>
  <c r="AP9" i="14" s="1"/>
  <c r="I68" i="47"/>
  <c r="I70" i="47"/>
  <c r="I196" i="47"/>
  <c r="I194" i="47"/>
  <c r="I195" i="47"/>
  <c r="I158" i="47"/>
  <c r="I159" i="47"/>
  <c r="I160" i="47"/>
  <c r="H235" i="44" l="1"/>
  <c r="T291" i="44"/>
  <c r="G386" i="15"/>
  <c r="I145" i="34"/>
  <c r="I146" i="34" s="1"/>
  <c r="H240" i="44"/>
  <c r="E240" i="44"/>
  <c r="F240" i="45"/>
  <c r="E228" i="45"/>
  <c r="T274" i="44"/>
  <c r="R274" i="44"/>
  <c r="N274" i="44" s="1"/>
  <c r="S274" i="44"/>
  <c r="Q274" i="44"/>
  <c r="M274" i="44" s="1"/>
  <c r="S275" i="44"/>
  <c r="Q275" i="44"/>
  <c r="M275" i="44" s="1"/>
  <c r="T275" i="44"/>
  <c r="R275" i="44"/>
  <c r="N275" i="44" s="1"/>
  <c r="S287" i="44"/>
  <c r="Q287" i="44"/>
  <c r="M287" i="44" s="1"/>
  <c r="T287" i="44"/>
  <c r="R287" i="44"/>
  <c r="N287" i="44" s="1"/>
  <c r="S282" i="44"/>
  <c r="Q282" i="44"/>
  <c r="M282" i="44" s="1"/>
  <c r="H128" i="44" s="1"/>
  <c r="H129" i="44" s="1"/>
  <c r="T282" i="44"/>
  <c r="R282" i="44"/>
  <c r="S293" i="44"/>
  <c r="Q293" i="44"/>
  <c r="M293" i="44" s="1"/>
  <c r="F260" i="44" s="1"/>
  <c r="F261" i="44" s="1"/>
  <c r="T293" i="44"/>
  <c r="R293" i="44"/>
  <c r="N293" i="44" s="1"/>
  <c r="I265" i="44" s="1"/>
  <c r="I266" i="44" s="1"/>
  <c r="L64" i="44"/>
  <c r="S277" i="44"/>
  <c r="Q277" i="44"/>
  <c r="T277" i="44"/>
  <c r="R277" i="44"/>
  <c r="S286" i="44"/>
  <c r="Q286" i="44"/>
  <c r="T286" i="44"/>
  <c r="R286" i="44"/>
  <c r="S290" i="44"/>
  <c r="Q290" i="44"/>
  <c r="T290" i="44"/>
  <c r="R290" i="44"/>
  <c r="S279" i="44"/>
  <c r="Q279" i="44"/>
  <c r="M279" i="44" s="1"/>
  <c r="H92" i="44" s="1"/>
  <c r="H93" i="44" s="1"/>
  <c r="T279" i="44"/>
  <c r="R279" i="44"/>
  <c r="N279" i="44" s="1"/>
  <c r="S289" i="44"/>
  <c r="Q289" i="44"/>
  <c r="T289" i="44"/>
  <c r="R289" i="44"/>
  <c r="S284" i="44"/>
  <c r="Q284" i="44"/>
  <c r="M284" i="44" s="1"/>
  <c r="T284" i="44"/>
  <c r="R284" i="44"/>
  <c r="S280" i="44"/>
  <c r="Q280" i="44"/>
  <c r="T280" i="44"/>
  <c r="R280" i="44"/>
  <c r="N280" i="44" s="1"/>
  <c r="S283" i="44"/>
  <c r="Q283" i="44"/>
  <c r="T283" i="44"/>
  <c r="R283" i="44"/>
  <c r="N283" i="44" s="1"/>
  <c r="S280" i="45"/>
  <c r="T280" i="45"/>
  <c r="R280" i="45"/>
  <c r="Q280" i="45"/>
  <c r="L280" i="45" s="1"/>
  <c r="S287" i="45"/>
  <c r="R287" i="45"/>
  <c r="M287" i="45" s="1"/>
  <c r="Q287" i="45"/>
  <c r="L287" i="45" s="1"/>
  <c r="T287" i="45"/>
  <c r="S284" i="45"/>
  <c r="T284" i="45"/>
  <c r="R284" i="45"/>
  <c r="M284" i="45" s="1"/>
  <c r="H157" i="45" s="1"/>
  <c r="H158" i="45" s="1"/>
  <c r="Q284" i="45"/>
  <c r="S279" i="45"/>
  <c r="R279" i="45"/>
  <c r="M279" i="45" s="1"/>
  <c r="E97" i="45" s="1"/>
  <c r="E98" i="45" s="1"/>
  <c r="Q279" i="45"/>
  <c r="T279" i="45"/>
  <c r="S288" i="45"/>
  <c r="T288" i="45"/>
  <c r="R288" i="45"/>
  <c r="M288" i="45" s="1"/>
  <c r="Q288" i="45"/>
  <c r="L288" i="45" s="1"/>
  <c r="I200" i="45" s="1"/>
  <c r="I201" i="45" s="1"/>
  <c r="S286" i="45"/>
  <c r="T286" i="45"/>
  <c r="R286" i="45"/>
  <c r="M286" i="45" s="1"/>
  <c r="Q286" i="45"/>
  <c r="S281" i="45"/>
  <c r="R281" i="45"/>
  <c r="M281" i="45" s="1"/>
  <c r="Q281" i="45"/>
  <c r="L281" i="45" s="1"/>
  <c r="D116" i="45" s="1"/>
  <c r="D117" i="45" s="1"/>
  <c r="T281" i="45"/>
  <c r="S292" i="45"/>
  <c r="T292" i="45"/>
  <c r="R292" i="45"/>
  <c r="M292" i="45" s="1"/>
  <c r="Q292" i="45"/>
  <c r="L292" i="45" s="1"/>
  <c r="S282" i="45"/>
  <c r="T282" i="45"/>
  <c r="R282" i="45"/>
  <c r="M282" i="45" s="1"/>
  <c r="Q282" i="45"/>
  <c r="L282" i="45" s="1"/>
  <c r="S283" i="45"/>
  <c r="R283" i="45"/>
  <c r="M283" i="45" s="1"/>
  <c r="H145" i="45" s="1"/>
  <c r="H146" i="45" s="1"/>
  <c r="Q283" i="45"/>
  <c r="L283" i="45" s="1"/>
  <c r="E140" i="45" s="1"/>
  <c r="E141" i="45" s="1"/>
  <c r="T283" i="45"/>
  <c r="S293" i="45"/>
  <c r="R293" i="45"/>
  <c r="Q293" i="45"/>
  <c r="T293" i="45"/>
  <c r="S290" i="45"/>
  <c r="T290" i="45"/>
  <c r="R290" i="45"/>
  <c r="M290" i="45" s="1"/>
  <c r="F229" i="45" s="1"/>
  <c r="F230" i="45" s="1"/>
  <c r="Q290" i="45"/>
  <c r="L290" i="45" s="1"/>
  <c r="L40" i="43"/>
  <c r="T275" i="43"/>
  <c r="R275" i="43"/>
  <c r="M275" i="43" s="1"/>
  <c r="Q276" i="43"/>
  <c r="L276" i="43" s="1"/>
  <c r="S276" i="43"/>
  <c r="R276" i="43"/>
  <c r="M276" i="43" s="1"/>
  <c r="T276" i="43"/>
  <c r="Q278" i="43"/>
  <c r="S278" i="43"/>
  <c r="R278" i="43"/>
  <c r="M278" i="43" s="1"/>
  <c r="T278" i="43"/>
  <c r="Q279" i="43"/>
  <c r="S279" i="43"/>
  <c r="R279" i="43"/>
  <c r="M279" i="43" s="1"/>
  <c r="T279" i="43"/>
  <c r="Q277" i="43"/>
  <c r="L277" i="43" s="1"/>
  <c r="S277" i="43"/>
  <c r="R277" i="43"/>
  <c r="M277" i="43" s="1"/>
  <c r="T277" i="43"/>
  <c r="S274" i="43"/>
  <c r="T274" i="43"/>
  <c r="Q274" i="43"/>
  <c r="L274" i="43" s="1"/>
  <c r="R274" i="43"/>
  <c r="M274" i="43" s="1"/>
  <c r="H254" i="50"/>
  <c r="H250" i="50"/>
  <c r="Z253" i="50"/>
  <c r="I250" i="50"/>
  <c r="F253" i="50"/>
  <c r="F250" i="50"/>
  <c r="Z254" i="50"/>
  <c r="J250" i="50"/>
  <c r="Z236" i="50"/>
  <c r="I233" i="50"/>
  <c r="H236" i="50"/>
  <c r="H233" i="50"/>
  <c r="Z238" i="50"/>
  <c r="K233" i="50"/>
  <c r="F236" i="50"/>
  <c r="F233" i="50"/>
  <c r="J237" i="50"/>
  <c r="J233" i="50"/>
  <c r="J220" i="50"/>
  <c r="J216" i="50"/>
  <c r="H220" i="50"/>
  <c r="H216" i="50"/>
  <c r="Z221" i="50"/>
  <c r="K216" i="50"/>
  <c r="F220" i="50"/>
  <c r="F216" i="50"/>
  <c r="Z200" i="50"/>
  <c r="G199" i="50"/>
  <c r="J203" i="50"/>
  <c r="J199" i="50"/>
  <c r="Z204" i="50"/>
  <c r="K199" i="50"/>
  <c r="H202" i="50"/>
  <c r="H199" i="50"/>
  <c r="F186" i="50"/>
  <c r="F182" i="50"/>
  <c r="H185" i="50"/>
  <c r="H182" i="50"/>
  <c r="Z186" i="50"/>
  <c r="J182" i="50"/>
  <c r="Z183" i="50"/>
  <c r="G182" i="50"/>
  <c r="Z168" i="50"/>
  <c r="I165" i="50"/>
  <c r="J169" i="50"/>
  <c r="J165" i="50"/>
  <c r="F169" i="50"/>
  <c r="F165" i="50"/>
  <c r="H168" i="50"/>
  <c r="H165" i="50"/>
  <c r="Z166" i="50"/>
  <c r="G165" i="50"/>
  <c r="H152" i="50"/>
  <c r="H148" i="50"/>
  <c r="F152" i="50"/>
  <c r="F148" i="50"/>
  <c r="P278" i="44"/>
  <c r="L278" i="44" s="1"/>
  <c r="L76" i="44" s="1"/>
  <c r="G314" i="15"/>
  <c r="G313" i="15" s="1"/>
  <c r="G312" i="15" s="1"/>
  <c r="G491" i="7"/>
  <c r="AE354" i="7" s="1"/>
  <c r="E492" i="7"/>
  <c r="AI354" i="7" s="1"/>
  <c r="K277" i="45"/>
  <c r="P276" i="44"/>
  <c r="L276" i="44" s="1"/>
  <c r="L64" i="45"/>
  <c r="F491" i="7"/>
  <c r="AD354" i="7" s="1"/>
  <c r="H492" i="7"/>
  <c r="AL354" i="7" s="1"/>
  <c r="J357" i="56"/>
  <c r="AQ97" i="14" s="1"/>
  <c r="F200" i="43"/>
  <c r="G266" i="15"/>
  <c r="G265" i="15" s="1"/>
  <c r="G264" i="15" s="1"/>
  <c r="H260" i="15"/>
  <c r="L208" i="44"/>
  <c r="N289" i="44"/>
  <c r="F217" i="44" s="1"/>
  <c r="F218" i="44" s="1"/>
  <c r="K289" i="45"/>
  <c r="M289" i="44"/>
  <c r="G212" i="44" s="1"/>
  <c r="G213" i="44" s="1"/>
  <c r="I257" i="7"/>
  <c r="AG120" i="7" s="1"/>
  <c r="I357" i="3"/>
  <c r="AP107" i="14" s="1"/>
  <c r="F199" i="43"/>
  <c r="L279" i="43"/>
  <c r="L88" i="43"/>
  <c r="L278" i="43"/>
  <c r="L76" i="43"/>
  <c r="L64" i="43"/>
  <c r="L52" i="43"/>
  <c r="G160" i="53"/>
  <c r="AN113" i="14" s="1"/>
  <c r="AR82" i="14"/>
  <c r="AR121" i="14" s="1"/>
  <c r="AR84" i="14"/>
  <c r="AR123" i="14" s="1"/>
  <c r="AR80" i="14"/>
  <c r="AR119" i="14" s="1"/>
  <c r="AR81" i="14"/>
  <c r="AR120" i="14" s="1"/>
  <c r="E131" i="53"/>
  <c r="AL112" i="14" s="1"/>
  <c r="G228" i="45"/>
  <c r="I144" i="43"/>
  <c r="F223" i="45"/>
  <c r="I145" i="43"/>
  <c r="H240" i="43"/>
  <c r="E357" i="56"/>
  <c r="AL97" i="14" s="1"/>
  <c r="F199" i="34"/>
  <c r="L28" i="43"/>
  <c r="N29" i="58"/>
  <c r="N45" i="58" s="1"/>
  <c r="J52" i="47"/>
  <c r="I202" i="7"/>
  <c r="AM113" i="7" s="1"/>
  <c r="G259" i="43"/>
  <c r="I228" i="44"/>
  <c r="H223" i="44"/>
  <c r="D228" i="45"/>
  <c r="F314" i="38"/>
  <c r="F312" i="38" s="1"/>
  <c r="E33" i="38" s="1"/>
  <c r="F94" i="15" s="1"/>
  <c r="G308" i="38"/>
  <c r="G228" i="44"/>
  <c r="H228" i="44"/>
  <c r="G260" i="43"/>
  <c r="G176" i="38"/>
  <c r="F182" i="38"/>
  <c r="F180" i="38" s="1"/>
  <c r="E22" i="38" s="1"/>
  <c r="F83" i="15" s="1"/>
  <c r="G281" i="7"/>
  <c r="AE123" i="7" s="1"/>
  <c r="G260" i="34"/>
  <c r="G261" i="34" s="1"/>
  <c r="K274" i="45"/>
  <c r="L28" i="44"/>
  <c r="L40" i="44"/>
  <c r="K275" i="45"/>
  <c r="B142" i="14"/>
  <c r="D14" i="53" s="1"/>
  <c r="E252" i="43"/>
  <c r="E254" i="43" s="1"/>
  <c r="E156" i="34"/>
  <c r="E157" i="43"/>
  <c r="E158" i="43" s="1"/>
  <c r="I109" i="37"/>
  <c r="G229" i="43"/>
  <c r="G216" i="43"/>
  <c r="I151" i="34"/>
  <c r="I152" i="43"/>
  <c r="I201" i="7"/>
  <c r="AG113" i="7" s="1"/>
  <c r="J109" i="37"/>
  <c r="G250" i="7"/>
  <c r="AK119" i="7" s="1"/>
  <c r="E175" i="34"/>
  <c r="E177" i="34" s="1"/>
  <c r="D140" i="34"/>
  <c r="D141" i="34" s="1"/>
  <c r="G217" i="34"/>
  <c r="G218" i="34" s="1"/>
  <c r="I241" i="34"/>
  <c r="D109" i="43"/>
  <c r="D110" i="43" s="1"/>
  <c r="E260" i="34"/>
  <c r="G217" i="43"/>
  <c r="D127" i="34"/>
  <c r="I253" i="43"/>
  <c r="I254" i="43" s="1"/>
  <c r="G273" i="7"/>
  <c r="AE122" i="7" s="1"/>
  <c r="I140" i="34"/>
  <c r="H116" i="43"/>
  <c r="E210" i="7"/>
  <c r="AI114" i="7" s="1"/>
  <c r="H204" i="34"/>
  <c r="I139" i="34"/>
  <c r="I139" i="43"/>
  <c r="I141" i="43" s="1"/>
  <c r="H164" i="34"/>
  <c r="H115" i="43"/>
  <c r="I151" i="43"/>
  <c r="H205" i="43"/>
  <c r="H163" i="34"/>
  <c r="H165" i="34" s="1"/>
  <c r="H164" i="43"/>
  <c r="F235" i="50"/>
  <c r="H237" i="50"/>
  <c r="H253" i="50"/>
  <c r="H203" i="50"/>
  <c r="Z184" i="50"/>
  <c r="F219" i="50"/>
  <c r="I236" i="50"/>
  <c r="J219" i="50"/>
  <c r="Z219" i="50"/>
  <c r="G220" i="50"/>
  <c r="G202" i="50"/>
  <c r="I152" i="50"/>
  <c r="Z170" i="50"/>
  <c r="Z182" i="50"/>
  <c r="Z237" i="50"/>
  <c r="K252" i="50"/>
  <c r="I253" i="50"/>
  <c r="Z165" i="50"/>
  <c r="Z167" i="50"/>
  <c r="J186" i="50"/>
  <c r="Z185" i="50"/>
  <c r="J252" i="50"/>
  <c r="Z255" i="50"/>
  <c r="G254" i="50"/>
  <c r="G150" i="50"/>
  <c r="K167" i="50"/>
  <c r="G168" i="50"/>
  <c r="Z169" i="50"/>
  <c r="K186" i="50"/>
  <c r="I184" i="50"/>
  <c r="F151" i="50"/>
  <c r="H150" i="50"/>
  <c r="Z149" i="50"/>
  <c r="F168" i="50"/>
  <c r="K169" i="50"/>
  <c r="I168" i="50"/>
  <c r="H169" i="50"/>
  <c r="J168" i="50"/>
  <c r="J184" i="50"/>
  <c r="K184" i="50"/>
  <c r="Z187" i="50"/>
  <c r="F185" i="50"/>
  <c r="I186" i="50"/>
  <c r="G185" i="50"/>
  <c r="H186" i="50"/>
  <c r="J236" i="50"/>
  <c r="K236" i="50"/>
  <c r="F237" i="50"/>
  <c r="J254" i="50"/>
  <c r="K254" i="50"/>
  <c r="H252" i="50"/>
  <c r="G252" i="50"/>
  <c r="Z251" i="50"/>
  <c r="F252" i="50"/>
  <c r="Z203" i="50"/>
  <c r="I203" i="50"/>
  <c r="H219" i="50"/>
  <c r="K219" i="50"/>
  <c r="I218" i="50"/>
  <c r="Z216" i="50"/>
  <c r="G218" i="50"/>
  <c r="Z217" i="50"/>
  <c r="Z235" i="50"/>
  <c r="J202" i="50"/>
  <c r="K202" i="50"/>
  <c r="I201" i="50"/>
  <c r="Z202" i="50"/>
  <c r="Z201" i="50"/>
  <c r="H218" i="50"/>
  <c r="Z220" i="50"/>
  <c r="I220" i="50"/>
  <c r="Z148" i="50"/>
  <c r="I150" i="50"/>
  <c r="Z151" i="50"/>
  <c r="H151" i="50"/>
  <c r="G152" i="50"/>
  <c r="J201" i="50"/>
  <c r="K201" i="50"/>
  <c r="K203" i="50"/>
  <c r="I202" i="50"/>
  <c r="G201" i="50"/>
  <c r="G203" i="50"/>
  <c r="H201" i="50"/>
  <c r="Z218" i="50"/>
  <c r="J218" i="50"/>
  <c r="K218" i="50"/>
  <c r="K220" i="50"/>
  <c r="I219" i="50"/>
  <c r="F218" i="50"/>
  <c r="G219" i="50"/>
  <c r="I235" i="50"/>
  <c r="I237" i="50"/>
  <c r="H235" i="50"/>
  <c r="F338" i="50"/>
  <c r="Z335" i="50"/>
  <c r="F339" i="50"/>
  <c r="F337" i="50"/>
  <c r="Z336" i="50"/>
  <c r="G339" i="50"/>
  <c r="G337" i="50"/>
  <c r="G338" i="50"/>
  <c r="G347" i="50"/>
  <c r="AA336" i="50"/>
  <c r="G345" i="50"/>
  <c r="G346" i="50"/>
  <c r="F347" i="50"/>
  <c r="AA335" i="50"/>
  <c r="F346" i="50"/>
  <c r="F345" i="50"/>
  <c r="H337" i="50"/>
  <c r="Z337" i="50"/>
  <c r="H338" i="50"/>
  <c r="H339" i="50"/>
  <c r="J347" i="50"/>
  <c r="J345" i="50"/>
  <c r="J346" i="50"/>
  <c r="AA339" i="50"/>
  <c r="I339" i="50"/>
  <c r="Z338" i="50"/>
  <c r="I337" i="50"/>
  <c r="I338" i="50"/>
  <c r="K338" i="50"/>
  <c r="Z340" i="50"/>
  <c r="K339" i="50"/>
  <c r="K337" i="50"/>
  <c r="H346" i="50"/>
  <c r="AA337" i="50"/>
  <c r="H347" i="50"/>
  <c r="H345" i="50"/>
  <c r="K346" i="50"/>
  <c r="K345" i="50"/>
  <c r="K347" i="50"/>
  <c r="AA340" i="50"/>
  <c r="I347" i="50"/>
  <c r="AA338" i="50"/>
  <c r="I345" i="50"/>
  <c r="I346" i="50"/>
  <c r="J339" i="50"/>
  <c r="J337" i="50"/>
  <c r="Z339" i="50"/>
  <c r="J338" i="50"/>
  <c r="AC78" i="50"/>
  <c r="J353" i="50"/>
  <c r="J352" i="50" s="1"/>
  <c r="F361" i="50"/>
  <c r="F360" i="50" s="1"/>
  <c r="H361" i="50"/>
  <c r="H360" i="50" s="1"/>
  <c r="K361" i="50"/>
  <c r="K360" i="50" s="1"/>
  <c r="G361" i="50"/>
  <c r="G360" i="50" s="1"/>
  <c r="H353" i="50"/>
  <c r="H352" i="50" s="1"/>
  <c r="J361" i="50"/>
  <c r="J360" i="50" s="1"/>
  <c r="I361" i="50"/>
  <c r="I360" i="50" s="1"/>
  <c r="F353" i="50"/>
  <c r="F352" i="50" s="1"/>
  <c r="G353" i="50"/>
  <c r="G352" i="50" s="1"/>
  <c r="I353" i="50"/>
  <c r="I352" i="50" s="1"/>
  <c r="K353" i="50"/>
  <c r="K352" i="50" s="1"/>
  <c r="F150" i="50"/>
  <c r="I151" i="50"/>
  <c r="Z150" i="50"/>
  <c r="G151" i="50"/>
  <c r="F167" i="50"/>
  <c r="K168" i="50"/>
  <c r="I167" i="50"/>
  <c r="I169" i="50"/>
  <c r="H167" i="50"/>
  <c r="G167" i="50"/>
  <c r="G169" i="50"/>
  <c r="J167" i="50"/>
  <c r="J185" i="50"/>
  <c r="K185" i="50"/>
  <c r="F184" i="50"/>
  <c r="I185" i="50"/>
  <c r="G184" i="50"/>
  <c r="G186" i="50"/>
  <c r="H184" i="50"/>
  <c r="J235" i="50"/>
  <c r="K235" i="50"/>
  <c r="K237" i="50"/>
  <c r="Z233" i="50"/>
  <c r="J253" i="50"/>
  <c r="K253" i="50"/>
  <c r="Z252" i="50"/>
  <c r="G253" i="50"/>
  <c r="I252" i="50"/>
  <c r="I254" i="50"/>
  <c r="Z250" i="50"/>
  <c r="Z650" i="50"/>
  <c r="K649" i="50"/>
  <c r="K648" i="50"/>
  <c r="K647" i="50"/>
  <c r="H649" i="50"/>
  <c r="H648" i="50"/>
  <c r="Z647" i="50"/>
  <c r="H647" i="50"/>
  <c r="Z646" i="50"/>
  <c r="G649" i="50"/>
  <c r="G648" i="50"/>
  <c r="G647" i="50"/>
  <c r="Z648" i="50"/>
  <c r="I649" i="50"/>
  <c r="I648" i="50"/>
  <c r="I647" i="50"/>
  <c r="F649" i="50"/>
  <c r="F648" i="50"/>
  <c r="F647" i="50"/>
  <c r="Z645" i="50"/>
  <c r="Z649" i="50"/>
  <c r="J649" i="50"/>
  <c r="J648" i="50"/>
  <c r="J647" i="50"/>
  <c r="Z633" i="50"/>
  <c r="K632" i="50"/>
  <c r="K631" i="50"/>
  <c r="K630" i="50"/>
  <c r="F632" i="50"/>
  <c r="F631" i="50"/>
  <c r="F630" i="50"/>
  <c r="Z628" i="50"/>
  <c r="Z632" i="50"/>
  <c r="J632" i="50"/>
  <c r="J631" i="50"/>
  <c r="J630" i="50"/>
  <c r="Z631" i="50"/>
  <c r="I632" i="50"/>
  <c r="I631" i="50"/>
  <c r="I630" i="50"/>
  <c r="H632" i="50"/>
  <c r="H631" i="50"/>
  <c r="Z630" i="50"/>
  <c r="H630" i="50"/>
  <c r="Z615" i="50"/>
  <c r="J615" i="50"/>
  <c r="J614" i="50"/>
  <c r="J613" i="50"/>
  <c r="Z614" i="50"/>
  <c r="I615" i="50"/>
  <c r="I614" i="50"/>
  <c r="I613" i="50"/>
  <c r="H615" i="50"/>
  <c r="H614" i="50"/>
  <c r="Z613" i="50"/>
  <c r="H613" i="50"/>
  <c r="Z616" i="50"/>
  <c r="K615" i="50"/>
  <c r="K614" i="50"/>
  <c r="K613" i="50"/>
  <c r="F615" i="50"/>
  <c r="F614" i="50"/>
  <c r="F613" i="50"/>
  <c r="Z611" i="50"/>
  <c r="Z612" i="50"/>
  <c r="G615" i="50"/>
  <c r="G614" i="50"/>
  <c r="G613" i="50"/>
  <c r="Z595" i="50"/>
  <c r="G598" i="50"/>
  <c r="G597" i="50"/>
  <c r="G596" i="50"/>
  <c r="Z598" i="50"/>
  <c r="J598" i="50"/>
  <c r="J597" i="50"/>
  <c r="J596" i="50"/>
  <c r="Z599" i="50"/>
  <c r="K598" i="50"/>
  <c r="K597" i="50"/>
  <c r="K596" i="50"/>
  <c r="Z597" i="50"/>
  <c r="I598" i="50"/>
  <c r="I597" i="50"/>
  <c r="I596" i="50"/>
  <c r="H598" i="50"/>
  <c r="H597" i="50"/>
  <c r="Z596" i="50"/>
  <c r="H596" i="50"/>
  <c r="Z268" i="50"/>
  <c r="G271" i="50"/>
  <c r="G270" i="50"/>
  <c r="G269" i="50"/>
  <c r="F271" i="50"/>
  <c r="F270" i="50"/>
  <c r="F269" i="50"/>
  <c r="Z267" i="50"/>
  <c r="Z270" i="50"/>
  <c r="I271" i="50"/>
  <c r="I270" i="50"/>
  <c r="I269" i="50"/>
  <c r="Z271" i="50"/>
  <c r="J271" i="50"/>
  <c r="J270" i="50"/>
  <c r="J269" i="50"/>
  <c r="Z272" i="50"/>
  <c r="K271" i="50"/>
  <c r="K270" i="50"/>
  <c r="K269" i="50"/>
  <c r="H271" i="50"/>
  <c r="H270" i="50"/>
  <c r="Z269" i="50"/>
  <c r="H269" i="50"/>
  <c r="Z234" i="50"/>
  <c r="G237" i="50"/>
  <c r="G236" i="50"/>
  <c r="G235" i="50"/>
  <c r="H241" i="34"/>
  <c r="H242" i="34" s="1"/>
  <c r="E260" i="43"/>
  <c r="E261" i="43" s="1"/>
  <c r="G209" i="7"/>
  <c r="AE114" i="7" s="1"/>
  <c r="K109" i="37"/>
  <c r="H127" i="34"/>
  <c r="E169" i="43"/>
  <c r="H233" i="7"/>
  <c r="AF117" i="7" s="1"/>
  <c r="G176" i="34"/>
  <c r="G177" i="34" s="1"/>
  <c r="G241" i="34"/>
  <c r="G242" i="34" s="1"/>
  <c r="E169" i="34"/>
  <c r="E170" i="34" s="1"/>
  <c r="H188" i="34"/>
  <c r="H189" i="34" s="1"/>
  <c r="E281" i="7"/>
  <c r="AC123" i="7" s="1"/>
  <c r="E259" i="34"/>
  <c r="F233" i="7"/>
  <c r="AD117" i="7" s="1"/>
  <c r="G151" i="43"/>
  <c r="G153" i="43" s="1"/>
  <c r="D120" i="43"/>
  <c r="D122" i="43" s="1"/>
  <c r="H218" i="7"/>
  <c r="AL115" i="7" s="1"/>
  <c r="G151" i="34"/>
  <c r="E168" i="43"/>
  <c r="E218" i="7"/>
  <c r="AI115" i="7" s="1"/>
  <c r="D318" i="3"/>
  <c r="D120" i="56"/>
  <c r="G236" i="34"/>
  <c r="G237" i="34" s="1"/>
  <c r="D193" i="34"/>
  <c r="G140" i="34"/>
  <c r="D169" i="34"/>
  <c r="D170" i="34" s="1"/>
  <c r="H116" i="34"/>
  <c r="H117" i="34" s="1"/>
  <c r="E236" i="34"/>
  <c r="G188" i="34"/>
  <c r="F188" i="34"/>
  <c r="F189" i="34" s="1"/>
  <c r="D218" i="7"/>
  <c r="AH115" i="7" s="1"/>
  <c r="H185" i="7"/>
  <c r="AF111" i="7" s="1"/>
  <c r="H204" i="43"/>
  <c r="D225" i="7"/>
  <c r="AB116" i="7" s="1"/>
  <c r="G228" i="43"/>
  <c r="G258" i="7"/>
  <c r="AK120" i="7" s="1"/>
  <c r="E201" i="7"/>
  <c r="AC113" i="7" s="1"/>
  <c r="H163" i="43"/>
  <c r="E194" i="7"/>
  <c r="AI112" i="7" s="1"/>
  <c r="F226" i="7"/>
  <c r="AJ116" i="7" s="1"/>
  <c r="I132" i="43"/>
  <c r="I134" i="43" s="1"/>
  <c r="E176" i="43"/>
  <c r="E257" i="7"/>
  <c r="AC120" i="7" s="1"/>
  <c r="G225" i="7"/>
  <c r="AE116" i="7" s="1"/>
  <c r="I247" i="34"/>
  <c r="G242" i="7"/>
  <c r="AK118" i="7" s="1"/>
  <c r="E235" i="34"/>
  <c r="E217" i="43"/>
  <c r="D139" i="43"/>
  <c r="H188" i="43"/>
  <c r="H187" i="43"/>
  <c r="E104" i="43"/>
  <c r="F236" i="34"/>
  <c r="D176" i="34"/>
  <c r="D121" i="34"/>
  <c r="H193" i="34"/>
  <c r="G116" i="34"/>
  <c r="F181" i="34"/>
  <c r="D116" i="34"/>
  <c r="D117" i="34" s="1"/>
  <c r="L286" i="45"/>
  <c r="F176" i="45" s="1"/>
  <c r="F177" i="45" s="1"/>
  <c r="G115" i="34"/>
  <c r="G188" i="43"/>
  <c r="D116" i="43"/>
  <c r="E228" i="43"/>
  <c r="E230" i="43" s="1"/>
  <c r="I175" i="34"/>
  <c r="G266" i="7"/>
  <c r="AK121" i="7" s="1"/>
  <c r="G140" i="43"/>
  <c r="H193" i="43"/>
  <c r="D193" i="43"/>
  <c r="D194" i="43" s="1"/>
  <c r="O68" i="58"/>
  <c r="N84" i="58"/>
  <c r="O220" i="58"/>
  <c r="N236" i="58"/>
  <c r="P145" i="58"/>
  <c r="O161" i="58"/>
  <c r="L65" i="58"/>
  <c r="K81" i="58"/>
  <c r="K216" i="58"/>
  <c r="J232" i="58"/>
  <c r="P297" i="58"/>
  <c r="O313" i="58"/>
  <c r="P373" i="58"/>
  <c r="O389" i="58"/>
  <c r="P221" i="58"/>
  <c r="O237" i="58"/>
  <c r="K368" i="58"/>
  <c r="J384" i="58"/>
  <c r="O144" i="58"/>
  <c r="N160" i="58"/>
  <c r="K254" i="58"/>
  <c r="J270" i="58"/>
  <c r="O296" i="58"/>
  <c r="N312" i="58"/>
  <c r="O334" i="58"/>
  <c r="N350" i="58"/>
  <c r="K178" i="58"/>
  <c r="J194" i="58"/>
  <c r="L217" i="58"/>
  <c r="K233" i="58"/>
  <c r="P259" i="58"/>
  <c r="O275" i="58"/>
  <c r="L331" i="58"/>
  <c r="K347" i="58"/>
  <c r="J80" i="58"/>
  <c r="L141" i="58"/>
  <c r="K157" i="58"/>
  <c r="O372" i="58"/>
  <c r="N388" i="58"/>
  <c r="K140" i="58"/>
  <c r="J156" i="58"/>
  <c r="L255" i="58"/>
  <c r="K271" i="58"/>
  <c r="P335" i="58"/>
  <c r="O351" i="58"/>
  <c r="P69" i="58"/>
  <c r="O85" i="58"/>
  <c r="P183" i="58"/>
  <c r="O199" i="58"/>
  <c r="L179" i="58"/>
  <c r="K195" i="58"/>
  <c r="O258" i="58"/>
  <c r="N274" i="58"/>
  <c r="K292" i="58"/>
  <c r="J308" i="58"/>
  <c r="K330" i="58"/>
  <c r="J346" i="58"/>
  <c r="L369" i="58"/>
  <c r="K385" i="58"/>
  <c r="O182" i="58"/>
  <c r="N198" i="58"/>
  <c r="L293" i="58"/>
  <c r="K309" i="58"/>
  <c r="N122" i="58"/>
  <c r="O106" i="58"/>
  <c r="K119" i="58"/>
  <c r="L103" i="58"/>
  <c r="P124" i="58"/>
  <c r="Q108" i="58"/>
  <c r="Q124" i="58" s="1"/>
  <c r="J118" i="58"/>
  <c r="K102" i="58"/>
  <c r="O123" i="58"/>
  <c r="P107" i="58"/>
  <c r="M121" i="58"/>
  <c r="N105" i="58"/>
  <c r="L120" i="58"/>
  <c r="M104" i="58"/>
  <c r="M197" i="58"/>
  <c r="N181" i="58"/>
  <c r="M159" i="58"/>
  <c r="N143" i="58"/>
  <c r="M349" i="58"/>
  <c r="N333" i="58"/>
  <c r="M311" i="58"/>
  <c r="N295" i="58"/>
  <c r="P276" i="58"/>
  <c r="Q260" i="58"/>
  <c r="Q276" i="58" s="1"/>
  <c r="M83" i="58"/>
  <c r="N67" i="58"/>
  <c r="M273" i="58"/>
  <c r="N257" i="58"/>
  <c r="P238" i="58"/>
  <c r="Q222" i="58"/>
  <c r="Q238" i="58" s="1"/>
  <c r="L82" i="58"/>
  <c r="M66" i="58"/>
  <c r="M235" i="58"/>
  <c r="N219" i="58"/>
  <c r="P200" i="58"/>
  <c r="Q184" i="58"/>
  <c r="Q200" i="58" s="1"/>
  <c r="L196" i="58"/>
  <c r="M180" i="58"/>
  <c r="P162" i="58"/>
  <c r="Q146" i="58"/>
  <c r="Q162" i="58" s="1"/>
  <c r="M387" i="58"/>
  <c r="N371" i="58"/>
  <c r="P352" i="58"/>
  <c r="Q336" i="58"/>
  <c r="Q352" i="58" s="1"/>
  <c r="L348" i="58"/>
  <c r="M332" i="58"/>
  <c r="P314" i="58"/>
  <c r="Q298" i="58"/>
  <c r="Q314" i="58" s="1"/>
  <c r="L310" i="58"/>
  <c r="M294" i="58"/>
  <c r="L272" i="58"/>
  <c r="M256" i="58"/>
  <c r="P86" i="58"/>
  <c r="Q70" i="58"/>
  <c r="Q86" i="58" s="1"/>
  <c r="L234" i="58"/>
  <c r="M218" i="58"/>
  <c r="L158" i="58"/>
  <c r="M142" i="58"/>
  <c r="L386" i="58"/>
  <c r="M370" i="58"/>
  <c r="P390" i="58"/>
  <c r="Q374" i="58"/>
  <c r="Q390" i="58" s="1"/>
  <c r="G243" i="56"/>
  <c r="AN94" i="14" s="1"/>
  <c r="H395" i="3"/>
  <c r="AO108" i="14" s="1"/>
  <c r="J205" i="56"/>
  <c r="AQ93" i="14" s="1"/>
  <c r="F319" i="3"/>
  <c r="AM106" i="14" s="1"/>
  <c r="H151" i="43"/>
  <c r="D90" i="3"/>
  <c r="M85" i="60"/>
  <c r="M129" i="60"/>
  <c r="M173" i="60"/>
  <c r="M217" i="60"/>
  <c r="M261" i="60"/>
  <c r="M305" i="60"/>
  <c r="M349" i="60"/>
  <c r="M393" i="60"/>
  <c r="M437" i="60"/>
  <c r="M481" i="60"/>
  <c r="M525" i="60"/>
  <c r="M569" i="60"/>
  <c r="M63" i="60"/>
  <c r="M107" i="60"/>
  <c r="M151" i="60"/>
  <c r="M195" i="60"/>
  <c r="M239" i="60"/>
  <c r="M283" i="60"/>
  <c r="M327" i="60"/>
  <c r="M371" i="60"/>
  <c r="M415" i="60"/>
  <c r="M459" i="60"/>
  <c r="M503" i="60"/>
  <c r="M547" i="60"/>
  <c r="J319" i="56"/>
  <c r="AQ96" i="14" s="1"/>
  <c r="D120" i="3"/>
  <c r="I164" i="34"/>
  <c r="F266" i="7"/>
  <c r="AJ121" i="7" s="1"/>
  <c r="E241" i="43"/>
  <c r="F234" i="7"/>
  <c r="AJ117" i="7" s="1"/>
  <c r="E41" i="60"/>
  <c r="E85" i="60"/>
  <c r="E129" i="60"/>
  <c r="E173" i="60"/>
  <c r="E217" i="60"/>
  <c r="E261" i="60"/>
  <c r="E305" i="60"/>
  <c r="E349" i="60"/>
  <c r="E393" i="60"/>
  <c r="E437" i="60"/>
  <c r="E481" i="60"/>
  <c r="E525" i="60"/>
  <c r="E569" i="60"/>
  <c r="E63" i="60"/>
  <c r="E107" i="60"/>
  <c r="E151" i="60"/>
  <c r="E195" i="60"/>
  <c r="E239" i="60"/>
  <c r="E283" i="60"/>
  <c r="E327" i="60"/>
  <c r="E371" i="60"/>
  <c r="E415" i="60"/>
  <c r="E459" i="60"/>
  <c r="E503" i="60"/>
  <c r="E547" i="60"/>
  <c r="E34" i="60"/>
  <c r="E557" i="60"/>
  <c r="E562" i="60" s="1"/>
  <c r="E51" i="60"/>
  <c r="E56" i="60" s="1"/>
  <c r="E73" i="60"/>
  <c r="E78" i="60" s="1"/>
  <c r="G202" i="7"/>
  <c r="AK113" i="7" s="1"/>
  <c r="G145" i="34"/>
  <c r="E163" i="43"/>
  <c r="E217" i="7"/>
  <c r="AC115" i="7" s="1"/>
  <c r="F216" i="43"/>
  <c r="F217" i="34"/>
  <c r="I104" i="43"/>
  <c r="I177" i="7"/>
  <c r="AG110" i="7" s="1"/>
  <c r="I282" i="7"/>
  <c r="AM123" i="7" s="1"/>
  <c r="I264" i="43"/>
  <c r="D394" i="56"/>
  <c r="D386" i="56"/>
  <c r="D64" i="53"/>
  <c r="E315" i="60"/>
  <c r="E320" i="60" s="1"/>
  <c r="I273" i="7"/>
  <c r="AG122" i="7" s="1"/>
  <c r="I248" i="43"/>
  <c r="I249" i="43" s="1"/>
  <c r="E223" i="34"/>
  <c r="E223" i="43"/>
  <c r="E225" i="43" s="1"/>
  <c r="D115" i="43"/>
  <c r="D185" i="7"/>
  <c r="AB111" i="7" s="1"/>
  <c r="H192" i="34"/>
  <c r="H192" i="43"/>
  <c r="F187" i="43"/>
  <c r="F188" i="43"/>
  <c r="E225" i="7"/>
  <c r="AC116" i="7" s="1"/>
  <c r="E175" i="43"/>
  <c r="E252" i="34"/>
  <c r="E274" i="7"/>
  <c r="AI122" i="7" s="1"/>
  <c r="I132" i="34"/>
  <c r="I194" i="7"/>
  <c r="AM112" i="7" s="1"/>
  <c r="I116" i="43"/>
  <c r="I116" i="34"/>
  <c r="I117" i="34" s="1"/>
  <c r="F180" i="34"/>
  <c r="F180" i="43"/>
  <c r="F182" i="43" s="1"/>
  <c r="G257" i="7"/>
  <c r="AE120" i="7" s="1"/>
  <c r="G224" i="43"/>
  <c r="G225" i="43" s="1"/>
  <c r="G223" i="34"/>
  <c r="D108" i="34"/>
  <c r="D178" i="7"/>
  <c r="AH110" i="7" s="1"/>
  <c r="G247" i="34"/>
  <c r="G247" i="43"/>
  <c r="G249" i="43" s="1"/>
  <c r="G187" i="43"/>
  <c r="G187" i="34"/>
  <c r="G204" i="43"/>
  <c r="G206" i="43" s="1"/>
  <c r="G204" i="34"/>
  <c r="F247" i="43"/>
  <c r="F248" i="43"/>
  <c r="F247" i="34"/>
  <c r="G185" i="7"/>
  <c r="AE111" i="7" s="1"/>
  <c r="G115" i="43"/>
  <c r="G117" i="43" s="1"/>
  <c r="H265" i="7"/>
  <c r="AF121" i="7" s="1"/>
  <c r="H236" i="34"/>
  <c r="E120" i="43"/>
  <c r="E186" i="7"/>
  <c r="AI111" i="7" s="1"/>
  <c r="E121" i="43"/>
  <c r="E122" i="43" s="1"/>
  <c r="E121" i="34"/>
  <c r="E122" i="34" s="1"/>
  <c r="F265" i="7"/>
  <c r="AD121" i="7" s="1"/>
  <c r="F235" i="34"/>
  <c r="F235" i="43"/>
  <c r="F237" i="43" s="1"/>
  <c r="E216" i="43"/>
  <c r="E250" i="7"/>
  <c r="AI119" i="7" s="1"/>
  <c r="E217" i="34"/>
  <c r="E218" i="34" s="1"/>
  <c r="H168" i="43"/>
  <c r="H169" i="43"/>
  <c r="H169" i="34"/>
  <c r="H170" i="34" s="1"/>
  <c r="D265" i="34"/>
  <c r="D264" i="34"/>
  <c r="G175" i="43"/>
  <c r="G176" i="43"/>
  <c r="E178" i="7"/>
  <c r="AI110" i="7" s="1"/>
  <c r="E109" i="43"/>
  <c r="E110" i="43" s="1"/>
  <c r="E108" i="34"/>
  <c r="D192" i="34"/>
  <c r="D234" i="7"/>
  <c r="AH117" i="7" s="1"/>
  <c r="I274" i="7"/>
  <c r="AM122" i="7" s="1"/>
  <c r="I252" i="34"/>
  <c r="D120" i="34"/>
  <c r="D186" i="7"/>
  <c r="AH111" i="7" s="1"/>
  <c r="D140" i="43"/>
  <c r="D201" i="7"/>
  <c r="AB113" i="7" s="1"/>
  <c r="B146" i="14"/>
  <c r="C40" i="38" s="1"/>
  <c r="M286" i="44"/>
  <c r="E176" i="44" s="1"/>
  <c r="E177" i="44" s="1"/>
  <c r="G144" i="43"/>
  <c r="E204" i="43"/>
  <c r="E205" i="43"/>
  <c r="D103" i="34"/>
  <c r="D103" i="43"/>
  <c r="F211" i="34"/>
  <c r="F211" i="43"/>
  <c r="H201" i="7"/>
  <c r="AF113" i="7" s="1"/>
  <c r="H140" i="43"/>
  <c r="I186" i="7"/>
  <c r="AM111" i="7" s="1"/>
  <c r="I121" i="34"/>
  <c r="I217" i="43"/>
  <c r="I217" i="34"/>
  <c r="I258" i="7"/>
  <c r="AM120" i="7" s="1"/>
  <c r="I228" i="43"/>
  <c r="I234" i="7"/>
  <c r="AM117" i="7" s="1"/>
  <c r="I193" i="34"/>
  <c r="D211" i="34"/>
  <c r="D249" i="7"/>
  <c r="AB119" i="7" s="1"/>
  <c r="D211" i="43"/>
  <c r="F120" i="43"/>
  <c r="F122" i="43" s="1"/>
  <c r="F186" i="7"/>
  <c r="AJ111" i="7" s="1"/>
  <c r="F121" i="34"/>
  <c r="E163" i="34"/>
  <c r="E164" i="43"/>
  <c r="E164" i="34"/>
  <c r="F252" i="34"/>
  <c r="F274" i="7"/>
  <c r="AJ122" i="7" s="1"/>
  <c r="F250" i="7"/>
  <c r="AJ119" i="7" s="1"/>
  <c r="F216" i="34"/>
  <c r="E180" i="43"/>
  <c r="E180" i="34"/>
  <c r="E181" i="43"/>
  <c r="E182" i="43" s="1"/>
  <c r="E181" i="34"/>
  <c r="H247" i="43"/>
  <c r="H249" i="43" s="1"/>
  <c r="H247" i="34"/>
  <c r="F225" i="7"/>
  <c r="AD116" i="7" s="1"/>
  <c r="F176" i="43"/>
  <c r="F175" i="43"/>
  <c r="F176" i="34"/>
  <c r="F193" i="7"/>
  <c r="AD112" i="7" s="1"/>
  <c r="F128" i="43"/>
  <c r="F127" i="43"/>
  <c r="D257" i="7"/>
  <c r="AB120" i="7" s="1"/>
  <c r="D223" i="34"/>
  <c r="H175" i="43"/>
  <c r="H225" i="7"/>
  <c r="AF116" i="7" s="1"/>
  <c r="H176" i="34"/>
  <c r="D133" i="43"/>
  <c r="D132" i="34"/>
  <c r="D194" i="7"/>
  <c r="AH112" i="7" s="1"/>
  <c r="D202" i="7"/>
  <c r="AH113" i="7" s="1"/>
  <c r="D145" i="43"/>
  <c r="D146" i="43" s="1"/>
  <c r="D145" i="34"/>
  <c r="I103" i="34"/>
  <c r="I103" i="43"/>
  <c r="I265" i="43"/>
  <c r="I264" i="34"/>
  <c r="E188" i="43"/>
  <c r="E189" i="43" s="1"/>
  <c r="E233" i="7"/>
  <c r="AC117" i="7" s="1"/>
  <c r="E188" i="34"/>
  <c r="F156" i="43"/>
  <c r="F157" i="43"/>
  <c r="H282" i="7"/>
  <c r="AL123" i="7" s="1"/>
  <c r="H264" i="34"/>
  <c r="H265" i="43"/>
  <c r="H266" i="43" s="1"/>
  <c r="F132" i="43"/>
  <c r="F134" i="43" s="1"/>
  <c r="F132" i="34"/>
  <c r="D252" i="34"/>
  <c r="D252" i="43"/>
  <c r="D254" i="43" s="1"/>
  <c r="D274" i="7"/>
  <c r="AH122" i="7" s="1"/>
  <c r="F163" i="43"/>
  <c r="F217" i="7"/>
  <c r="AD115" i="7" s="1"/>
  <c r="F164" i="34"/>
  <c r="F165" i="34" s="1"/>
  <c r="I236" i="43"/>
  <c r="I236" i="34"/>
  <c r="F212" i="34"/>
  <c r="G121" i="34"/>
  <c r="G122" i="34" s="1"/>
  <c r="D212" i="34"/>
  <c r="E193" i="34"/>
  <c r="I181" i="34"/>
  <c r="F116" i="34"/>
  <c r="H139" i="34"/>
  <c r="F217" i="43"/>
  <c r="E226" i="7"/>
  <c r="AI116" i="7" s="1"/>
  <c r="H273" i="7"/>
  <c r="AF122" i="7" s="1"/>
  <c r="D224" i="43"/>
  <c r="F175" i="34"/>
  <c r="F258" i="7"/>
  <c r="AJ120" i="7" s="1"/>
  <c r="F252" i="43"/>
  <c r="F254" i="43" s="1"/>
  <c r="D223" i="43"/>
  <c r="H175" i="34"/>
  <c r="I265" i="34"/>
  <c r="H176" i="43"/>
  <c r="F127" i="34"/>
  <c r="H152" i="43"/>
  <c r="F194" i="7"/>
  <c r="AJ112" i="7" s="1"/>
  <c r="G186" i="7"/>
  <c r="AK111" i="7" s="1"/>
  <c r="H265" i="34"/>
  <c r="G177" i="7"/>
  <c r="AE110" i="7" s="1"/>
  <c r="I193" i="43"/>
  <c r="I235" i="43"/>
  <c r="F164" i="43"/>
  <c r="E187" i="34"/>
  <c r="D212" i="43"/>
  <c r="F109" i="37"/>
  <c r="I226" i="7"/>
  <c r="AM116" i="7" s="1"/>
  <c r="D132" i="43"/>
  <c r="D144" i="34"/>
  <c r="F120" i="34"/>
  <c r="F156" i="34"/>
  <c r="G274" i="7"/>
  <c r="AK122" i="7" s="1"/>
  <c r="G199" i="34"/>
  <c r="G241" i="7"/>
  <c r="AE118" i="7" s="1"/>
  <c r="G199" i="43"/>
  <c r="D151" i="43"/>
  <c r="D153" i="43" s="1"/>
  <c r="D151" i="34"/>
  <c r="E241" i="7"/>
  <c r="AC118" i="7" s="1"/>
  <c r="E199" i="43"/>
  <c r="F139" i="34"/>
  <c r="F140" i="43"/>
  <c r="F141" i="43" s="1"/>
  <c r="F201" i="7"/>
  <c r="AD113" i="7" s="1"/>
  <c r="G265" i="7"/>
  <c r="AE121" i="7" s="1"/>
  <c r="G236" i="43"/>
  <c r="G235" i="43"/>
  <c r="D228" i="34"/>
  <c r="D258" i="7"/>
  <c r="AH120" i="7" s="1"/>
  <c r="E185" i="7"/>
  <c r="AC111" i="7" s="1"/>
  <c r="E115" i="43"/>
  <c r="H103" i="43"/>
  <c r="H103" i="34"/>
  <c r="I225" i="7"/>
  <c r="AG116" i="7" s="1"/>
  <c r="I176" i="34"/>
  <c r="E139" i="34"/>
  <c r="E141" i="34" s="1"/>
  <c r="E140" i="43"/>
  <c r="E139" i="43"/>
  <c r="I240" i="43"/>
  <c r="I240" i="34"/>
  <c r="I242" i="34" s="1"/>
  <c r="G156" i="34"/>
  <c r="G157" i="43"/>
  <c r="G158" i="43" s="1"/>
  <c r="H228" i="34"/>
  <c r="H229" i="43"/>
  <c r="H228" i="43"/>
  <c r="E249" i="7"/>
  <c r="AC119" i="7" s="1"/>
  <c r="E211" i="34"/>
  <c r="D175" i="43"/>
  <c r="D177" i="43" s="1"/>
  <c r="D175" i="34"/>
  <c r="F108" i="43"/>
  <c r="F178" i="7"/>
  <c r="AJ110" i="7" s="1"/>
  <c r="F144" i="34"/>
  <c r="F202" i="7"/>
  <c r="AJ113" i="7" s="1"/>
  <c r="F144" i="43"/>
  <c r="G192" i="34"/>
  <c r="G192" i="43"/>
  <c r="G234" i="7"/>
  <c r="AK117" i="7" s="1"/>
  <c r="I199" i="34"/>
  <c r="I241" i="7"/>
  <c r="AG118" i="7" s="1"/>
  <c r="D394" i="3"/>
  <c r="D242" i="3"/>
  <c r="D166" i="3"/>
  <c r="D44" i="3"/>
  <c r="D151" i="53"/>
  <c r="D82" i="56"/>
  <c r="F140" i="34"/>
  <c r="G193" i="34"/>
  <c r="F145" i="34"/>
  <c r="H217" i="34"/>
  <c r="H218" i="34" s="1"/>
  <c r="E161" i="60"/>
  <c r="E166" i="60" s="1"/>
  <c r="E447" i="60"/>
  <c r="E452" i="60" s="1"/>
  <c r="E359" i="60"/>
  <c r="E364" i="60" s="1"/>
  <c r="E116" i="34"/>
  <c r="E212" i="34"/>
  <c r="H104" i="43"/>
  <c r="D168" i="43"/>
  <c r="D169" i="43"/>
  <c r="H217" i="43"/>
  <c r="E115" i="34"/>
  <c r="E117" i="34" s="1"/>
  <c r="H177" i="7"/>
  <c r="AF110" i="7" s="1"/>
  <c r="F109" i="43"/>
  <c r="E116" i="43"/>
  <c r="F145" i="43"/>
  <c r="I199" i="43"/>
  <c r="I201" i="43" s="1"/>
  <c r="G193" i="43"/>
  <c r="E211" i="43"/>
  <c r="E213" i="43" s="1"/>
  <c r="G210" i="7"/>
  <c r="AK114" i="7" s="1"/>
  <c r="I241" i="43"/>
  <c r="I175" i="43"/>
  <c r="I177" i="43" s="1"/>
  <c r="E200" i="43"/>
  <c r="D209" i="7"/>
  <c r="AB114" i="7" s="1"/>
  <c r="G200" i="43"/>
  <c r="F108" i="34"/>
  <c r="H109" i="37"/>
  <c r="H156" i="43"/>
  <c r="H158" i="43" s="1"/>
  <c r="H156" i="34"/>
  <c r="E240" i="43"/>
  <c r="E266" i="7"/>
  <c r="AI121" i="7" s="1"/>
  <c r="I204" i="34"/>
  <c r="I204" i="43"/>
  <c r="I242" i="7"/>
  <c r="AM118" i="7" s="1"/>
  <c r="H194" i="7"/>
  <c r="AL112" i="7" s="1"/>
  <c r="H132" i="43"/>
  <c r="H134" i="43" s="1"/>
  <c r="E151" i="34"/>
  <c r="E152" i="43"/>
  <c r="E153" i="43" s="1"/>
  <c r="H144" i="43"/>
  <c r="H202" i="7"/>
  <c r="AL113" i="7" s="1"/>
  <c r="D240" i="34"/>
  <c r="D266" i="7"/>
  <c r="AH121" i="7" s="1"/>
  <c r="H259" i="34"/>
  <c r="H281" i="7"/>
  <c r="AF123" i="7" s="1"/>
  <c r="H260" i="34"/>
  <c r="F209" i="7"/>
  <c r="AD114" i="7" s="1"/>
  <c r="F151" i="34"/>
  <c r="D199" i="43"/>
  <c r="D200" i="43"/>
  <c r="G132" i="43"/>
  <c r="G132" i="34"/>
  <c r="H120" i="34"/>
  <c r="H120" i="43"/>
  <c r="H122" i="43" s="1"/>
  <c r="D163" i="43"/>
  <c r="D164" i="43"/>
  <c r="F223" i="43"/>
  <c r="F257" i="7"/>
  <c r="AD120" i="7" s="1"/>
  <c r="G180" i="34"/>
  <c r="G226" i="7"/>
  <c r="AK116" i="7" s="1"/>
  <c r="G181" i="34"/>
  <c r="I250" i="7"/>
  <c r="AM119" i="7" s="1"/>
  <c r="I216" i="34"/>
  <c r="E193" i="43"/>
  <c r="E192" i="43"/>
  <c r="G167" i="3"/>
  <c r="AN102" i="14" s="1"/>
  <c r="F167" i="56"/>
  <c r="AM92" i="14" s="1"/>
  <c r="G357" i="3"/>
  <c r="AN107" i="14" s="1"/>
  <c r="J167" i="3"/>
  <c r="AQ102" i="14" s="1"/>
  <c r="E395" i="3"/>
  <c r="AL108" i="14" s="1"/>
  <c r="E204" i="34"/>
  <c r="E167" i="56"/>
  <c r="AL92" i="14" s="1"/>
  <c r="G319" i="56"/>
  <c r="AN96" i="14" s="1"/>
  <c r="G102" i="53"/>
  <c r="AN111" i="14" s="1"/>
  <c r="I357" i="56"/>
  <c r="AP97" i="14" s="1"/>
  <c r="I395" i="56"/>
  <c r="AP98" i="14" s="1"/>
  <c r="G281" i="3"/>
  <c r="AN105" i="14" s="1"/>
  <c r="E73" i="53"/>
  <c r="AL110" i="14" s="1"/>
  <c r="I281" i="56"/>
  <c r="AP95" i="14" s="1"/>
  <c r="J243" i="56"/>
  <c r="AQ94" i="14" s="1"/>
  <c r="F131" i="53"/>
  <c r="AM112" i="14" s="1"/>
  <c r="I168" i="34"/>
  <c r="I170" i="34" s="1"/>
  <c r="I218" i="7"/>
  <c r="AM115" i="7" s="1"/>
  <c r="I168" i="43"/>
  <c r="I169" i="43"/>
  <c r="F264" i="34"/>
  <c r="F264" i="43"/>
  <c r="F265" i="34"/>
  <c r="F265" i="43"/>
  <c r="H241" i="43"/>
  <c r="H266" i="7"/>
  <c r="AL121" i="7" s="1"/>
  <c r="H128" i="43"/>
  <c r="H127" i="43"/>
  <c r="D229" i="43"/>
  <c r="D228" i="43"/>
  <c r="E258" i="7"/>
  <c r="AI120" i="7" s="1"/>
  <c r="E228" i="34"/>
  <c r="H216" i="43"/>
  <c r="H250" i="7"/>
  <c r="AL119" i="7" s="1"/>
  <c r="G265" i="43"/>
  <c r="G264" i="43"/>
  <c r="G264" i="34"/>
  <c r="G265" i="34"/>
  <c r="G282" i="7"/>
  <c r="AK123" i="7" s="1"/>
  <c r="G128" i="43"/>
  <c r="G127" i="34"/>
  <c r="G193" i="7"/>
  <c r="AE112" i="7" s="1"/>
  <c r="G127" i="43"/>
  <c r="G212" i="43"/>
  <c r="G211" i="43"/>
  <c r="G211" i="34"/>
  <c r="G213" i="34" s="1"/>
  <c r="G249" i="7"/>
  <c r="AE119" i="7" s="1"/>
  <c r="G109" i="37"/>
  <c r="I192" i="43"/>
  <c r="I192" i="34"/>
  <c r="I224" i="43"/>
  <c r="I225" i="43" s="1"/>
  <c r="I223" i="34"/>
  <c r="G145" i="43"/>
  <c r="G144" i="34"/>
  <c r="F228" i="34"/>
  <c r="F228" i="43"/>
  <c r="F230" i="43" s="1"/>
  <c r="I181" i="43"/>
  <c r="I182" i="43" s="1"/>
  <c r="I180" i="34"/>
  <c r="G253" i="43"/>
  <c r="G254" i="43" s="1"/>
  <c r="G252" i="34"/>
  <c r="F115" i="34"/>
  <c r="F115" i="43"/>
  <c r="F116" i="43"/>
  <c r="G121" i="43"/>
  <c r="G120" i="43"/>
  <c r="D205" i="43"/>
  <c r="D242" i="7"/>
  <c r="AH118" i="7" s="1"/>
  <c r="D204" i="43"/>
  <c r="D204" i="34"/>
  <c r="I235" i="34"/>
  <c r="I265" i="7"/>
  <c r="AG121" i="7" s="1"/>
  <c r="G281" i="56"/>
  <c r="AN95" i="14" s="1"/>
  <c r="F395" i="56"/>
  <c r="AM98" i="14" s="1"/>
  <c r="H281" i="56"/>
  <c r="AO95" i="14" s="1"/>
  <c r="F319" i="56"/>
  <c r="AM96" i="14" s="1"/>
  <c r="F357" i="56"/>
  <c r="AM97" i="14" s="1"/>
  <c r="J281" i="3"/>
  <c r="AQ105" i="14" s="1"/>
  <c r="H167" i="56"/>
  <c r="AO92" i="14" s="1"/>
  <c r="F205" i="56"/>
  <c r="AM93" i="14" s="1"/>
  <c r="E160" i="53"/>
  <c r="AL113" i="14" s="1"/>
  <c r="G205" i="56"/>
  <c r="AN93" i="14" s="1"/>
  <c r="F243" i="56"/>
  <c r="AM94" i="14" s="1"/>
  <c r="I205" i="3"/>
  <c r="AP103" i="14" s="1"/>
  <c r="F281" i="3"/>
  <c r="AM105" i="14" s="1"/>
  <c r="AW29" i="14"/>
  <c r="E127" i="34"/>
  <c r="E127" i="43"/>
  <c r="F192" i="43"/>
  <c r="F192" i="34"/>
  <c r="F194" i="34" s="1"/>
  <c r="I260" i="43"/>
  <c r="I261" i="43" s="1"/>
  <c r="I260" i="34"/>
  <c r="I281" i="7"/>
  <c r="AG123" i="7" s="1"/>
  <c r="I187" i="43"/>
  <c r="I189" i="43" s="1"/>
  <c r="I233" i="7"/>
  <c r="AG117" i="7" s="1"/>
  <c r="I121" i="43"/>
  <c r="I120" i="34"/>
  <c r="G169" i="43"/>
  <c r="G218" i="7"/>
  <c r="AK115" i="7" s="1"/>
  <c r="G168" i="43"/>
  <c r="G170" i="43" s="1"/>
  <c r="G168" i="34"/>
  <c r="G170" i="34" s="1"/>
  <c r="I210" i="7"/>
  <c r="AM114" i="7" s="1"/>
  <c r="I156" i="43"/>
  <c r="I128" i="43"/>
  <c r="I129" i="43" s="1"/>
  <c r="I193" i="7"/>
  <c r="AG112" i="7" s="1"/>
  <c r="I127" i="34"/>
  <c r="H249" i="7"/>
  <c r="AF119" i="7" s="1"/>
  <c r="H211" i="43"/>
  <c r="G109" i="43"/>
  <c r="G108" i="34"/>
  <c r="G108" i="43"/>
  <c r="F169" i="43"/>
  <c r="F218" i="7"/>
  <c r="AJ115" i="7" s="1"/>
  <c r="F168" i="43"/>
  <c r="I164" i="43"/>
  <c r="I165" i="43" s="1"/>
  <c r="I163" i="34"/>
  <c r="I217" i="7"/>
  <c r="AG115" i="7" s="1"/>
  <c r="F104" i="43"/>
  <c r="F105" i="43" s="1"/>
  <c r="F103" i="34"/>
  <c r="D204" i="3"/>
  <c r="D242" i="56"/>
  <c r="D130" i="53"/>
  <c r="D90" i="56"/>
  <c r="D166" i="56"/>
  <c r="J167" i="56"/>
  <c r="AQ92" i="14" s="1"/>
  <c r="H281" i="3"/>
  <c r="AO105" i="14" s="1"/>
  <c r="G167" i="56"/>
  <c r="AN92" i="14" s="1"/>
  <c r="H102" i="53"/>
  <c r="AO111" i="14" s="1"/>
  <c r="D158" i="3"/>
  <c r="D196" i="56"/>
  <c r="D158" i="56"/>
  <c r="D44" i="56"/>
  <c r="D348" i="3"/>
  <c r="D272" i="56"/>
  <c r="D164" i="44"/>
  <c r="D165" i="44" s="1"/>
  <c r="D241" i="34"/>
  <c r="H140" i="34"/>
  <c r="F241" i="34"/>
  <c r="H212" i="34"/>
  <c r="H213" i="34" s="1"/>
  <c r="D164" i="34"/>
  <c r="H145" i="34"/>
  <c r="I188" i="34"/>
  <c r="E117" i="60"/>
  <c r="E122" i="60" s="1"/>
  <c r="E249" i="60"/>
  <c r="E254" i="60" s="1"/>
  <c r="E381" i="60"/>
  <c r="E386" i="60" s="1"/>
  <c r="E513" i="60"/>
  <c r="E518" i="60" s="1"/>
  <c r="E227" i="60"/>
  <c r="E232" i="60" s="1"/>
  <c r="E491" i="60"/>
  <c r="E496" i="60" s="1"/>
  <c r="H121" i="34"/>
  <c r="H139" i="43"/>
  <c r="H151" i="34"/>
  <c r="H186" i="7"/>
  <c r="AL111" i="7" s="1"/>
  <c r="D199" i="34"/>
  <c r="F240" i="34"/>
  <c r="F241" i="43"/>
  <c r="F242" i="43" s="1"/>
  <c r="D163" i="34"/>
  <c r="I205" i="43"/>
  <c r="H260" i="43"/>
  <c r="G133" i="43"/>
  <c r="F223" i="34"/>
  <c r="F224" i="43"/>
  <c r="G194" i="7"/>
  <c r="AK112" i="7" s="1"/>
  <c r="I187" i="34"/>
  <c r="F152" i="43"/>
  <c r="F151" i="43"/>
  <c r="I120" i="43"/>
  <c r="D177" i="7"/>
  <c r="AB110" i="7" s="1"/>
  <c r="D104" i="43"/>
  <c r="D241" i="43"/>
  <c r="D242" i="43" s="1"/>
  <c r="H144" i="34"/>
  <c r="H145" i="43"/>
  <c r="E209" i="7"/>
  <c r="AC114" i="7" s="1"/>
  <c r="E103" i="43"/>
  <c r="H132" i="34"/>
  <c r="E240" i="34"/>
  <c r="E242" i="34" s="1"/>
  <c r="F193" i="43"/>
  <c r="H210" i="7"/>
  <c r="AL114" i="7" s="1"/>
  <c r="E128" i="43"/>
  <c r="I157" i="43"/>
  <c r="G104" i="43"/>
  <c r="G105" i="43" s="1"/>
  <c r="F169" i="34"/>
  <c r="H212" i="43"/>
  <c r="I216" i="43"/>
  <c r="G103" i="34"/>
  <c r="E177" i="7"/>
  <c r="AC110" i="7" s="1"/>
  <c r="F168" i="34"/>
  <c r="G178" i="7"/>
  <c r="AK110" i="7" s="1"/>
  <c r="F177" i="7"/>
  <c r="AD110" i="7" s="1"/>
  <c r="I228" i="34"/>
  <c r="I229" i="43"/>
  <c r="E192" i="34"/>
  <c r="G181" i="43"/>
  <c r="G182" i="43" s="1"/>
  <c r="E242" i="7"/>
  <c r="AI118" i="7" s="1"/>
  <c r="I259" i="34"/>
  <c r="F249" i="7"/>
  <c r="AD119" i="7" s="1"/>
  <c r="F212" i="43"/>
  <c r="H259" i="43"/>
  <c r="I185" i="7"/>
  <c r="AG111" i="7" s="1"/>
  <c r="I115" i="43"/>
  <c r="E265" i="43"/>
  <c r="E264" i="43"/>
  <c r="E265" i="34"/>
  <c r="E264" i="34"/>
  <c r="F260" i="43"/>
  <c r="F281" i="7"/>
  <c r="AD123" i="7" s="1"/>
  <c r="F259" i="43"/>
  <c r="F260" i="34"/>
  <c r="F261" i="34" s="1"/>
  <c r="E133" i="43"/>
  <c r="E134" i="43" s="1"/>
  <c r="E132" i="34"/>
  <c r="H235" i="34"/>
  <c r="H235" i="43"/>
  <c r="H237" i="43" s="1"/>
  <c r="G240" i="43"/>
  <c r="G241" i="43"/>
  <c r="G139" i="34"/>
  <c r="G139" i="43"/>
  <c r="I212" i="43"/>
  <c r="I211" i="43"/>
  <c r="I249" i="7"/>
  <c r="AG119" i="7" s="1"/>
  <c r="I211" i="34"/>
  <c r="I213" i="34" s="1"/>
  <c r="G164" i="43"/>
  <c r="G163" i="34"/>
  <c r="G165" i="34" s="1"/>
  <c r="G163" i="43"/>
  <c r="G217" i="7"/>
  <c r="AE115" i="7" s="1"/>
  <c r="H252" i="43"/>
  <c r="H252" i="34"/>
  <c r="H253" i="43"/>
  <c r="H274" i="7"/>
  <c r="AL122" i="7" s="1"/>
  <c r="E236" i="43"/>
  <c r="E237" i="43" s="1"/>
  <c r="E265" i="7"/>
  <c r="AC121" i="7" s="1"/>
  <c r="H200" i="43"/>
  <c r="H201" i="43" s="1"/>
  <c r="H199" i="34"/>
  <c r="H241" i="7"/>
  <c r="AF118" i="7" s="1"/>
  <c r="D260" i="43"/>
  <c r="D261" i="43" s="1"/>
  <c r="D259" i="34"/>
  <c r="D260" i="34"/>
  <c r="D281" i="7"/>
  <c r="AB123" i="7" s="1"/>
  <c r="D282" i="7"/>
  <c r="AH123" i="7" s="1"/>
  <c r="D265" i="43"/>
  <c r="D264" i="43"/>
  <c r="D128" i="43"/>
  <c r="D129" i="43" s="1"/>
  <c r="D193" i="7"/>
  <c r="AB112" i="7" s="1"/>
  <c r="H181" i="43"/>
  <c r="H180" i="43"/>
  <c r="H180" i="34"/>
  <c r="H182" i="34" s="1"/>
  <c r="H226" i="7"/>
  <c r="AL116" i="7" s="1"/>
  <c r="I109" i="43"/>
  <c r="I108" i="34"/>
  <c r="I178" i="7"/>
  <c r="AM110" i="7" s="1"/>
  <c r="I108" i="43"/>
  <c r="D248" i="43"/>
  <c r="D247" i="34"/>
  <c r="D273" i="7"/>
  <c r="AB122" i="7" s="1"/>
  <c r="D247" i="43"/>
  <c r="F164" i="44"/>
  <c r="F165" i="44" s="1"/>
  <c r="E15" i="60"/>
  <c r="K37" i="38"/>
  <c r="M81" i="37" s="1"/>
  <c r="H332" i="15"/>
  <c r="G338" i="15"/>
  <c r="G337" i="15" s="1"/>
  <c r="G336" i="15" s="1"/>
  <c r="G73" i="53"/>
  <c r="AN110" i="14" s="1"/>
  <c r="H160" i="53"/>
  <c r="AO113" i="14" s="1"/>
  <c r="H319" i="3"/>
  <c r="AO106" i="14" s="1"/>
  <c r="J131" i="53"/>
  <c r="AQ112" i="14" s="1"/>
  <c r="F243" i="3"/>
  <c r="AM104" i="14" s="1"/>
  <c r="I319" i="3"/>
  <c r="AP106" i="14" s="1"/>
  <c r="H205" i="3"/>
  <c r="AO103" i="14" s="1"/>
  <c r="J319" i="3"/>
  <c r="AQ106" i="14" s="1"/>
  <c r="I319" i="56"/>
  <c r="AP96" i="14" s="1"/>
  <c r="F205" i="3"/>
  <c r="AM103" i="14" s="1"/>
  <c r="E205" i="56"/>
  <c r="AL93" i="14" s="1"/>
  <c r="F167" i="3"/>
  <c r="AM102" i="14" s="1"/>
  <c r="F395" i="3"/>
  <c r="AM108" i="14" s="1"/>
  <c r="E395" i="56"/>
  <c r="AL98" i="14" s="1"/>
  <c r="H73" i="53"/>
  <c r="AO110" i="14" s="1"/>
  <c r="I131" i="53"/>
  <c r="AP112" i="14" s="1"/>
  <c r="H395" i="56"/>
  <c r="AO98" i="14" s="1"/>
  <c r="H167" i="3"/>
  <c r="AO102" i="14" s="1"/>
  <c r="I281" i="3"/>
  <c r="AP105" i="14" s="1"/>
  <c r="E357" i="3"/>
  <c r="AL107" i="14" s="1"/>
  <c r="I205" i="56"/>
  <c r="AP93" i="14" s="1"/>
  <c r="H319" i="56"/>
  <c r="AO96" i="14" s="1"/>
  <c r="E319" i="56"/>
  <c r="AL96" i="14" s="1"/>
  <c r="H357" i="56"/>
  <c r="AO97" i="14" s="1"/>
  <c r="G395" i="56"/>
  <c r="AN98" i="14" s="1"/>
  <c r="J205" i="3"/>
  <c r="AQ103" i="14" s="1"/>
  <c r="J243" i="3"/>
  <c r="AQ104" i="14" s="1"/>
  <c r="J357" i="3"/>
  <c r="AQ107" i="14" s="1"/>
  <c r="H243" i="3"/>
  <c r="AO104" i="14" s="1"/>
  <c r="H205" i="56"/>
  <c r="AO93" i="14" s="1"/>
  <c r="J395" i="56"/>
  <c r="AQ98" i="14" s="1"/>
  <c r="E167" i="3"/>
  <c r="AL102" i="14" s="1"/>
  <c r="E243" i="3"/>
  <c r="AL104" i="14" s="1"/>
  <c r="I395" i="3"/>
  <c r="AP108" i="14" s="1"/>
  <c r="I167" i="56"/>
  <c r="AP92" i="14" s="1"/>
  <c r="H243" i="56"/>
  <c r="AO94" i="14" s="1"/>
  <c r="J281" i="56"/>
  <c r="AQ95" i="14" s="1"/>
  <c r="J73" i="53"/>
  <c r="AQ110" i="14" s="1"/>
  <c r="F73" i="53"/>
  <c r="AM110" i="14" s="1"/>
  <c r="H131" i="53"/>
  <c r="AO112" i="14" s="1"/>
  <c r="G243" i="3"/>
  <c r="AN104" i="14" s="1"/>
  <c r="J395" i="3"/>
  <c r="AQ108" i="14" s="1"/>
  <c r="I102" i="53"/>
  <c r="AP111" i="14" s="1"/>
  <c r="J102" i="53"/>
  <c r="AQ111" i="14" s="1"/>
  <c r="F102" i="53"/>
  <c r="AM111" i="14" s="1"/>
  <c r="M277" i="44"/>
  <c r="N277" i="44"/>
  <c r="L284" i="45"/>
  <c r="I152" i="45" s="1"/>
  <c r="I153" i="45" s="1"/>
  <c r="AN64" i="14"/>
  <c r="G205" i="3"/>
  <c r="AN103" i="14" s="1"/>
  <c r="AL66" i="14"/>
  <c r="E281" i="3"/>
  <c r="AL105" i="14" s="1"/>
  <c r="AO68" i="14"/>
  <c r="H357" i="3"/>
  <c r="AO107" i="14" s="1"/>
  <c r="AM68" i="14"/>
  <c r="F357" i="3"/>
  <c r="AM107" i="14" s="1"/>
  <c r="AN69" i="14"/>
  <c r="G395" i="3"/>
  <c r="AN108" i="14" s="1"/>
  <c r="AL72" i="14"/>
  <c r="E102" i="53"/>
  <c r="AL111" i="14" s="1"/>
  <c r="AQ74" i="14"/>
  <c r="J160" i="53"/>
  <c r="AQ113" i="14" s="1"/>
  <c r="D101" i="53"/>
  <c r="D128" i="56"/>
  <c r="D52" i="56"/>
  <c r="D280" i="3"/>
  <c r="D72" i="53"/>
  <c r="D356" i="3"/>
  <c r="D43" i="53"/>
  <c r="D52" i="3"/>
  <c r="D356" i="56"/>
  <c r="D128" i="3"/>
  <c r="D318" i="56"/>
  <c r="D159" i="53"/>
  <c r="I243" i="56"/>
  <c r="AP94" i="14" s="1"/>
  <c r="E243" i="56"/>
  <c r="AL94" i="14" s="1"/>
  <c r="E205" i="3"/>
  <c r="AL103" i="14" s="1"/>
  <c r="E281" i="56"/>
  <c r="AL95" i="14" s="1"/>
  <c r="G357" i="56"/>
  <c r="AN97" i="14" s="1"/>
  <c r="I167" i="3"/>
  <c r="AP102" i="14" s="1"/>
  <c r="G319" i="3"/>
  <c r="AN106" i="14" s="1"/>
  <c r="I160" i="53"/>
  <c r="AP113" i="14" s="1"/>
  <c r="F281" i="56"/>
  <c r="AM95" i="14" s="1"/>
  <c r="E319" i="3"/>
  <c r="AL106" i="14" s="1"/>
  <c r="G131" i="53"/>
  <c r="AN112" i="14" s="1"/>
  <c r="F160" i="53"/>
  <c r="AM113" i="14" s="1"/>
  <c r="D234" i="3"/>
  <c r="D310" i="56"/>
  <c r="D35" i="53"/>
  <c r="D82" i="3"/>
  <c r="D122" i="53"/>
  <c r="D310" i="3"/>
  <c r="D272" i="3"/>
  <c r="D234" i="56"/>
  <c r="D386" i="3"/>
  <c r="D348" i="56"/>
  <c r="D93" i="53"/>
  <c r="E95" i="60"/>
  <c r="E100" i="60" s="1"/>
  <c r="E139" i="60"/>
  <c r="E144" i="60" s="1"/>
  <c r="E205" i="60"/>
  <c r="E210" i="60" s="1"/>
  <c r="E271" i="60"/>
  <c r="E276" i="60" s="1"/>
  <c r="E337" i="60"/>
  <c r="E342" i="60" s="1"/>
  <c r="E403" i="60"/>
  <c r="E408" i="60" s="1"/>
  <c r="E469" i="60"/>
  <c r="E474" i="60" s="1"/>
  <c r="E535" i="60"/>
  <c r="E540" i="60" s="1"/>
  <c r="E183" i="60"/>
  <c r="E188" i="60" s="1"/>
  <c r="E293" i="60"/>
  <c r="E298" i="60" s="1"/>
  <c r="E425" i="60"/>
  <c r="E430" i="60" s="1"/>
  <c r="E249" i="43"/>
  <c r="F205" i="43"/>
  <c r="F204" i="43"/>
  <c r="F242" i="7"/>
  <c r="AJ118" i="7" s="1"/>
  <c r="F204" i="34"/>
  <c r="D157" i="43"/>
  <c r="D156" i="34"/>
  <c r="D156" i="43"/>
  <c r="D210" i="7"/>
  <c r="AH114" i="7" s="1"/>
  <c r="H224" i="43"/>
  <c r="H223" i="43"/>
  <c r="H223" i="34"/>
  <c r="H257" i="7"/>
  <c r="AF120" i="7" s="1"/>
  <c r="D236" i="43"/>
  <c r="D235" i="43"/>
  <c r="D265" i="7"/>
  <c r="AB121" i="7" s="1"/>
  <c r="D235" i="34"/>
  <c r="D237" i="34" s="1"/>
  <c r="H109" i="43"/>
  <c r="H108" i="43"/>
  <c r="H178" i="7"/>
  <c r="AL110" i="7" s="1"/>
  <c r="H108" i="34"/>
  <c r="D217" i="43"/>
  <c r="D216" i="43"/>
  <c r="D250" i="7"/>
  <c r="AH119" i="7" s="1"/>
  <c r="D216" i="34"/>
  <c r="D218" i="34" s="1"/>
  <c r="E145" i="43"/>
  <c r="E202" i="7"/>
  <c r="AI113" i="7" s="1"/>
  <c r="E144" i="34"/>
  <c r="E146" i="34" s="1"/>
  <c r="E144" i="43"/>
  <c r="D188" i="43"/>
  <c r="D233" i="7"/>
  <c r="AB117" i="7" s="1"/>
  <c r="D187" i="43"/>
  <c r="D187" i="34"/>
  <c r="D189" i="34" s="1"/>
  <c r="D180" i="43"/>
  <c r="D226" i="7"/>
  <c r="AH116" i="7" s="1"/>
  <c r="D180" i="34"/>
  <c r="D182" i="34" s="1"/>
  <c r="D181" i="43"/>
  <c r="E169" i="44"/>
  <c r="E170" i="44" s="1"/>
  <c r="K36" i="38"/>
  <c r="M80" i="37" s="1"/>
  <c r="M280" i="44"/>
  <c r="H104" i="44" s="1"/>
  <c r="H105" i="44" s="1"/>
  <c r="M293" i="45"/>
  <c r="E265" i="45" s="1"/>
  <c r="E266" i="45" s="1"/>
  <c r="D242" i="44"/>
  <c r="G164" i="44"/>
  <c r="G165" i="44" s="1"/>
  <c r="N286" i="44"/>
  <c r="E181" i="44" s="1"/>
  <c r="E182" i="44" s="1"/>
  <c r="L97" i="15"/>
  <c r="F121" i="38"/>
  <c r="L17" i="38" s="1"/>
  <c r="E108" i="38"/>
  <c r="D16" i="38" s="1"/>
  <c r="E77" i="15" s="1"/>
  <c r="F109" i="38"/>
  <c r="L16" i="38" s="1"/>
  <c r="E120" i="38"/>
  <c r="D17" i="38" s="1"/>
  <c r="E78" i="15" s="1"/>
  <c r="J47" i="47"/>
  <c r="J9" i="47" s="1"/>
  <c r="AQ8" i="14" s="1"/>
  <c r="I47" i="47"/>
  <c r="I9" i="47" s="1"/>
  <c r="AP8" i="14" s="1"/>
  <c r="G241" i="44"/>
  <c r="G242" i="44" s="1"/>
  <c r="L279" i="45"/>
  <c r="G92" i="45" s="1"/>
  <c r="G93" i="45" s="1"/>
  <c r="H164" i="44"/>
  <c r="H165" i="44" s="1"/>
  <c r="I164" i="44"/>
  <c r="I165" i="44" s="1"/>
  <c r="L293" i="45"/>
  <c r="I260" i="45" s="1"/>
  <c r="I261" i="45" s="1"/>
  <c r="M283" i="44"/>
  <c r="F169" i="44"/>
  <c r="F170" i="44" s="1"/>
  <c r="H169" i="44"/>
  <c r="H170" i="44" s="1"/>
  <c r="N282" i="44"/>
  <c r="E133" i="44" s="1"/>
  <c r="E134" i="44" s="1"/>
  <c r="H241" i="44"/>
  <c r="H242" i="44" s="1"/>
  <c r="L288" i="44"/>
  <c r="G169" i="44"/>
  <c r="G170" i="44" s="1"/>
  <c r="I169" i="44"/>
  <c r="I170" i="44" s="1"/>
  <c r="E241" i="44"/>
  <c r="F241" i="44"/>
  <c r="F242" i="44" s="1"/>
  <c r="I241" i="44"/>
  <c r="I242" i="44" s="1"/>
  <c r="D236" i="44"/>
  <c r="D237" i="44" s="1"/>
  <c r="E236" i="44"/>
  <c r="E237" i="44" s="1"/>
  <c r="H236" i="44"/>
  <c r="H237" i="44" s="1"/>
  <c r="I236" i="44"/>
  <c r="I237" i="44" s="1"/>
  <c r="F236" i="44"/>
  <c r="F237" i="44" s="1"/>
  <c r="G236" i="44"/>
  <c r="G237" i="44" s="1"/>
  <c r="P292" i="44"/>
  <c r="L292" i="44" s="1"/>
  <c r="G332" i="38"/>
  <c r="F338" i="38"/>
  <c r="F336" i="38" s="1"/>
  <c r="E35" i="38" s="1"/>
  <c r="F96" i="15" s="1"/>
  <c r="G140" i="38"/>
  <c r="F146" i="38"/>
  <c r="F144" i="38" s="1"/>
  <c r="E19" i="38" s="1"/>
  <c r="F80" i="15" s="1"/>
  <c r="H176" i="45"/>
  <c r="H177" i="45" s="1"/>
  <c r="G284" i="38"/>
  <c r="F290" i="38"/>
  <c r="F288" i="38" s="1"/>
  <c r="E31" i="38" s="1"/>
  <c r="F92" i="15" s="1"/>
  <c r="G128" i="38"/>
  <c r="F134" i="38"/>
  <c r="F132" i="38" s="1"/>
  <c r="E18" i="38" s="1"/>
  <c r="F79" i="15" s="1"/>
  <c r="G260" i="38"/>
  <c r="F266" i="38"/>
  <c r="F264" i="38" s="1"/>
  <c r="E29" i="38" s="1"/>
  <c r="F90" i="15" s="1"/>
  <c r="G200" i="38"/>
  <c r="F206" i="38"/>
  <c r="F204" i="38" s="1"/>
  <c r="E24" i="38" s="1"/>
  <c r="F85" i="15" s="1"/>
  <c r="M280" i="45"/>
  <c r="F254" i="38"/>
  <c r="F252" i="38" s="1"/>
  <c r="E28" i="38" s="1"/>
  <c r="F89" i="15" s="1"/>
  <c r="G248" i="38"/>
  <c r="G278" i="15"/>
  <c r="G277" i="15" s="1"/>
  <c r="G276" i="15" s="1"/>
  <c r="H272" i="15"/>
  <c r="I241" i="45"/>
  <c r="I242" i="45" s="1"/>
  <c r="E241" i="45"/>
  <c r="E242" i="45" s="1"/>
  <c r="G241" i="45"/>
  <c r="G242" i="45" s="1"/>
  <c r="H241" i="45"/>
  <c r="H242" i="45" s="1"/>
  <c r="D241" i="45"/>
  <c r="D242" i="45" s="1"/>
  <c r="F241" i="45"/>
  <c r="F242" i="45" s="1"/>
  <c r="D236" i="45"/>
  <c r="D237" i="45" s="1"/>
  <c r="E236" i="45"/>
  <c r="E237" i="45" s="1"/>
  <c r="I236" i="45"/>
  <c r="I237" i="45" s="1"/>
  <c r="G236" i="45"/>
  <c r="G237" i="45" s="1"/>
  <c r="F236" i="45"/>
  <c r="F237" i="45" s="1"/>
  <c r="H236" i="45"/>
  <c r="H237" i="45" s="1"/>
  <c r="E169" i="45"/>
  <c r="E170" i="45" s="1"/>
  <c r="D169" i="45"/>
  <c r="D170" i="45" s="1"/>
  <c r="I169" i="45"/>
  <c r="I170" i="45" s="1"/>
  <c r="F169" i="45"/>
  <c r="F170" i="45" s="1"/>
  <c r="H169" i="45"/>
  <c r="H170" i="45" s="1"/>
  <c r="G169" i="45"/>
  <c r="G170" i="45" s="1"/>
  <c r="H164" i="45"/>
  <c r="H165" i="45" s="1"/>
  <c r="I164" i="45"/>
  <c r="I165" i="45" s="1"/>
  <c r="F164" i="45"/>
  <c r="F165" i="45" s="1"/>
  <c r="G164" i="45"/>
  <c r="G165" i="45" s="1"/>
  <c r="D164" i="45"/>
  <c r="D165" i="45" s="1"/>
  <c r="E164" i="45"/>
  <c r="E165" i="45" s="1"/>
  <c r="H368" i="15"/>
  <c r="G374" i="15"/>
  <c r="G373" i="15" s="1"/>
  <c r="G372" i="15" s="1"/>
  <c r="H398" i="15"/>
  <c r="H397" i="15" s="1"/>
  <c r="H396" i="15" s="1"/>
  <c r="I392" i="15"/>
  <c r="H248" i="15"/>
  <c r="G254" i="15"/>
  <c r="G253" i="15" s="1"/>
  <c r="G252" i="15" s="1"/>
  <c r="H320" i="15"/>
  <c r="G326" i="15"/>
  <c r="G325" i="15" s="1"/>
  <c r="G324" i="15" s="1"/>
  <c r="H416" i="15"/>
  <c r="G422" i="15"/>
  <c r="G421" i="15" s="1"/>
  <c r="G420" i="15" s="1"/>
  <c r="H410" i="15"/>
  <c r="H409" i="15" s="1"/>
  <c r="H408" i="15" s="1"/>
  <c r="I404" i="15"/>
  <c r="N28" i="58"/>
  <c r="M44" i="58"/>
  <c r="Q31" i="58"/>
  <c r="Q47" i="58" s="1"/>
  <c r="P47" i="58"/>
  <c r="M27" i="58"/>
  <c r="L43" i="58"/>
  <c r="L54" i="58" s="1"/>
  <c r="O29" i="58"/>
  <c r="Q30" i="58"/>
  <c r="Q46" i="58" s="1"/>
  <c r="P46" i="58"/>
  <c r="O26" i="58"/>
  <c r="N42" i="58"/>
  <c r="M29" i="60"/>
  <c r="M535" i="60"/>
  <c r="M540" i="60" s="1"/>
  <c r="M513" i="60"/>
  <c r="M518" i="60" s="1"/>
  <c r="M469" i="60"/>
  <c r="M474" i="60" s="1"/>
  <c r="M447" i="60"/>
  <c r="M452" i="60" s="1"/>
  <c r="M403" i="60"/>
  <c r="M408" i="60" s="1"/>
  <c r="M381" i="60"/>
  <c r="M386" i="60" s="1"/>
  <c r="M337" i="60"/>
  <c r="M342" i="60" s="1"/>
  <c r="M315" i="60"/>
  <c r="M320" i="60" s="1"/>
  <c r="M271" i="60"/>
  <c r="M276" i="60" s="1"/>
  <c r="M249" i="60"/>
  <c r="M254" i="60" s="1"/>
  <c r="M205" i="60"/>
  <c r="M210" i="60" s="1"/>
  <c r="M161" i="60"/>
  <c r="M166" i="60" s="1"/>
  <c r="M139" i="60"/>
  <c r="M144" i="60" s="1"/>
  <c r="M117" i="60"/>
  <c r="M122" i="60" s="1"/>
  <c r="M95" i="60"/>
  <c r="M100" i="60" s="1"/>
  <c r="M73" i="60"/>
  <c r="M78" i="60" s="1"/>
  <c r="M557" i="60"/>
  <c r="M562" i="60" s="1"/>
  <c r="M491" i="60"/>
  <c r="M496" i="60" s="1"/>
  <c r="M425" i="60"/>
  <c r="M430" i="60" s="1"/>
  <c r="M359" i="60"/>
  <c r="M364" i="60" s="1"/>
  <c r="M293" i="60"/>
  <c r="M298" i="60" s="1"/>
  <c r="M227" i="60"/>
  <c r="M232" i="60" s="1"/>
  <c r="M183" i="60"/>
  <c r="M188" i="60" s="1"/>
  <c r="M51" i="60"/>
  <c r="M56" i="60" s="1"/>
  <c r="E16" i="60"/>
  <c r="J51" i="47"/>
  <c r="H296" i="38"/>
  <c r="G302" i="38"/>
  <c r="G300" i="38" s="1"/>
  <c r="F32" i="38" s="1"/>
  <c r="G93" i="15" s="1"/>
  <c r="M290" i="44"/>
  <c r="N290" i="44"/>
  <c r="N284" i="44"/>
  <c r="G302" i="15"/>
  <c r="G301" i="15" s="1"/>
  <c r="G300" i="15" s="1"/>
  <c r="H296" i="15"/>
  <c r="H314" i="15"/>
  <c r="H313" i="15" s="1"/>
  <c r="H312" i="15" s="1"/>
  <c r="I308" i="15"/>
  <c r="H350" i="15"/>
  <c r="I344" i="15"/>
  <c r="G349" i="15"/>
  <c r="G348" i="15" s="1"/>
  <c r="J236" i="15"/>
  <c r="I242" i="15"/>
  <c r="I241" i="15" s="1"/>
  <c r="I240" i="15" s="1"/>
  <c r="H212" i="15"/>
  <c r="G218" i="15"/>
  <c r="H224" i="15"/>
  <c r="G230" i="15"/>
  <c r="G229" i="15" s="1"/>
  <c r="G228" i="15" s="1"/>
  <c r="G385" i="15"/>
  <c r="G384" i="15" s="1"/>
  <c r="G194" i="15"/>
  <c r="G193" i="15" s="1"/>
  <c r="G192" i="15" s="1"/>
  <c r="H188" i="15"/>
  <c r="F217" i="15"/>
  <c r="F216" i="15" s="1"/>
  <c r="H386" i="15"/>
  <c r="H385" i="15" s="1"/>
  <c r="H384" i="15" s="1"/>
  <c r="I380" i="15"/>
  <c r="I361" i="15"/>
  <c r="I360" i="15" s="1"/>
  <c r="J362" i="15"/>
  <c r="J361" i="15" s="1"/>
  <c r="J360" i="15" s="1"/>
  <c r="K356" i="15"/>
  <c r="K362" i="15" s="1"/>
  <c r="K361" i="15" s="1"/>
  <c r="K360" i="15" s="1"/>
  <c r="H152" i="38"/>
  <c r="G158" i="38"/>
  <c r="G156" i="38" s="1"/>
  <c r="F20" i="38" s="1"/>
  <c r="G81" i="15" s="1"/>
  <c r="H224" i="38"/>
  <c r="G230" i="38"/>
  <c r="G228" i="38" s="1"/>
  <c r="F26" i="38" s="1"/>
  <c r="G87" i="15" s="1"/>
  <c r="H104" i="38"/>
  <c r="G110" i="38"/>
  <c r="H326" i="38"/>
  <c r="H324" i="38" s="1"/>
  <c r="G34" i="38" s="1"/>
  <c r="H95" i="15" s="1"/>
  <c r="I320" i="38"/>
  <c r="G194" i="38"/>
  <c r="G192" i="38" s="1"/>
  <c r="F23" i="38" s="1"/>
  <c r="G84" i="15" s="1"/>
  <c r="H188" i="38"/>
  <c r="G122" i="38"/>
  <c r="H116" i="38"/>
  <c r="G218" i="38"/>
  <c r="G216" i="38" s="1"/>
  <c r="F25" i="38" s="1"/>
  <c r="G86" i="15" s="1"/>
  <c r="H212" i="38"/>
  <c r="E205" i="34"/>
  <c r="G205" i="34"/>
  <c r="H205" i="34"/>
  <c r="I205" i="34"/>
  <c r="F205" i="34"/>
  <c r="D205" i="34"/>
  <c r="I104" i="34"/>
  <c r="G104" i="34"/>
  <c r="F104" i="34"/>
  <c r="E104" i="34"/>
  <c r="E105" i="34" s="1"/>
  <c r="D104" i="34"/>
  <c r="H104" i="34"/>
  <c r="I236" i="38"/>
  <c r="H242" i="38"/>
  <c r="H240" i="38" s="1"/>
  <c r="G27" i="38" s="1"/>
  <c r="H88" i="15" s="1"/>
  <c r="E229" i="34"/>
  <c r="I229" i="34"/>
  <c r="G229" i="34"/>
  <c r="G230" i="34" s="1"/>
  <c r="D229" i="34"/>
  <c r="F229" i="34"/>
  <c r="H229" i="34"/>
  <c r="D133" i="34"/>
  <c r="H133" i="34"/>
  <c r="G133" i="34"/>
  <c r="E133" i="34"/>
  <c r="F133" i="34"/>
  <c r="I133" i="34"/>
  <c r="D85" i="56"/>
  <c r="D86" i="56" s="1"/>
  <c r="D237" i="56"/>
  <c r="D238" i="56" s="1"/>
  <c r="D85" i="3"/>
  <c r="D86" i="3" s="1"/>
  <c r="D275" i="3"/>
  <c r="D276" i="3" s="1"/>
  <c r="D96" i="53"/>
  <c r="D123" i="56"/>
  <c r="D124" i="56" s="1"/>
  <c r="D47" i="56"/>
  <c r="D48" i="56" s="1"/>
  <c r="D67" i="53"/>
  <c r="D389" i="3"/>
  <c r="D390" i="3" s="1"/>
  <c r="D199" i="56"/>
  <c r="D200" i="56" s="1"/>
  <c r="D123" i="3"/>
  <c r="D124" i="3" s="1"/>
  <c r="D275" i="56"/>
  <c r="D276" i="56" s="1"/>
  <c r="D161" i="56"/>
  <c r="D162" i="56" s="1"/>
  <c r="D161" i="3"/>
  <c r="D162" i="3" s="1"/>
  <c r="D47" i="3"/>
  <c r="D48" i="3" s="1"/>
  <c r="D351" i="3"/>
  <c r="D352" i="3" s="1"/>
  <c r="D154" i="53"/>
  <c r="D237" i="3"/>
  <c r="D238" i="3" s="1"/>
  <c r="D351" i="56"/>
  <c r="D352" i="56" s="1"/>
  <c r="D389" i="56"/>
  <c r="D390" i="56" s="1"/>
  <c r="D199" i="3"/>
  <c r="D200" i="3" s="1"/>
  <c r="D38" i="53"/>
  <c r="D39" i="53" s="1"/>
  <c r="D68" i="53" s="1"/>
  <c r="D97" i="53" s="1"/>
  <c r="D126" i="53" s="1"/>
  <c r="D155" i="53" s="1"/>
  <c r="D313" i="56"/>
  <c r="D314" i="56" s="1"/>
  <c r="D125" i="53"/>
  <c r="D313" i="3"/>
  <c r="D314" i="3" s="1"/>
  <c r="D73" i="53"/>
  <c r="D319" i="56"/>
  <c r="C37" i="38"/>
  <c r="D167" i="56"/>
  <c r="D167" i="3"/>
  <c r="D129" i="56"/>
  <c r="D357" i="56"/>
  <c r="D129" i="3"/>
  <c r="D281" i="3"/>
  <c r="D102" i="53"/>
  <c r="D395" i="3"/>
  <c r="D319" i="3"/>
  <c r="D91" i="56"/>
  <c r="D53" i="3"/>
  <c r="D357" i="3"/>
  <c r="D44" i="53"/>
  <c r="D243" i="3"/>
  <c r="D53" i="56"/>
  <c r="D91" i="3"/>
  <c r="D395" i="56"/>
  <c r="D131" i="53"/>
  <c r="D243" i="56"/>
  <c r="D205" i="3"/>
  <c r="D160" i="53"/>
  <c r="S294" i="34"/>
  <c r="AH112" i="50"/>
  <c r="AI46" i="37"/>
  <c r="AI84" i="37" s="1"/>
  <c r="AI115" i="37" s="1"/>
  <c r="H253" i="34"/>
  <c r="D253" i="34"/>
  <c r="E253" i="34"/>
  <c r="I253" i="34"/>
  <c r="G253" i="34"/>
  <c r="F253" i="34"/>
  <c r="D157" i="34"/>
  <c r="I157" i="34"/>
  <c r="I158" i="34" s="1"/>
  <c r="E157" i="34"/>
  <c r="F157" i="34"/>
  <c r="H157" i="34"/>
  <c r="G157" i="34"/>
  <c r="H116" i="44"/>
  <c r="H117" i="44" s="1"/>
  <c r="F116" i="44"/>
  <c r="F117" i="44" s="1"/>
  <c r="D116" i="44"/>
  <c r="D117" i="44" s="1"/>
  <c r="G116" i="44"/>
  <c r="G117" i="44" s="1"/>
  <c r="E116" i="44"/>
  <c r="E117" i="44" s="1"/>
  <c r="I116" i="44"/>
  <c r="I117" i="44" s="1"/>
  <c r="H200" i="34"/>
  <c r="E200" i="34"/>
  <c r="E201" i="34" s="1"/>
  <c r="D200" i="34"/>
  <c r="I200" i="34"/>
  <c r="F200" i="34"/>
  <c r="G200" i="34"/>
  <c r="F109" i="34"/>
  <c r="H109" i="34"/>
  <c r="D109" i="34"/>
  <c r="I109" i="34"/>
  <c r="E109" i="34"/>
  <c r="G109" i="34"/>
  <c r="I224" i="34"/>
  <c r="E224" i="34"/>
  <c r="F224" i="34"/>
  <c r="D224" i="34"/>
  <c r="H224" i="34"/>
  <c r="G224" i="34"/>
  <c r="G128" i="34"/>
  <c r="I128" i="34"/>
  <c r="D128" i="34"/>
  <c r="E128" i="34"/>
  <c r="F128" i="34"/>
  <c r="H128" i="34"/>
  <c r="C142" i="14"/>
  <c r="C146" i="14"/>
  <c r="I272" i="38"/>
  <c r="H278" i="38"/>
  <c r="H276" i="38" s="1"/>
  <c r="G30" i="38" s="1"/>
  <c r="H91" i="15" s="1"/>
  <c r="I164" i="38"/>
  <c r="H170" i="38"/>
  <c r="H168" i="38" s="1"/>
  <c r="G21" i="38" s="1"/>
  <c r="H82" i="15" s="1"/>
  <c r="G248" i="34"/>
  <c r="H248" i="34"/>
  <c r="D248" i="34"/>
  <c r="I248" i="34"/>
  <c r="F248" i="34"/>
  <c r="E248" i="34"/>
  <c r="E249" i="34" s="1"/>
  <c r="G152" i="34"/>
  <c r="H152" i="34"/>
  <c r="D152" i="34"/>
  <c r="F152" i="34"/>
  <c r="I152" i="34"/>
  <c r="E152" i="34"/>
  <c r="G121" i="44"/>
  <c r="G122" i="44" s="1"/>
  <c r="F121" i="44"/>
  <c r="F122" i="44" s="1"/>
  <c r="E121" i="44"/>
  <c r="E122" i="44" s="1"/>
  <c r="I121" i="44"/>
  <c r="I122" i="44" s="1"/>
  <c r="H121" i="44"/>
  <c r="H122" i="44" s="1"/>
  <c r="D121" i="44"/>
  <c r="D122" i="44" s="1"/>
  <c r="J179" i="49"/>
  <c r="J182" i="49" s="1"/>
  <c r="I182" i="49"/>
  <c r="I86" i="47"/>
  <c r="I88" i="47"/>
  <c r="I87" i="47"/>
  <c r="J87" i="47"/>
  <c r="J88" i="47"/>
  <c r="J86" i="47"/>
  <c r="I104" i="47"/>
  <c r="I106" i="47"/>
  <c r="I105" i="47"/>
  <c r="I148" i="49"/>
  <c r="J145" i="49"/>
  <c r="J148" i="49" s="1"/>
  <c r="J104" i="47"/>
  <c r="J105" i="47"/>
  <c r="J106" i="47"/>
  <c r="J28" i="47"/>
  <c r="I31" i="47"/>
  <c r="I178" i="47"/>
  <c r="I177" i="47"/>
  <c r="I176" i="47"/>
  <c r="H32" i="47"/>
  <c r="H29" i="47" s="1"/>
  <c r="H33" i="47"/>
  <c r="H34" i="47"/>
  <c r="J177" i="47"/>
  <c r="J178" i="47"/>
  <c r="J176" i="47"/>
  <c r="J26" i="51"/>
  <c r="I29" i="51"/>
  <c r="E242" i="44" l="1"/>
  <c r="E181" i="45"/>
  <c r="E182" i="45" s="1"/>
  <c r="I181" i="45"/>
  <c r="I182" i="45" s="1"/>
  <c r="E145" i="44"/>
  <c r="E146" i="44" s="1"/>
  <c r="F145" i="44"/>
  <c r="F146" i="44" s="1"/>
  <c r="I145" i="44"/>
  <c r="I146" i="44" s="1"/>
  <c r="G145" i="44"/>
  <c r="G146" i="44" s="1"/>
  <c r="D145" i="44"/>
  <c r="D146" i="44" s="1"/>
  <c r="H145" i="44"/>
  <c r="H146" i="44" s="1"/>
  <c r="F109" i="44"/>
  <c r="F110" i="44" s="1"/>
  <c r="D109" i="44"/>
  <c r="D110" i="44" s="1"/>
  <c r="I109" i="44"/>
  <c r="I110" i="44" s="1"/>
  <c r="H109" i="44"/>
  <c r="H110" i="44" s="1"/>
  <c r="G109" i="44"/>
  <c r="G110" i="44" s="1"/>
  <c r="E109" i="44"/>
  <c r="E110" i="44" s="1"/>
  <c r="E97" i="44"/>
  <c r="E98" i="44" s="1"/>
  <c r="D97" i="44"/>
  <c r="D98" i="44" s="1"/>
  <c r="G97" i="44"/>
  <c r="G98" i="44" s="1"/>
  <c r="I97" i="44"/>
  <c r="I98" i="44" s="1"/>
  <c r="F97" i="44"/>
  <c r="F98" i="44" s="1"/>
  <c r="H97" i="44"/>
  <c r="H98" i="44" s="1"/>
  <c r="S292" i="44"/>
  <c r="Q292" i="44"/>
  <c r="T292" i="44"/>
  <c r="R292" i="44"/>
  <c r="N292" i="44" s="1"/>
  <c r="S288" i="44"/>
  <c r="Q288" i="44"/>
  <c r="M288" i="44" s="1"/>
  <c r="T288" i="44"/>
  <c r="R288" i="44"/>
  <c r="S276" i="44"/>
  <c r="Q276" i="44"/>
  <c r="M276" i="44" s="1"/>
  <c r="T276" i="44"/>
  <c r="R276" i="44"/>
  <c r="K276" i="45"/>
  <c r="S276" i="45" s="1"/>
  <c r="K278" i="45"/>
  <c r="S278" i="44"/>
  <c r="Q278" i="44"/>
  <c r="T278" i="44"/>
  <c r="R278" i="44"/>
  <c r="E224" i="45"/>
  <c r="E225" i="45" s="1"/>
  <c r="H224" i="45"/>
  <c r="H225" i="45" s="1"/>
  <c r="F224" i="45"/>
  <c r="F225" i="45" s="1"/>
  <c r="G224" i="45"/>
  <c r="G225" i="45" s="1"/>
  <c r="D224" i="45"/>
  <c r="D225" i="45" s="1"/>
  <c r="I224" i="45"/>
  <c r="I225" i="45" s="1"/>
  <c r="E121" i="45"/>
  <c r="E122" i="45" s="1"/>
  <c r="I121" i="45"/>
  <c r="I122" i="45" s="1"/>
  <c r="D121" i="45"/>
  <c r="D122" i="45" s="1"/>
  <c r="H121" i="45"/>
  <c r="H122" i="45" s="1"/>
  <c r="G121" i="45"/>
  <c r="G122" i="45" s="1"/>
  <c r="F121" i="45"/>
  <c r="F122" i="45" s="1"/>
  <c r="E205" i="45"/>
  <c r="E206" i="45" s="1"/>
  <c r="F205" i="45"/>
  <c r="F206" i="45" s="1"/>
  <c r="D205" i="45"/>
  <c r="D206" i="45" s="1"/>
  <c r="G205" i="45"/>
  <c r="G206" i="45" s="1"/>
  <c r="I205" i="45"/>
  <c r="I206" i="45" s="1"/>
  <c r="H205" i="45"/>
  <c r="H206" i="45" s="1"/>
  <c r="S275" i="45"/>
  <c r="R275" i="45"/>
  <c r="Q275" i="45"/>
  <c r="L275" i="45" s="1"/>
  <c r="T275" i="45"/>
  <c r="T274" i="45"/>
  <c r="S274" i="45"/>
  <c r="R274" i="45"/>
  <c r="M274" i="45" s="1"/>
  <c r="Q274" i="45"/>
  <c r="L274" i="45" s="1"/>
  <c r="S289" i="45"/>
  <c r="R289" i="45"/>
  <c r="M289" i="45" s="1"/>
  <c r="Q289" i="45"/>
  <c r="L289" i="45" s="1"/>
  <c r="T289" i="45"/>
  <c r="L52" i="45"/>
  <c r="Q276" i="45"/>
  <c r="L276" i="45" s="1"/>
  <c r="S277" i="45"/>
  <c r="R277" i="45"/>
  <c r="M277" i="45" s="1"/>
  <c r="Q277" i="45"/>
  <c r="L277" i="45" s="1"/>
  <c r="T277" i="45"/>
  <c r="S278" i="45"/>
  <c r="T278" i="45"/>
  <c r="R278" i="45"/>
  <c r="Q278" i="45"/>
  <c r="L278" i="45" s="1"/>
  <c r="E116" i="45"/>
  <c r="E117" i="45" s="1"/>
  <c r="G181" i="45"/>
  <c r="G182" i="45" s="1"/>
  <c r="H181" i="45"/>
  <c r="H182" i="45" s="1"/>
  <c r="D181" i="45"/>
  <c r="D182" i="45" s="1"/>
  <c r="F181" i="45"/>
  <c r="F182" i="45" s="1"/>
  <c r="L76" i="45"/>
  <c r="M278" i="44"/>
  <c r="N278" i="44"/>
  <c r="M278" i="45"/>
  <c r="D212" i="44"/>
  <c r="D213" i="44" s="1"/>
  <c r="D217" i="44"/>
  <c r="D218" i="44" s="1"/>
  <c r="N276" i="44"/>
  <c r="L52" i="44"/>
  <c r="E212" i="44"/>
  <c r="E213" i="44" s="1"/>
  <c r="G217" i="44"/>
  <c r="G218" i="44" s="1"/>
  <c r="H212" i="44"/>
  <c r="H213" i="44" s="1"/>
  <c r="H217" i="44"/>
  <c r="H218" i="44" s="1"/>
  <c r="H116" i="45"/>
  <c r="H117" i="45" s="1"/>
  <c r="I116" i="45"/>
  <c r="I117" i="45" s="1"/>
  <c r="F212" i="44"/>
  <c r="F213" i="44" s="1"/>
  <c r="I217" i="44"/>
  <c r="I218" i="44" s="1"/>
  <c r="I212" i="44"/>
  <c r="I213" i="44" s="1"/>
  <c r="E217" i="44"/>
  <c r="E218" i="44" s="1"/>
  <c r="F201" i="43"/>
  <c r="F116" i="45"/>
  <c r="F117" i="45" s="1"/>
  <c r="G116" i="45"/>
  <c r="G117" i="45" s="1"/>
  <c r="I260" i="15"/>
  <c r="H266" i="15"/>
  <c r="H265" i="15" s="1"/>
  <c r="H264" i="15" s="1"/>
  <c r="L208" i="45"/>
  <c r="G165" i="43"/>
  <c r="E237" i="34"/>
  <c r="S294" i="43"/>
  <c r="H273" i="43" s="1"/>
  <c r="F201" i="34"/>
  <c r="H242" i="43"/>
  <c r="G182" i="34"/>
  <c r="D14" i="56"/>
  <c r="AH88" i="50"/>
  <c r="G261" i="43"/>
  <c r="I146" i="43"/>
  <c r="F177" i="34"/>
  <c r="I242" i="43"/>
  <c r="D213" i="34"/>
  <c r="F261" i="43"/>
  <c r="G230" i="43"/>
  <c r="I153" i="43"/>
  <c r="H117" i="43"/>
  <c r="D14" i="3"/>
  <c r="AF46" i="15"/>
  <c r="AF74" i="15" s="1"/>
  <c r="AF103" i="15" s="1"/>
  <c r="AH485" i="50"/>
  <c r="AH509" i="50" s="1"/>
  <c r="I218" i="34"/>
  <c r="H176" i="38"/>
  <c r="G182" i="38"/>
  <c r="G180" i="38" s="1"/>
  <c r="F22" i="38" s="1"/>
  <c r="G83" i="15" s="1"/>
  <c r="G314" i="38"/>
  <c r="G312" i="38" s="1"/>
  <c r="F33" i="38" s="1"/>
  <c r="G94" i="15" s="1"/>
  <c r="H308" i="38"/>
  <c r="M275" i="45"/>
  <c r="L40" i="45"/>
  <c r="L28" i="45"/>
  <c r="E80" i="37"/>
  <c r="E158" i="34"/>
  <c r="H129" i="34"/>
  <c r="G218" i="43"/>
  <c r="H165" i="43"/>
  <c r="I153" i="34"/>
  <c r="G153" i="34"/>
  <c r="I176" i="44"/>
  <c r="I177" i="44" s="1"/>
  <c r="F170" i="43"/>
  <c r="D206" i="43"/>
  <c r="H254" i="34"/>
  <c r="F176" i="44"/>
  <c r="F177" i="44" s="1"/>
  <c r="I218" i="43"/>
  <c r="H146" i="34"/>
  <c r="D194" i="34"/>
  <c r="F182" i="34"/>
  <c r="H194" i="34"/>
  <c r="E153" i="34"/>
  <c r="F153" i="34"/>
  <c r="I249" i="34"/>
  <c r="F230" i="34"/>
  <c r="F105" i="34"/>
  <c r="G176" i="45"/>
  <c r="G177" i="45" s="1"/>
  <c r="I158" i="43"/>
  <c r="D165" i="34"/>
  <c r="I141" i="34"/>
  <c r="D129" i="34"/>
  <c r="H206" i="34"/>
  <c r="G176" i="44"/>
  <c r="G177" i="44" s="1"/>
  <c r="H206" i="43"/>
  <c r="E261" i="34"/>
  <c r="D177" i="34"/>
  <c r="E170" i="43"/>
  <c r="Z357" i="50"/>
  <c r="K355" i="50"/>
  <c r="K354" i="50"/>
  <c r="K356" i="50"/>
  <c r="G355" i="50"/>
  <c r="Z353" i="50"/>
  <c r="G356" i="50"/>
  <c r="G354" i="50"/>
  <c r="I362" i="50"/>
  <c r="AA355" i="50"/>
  <c r="I363" i="50"/>
  <c r="I364" i="50"/>
  <c r="H356" i="50"/>
  <c r="H355" i="50"/>
  <c r="H354" i="50"/>
  <c r="Z354" i="50"/>
  <c r="K363" i="50"/>
  <c r="K364" i="50"/>
  <c r="AA357" i="50"/>
  <c r="K362" i="50"/>
  <c r="F363" i="50"/>
  <c r="F364" i="50"/>
  <c r="F362" i="50"/>
  <c r="AA352" i="50"/>
  <c r="AC79" i="50"/>
  <c r="F378" i="50"/>
  <c r="F377" i="50" s="1"/>
  <c r="G370" i="50"/>
  <c r="G369" i="50" s="1"/>
  <c r="K370" i="50"/>
  <c r="K369" i="50" s="1"/>
  <c r="J370" i="50"/>
  <c r="J369" i="50" s="1"/>
  <c r="I370" i="50"/>
  <c r="I369" i="50" s="1"/>
  <c r="K378" i="50"/>
  <c r="K377" i="50" s="1"/>
  <c r="G378" i="50"/>
  <c r="G377" i="50" s="1"/>
  <c r="J378" i="50"/>
  <c r="J377" i="50" s="1"/>
  <c r="I378" i="50"/>
  <c r="I377" i="50" s="1"/>
  <c r="H378" i="50"/>
  <c r="H377" i="50" s="1"/>
  <c r="H370" i="50"/>
  <c r="H369" i="50" s="1"/>
  <c r="F370" i="50"/>
  <c r="F369" i="50" s="1"/>
  <c r="Z355" i="50"/>
  <c r="I356" i="50"/>
  <c r="I354" i="50"/>
  <c r="I355" i="50"/>
  <c r="F355" i="50"/>
  <c r="F356" i="50"/>
  <c r="F354" i="50"/>
  <c r="Z352" i="50"/>
  <c r="J362" i="50"/>
  <c r="J363" i="50"/>
  <c r="J364" i="50"/>
  <c r="AA356" i="50"/>
  <c r="AA353" i="50"/>
  <c r="G364" i="50"/>
  <c r="G363" i="50"/>
  <c r="G362" i="50"/>
  <c r="H363" i="50"/>
  <c r="H362" i="50"/>
  <c r="H364" i="50"/>
  <c r="AA354" i="50"/>
  <c r="Z356" i="50"/>
  <c r="J356" i="50"/>
  <c r="J355" i="50"/>
  <c r="J354" i="50"/>
  <c r="G110" i="43"/>
  <c r="D189" i="43"/>
  <c r="D176" i="45"/>
  <c r="D177" i="45" s="1"/>
  <c r="E176" i="45"/>
  <c r="E177" i="45" s="1"/>
  <c r="I176" i="45"/>
  <c r="I177" i="45" s="1"/>
  <c r="G141" i="34"/>
  <c r="H153" i="43"/>
  <c r="D158" i="43"/>
  <c r="D141" i="43"/>
  <c r="I254" i="34"/>
  <c r="G206" i="34"/>
  <c r="G141" i="43"/>
  <c r="E105" i="43"/>
  <c r="I177" i="34"/>
  <c r="I105" i="43"/>
  <c r="D122" i="34"/>
  <c r="F237" i="34"/>
  <c r="G189" i="43"/>
  <c r="D117" i="43"/>
  <c r="G117" i="34"/>
  <c r="H189" i="43"/>
  <c r="G189" i="34"/>
  <c r="F213" i="43"/>
  <c r="H141" i="43"/>
  <c r="G146" i="34"/>
  <c r="E218" i="43"/>
  <c r="E177" i="43"/>
  <c r="H230" i="43"/>
  <c r="E141" i="43"/>
  <c r="D266" i="34"/>
  <c r="D128" i="44"/>
  <c r="D129" i="44" s="1"/>
  <c r="F200" i="45"/>
  <c r="F201" i="45" s="1"/>
  <c r="H194" i="43"/>
  <c r="H134" i="34"/>
  <c r="I140" i="45"/>
  <c r="I141" i="45" s="1"/>
  <c r="N370" i="58"/>
  <c r="M386" i="58"/>
  <c r="N142" i="58"/>
  <c r="M158" i="58"/>
  <c r="N218" i="58"/>
  <c r="M234" i="58"/>
  <c r="N256" i="58"/>
  <c r="M272" i="58"/>
  <c r="N294" i="58"/>
  <c r="M310" i="58"/>
  <c r="N332" i="58"/>
  <c r="M348" i="58"/>
  <c r="O371" i="58"/>
  <c r="N387" i="58"/>
  <c r="N180" i="58"/>
  <c r="M196" i="58"/>
  <c r="O219" i="58"/>
  <c r="N235" i="58"/>
  <c r="N66" i="58"/>
  <c r="M82" i="58"/>
  <c r="O257" i="58"/>
  <c r="N273" i="58"/>
  <c r="O67" i="58"/>
  <c r="N83" i="58"/>
  <c r="O295" i="58"/>
  <c r="N311" i="58"/>
  <c r="O333" i="58"/>
  <c r="N349" i="58"/>
  <c r="O143" i="58"/>
  <c r="N159" i="58"/>
  <c r="O181" i="58"/>
  <c r="N197" i="58"/>
  <c r="M120" i="58"/>
  <c r="N104" i="58"/>
  <c r="N121" i="58"/>
  <c r="O105" i="58"/>
  <c r="P123" i="58"/>
  <c r="Q107" i="58"/>
  <c r="Q123" i="58" s="1"/>
  <c r="K118" i="58"/>
  <c r="L102" i="58"/>
  <c r="L119" i="58"/>
  <c r="M103" i="58"/>
  <c r="O122" i="58"/>
  <c r="P106" i="58"/>
  <c r="L309" i="58"/>
  <c r="M293" i="58"/>
  <c r="O198" i="58"/>
  <c r="P182" i="58"/>
  <c r="L385" i="58"/>
  <c r="M369" i="58"/>
  <c r="K346" i="58"/>
  <c r="L330" i="58"/>
  <c r="K308" i="58"/>
  <c r="L292" i="58"/>
  <c r="O274" i="58"/>
  <c r="P258" i="58"/>
  <c r="L195" i="58"/>
  <c r="M179" i="58"/>
  <c r="P199" i="58"/>
  <c r="Q183" i="58"/>
  <c r="Q199" i="58" s="1"/>
  <c r="P85" i="58"/>
  <c r="Q69" i="58"/>
  <c r="Q85" i="58" s="1"/>
  <c r="P351" i="58"/>
  <c r="Q335" i="58"/>
  <c r="Q351" i="58" s="1"/>
  <c r="L271" i="58"/>
  <c r="M255" i="58"/>
  <c r="K156" i="58"/>
  <c r="L140" i="58"/>
  <c r="O388" i="58"/>
  <c r="P372" i="58"/>
  <c r="L157" i="58"/>
  <c r="M141" i="58"/>
  <c r="K80" i="58"/>
  <c r="L347" i="58"/>
  <c r="M331" i="58"/>
  <c r="P275" i="58"/>
  <c r="Q259" i="58"/>
  <c r="Q275" i="58" s="1"/>
  <c r="L233" i="58"/>
  <c r="M217" i="58"/>
  <c r="K194" i="58"/>
  <c r="L178" i="58"/>
  <c r="O350" i="58"/>
  <c r="P334" i="58"/>
  <c r="O312" i="58"/>
  <c r="P296" i="58"/>
  <c r="K270" i="58"/>
  <c r="L254" i="58"/>
  <c r="O160" i="58"/>
  <c r="P144" i="58"/>
  <c r="K384" i="58"/>
  <c r="L368" i="58"/>
  <c r="P237" i="58"/>
  <c r="Q221" i="58"/>
  <c r="Q237" i="58" s="1"/>
  <c r="P389" i="58"/>
  <c r="Q373" i="58"/>
  <c r="Q389" i="58" s="1"/>
  <c r="P313" i="58"/>
  <c r="Q297" i="58"/>
  <c r="Q313" i="58" s="1"/>
  <c r="K232" i="58"/>
  <c r="L216" i="58"/>
  <c r="L81" i="58"/>
  <c r="M65" i="58"/>
  <c r="P161" i="58"/>
  <c r="Q145" i="58"/>
  <c r="Q161" i="58" s="1"/>
  <c r="O236" i="58"/>
  <c r="P220" i="58"/>
  <c r="O84" i="58"/>
  <c r="P68" i="58"/>
  <c r="F8" i="58"/>
  <c r="AL37" i="14" s="1"/>
  <c r="D200" i="45"/>
  <c r="D201" i="45" s="1"/>
  <c r="G152" i="45"/>
  <c r="G153" i="45" s="1"/>
  <c r="D157" i="45"/>
  <c r="D158" i="45" s="1"/>
  <c r="H141" i="34"/>
  <c r="F249" i="34"/>
  <c r="I129" i="34"/>
  <c r="G110" i="34"/>
  <c r="I110" i="34"/>
  <c r="G201" i="34"/>
  <c r="H158" i="34"/>
  <c r="E254" i="34"/>
  <c r="F97" i="45"/>
  <c r="F98" i="45" s="1"/>
  <c r="G265" i="45"/>
  <c r="G266" i="45" s="1"/>
  <c r="E200" i="45"/>
  <c r="E201" i="45" s="1"/>
  <c r="I117" i="43"/>
  <c r="H146" i="43"/>
  <c r="E242" i="43"/>
  <c r="F146" i="43"/>
  <c r="I266" i="43"/>
  <c r="F218" i="34"/>
  <c r="E165" i="34"/>
  <c r="H218" i="43"/>
  <c r="E213" i="34"/>
  <c r="H266" i="34"/>
  <c r="E182" i="34"/>
  <c r="F218" i="43"/>
  <c r="H153" i="34"/>
  <c r="H249" i="34"/>
  <c r="E129" i="34"/>
  <c r="G225" i="34"/>
  <c r="D225" i="34"/>
  <c r="E225" i="34"/>
  <c r="I201" i="34"/>
  <c r="G158" i="34"/>
  <c r="F158" i="34"/>
  <c r="D254" i="34"/>
  <c r="I134" i="34"/>
  <c r="H230" i="34"/>
  <c r="D230" i="34"/>
  <c r="I206" i="34"/>
  <c r="H176" i="44"/>
  <c r="H177" i="44" s="1"/>
  <c r="D176" i="44"/>
  <c r="D177" i="44" s="1"/>
  <c r="H237" i="34"/>
  <c r="F170" i="34"/>
  <c r="I165" i="34"/>
  <c r="I182" i="34"/>
  <c r="H170" i="43"/>
  <c r="F249" i="43"/>
  <c r="F189" i="43"/>
  <c r="G249" i="34"/>
  <c r="F225" i="34"/>
  <c r="I225" i="34"/>
  <c r="E110" i="34"/>
  <c r="D110" i="34"/>
  <c r="F110" i="34"/>
  <c r="G254" i="34"/>
  <c r="E230" i="34"/>
  <c r="D105" i="34"/>
  <c r="I105" i="34"/>
  <c r="E206" i="34"/>
  <c r="H200" i="45"/>
  <c r="H201" i="45" s="1"/>
  <c r="G200" i="45"/>
  <c r="G201" i="45" s="1"/>
  <c r="H213" i="43"/>
  <c r="F153" i="43"/>
  <c r="F225" i="43"/>
  <c r="G134" i="43"/>
  <c r="H122" i="34"/>
  <c r="G146" i="43"/>
  <c r="I194" i="43"/>
  <c r="D165" i="43"/>
  <c r="I206" i="43"/>
  <c r="G194" i="43"/>
  <c r="F110" i="43"/>
  <c r="H105" i="43"/>
  <c r="F146" i="34"/>
  <c r="F141" i="34"/>
  <c r="E117" i="43"/>
  <c r="G237" i="43"/>
  <c r="D134" i="43"/>
  <c r="D213" i="43"/>
  <c r="E189" i="34"/>
  <c r="I237" i="43"/>
  <c r="D225" i="43"/>
  <c r="F213" i="34"/>
  <c r="F165" i="43"/>
  <c r="D146" i="34"/>
  <c r="H177" i="34"/>
  <c r="F129" i="43"/>
  <c r="E165" i="43"/>
  <c r="D105" i="43"/>
  <c r="E206" i="43"/>
  <c r="G177" i="43"/>
  <c r="E201" i="43"/>
  <c r="G201" i="43"/>
  <c r="I266" i="34"/>
  <c r="D153" i="34"/>
  <c r="D249" i="34"/>
  <c r="F129" i="34"/>
  <c r="G129" i="34"/>
  <c r="H225" i="34"/>
  <c r="H201" i="34"/>
  <c r="F254" i="34"/>
  <c r="E134" i="34"/>
  <c r="I230" i="34"/>
  <c r="H105" i="34"/>
  <c r="G105" i="34"/>
  <c r="D206" i="34"/>
  <c r="E104" i="44"/>
  <c r="E105" i="44" s="1"/>
  <c r="D265" i="45"/>
  <c r="D266" i="45" s="1"/>
  <c r="F145" i="45"/>
  <c r="F146" i="45" s="1"/>
  <c r="E229" i="45"/>
  <c r="E230" i="45" s="1"/>
  <c r="F194" i="43"/>
  <c r="I237" i="34"/>
  <c r="I194" i="34"/>
  <c r="F122" i="34"/>
  <c r="F134" i="34"/>
  <c r="G134" i="34"/>
  <c r="D134" i="34"/>
  <c r="M34" i="60"/>
  <c r="E152" i="45"/>
  <c r="E153" i="45" s="1"/>
  <c r="I261" i="34"/>
  <c r="E194" i="34"/>
  <c r="I230" i="43"/>
  <c r="D242" i="34"/>
  <c r="I122" i="34"/>
  <c r="F117" i="34"/>
  <c r="H177" i="43"/>
  <c r="F158" i="43"/>
  <c r="F177" i="43"/>
  <c r="F117" i="43"/>
  <c r="E194" i="43"/>
  <c r="D201" i="43"/>
  <c r="H261" i="34"/>
  <c r="D170" i="43"/>
  <c r="G194" i="34"/>
  <c r="D140" i="45"/>
  <c r="D141" i="45" s="1"/>
  <c r="F140" i="45"/>
  <c r="F141" i="45" s="1"/>
  <c r="G213" i="43"/>
  <c r="G129" i="43"/>
  <c r="G266" i="34"/>
  <c r="I189" i="34"/>
  <c r="F242" i="34"/>
  <c r="D261" i="34"/>
  <c r="G242" i="43"/>
  <c r="G122" i="43"/>
  <c r="G266" i="43"/>
  <c r="D230" i="43"/>
  <c r="H129" i="43"/>
  <c r="F266" i="34"/>
  <c r="I170" i="43"/>
  <c r="F266" i="43"/>
  <c r="H254" i="43"/>
  <c r="D201" i="34"/>
  <c r="F104" i="44"/>
  <c r="F105" i="44" s="1"/>
  <c r="I265" i="45"/>
  <c r="I266" i="45" s="1"/>
  <c r="G145" i="45"/>
  <c r="G146" i="45" s="1"/>
  <c r="D152" i="45"/>
  <c r="D153" i="45" s="1"/>
  <c r="D36" i="38"/>
  <c r="F80" i="37" s="1"/>
  <c r="H152" i="45"/>
  <c r="H153" i="45" s="1"/>
  <c r="G229" i="45"/>
  <c r="G230" i="45" s="1"/>
  <c r="D229" i="45"/>
  <c r="D230" i="45" s="1"/>
  <c r="F152" i="45"/>
  <c r="F153" i="45" s="1"/>
  <c r="I110" i="43"/>
  <c r="H182" i="43"/>
  <c r="D266" i="43"/>
  <c r="I213" i="43"/>
  <c r="E266" i="34"/>
  <c r="E266" i="43"/>
  <c r="E129" i="43"/>
  <c r="I122" i="43"/>
  <c r="H261" i="43"/>
  <c r="AW30" i="14"/>
  <c r="D145" i="45"/>
  <c r="D146" i="45" s="1"/>
  <c r="D37" i="38"/>
  <c r="D41" i="38" s="1"/>
  <c r="H229" i="45"/>
  <c r="H230" i="45" s="1"/>
  <c r="I229" i="45"/>
  <c r="I230" i="45" s="1"/>
  <c r="D249" i="43"/>
  <c r="E157" i="45"/>
  <c r="E158" i="45" s="1"/>
  <c r="E97" i="15"/>
  <c r="H338" i="15"/>
  <c r="H337" i="15" s="1"/>
  <c r="H336" i="15" s="1"/>
  <c r="I332" i="15"/>
  <c r="H110" i="34"/>
  <c r="G104" i="44"/>
  <c r="G105" i="44" s="1"/>
  <c r="D104" i="44"/>
  <c r="D105" i="44" s="1"/>
  <c r="I104" i="44"/>
  <c r="I105" i="44" s="1"/>
  <c r="D265" i="44"/>
  <c r="D266" i="44" s="1"/>
  <c r="F265" i="45"/>
  <c r="F266" i="45" s="1"/>
  <c r="H265" i="45"/>
  <c r="H266" i="45" s="1"/>
  <c r="G140" i="45"/>
  <c r="G141" i="45" s="1"/>
  <c r="H140" i="45"/>
  <c r="H141" i="45" s="1"/>
  <c r="H92" i="45"/>
  <c r="H93" i="45" s="1"/>
  <c r="M78" i="15"/>
  <c r="L37" i="38"/>
  <c r="N81" i="37" s="1"/>
  <c r="D158" i="34"/>
  <c r="F206" i="34"/>
  <c r="E128" i="44"/>
  <c r="E129" i="44" s="1"/>
  <c r="D181" i="44"/>
  <c r="D182" i="44" s="1"/>
  <c r="I97" i="45"/>
  <c r="I98" i="45" s="1"/>
  <c r="I92" i="44"/>
  <c r="I93" i="44" s="1"/>
  <c r="F92" i="44"/>
  <c r="F93" i="44" s="1"/>
  <c r="D182" i="43"/>
  <c r="F81" i="37"/>
  <c r="E146" i="43"/>
  <c r="D218" i="43"/>
  <c r="H110" i="43"/>
  <c r="D237" i="43"/>
  <c r="H225" i="43"/>
  <c r="F206" i="43"/>
  <c r="D92" i="44"/>
  <c r="D93" i="44" s="1"/>
  <c r="H181" i="44"/>
  <c r="H182" i="44" s="1"/>
  <c r="F181" i="44"/>
  <c r="F182" i="44" s="1"/>
  <c r="H97" i="45"/>
  <c r="H98" i="45" s="1"/>
  <c r="I92" i="45"/>
  <c r="I93" i="45" s="1"/>
  <c r="E92" i="45"/>
  <c r="E93" i="45" s="1"/>
  <c r="E92" i="44"/>
  <c r="E93" i="44" s="1"/>
  <c r="G92" i="44"/>
  <c r="G93" i="44" s="1"/>
  <c r="N288" i="44"/>
  <c r="G205" i="44" s="1"/>
  <c r="G206" i="44" s="1"/>
  <c r="I157" i="45"/>
  <c r="I158" i="45" s="1"/>
  <c r="E260" i="44"/>
  <c r="E261" i="44" s="1"/>
  <c r="G181" i="44"/>
  <c r="G182" i="44" s="1"/>
  <c r="I181" i="44"/>
  <c r="I182" i="44" s="1"/>
  <c r="E265" i="44"/>
  <c r="E266" i="44" s="1"/>
  <c r="G97" i="45"/>
  <c r="G98" i="45" s="1"/>
  <c r="D97" i="45"/>
  <c r="D98" i="45" s="1"/>
  <c r="I145" i="45"/>
  <c r="I146" i="45" s="1"/>
  <c r="E145" i="45"/>
  <c r="E146" i="45" s="1"/>
  <c r="F157" i="45"/>
  <c r="F158" i="45" s="1"/>
  <c r="G157" i="45"/>
  <c r="G158" i="45" s="1"/>
  <c r="G121" i="38"/>
  <c r="M17" i="38" s="1"/>
  <c r="F108" i="38"/>
  <c r="E16" i="38" s="1"/>
  <c r="F77" i="15" s="1"/>
  <c r="G109" i="38"/>
  <c r="M16" i="38" s="1"/>
  <c r="M77" i="15"/>
  <c r="L36" i="38"/>
  <c r="N80" i="37" s="1"/>
  <c r="F120" i="38"/>
  <c r="E17" i="38" s="1"/>
  <c r="F78" i="15" s="1"/>
  <c r="D92" i="45"/>
  <c r="D93" i="45" s="1"/>
  <c r="F92" i="45"/>
  <c r="F93" i="45" s="1"/>
  <c r="H265" i="44"/>
  <c r="H266" i="44" s="1"/>
  <c r="G265" i="44"/>
  <c r="G266" i="44" s="1"/>
  <c r="F265" i="44"/>
  <c r="F266" i="44" s="1"/>
  <c r="E260" i="45"/>
  <c r="E261" i="45" s="1"/>
  <c r="D133" i="44"/>
  <c r="D134" i="44" s="1"/>
  <c r="F260" i="45"/>
  <c r="F261" i="45" s="1"/>
  <c r="G260" i="45"/>
  <c r="G261" i="45" s="1"/>
  <c r="G140" i="44"/>
  <c r="G141" i="44" s="1"/>
  <c r="H140" i="44"/>
  <c r="H141" i="44" s="1"/>
  <c r="E140" i="44"/>
  <c r="E141" i="44" s="1"/>
  <c r="D140" i="44"/>
  <c r="D141" i="44" s="1"/>
  <c r="F140" i="44"/>
  <c r="F141" i="44" s="1"/>
  <c r="I140" i="44"/>
  <c r="I141" i="44" s="1"/>
  <c r="I260" i="44"/>
  <c r="I261" i="44" s="1"/>
  <c r="D260" i="44"/>
  <c r="D261" i="44" s="1"/>
  <c r="G133" i="44"/>
  <c r="G134" i="44" s="1"/>
  <c r="F133" i="44"/>
  <c r="F134" i="44" s="1"/>
  <c r="H260" i="45"/>
  <c r="H261" i="45" s="1"/>
  <c r="D260" i="45"/>
  <c r="D261" i="45" s="1"/>
  <c r="H260" i="44"/>
  <c r="H261" i="44" s="1"/>
  <c r="G260" i="44"/>
  <c r="G261" i="44" s="1"/>
  <c r="I133" i="44"/>
  <c r="I134" i="44" s="1"/>
  <c r="H133" i="44"/>
  <c r="H134" i="44" s="1"/>
  <c r="F128" i="44"/>
  <c r="F129" i="44" s="1"/>
  <c r="I128" i="44"/>
  <c r="I129" i="44" s="1"/>
  <c r="G128" i="44"/>
  <c r="G129" i="44" s="1"/>
  <c r="E128" i="45"/>
  <c r="E129" i="45" s="1"/>
  <c r="D128" i="45"/>
  <c r="D129" i="45" s="1"/>
  <c r="G128" i="45"/>
  <c r="G129" i="45" s="1"/>
  <c r="F128" i="45"/>
  <c r="F129" i="45" s="1"/>
  <c r="I128" i="45"/>
  <c r="I129" i="45" s="1"/>
  <c r="H128" i="45"/>
  <c r="H129" i="45" s="1"/>
  <c r="H133" i="45"/>
  <c r="H134" i="45" s="1"/>
  <c r="I133" i="45"/>
  <c r="I134" i="45" s="1"/>
  <c r="G133" i="45"/>
  <c r="G134" i="45" s="1"/>
  <c r="D133" i="45"/>
  <c r="D134" i="45" s="1"/>
  <c r="E133" i="45"/>
  <c r="E134" i="45" s="1"/>
  <c r="F133" i="45"/>
  <c r="F134" i="45" s="1"/>
  <c r="M292" i="44"/>
  <c r="F193" i="45"/>
  <c r="F194" i="45" s="1"/>
  <c r="I193" i="45"/>
  <c r="I194" i="45" s="1"/>
  <c r="E193" i="45"/>
  <c r="E194" i="45" s="1"/>
  <c r="D193" i="45"/>
  <c r="D194" i="45" s="1"/>
  <c r="H193" i="45"/>
  <c r="H194" i="45" s="1"/>
  <c r="G193" i="45"/>
  <c r="G194" i="45" s="1"/>
  <c r="D253" i="45"/>
  <c r="D254" i="45" s="1"/>
  <c r="H253" i="45"/>
  <c r="H254" i="45" s="1"/>
  <c r="F253" i="45"/>
  <c r="F254" i="45" s="1"/>
  <c r="E253" i="45"/>
  <c r="E254" i="45" s="1"/>
  <c r="I253" i="45"/>
  <c r="I254" i="45" s="1"/>
  <c r="G253" i="45"/>
  <c r="G254" i="45" s="1"/>
  <c r="H140" i="38"/>
  <c r="G146" i="38"/>
  <c r="G144" i="38" s="1"/>
  <c r="F19" i="38" s="1"/>
  <c r="G80" i="15" s="1"/>
  <c r="G338" i="38"/>
  <c r="G336" i="38" s="1"/>
  <c r="F35" i="38" s="1"/>
  <c r="G96" i="15" s="1"/>
  <c r="H332" i="38"/>
  <c r="G188" i="45"/>
  <c r="G189" i="45" s="1"/>
  <c r="E188" i="45"/>
  <c r="E189" i="45" s="1"/>
  <c r="F188" i="45"/>
  <c r="F189" i="45" s="1"/>
  <c r="D188" i="45"/>
  <c r="D189" i="45" s="1"/>
  <c r="H188" i="45"/>
  <c r="H189" i="45" s="1"/>
  <c r="I188" i="45"/>
  <c r="I189" i="45" s="1"/>
  <c r="H248" i="45"/>
  <c r="H249" i="45" s="1"/>
  <c r="G248" i="45"/>
  <c r="G249" i="45" s="1"/>
  <c r="I248" i="45"/>
  <c r="I249" i="45" s="1"/>
  <c r="E248" i="45"/>
  <c r="E249" i="45" s="1"/>
  <c r="D248" i="45"/>
  <c r="D249" i="45" s="1"/>
  <c r="F248" i="45"/>
  <c r="F249" i="45" s="1"/>
  <c r="H248" i="38"/>
  <c r="G254" i="38"/>
  <c r="G252" i="38" s="1"/>
  <c r="F28" i="38" s="1"/>
  <c r="G89" i="15" s="1"/>
  <c r="G104" i="45"/>
  <c r="G105" i="45" s="1"/>
  <c r="F104" i="45"/>
  <c r="F105" i="45" s="1"/>
  <c r="E104" i="45"/>
  <c r="E105" i="45" s="1"/>
  <c r="I104" i="45"/>
  <c r="I105" i="45" s="1"/>
  <c r="H104" i="45"/>
  <c r="H105" i="45" s="1"/>
  <c r="D104" i="45"/>
  <c r="D105" i="45" s="1"/>
  <c r="G188" i="44"/>
  <c r="G189" i="44" s="1"/>
  <c r="I188" i="44"/>
  <c r="I189" i="44" s="1"/>
  <c r="D188" i="44"/>
  <c r="D189" i="44" s="1"/>
  <c r="H188" i="44"/>
  <c r="H189" i="44" s="1"/>
  <c r="F188" i="44"/>
  <c r="F189" i="44" s="1"/>
  <c r="E188" i="44"/>
  <c r="E189" i="44" s="1"/>
  <c r="H109" i="45"/>
  <c r="H110" i="45" s="1"/>
  <c r="D109" i="45"/>
  <c r="D110" i="45" s="1"/>
  <c r="E109" i="45"/>
  <c r="E110" i="45" s="1"/>
  <c r="I109" i="45"/>
  <c r="I110" i="45" s="1"/>
  <c r="F109" i="45"/>
  <c r="F110" i="45" s="1"/>
  <c r="G109" i="45"/>
  <c r="G110" i="45" s="1"/>
  <c r="H200" i="38"/>
  <c r="G206" i="38"/>
  <c r="G204" i="38" s="1"/>
  <c r="F24" i="38" s="1"/>
  <c r="G85" i="15" s="1"/>
  <c r="H260" i="38"/>
  <c r="G266" i="38"/>
  <c r="G264" i="38" s="1"/>
  <c r="F29" i="38" s="1"/>
  <c r="G90" i="15" s="1"/>
  <c r="G134" i="38"/>
  <c r="G132" i="38" s="1"/>
  <c r="F18" i="38" s="1"/>
  <c r="G79" i="15" s="1"/>
  <c r="H128" i="38"/>
  <c r="H284" i="38"/>
  <c r="G290" i="38"/>
  <c r="G288" i="38" s="1"/>
  <c r="F31" i="38" s="1"/>
  <c r="G92" i="15" s="1"/>
  <c r="E193" i="44"/>
  <c r="E194" i="44" s="1"/>
  <c r="H193" i="44"/>
  <c r="H194" i="44" s="1"/>
  <c r="D193" i="44"/>
  <c r="D194" i="44" s="1"/>
  <c r="F193" i="44"/>
  <c r="F194" i="44" s="1"/>
  <c r="I193" i="44"/>
  <c r="I194" i="44" s="1"/>
  <c r="G193" i="44"/>
  <c r="G194" i="44" s="1"/>
  <c r="I272" i="15"/>
  <c r="H278" i="15"/>
  <c r="H277" i="15" s="1"/>
  <c r="H276" i="15" s="1"/>
  <c r="H374" i="15"/>
  <c r="H373" i="15" s="1"/>
  <c r="H372" i="15" s="1"/>
  <c r="I368" i="15"/>
  <c r="J404" i="15"/>
  <c r="I410" i="15"/>
  <c r="I409" i="15" s="1"/>
  <c r="I408" i="15" s="1"/>
  <c r="I398" i="15"/>
  <c r="I397" i="15" s="1"/>
  <c r="I396" i="15" s="1"/>
  <c r="J392" i="15"/>
  <c r="H422" i="15"/>
  <c r="H421" i="15" s="1"/>
  <c r="H420" i="15" s="1"/>
  <c r="I416" i="15"/>
  <c r="I320" i="15"/>
  <c r="H326" i="15"/>
  <c r="H325" i="15" s="1"/>
  <c r="H324" i="15" s="1"/>
  <c r="I248" i="15"/>
  <c r="H254" i="15"/>
  <c r="H253" i="15" s="1"/>
  <c r="H252" i="15" s="1"/>
  <c r="P26" i="58"/>
  <c r="O42" i="58"/>
  <c r="O45" i="58"/>
  <c r="P29" i="58"/>
  <c r="N27" i="58"/>
  <c r="M43" i="58"/>
  <c r="O28" i="58"/>
  <c r="N44" i="58"/>
  <c r="J29" i="51"/>
  <c r="D19" i="51"/>
  <c r="AG7" i="14" s="1"/>
  <c r="H8" i="47"/>
  <c r="AO7" i="14" s="1"/>
  <c r="J31" i="47"/>
  <c r="J33" i="47" s="1"/>
  <c r="D19" i="47"/>
  <c r="AE7" i="14" s="1"/>
  <c r="G157" i="44"/>
  <c r="G158" i="44" s="1"/>
  <c r="I157" i="44"/>
  <c r="I158" i="44" s="1"/>
  <c r="D157" i="44"/>
  <c r="D158" i="44" s="1"/>
  <c r="E157" i="44"/>
  <c r="E158" i="44" s="1"/>
  <c r="F157" i="44"/>
  <c r="F158" i="44" s="1"/>
  <c r="H157" i="44"/>
  <c r="H158" i="44" s="1"/>
  <c r="F229" i="44"/>
  <c r="F230" i="44" s="1"/>
  <c r="E229" i="44"/>
  <c r="E230" i="44" s="1"/>
  <c r="H229" i="44"/>
  <c r="H230" i="44" s="1"/>
  <c r="I229" i="44"/>
  <c r="I230" i="44" s="1"/>
  <c r="G229" i="44"/>
  <c r="G230" i="44" s="1"/>
  <c r="D229" i="44"/>
  <c r="D230" i="44" s="1"/>
  <c r="G152" i="44"/>
  <c r="G153" i="44" s="1"/>
  <c r="H152" i="44"/>
  <c r="H153" i="44" s="1"/>
  <c r="F152" i="44"/>
  <c r="F153" i="44" s="1"/>
  <c r="E152" i="44"/>
  <c r="E153" i="44" s="1"/>
  <c r="D152" i="44"/>
  <c r="D153" i="44" s="1"/>
  <c r="I152" i="44"/>
  <c r="I153" i="44" s="1"/>
  <c r="I224" i="44"/>
  <c r="I225" i="44" s="1"/>
  <c r="H224" i="44"/>
  <c r="H225" i="44" s="1"/>
  <c r="G224" i="44"/>
  <c r="G225" i="44" s="1"/>
  <c r="D224" i="44"/>
  <c r="D225" i="44" s="1"/>
  <c r="F224" i="44"/>
  <c r="F225" i="44" s="1"/>
  <c r="E224" i="44"/>
  <c r="E225" i="44" s="1"/>
  <c r="H302" i="38"/>
  <c r="H300" i="38" s="1"/>
  <c r="G32" i="38" s="1"/>
  <c r="H93" i="15" s="1"/>
  <c r="I296" i="38"/>
  <c r="H302" i="15"/>
  <c r="H301" i="15" s="1"/>
  <c r="H300" i="15" s="1"/>
  <c r="I296" i="15"/>
  <c r="J308" i="15"/>
  <c r="I314" i="15"/>
  <c r="I313" i="15" s="1"/>
  <c r="I312" i="15" s="1"/>
  <c r="I350" i="15"/>
  <c r="J344" i="15"/>
  <c r="H349" i="15"/>
  <c r="H348" i="15" s="1"/>
  <c r="I224" i="15"/>
  <c r="H230" i="15"/>
  <c r="H229" i="15" s="1"/>
  <c r="H228" i="15" s="1"/>
  <c r="H218" i="15"/>
  <c r="I212" i="15"/>
  <c r="K236" i="15"/>
  <c r="K242" i="15" s="1"/>
  <c r="K241" i="15" s="1"/>
  <c r="K240" i="15" s="1"/>
  <c r="J242" i="15"/>
  <c r="J241" i="15" s="1"/>
  <c r="J240" i="15" s="1"/>
  <c r="I386" i="15"/>
  <c r="I385" i="15" s="1"/>
  <c r="I384" i="15" s="1"/>
  <c r="J380" i="15"/>
  <c r="H194" i="15"/>
  <c r="H193" i="15" s="1"/>
  <c r="H192" i="15" s="1"/>
  <c r="I188" i="15"/>
  <c r="G217" i="15"/>
  <c r="G216" i="15" s="1"/>
  <c r="J320" i="38"/>
  <c r="J326" i="38" s="1"/>
  <c r="J324" i="38" s="1"/>
  <c r="I34" i="38" s="1"/>
  <c r="J95" i="15" s="1"/>
  <c r="I326" i="38"/>
  <c r="I324" i="38" s="1"/>
  <c r="H34" i="38" s="1"/>
  <c r="I95" i="15" s="1"/>
  <c r="I212" i="38"/>
  <c r="H218" i="38"/>
  <c r="H216" i="38" s="1"/>
  <c r="G25" i="38" s="1"/>
  <c r="H86" i="15" s="1"/>
  <c r="H122" i="38"/>
  <c r="I116" i="38"/>
  <c r="H194" i="38"/>
  <c r="H192" i="38" s="1"/>
  <c r="G23" i="38" s="1"/>
  <c r="H84" i="15" s="1"/>
  <c r="I188" i="38"/>
  <c r="I104" i="38"/>
  <c r="H110" i="38"/>
  <c r="I224" i="38"/>
  <c r="H230" i="38"/>
  <c r="H228" i="38" s="1"/>
  <c r="G26" i="38" s="1"/>
  <c r="H87" i="15" s="1"/>
  <c r="I152" i="38"/>
  <c r="H158" i="38"/>
  <c r="H156" i="38" s="1"/>
  <c r="G20" i="38" s="1"/>
  <c r="H81" i="15" s="1"/>
  <c r="I170" i="38"/>
  <c r="I168" i="38" s="1"/>
  <c r="H21" i="38" s="1"/>
  <c r="I82" i="15" s="1"/>
  <c r="J164" i="38"/>
  <c r="J170" i="38" s="1"/>
  <c r="J168" i="38" s="1"/>
  <c r="I21" i="38" s="1"/>
  <c r="J82" i="15" s="1"/>
  <c r="J272" i="38"/>
  <c r="J278" i="38" s="1"/>
  <c r="J276" i="38" s="1"/>
  <c r="I30" i="38" s="1"/>
  <c r="J91" i="15" s="1"/>
  <c r="I278" i="38"/>
  <c r="I276" i="38" s="1"/>
  <c r="H30" i="38" s="1"/>
  <c r="I91" i="15" s="1"/>
  <c r="AO88" i="50"/>
  <c r="D15" i="53"/>
  <c r="AL46" i="15"/>
  <c r="AO46" i="37"/>
  <c r="AO84" i="37" s="1"/>
  <c r="AO115" i="37" s="1"/>
  <c r="AO485" i="50"/>
  <c r="AO509" i="50" s="1"/>
  <c r="D15" i="56"/>
  <c r="AO112" i="50"/>
  <c r="D15" i="3"/>
  <c r="AI61" i="50"/>
  <c r="AI456" i="50"/>
  <c r="J236" i="38"/>
  <c r="J242" i="38" s="1"/>
  <c r="J240" i="38" s="1"/>
  <c r="I27" i="38" s="1"/>
  <c r="J88" i="15" s="1"/>
  <c r="I242" i="38"/>
  <c r="I240" i="38" s="1"/>
  <c r="H27" i="38" s="1"/>
  <c r="I88" i="15" s="1"/>
  <c r="C41" i="38"/>
  <c r="E81" i="37"/>
  <c r="J273" i="34"/>
  <c r="H272" i="34"/>
  <c r="I273" i="34"/>
  <c r="H273" i="34"/>
  <c r="I32" i="47"/>
  <c r="I29" i="47" s="1"/>
  <c r="I33" i="47"/>
  <c r="I34" i="47"/>
  <c r="J32" i="47" l="1"/>
  <c r="J29" i="47" s="1"/>
  <c r="J8" i="47" s="1"/>
  <c r="AQ7" i="14" s="1"/>
  <c r="T276" i="45"/>
  <c r="R276" i="45"/>
  <c r="M276" i="45" s="1"/>
  <c r="S294" i="45"/>
  <c r="H272" i="45" s="1"/>
  <c r="I266" i="15"/>
  <c r="I265" i="15" s="1"/>
  <c r="I264" i="15" s="1"/>
  <c r="J260" i="15"/>
  <c r="G212" i="45"/>
  <c r="G213" i="45" s="1"/>
  <c r="D212" i="45"/>
  <c r="D213" i="45" s="1"/>
  <c r="H212" i="45"/>
  <c r="H213" i="45" s="1"/>
  <c r="F212" i="45"/>
  <c r="F213" i="45" s="1"/>
  <c r="E212" i="45"/>
  <c r="E213" i="45" s="1"/>
  <c r="I212" i="45"/>
  <c r="I213" i="45" s="1"/>
  <c r="E217" i="45"/>
  <c r="E218" i="45" s="1"/>
  <c r="G217" i="45"/>
  <c r="G218" i="45" s="1"/>
  <c r="I217" i="45"/>
  <c r="I218" i="45" s="1"/>
  <c r="F217" i="45"/>
  <c r="F218" i="45" s="1"/>
  <c r="D217" i="45"/>
  <c r="D218" i="45" s="1"/>
  <c r="H217" i="45"/>
  <c r="H218" i="45" s="1"/>
  <c r="H272" i="43"/>
  <c r="J273" i="43"/>
  <c r="I273" i="43"/>
  <c r="D40" i="38"/>
  <c r="H314" i="38"/>
  <c r="H312" i="38" s="1"/>
  <c r="G33" i="38" s="1"/>
  <c r="H94" i="15" s="1"/>
  <c r="I308" i="38"/>
  <c r="H182" i="38"/>
  <c r="H180" i="38" s="1"/>
  <c r="G22" i="38" s="1"/>
  <c r="H83" i="15" s="1"/>
  <c r="I176" i="38"/>
  <c r="F373" i="50"/>
  <c r="F371" i="50"/>
  <c r="F372" i="50"/>
  <c r="Z369" i="50"/>
  <c r="H380" i="50"/>
  <c r="AA371" i="50"/>
  <c r="H381" i="50"/>
  <c r="H379" i="50"/>
  <c r="AA373" i="50"/>
  <c r="J379" i="50"/>
  <c r="J380" i="50"/>
  <c r="J381" i="50"/>
  <c r="K379" i="50"/>
  <c r="K380" i="50"/>
  <c r="AA374" i="50"/>
  <c r="K381" i="50"/>
  <c r="J372" i="50"/>
  <c r="J371" i="50"/>
  <c r="Z373" i="50"/>
  <c r="J373" i="50"/>
  <c r="G372" i="50"/>
  <c r="Z370" i="50"/>
  <c r="G373" i="50"/>
  <c r="G371" i="50"/>
  <c r="AC80" i="50"/>
  <c r="I395" i="50"/>
  <c r="I394" i="50" s="1"/>
  <c r="H387" i="50"/>
  <c r="H386" i="50" s="1"/>
  <c r="G387" i="50"/>
  <c r="G386" i="50" s="1"/>
  <c r="K387" i="50"/>
  <c r="K386" i="50" s="1"/>
  <c r="J387" i="50"/>
  <c r="J386" i="50" s="1"/>
  <c r="I387" i="50"/>
  <c r="I386" i="50" s="1"/>
  <c r="H395" i="50"/>
  <c r="H394" i="50" s="1"/>
  <c r="K395" i="50"/>
  <c r="K394" i="50" s="1"/>
  <c r="G395" i="50"/>
  <c r="G394" i="50" s="1"/>
  <c r="F395" i="50"/>
  <c r="F394" i="50" s="1"/>
  <c r="J395" i="50"/>
  <c r="J394" i="50" s="1"/>
  <c r="F387" i="50"/>
  <c r="F386" i="50" s="1"/>
  <c r="H373" i="50"/>
  <c r="H372" i="50"/>
  <c r="H371" i="50"/>
  <c r="Z371" i="50"/>
  <c r="I380" i="50"/>
  <c r="I381" i="50"/>
  <c r="AA372" i="50"/>
  <c r="I379" i="50"/>
  <c r="G380" i="50"/>
  <c r="G379" i="50"/>
  <c r="G381" i="50"/>
  <c r="AA370" i="50"/>
  <c r="I372" i="50"/>
  <c r="Z372" i="50"/>
  <c r="I371" i="50"/>
  <c r="I373" i="50"/>
  <c r="Z374" i="50"/>
  <c r="K373" i="50"/>
  <c r="K371" i="50"/>
  <c r="K372" i="50"/>
  <c r="F381" i="50"/>
  <c r="F379" i="50"/>
  <c r="AA369" i="50"/>
  <c r="F380" i="50"/>
  <c r="Q68" i="58"/>
  <c r="Q84" i="58" s="1"/>
  <c r="P84" i="58"/>
  <c r="Q220" i="58"/>
  <c r="Q236" i="58" s="1"/>
  <c r="P236" i="58"/>
  <c r="N65" i="58"/>
  <c r="M81" i="58"/>
  <c r="M216" i="58"/>
  <c r="L232" i="58"/>
  <c r="L244" i="58" s="1"/>
  <c r="F13" i="58" s="1"/>
  <c r="AL42" i="14" s="1"/>
  <c r="M368" i="58"/>
  <c r="L384" i="58"/>
  <c r="L396" i="58" s="1"/>
  <c r="F17" i="58" s="1"/>
  <c r="AL46" i="14" s="1"/>
  <c r="Q144" i="58"/>
  <c r="Q160" i="58" s="1"/>
  <c r="P160" i="58"/>
  <c r="M254" i="58"/>
  <c r="L270" i="58"/>
  <c r="L282" i="58" s="1"/>
  <c r="F14" i="58" s="1"/>
  <c r="AL43" i="14" s="1"/>
  <c r="Q296" i="58"/>
  <c r="Q312" i="58" s="1"/>
  <c r="P312" i="58"/>
  <c r="Q334" i="58"/>
  <c r="Q350" i="58" s="1"/>
  <c r="P350" i="58"/>
  <c r="M178" i="58"/>
  <c r="L194" i="58"/>
  <c r="L206" i="58" s="1"/>
  <c r="F12" i="58" s="1"/>
  <c r="AL41" i="14" s="1"/>
  <c r="N217" i="58"/>
  <c r="M233" i="58"/>
  <c r="N331" i="58"/>
  <c r="M347" i="58"/>
  <c r="L80" i="58"/>
  <c r="L92" i="58" s="1"/>
  <c r="F9" i="58" s="1"/>
  <c r="AL38" i="14" s="1"/>
  <c r="N141" i="58"/>
  <c r="M157" i="58"/>
  <c r="Q372" i="58"/>
  <c r="Q388" i="58" s="1"/>
  <c r="P388" i="58"/>
  <c r="M140" i="58"/>
  <c r="L156" i="58"/>
  <c r="L168" i="58" s="1"/>
  <c r="F11" i="58" s="1"/>
  <c r="AL40" i="14" s="1"/>
  <c r="N255" i="58"/>
  <c r="M271" i="58"/>
  <c r="N179" i="58"/>
  <c r="M195" i="58"/>
  <c r="Q258" i="58"/>
  <c r="Q274" i="58" s="1"/>
  <c r="P274" i="58"/>
  <c r="M292" i="58"/>
  <c r="L308" i="58"/>
  <c r="L320" i="58" s="1"/>
  <c r="F15" i="58" s="1"/>
  <c r="AL44" i="14" s="1"/>
  <c r="M330" i="58"/>
  <c r="L346" i="58"/>
  <c r="L358" i="58" s="1"/>
  <c r="F16" i="58" s="1"/>
  <c r="AL45" i="14" s="1"/>
  <c r="N369" i="58"/>
  <c r="M385" i="58"/>
  <c r="Q182" i="58"/>
  <c r="Q198" i="58" s="1"/>
  <c r="P198" i="58"/>
  <c r="N293" i="58"/>
  <c r="M309" i="58"/>
  <c r="P122" i="58"/>
  <c r="Q106" i="58"/>
  <c r="Q122" i="58" s="1"/>
  <c r="M119" i="58"/>
  <c r="N103" i="58"/>
  <c r="L118" i="58"/>
  <c r="L130" i="58" s="1"/>
  <c r="F10" i="58" s="1"/>
  <c r="AL39" i="14" s="1"/>
  <c r="E104" i="3" s="1"/>
  <c r="E118" i="3" s="1"/>
  <c r="M102" i="58"/>
  <c r="O121" i="58"/>
  <c r="P105" i="58"/>
  <c r="N120" i="58"/>
  <c r="O104" i="58"/>
  <c r="O197" i="58"/>
  <c r="P181" i="58"/>
  <c r="O159" i="58"/>
  <c r="P143" i="58"/>
  <c r="O349" i="58"/>
  <c r="P333" i="58"/>
  <c r="O311" i="58"/>
  <c r="P295" i="58"/>
  <c r="O83" i="58"/>
  <c r="P67" i="58"/>
  <c r="O273" i="58"/>
  <c r="P257" i="58"/>
  <c r="N82" i="58"/>
  <c r="O66" i="58"/>
  <c r="O235" i="58"/>
  <c r="P219" i="58"/>
  <c r="N196" i="58"/>
  <c r="O180" i="58"/>
  <c r="O387" i="58"/>
  <c r="P371" i="58"/>
  <c r="N348" i="58"/>
  <c r="O332" i="58"/>
  <c r="N310" i="58"/>
  <c r="O294" i="58"/>
  <c r="N272" i="58"/>
  <c r="O256" i="58"/>
  <c r="N234" i="58"/>
  <c r="O218" i="58"/>
  <c r="N158" i="58"/>
  <c r="O142" i="58"/>
  <c r="N386" i="58"/>
  <c r="O370" i="58"/>
  <c r="M54" i="58"/>
  <c r="G8" i="58" s="1"/>
  <c r="AM37" i="14" s="1"/>
  <c r="D205" i="44"/>
  <c r="D206" i="44" s="1"/>
  <c r="AW31" i="14"/>
  <c r="S294" i="44"/>
  <c r="H272" i="44" s="1"/>
  <c r="I338" i="15"/>
  <c r="I337" i="15" s="1"/>
  <c r="I336" i="15" s="1"/>
  <c r="J332" i="15"/>
  <c r="E205" i="44"/>
  <c r="E206" i="44" s="1"/>
  <c r="I205" i="44"/>
  <c r="I206" i="44" s="1"/>
  <c r="E37" i="38"/>
  <c r="G81" i="37" s="1"/>
  <c r="N78" i="15"/>
  <c r="M37" i="38"/>
  <c r="O81" i="37" s="1"/>
  <c r="F205" i="44"/>
  <c r="F206" i="44" s="1"/>
  <c r="H205" i="44"/>
  <c r="H206" i="44" s="1"/>
  <c r="M36" i="38"/>
  <c r="O80" i="37" s="1"/>
  <c r="N77" i="15"/>
  <c r="F97" i="15"/>
  <c r="M97" i="15"/>
  <c r="E36" i="38"/>
  <c r="G108" i="38"/>
  <c r="F16" i="38" s="1"/>
  <c r="G77" i="15" s="1"/>
  <c r="H121" i="38"/>
  <c r="N17" i="38" s="1"/>
  <c r="H109" i="38"/>
  <c r="N16" i="38" s="1"/>
  <c r="O77" i="15" s="1"/>
  <c r="C100" i="56"/>
  <c r="C101" i="56" s="1"/>
  <c r="C62" i="56"/>
  <c r="C63" i="56" s="1"/>
  <c r="G120" i="38"/>
  <c r="F17" i="38" s="1"/>
  <c r="G78" i="15" s="1"/>
  <c r="I200" i="44"/>
  <c r="I201" i="44" s="1"/>
  <c r="H200" i="44"/>
  <c r="H201" i="44" s="1"/>
  <c r="E200" i="44"/>
  <c r="E201" i="44" s="1"/>
  <c r="G200" i="44"/>
  <c r="G201" i="44" s="1"/>
  <c r="D200" i="44"/>
  <c r="D201" i="44" s="1"/>
  <c r="F200" i="44"/>
  <c r="F201" i="44" s="1"/>
  <c r="H273" i="45"/>
  <c r="I140" i="38"/>
  <c r="H146" i="38"/>
  <c r="H144" i="38" s="1"/>
  <c r="G19" i="38" s="1"/>
  <c r="H80" i="15" s="1"/>
  <c r="H253" i="44"/>
  <c r="H254" i="44" s="1"/>
  <c r="I253" i="44"/>
  <c r="I254" i="44" s="1"/>
  <c r="D253" i="44"/>
  <c r="D254" i="44" s="1"/>
  <c r="G253" i="44"/>
  <c r="G254" i="44" s="1"/>
  <c r="F253" i="44"/>
  <c r="F254" i="44" s="1"/>
  <c r="E253" i="44"/>
  <c r="E254" i="44" s="1"/>
  <c r="I332" i="38"/>
  <c r="H338" i="38"/>
  <c r="H336" i="38" s="1"/>
  <c r="G35" i="38" s="1"/>
  <c r="H96" i="15" s="1"/>
  <c r="F248" i="44"/>
  <c r="F249" i="44" s="1"/>
  <c r="D248" i="44"/>
  <c r="D249" i="44" s="1"/>
  <c r="G248" i="44"/>
  <c r="G249" i="44" s="1"/>
  <c r="I248" i="44"/>
  <c r="I249" i="44" s="1"/>
  <c r="E248" i="44"/>
  <c r="E249" i="44" s="1"/>
  <c r="H248" i="44"/>
  <c r="H249" i="44" s="1"/>
  <c r="I128" i="38"/>
  <c r="H134" i="38"/>
  <c r="H132" i="38" s="1"/>
  <c r="G18" i="38" s="1"/>
  <c r="H79" i="15" s="1"/>
  <c r="H254" i="38"/>
  <c r="H252" i="38" s="1"/>
  <c r="G28" i="38" s="1"/>
  <c r="H89" i="15" s="1"/>
  <c r="I248" i="38"/>
  <c r="H290" i="38"/>
  <c r="H288" i="38" s="1"/>
  <c r="G31" i="38" s="1"/>
  <c r="H92" i="15" s="1"/>
  <c r="I284" i="38"/>
  <c r="I260" i="38"/>
  <c r="H266" i="38"/>
  <c r="H264" i="38" s="1"/>
  <c r="G29" i="38" s="1"/>
  <c r="H90" i="15" s="1"/>
  <c r="I200" i="38"/>
  <c r="H206" i="38"/>
  <c r="H204" i="38" s="1"/>
  <c r="G24" i="38" s="1"/>
  <c r="H85" i="15" s="1"/>
  <c r="J272" i="15"/>
  <c r="I278" i="15"/>
  <c r="I277" i="15" s="1"/>
  <c r="I276" i="15" s="1"/>
  <c r="J34" i="47"/>
  <c r="I374" i="15"/>
  <c r="I373" i="15" s="1"/>
  <c r="I372" i="15" s="1"/>
  <c r="J368" i="15"/>
  <c r="J416" i="15"/>
  <c r="I422" i="15"/>
  <c r="I421" i="15" s="1"/>
  <c r="I420" i="15" s="1"/>
  <c r="K392" i="15"/>
  <c r="K398" i="15" s="1"/>
  <c r="K397" i="15" s="1"/>
  <c r="K396" i="15" s="1"/>
  <c r="J398" i="15"/>
  <c r="J397" i="15" s="1"/>
  <c r="J396" i="15" s="1"/>
  <c r="I254" i="15"/>
  <c r="I253" i="15" s="1"/>
  <c r="I252" i="15" s="1"/>
  <c r="J248" i="15"/>
  <c r="I326" i="15"/>
  <c r="I325" i="15" s="1"/>
  <c r="I324" i="15" s="1"/>
  <c r="J320" i="15"/>
  <c r="J410" i="15"/>
  <c r="J409" i="15" s="1"/>
  <c r="J408" i="15" s="1"/>
  <c r="K404" i="15"/>
  <c r="K410" i="15" s="1"/>
  <c r="K409" i="15" s="1"/>
  <c r="K408" i="15" s="1"/>
  <c r="C62" i="3"/>
  <c r="C63" i="3" s="1"/>
  <c r="C24" i="3"/>
  <c r="C25" i="3" s="1"/>
  <c r="Q29" i="58"/>
  <c r="Q45" i="58" s="1"/>
  <c r="P45" i="58"/>
  <c r="P28" i="58"/>
  <c r="O44" i="58"/>
  <c r="O27" i="58"/>
  <c r="N43" i="58"/>
  <c r="Q26" i="58"/>
  <c r="Q42" i="58" s="1"/>
  <c r="P42" i="58"/>
  <c r="I8" i="47"/>
  <c r="AP7" i="14" s="1"/>
  <c r="A1" i="47"/>
  <c r="C24" i="56"/>
  <c r="C25" i="56" s="1"/>
  <c r="AE17" i="14"/>
  <c r="C25" i="53"/>
  <c r="C26" i="53" s="1"/>
  <c r="AG17" i="14"/>
  <c r="I302" i="38"/>
  <c r="I300" i="38" s="1"/>
  <c r="H32" i="38" s="1"/>
  <c r="I93" i="15" s="1"/>
  <c r="J296" i="38"/>
  <c r="J302" i="38" s="1"/>
  <c r="J300" i="38" s="1"/>
  <c r="I32" i="38" s="1"/>
  <c r="J93" i="15" s="1"/>
  <c r="I302" i="15"/>
  <c r="I301" i="15" s="1"/>
  <c r="I300" i="15" s="1"/>
  <c r="J296" i="15"/>
  <c r="K308" i="15"/>
  <c r="K314" i="15" s="1"/>
  <c r="K313" i="15" s="1"/>
  <c r="K312" i="15" s="1"/>
  <c r="J314" i="15"/>
  <c r="J313" i="15" s="1"/>
  <c r="J312" i="15" s="1"/>
  <c r="J350" i="15"/>
  <c r="J349" i="15" s="1"/>
  <c r="J348" i="15" s="1"/>
  <c r="K344" i="15"/>
  <c r="K350" i="15" s="1"/>
  <c r="K349" i="15" s="1"/>
  <c r="K348" i="15" s="1"/>
  <c r="I349" i="15"/>
  <c r="I348" i="15" s="1"/>
  <c r="J188" i="15"/>
  <c r="I194" i="15"/>
  <c r="I193" i="15" s="1"/>
  <c r="I192" i="15" s="1"/>
  <c r="K380" i="15"/>
  <c r="K386" i="15" s="1"/>
  <c r="K385" i="15" s="1"/>
  <c r="K384" i="15" s="1"/>
  <c r="J386" i="15"/>
  <c r="J385" i="15" s="1"/>
  <c r="J384" i="15" s="1"/>
  <c r="I218" i="15"/>
  <c r="J212" i="15"/>
  <c r="H217" i="15"/>
  <c r="H216" i="15" s="1"/>
  <c r="I230" i="15"/>
  <c r="I229" i="15" s="1"/>
  <c r="I228" i="15" s="1"/>
  <c r="J224" i="15"/>
  <c r="J212" i="38"/>
  <c r="J218" i="38" s="1"/>
  <c r="J216" i="38" s="1"/>
  <c r="I25" i="38" s="1"/>
  <c r="J86" i="15" s="1"/>
  <c r="I218" i="38"/>
  <c r="I216" i="38" s="1"/>
  <c r="H25" i="38" s="1"/>
  <c r="I86" i="15" s="1"/>
  <c r="J152" i="38"/>
  <c r="J158" i="38" s="1"/>
  <c r="J156" i="38" s="1"/>
  <c r="I20" i="38" s="1"/>
  <c r="J81" i="15" s="1"/>
  <c r="I158" i="38"/>
  <c r="I156" i="38" s="1"/>
  <c r="H20" i="38" s="1"/>
  <c r="I81" i="15" s="1"/>
  <c r="I230" i="38"/>
  <c r="I228" i="38" s="1"/>
  <c r="H26" i="38" s="1"/>
  <c r="I87" i="15" s="1"/>
  <c r="J224" i="38"/>
  <c r="J230" i="38" s="1"/>
  <c r="J228" i="38" s="1"/>
  <c r="I26" i="38" s="1"/>
  <c r="J87" i="15" s="1"/>
  <c r="I110" i="38"/>
  <c r="J104" i="38"/>
  <c r="J110" i="38" s="1"/>
  <c r="J188" i="38"/>
  <c r="J194" i="38" s="1"/>
  <c r="J192" i="38" s="1"/>
  <c r="I23" i="38" s="1"/>
  <c r="J84" i="15" s="1"/>
  <c r="I194" i="38"/>
  <c r="I192" i="38" s="1"/>
  <c r="H23" i="38" s="1"/>
  <c r="I84" i="15" s="1"/>
  <c r="J116" i="38"/>
  <c r="J122" i="38" s="1"/>
  <c r="I122" i="38"/>
  <c r="AP61" i="50"/>
  <c r="AP456" i="50"/>
  <c r="AL103" i="15"/>
  <c r="AL74" i="15"/>
  <c r="I273" i="45" l="1"/>
  <c r="J273" i="45"/>
  <c r="E128" i="3"/>
  <c r="AL62" i="14" s="1"/>
  <c r="E129" i="3"/>
  <c r="AL101" i="14" s="1"/>
  <c r="K260" i="15"/>
  <c r="K266" i="15" s="1"/>
  <c r="K265" i="15" s="1"/>
  <c r="K264" i="15" s="1"/>
  <c r="J266" i="15"/>
  <c r="J265" i="15" s="1"/>
  <c r="J264" i="15" s="1"/>
  <c r="E41" i="38"/>
  <c r="I182" i="38"/>
  <c r="I180" i="38" s="1"/>
  <c r="H22" i="38" s="1"/>
  <c r="I83" i="15" s="1"/>
  <c r="J176" i="38"/>
  <c r="J182" i="38" s="1"/>
  <c r="J180" i="38" s="1"/>
  <c r="I22" i="38" s="1"/>
  <c r="J83" i="15" s="1"/>
  <c r="J308" i="38"/>
  <c r="J314" i="38" s="1"/>
  <c r="J312" i="38" s="1"/>
  <c r="I33" i="38" s="1"/>
  <c r="J94" i="15" s="1"/>
  <c r="I314" i="38"/>
  <c r="I312" i="38" s="1"/>
  <c r="H33" i="38" s="1"/>
  <c r="I94" i="15" s="1"/>
  <c r="F37" i="38"/>
  <c r="F41" i="38" s="1"/>
  <c r="F389" i="50"/>
  <c r="F388" i="50"/>
  <c r="F390" i="50"/>
  <c r="Z386" i="50"/>
  <c r="AA386" i="50"/>
  <c r="F397" i="50"/>
  <c r="F398" i="50"/>
  <c r="F396" i="50"/>
  <c r="AA391" i="50"/>
  <c r="K398" i="50"/>
  <c r="K397" i="50"/>
  <c r="K396" i="50"/>
  <c r="I390" i="50"/>
  <c r="I389" i="50"/>
  <c r="Z389" i="50"/>
  <c r="I388" i="50"/>
  <c r="K389" i="50"/>
  <c r="Z391" i="50"/>
  <c r="K390" i="50"/>
  <c r="K388" i="50"/>
  <c r="H389" i="50"/>
  <c r="H388" i="50"/>
  <c r="H390" i="50"/>
  <c r="Z388" i="50"/>
  <c r="AC81" i="50"/>
  <c r="J412" i="50"/>
  <c r="J411" i="50" s="1"/>
  <c r="H404" i="50"/>
  <c r="H403" i="50" s="1"/>
  <c r="I412" i="50"/>
  <c r="I411" i="50" s="1"/>
  <c r="J404" i="50"/>
  <c r="J403" i="50" s="1"/>
  <c r="H412" i="50"/>
  <c r="H411" i="50" s="1"/>
  <c r="K412" i="50"/>
  <c r="K411" i="50" s="1"/>
  <c r="G412" i="50"/>
  <c r="G411" i="50" s="1"/>
  <c r="F412" i="50"/>
  <c r="F411" i="50" s="1"/>
  <c r="G404" i="50"/>
  <c r="G403" i="50" s="1"/>
  <c r="I404" i="50"/>
  <c r="I403" i="50" s="1"/>
  <c r="K404" i="50"/>
  <c r="K403" i="50" s="1"/>
  <c r="F404" i="50"/>
  <c r="F403" i="50" s="1"/>
  <c r="J397" i="50"/>
  <c r="AA390" i="50"/>
  <c r="J398" i="50"/>
  <c r="J396" i="50"/>
  <c r="G396" i="50"/>
  <c r="G397" i="50"/>
  <c r="G398" i="50"/>
  <c r="AA387" i="50"/>
  <c r="H398" i="50"/>
  <c r="AA388" i="50"/>
  <c r="H396" i="50"/>
  <c r="H397" i="50"/>
  <c r="J388" i="50"/>
  <c r="J389" i="50"/>
  <c r="Z390" i="50"/>
  <c r="J390" i="50"/>
  <c r="Z387" i="50"/>
  <c r="G390" i="50"/>
  <c r="G388" i="50"/>
  <c r="G389" i="50"/>
  <c r="I398" i="50"/>
  <c r="I396" i="50"/>
  <c r="AA389" i="50"/>
  <c r="I397" i="50"/>
  <c r="P370" i="58"/>
  <c r="O386" i="58"/>
  <c r="P142" i="58"/>
  <c r="O158" i="58"/>
  <c r="P218" i="58"/>
  <c r="O234" i="58"/>
  <c r="P256" i="58"/>
  <c r="O272" i="58"/>
  <c r="P294" i="58"/>
  <c r="O310" i="58"/>
  <c r="P332" i="58"/>
  <c r="O348" i="58"/>
  <c r="Q371" i="58"/>
  <c r="Q387" i="58" s="1"/>
  <c r="P387" i="58"/>
  <c r="P180" i="58"/>
  <c r="O196" i="58"/>
  <c r="Q219" i="58"/>
  <c r="Q235" i="58" s="1"/>
  <c r="P235" i="58"/>
  <c r="P66" i="58"/>
  <c r="O82" i="58"/>
  <c r="Q257" i="58"/>
  <c r="Q273" i="58" s="1"/>
  <c r="P273" i="58"/>
  <c r="Q67" i="58"/>
  <c r="Q83" i="58" s="1"/>
  <c r="P83" i="58"/>
  <c r="Q295" i="58"/>
  <c r="Q311" i="58" s="1"/>
  <c r="P311" i="58"/>
  <c r="Q333" i="58"/>
  <c r="Q349" i="58" s="1"/>
  <c r="P349" i="58"/>
  <c r="Q143" i="58"/>
  <c r="Q159" i="58" s="1"/>
  <c r="P159" i="58"/>
  <c r="Q181" i="58"/>
  <c r="Q197" i="58" s="1"/>
  <c r="P197" i="58"/>
  <c r="O120" i="58"/>
  <c r="P104" i="58"/>
  <c r="P121" i="58"/>
  <c r="Q105" i="58"/>
  <c r="Q121" i="58" s="1"/>
  <c r="M118" i="58"/>
  <c r="M130" i="58" s="1"/>
  <c r="G10" i="58" s="1"/>
  <c r="AM39" i="14" s="1"/>
  <c r="F104" i="3" s="1"/>
  <c r="F118" i="3" s="1"/>
  <c r="N102" i="58"/>
  <c r="N119" i="58"/>
  <c r="O103" i="58"/>
  <c r="N309" i="58"/>
  <c r="O293" i="58"/>
  <c r="N385" i="58"/>
  <c r="O369" i="58"/>
  <c r="M346" i="58"/>
  <c r="M358" i="58" s="1"/>
  <c r="G16" i="58" s="1"/>
  <c r="AM45" i="14" s="1"/>
  <c r="N330" i="58"/>
  <c r="M308" i="58"/>
  <c r="M320" i="58" s="1"/>
  <c r="G15" i="58" s="1"/>
  <c r="AM44" i="14" s="1"/>
  <c r="N292" i="58"/>
  <c r="N195" i="58"/>
  <c r="O179" i="58"/>
  <c r="N271" i="58"/>
  <c r="O255" i="58"/>
  <c r="M156" i="58"/>
  <c r="M168" i="58" s="1"/>
  <c r="G11" i="58" s="1"/>
  <c r="AM40" i="14" s="1"/>
  <c r="N140" i="58"/>
  <c r="N157" i="58"/>
  <c r="O141" i="58"/>
  <c r="M80" i="58"/>
  <c r="M92" i="58" s="1"/>
  <c r="G9" i="58" s="1"/>
  <c r="AM38" i="14" s="1"/>
  <c r="N347" i="58"/>
  <c r="O331" i="58"/>
  <c r="N233" i="58"/>
  <c r="O217" i="58"/>
  <c r="M194" i="58"/>
  <c r="M206" i="58" s="1"/>
  <c r="G12" i="58" s="1"/>
  <c r="AM41" i="14" s="1"/>
  <c r="N178" i="58"/>
  <c r="M270" i="58"/>
  <c r="M282" i="58" s="1"/>
  <c r="G14" i="58" s="1"/>
  <c r="AM43" i="14" s="1"/>
  <c r="N254" i="58"/>
  <c r="M384" i="58"/>
  <c r="M396" i="58" s="1"/>
  <c r="G17" i="58" s="1"/>
  <c r="AM46" i="14" s="1"/>
  <c r="N368" i="58"/>
  <c r="M232" i="58"/>
  <c r="M244" i="58" s="1"/>
  <c r="G13" i="58" s="1"/>
  <c r="AM42" i="14" s="1"/>
  <c r="N216" i="58"/>
  <c r="N81" i="58"/>
  <c r="O65" i="58"/>
  <c r="N54" i="58"/>
  <c r="H8" i="58" s="1"/>
  <c r="AN37" i="14" s="1"/>
  <c r="J273" i="44"/>
  <c r="N97" i="15"/>
  <c r="AW32" i="14"/>
  <c r="I273" i="44"/>
  <c r="H273" i="44"/>
  <c r="J338" i="15"/>
  <c r="J337" i="15" s="1"/>
  <c r="J336" i="15" s="1"/>
  <c r="K332" i="15"/>
  <c r="K338" i="15" s="1"/>
  <c r="K337" i="15" s="1"/>
  <c r="K336" i="15" s="1"/>
  <c r="O78" i="15"/>
  <c r="O97" i="15" s="1"/>
  <c r="N37" i="38"/>
  <c r="P81" i="37" s="1"/>
  <c r="H81" i="37"/>
  <c r="G97" i="15"/>
  <c r="E40" i="38"/>
  <c r="G80" i="37"/>
  <c r="F36" i="38"/>
  <c r="N36" i="38"/>
  <c r="P80" i="37" s="1"/>
  <c r="J121" i="38"/>
  <c r="P17" i="38" s="1"/>
  <c r="I109" i="38"/>
  <c r="O16" i="38" s="1"/>
  <c r="I121" i="38"/>
  <c r="O17" i="38" s="1"/>
  <c r="J109" i="38"/>
  <c r="P16" i="38" s="1"/>
  <c r="Q77" i="15" s="1"/>
  <c r="I66" i="56"/>
  <c r="I80" i="56" s="1"/>
  <c r="I90" i="56" s="1"/>
  <c r="AP51" i="14" s="1"/>
  <c r="F66" i="56"/>
  <c r="F80" i="56" s="1"/>
  <c r="F90" i="56" s="1"/>
  <c r="AM51" i="14" s="1"/>
  <c r="J66" i="56"/>
  <c r="J80" i="56" s="1"/>
  <c r="J90" i="56" s="1"/>
  <c r="AQ51" i="14" s="1"/>
  <c r="H66" i="56"/>
  <c r="H80" i="56" s="1"/>
  <c r="H90" i="56" s="1"/>
  <c r="AO51" i="14" s="1"/>
  <c r="S64" i="56"/>
  <c r="E66" i="56"/>
  <c r="E80" i="56" s="1"/>
  <c r="E90" i="56" s="1"/>
  <c r="AL51" i="14" s="1"/>
  <c r="G66" i="56"/>
  <c r="G80" i="56" s="1"/>
  <c r="G90" i="56" s="1"/>
  <c r="AN51" i="14" s="1"/>
  <c r="S102" i="56"/>
  <c r="J104" i="56"/>
  <c r="J118" i="56" s="1"/>
  <c r="J128" i="56" s="1"/>
  <c r="E104" i="56"/>
  <c r="E118" i="56" s="1"/>
  <c r="E128" i="56" s="1"/>
  <c r="G104" i="56"/>
  <c r="G118" i="56" s="1"/>
  <c r="G128" i="56" s="1"/>
  <c r="I104" i="56"/>
  <c r="I118" i="56" s="1"/>
  <c r="I128" i="56" s="1"/>
  <c r="H104" i="56"/>
  <c r="H118" i="56" s="1"/>
  <c r="H128" i="56" s="1"/>
  <c r="F104" i="56"/>
  <c r="F118" i="56" s="1"/>
  <c r="F128" i="56" s="1"/>
  <c r="H108" i="38"/>
  <c r="G16" i="38" s="1"/>
  <c r="H77" i="15" s="1"/>
  <c r="H120" i="38"/>
  <c r="G17" i="38" s="1"/>
  <c r="H78" i="15" s="1"/>
  <c r="J332" i="38"/>
  <c r="J338" i="38" s="1"/>
  <c r="J336" i="38" s="1"/>
  <c r="I35" i="38" s="1"/>
  <c r="J96" i="15" s="1"/>
  <c r="I338" i="38"/>
  <c r="I336" i="38" s="1"/>
  <c r="H35" i="38" s="1"/>
  <c r="I96" i="15" s="1"/>
  <c r="I146" i="38"/>
  <c r="I144" i="38" s="1"/>
  <c r="H19" i="38" s="1"/>
  <c r="I80" i="15" s="1"/>
  <c r="J140" i="38"/>
  <c r="J146" i="38" s="1"/>
  <c r="J144" i="38" s="1"/>
  <c r="I19" i="38" s="1"/>
  <c r="J80" i="15" s="1"/>
  <c r="I290" i="38"/>
  <c r="I288" i="38" s="1"/>
  <c r="H31" i="38" s="1"/>
  <c r="I92" i="15" s="1"/>
  <c r="J284" i="38"/>
  <c r="J290" i="38" s="1"/>
  <c r="J288" i="38" s="1"/>
  <c r="I31" i="38" s="1"/>
  <c r="J92" i="15" s="1"/>
  <c r="J128" i="38"/>
  <c r="J134" i="38" s="1"/>
  <c r="J132" i="38" s="1"/>
  <c r="I18" i="38" s="1"/>
  <c r="J79" i="15" s="1"/>
  <c r="I134" i="38"/>
  <c r="I132" i="38" s="1"/>
  <c r="H18" i="38" s="1"/>
  <c r="I79" i="15" s="1"/>
  <c r="I206" i="38"/>
  <c r="I204" i="38" s="1"/>
  <c r="H24" i="38" s="1"/>
  <c r="I85" i="15" s="1"/>
  <c r="J200" i="38"/>
  <c r="J206" i="38" s="1"/>
  <c r="J204" i="38" s="1"/>
  <c r="I24" i="38" s="1"/>
  <c r="J85" i="15" s="1"/>
  <c r="I266" i="38"/>
  <c r="I264" i="38" s="1"/>
  <c r="H29" i="38" s="1"/>
  <c r="I90" i="15" s="1"/>
  <c r="J260" i="38"/>
  <c r="J266" i="38" s="1"/>
  <c r="J264" i="38" s="1"/>
  <c r="I29" i="38" s="1"/>
  <c r="J90" i="15" s="1"/>
  <c r="J248" i="38"/>
  <c r="J254" i="38" s="1"/>
  <c r="J252" i="38" s="1"/>
  <c r="I28" i="38" s="1"/>
  <c r="J89" i="15" s="1"/>
  <c r="I254" i="38"/>
  <c r="I252" i="38" s="1"/>
  <c r="H28" i="38" s="1"/>
  <c r="I89" i="15" s="1"/>
  <c r="K272" i="15"/>
  <c r="K278" i="15" s="1"/>
  <c r="K277" i="15" s="1"/>
  <c r="K276" i="15" s="1"/>
  <c r="J278" i="15"/>
  <c r="J277" i="15" s="1"/>
  <c r="J276" i="15" s="1"/>
  <c r="B26" i="53"/>
  <c r="J374" i="15"/>
  <c r="J373" i="15" s="1"/>
  <c r="J372" i="15" s="1"/>
  <c r="K368" i="15"/>
  <c r="K374" i="15" s="1"/>
  <c r="K373" i="15" s="1"/>
  <c r="K372" i="15" s="1"/>
  <c r="K320" i="15"/>
  <c r="K326" i="15" s="1"/>
  <c r="K325" i="15" s="1"/>
  <c r="K324" i="15" s="1"/>
  <c r="J326" i="15"/>
  <c r="J325" i="15" s="1"/>
  <c r="J324" i="15" s="1"/>
  <c r="K248" i="15"/>
  <c r="K254" i="15" s="1"/>
  <c r="K253" i="15" s="1"/>
  <c r="K252" i="15" s="1"/>
  <c r="J254" i="15"/>
  <c r="J253" i="15" s="1"/>
  <c r="J252" i="15" s="1"/>
  <c r="J422" i="15"/>
  <c r="J421" i="15" s="1"/>
  <c r="J420" i="15" s="1"/>
  <c r="K416" i="15"/>
  <c r="K422" i="15" s="1"/>
  <c r="K421" i="15" s="1"/>
  <c r="K420" i="15" s="1"/>
  <c r="F28" i="3"/>
  <c r="F42" i="3" s="1"/>
  <c r="F52" i="3" s="1"/>
  <c r="G28" i="3"/>
  <c r="G42" i="3" s="1"/>
  <c r="G52" i="3" s="1"/>
  <c r="E28" i="3"/>
  <c r="E42" i="3" s="1"/>
  <c r="E52" i="3" s="1"/>
  <c r="S26" i="3"/>
  <c r="S64" i="3"/>
  <c r="E66" i="3"/>
  <c r="E80" i="3" s="1"/>
  <c r="E90" i="3" s="1"/>
  <c r="F66" i="3"/>
  <c r="F80" i="3" s="1"/>
  <c r="F90" i="3" s="1"/>
  <c r="P27" i="58"/>
  <c r="O43" i="58"/>
  <c r="P44" i="58"/>
  <c r="Q28" i="58"/>
  <c r="Q44" i="58" s="1"/>
  <c r="B215" i="56"/>
  <c r="B329" i="3"/>
  <c r="B253" i="56"/>
  <c r="B177" i="3"/>
  <c r="B25" i="56"/>
  <c r="B329" i="56"/>
  <c r="B367" i="3"/>
  <c r="B101" i="56"/>
  <c r="B25" i="3"/>
  <c r="B291" i="3"/>
  <c r="B142" i="53"/>
  <c r="B113" i="53"/>
  <c r="B139" i="56"/>
  <c r="B101" i="3"/>
  <c r="B63" i="56"/>
  <c r="B367" i="56"/>
  <c r="B253" i="3"/>
  <c r="B177" i="56"/>
  <c r="B139" i="3"/>
  <c r="B63" i="3"/>
  <c r="B291" i="56"/>
  <c r="B215" i="3"/>
  <c r="B55" i="53"/>
  <c r="B84" i="53"/>
  <c r="I29" i="53"/>
  <c r="I33" i="53" s="1"/>
  <c r="I43" i="53" s="1"/>
  <c r="G29" i="53"/>
  <c r="G33" i="53" s="1"/>
  <c r="G43" i="53" s="1"/>
  <c r="L27" i="53"/>
  <c r="F29" i="53"/>
  <c r="F33" i="53" s="1"/>
  <c r="F43" i="53" s="1"/>
  <c r="J29" i="53"/>
  <c r="J33" i="53" s="1"/>
  <c r="J43" i="53" s="1"/>
  <c r="H29" i="53"/>
  <c r="H33" i="53" s="1"/>
  <c r="H43" i="53" s="1"/>
  <c r="E29" i="53"/>
  <c r="E33" i="53" s="1"/>
  <c r="E43" i="53" s="1"/>
  <c r="F28" i="56"/>
  <c r="F42" i="56" s="1"/>
  <c r="F52" i="56" s="1"/>
  <c r="G28" i="56"/>
  <c r="G42" i="56" s="1"/>
  <c r="G52" i="56" s="1"/>
  <c r="S26" i="56"/>
  <c r="I28" i="56"/>
  <c r="I42" i="56" s="1"/>
  <c r="I52" i="56" s="1"/>
  <c r="H28" i="56"/>
  <c r="H42" i="56" s="1"/>
  <c r="H52" i="56" s="1"/>
  <c r="J28" i="56"/>
  <c r="J42" i="56" s="1"/>
  <c r="J52" i="56" s="1"/>
  <c r="E28" i="56"/>
  <c r="E42" i="56" s="1"/>
  <c r="E52" i="56" s="1"/>
  <c r="C30" i="1"/>
  <c r="H30" i="1" s="1"/>
  <c r="X1" i="47"/>
  <c r="K296" i="15"/>
  <c r="K302" i="15" s="1"/>
  <c r="K301" i="15" s="1"/>
  <c r="K300" i="15" s="1"/>
  <c r="J302" i="15"/>
  <c r="J301" i="15" s="1"/>
  <c r="J300" i="15" s="1"/>
  <c r="K224" i="15"/>
  <c r="K230" i="15" s="1"/>
  <c r="K229" i="15" s="1"/>
  <c r="K228" i="15" s="1"/>
  <c r="J230" i="15"/>
  <c r="J229" i="15" s="1"/>
  <c r="J228" i="15" s="1"/>
  <c r="K212" i="15"/>
  <c r="K218" i="15" s="1"/>
  <c r="K217" i="15" s="1"/>
  <c r="K216" i="15" s="1"/>
  <c r="J218" i="15"/>
  <c r="J217" i="15" s="1"/>
  <c r="J216" i="15" s="1"/>
  <c r="I217" i="15"/>
  <c r="I216" i="15" s="1"/>
  <c r="K188" i="15"/>
  <c r="K194" i="15" s="1"/>
  <c r="K193" i="15" s="1"/>
  <c r="K192" i="15" s="1"/>
  <c r="J194" i="15"/>
  <c r="J193" i="15" s="1"/>
  <c r="J192" i="15" s="1"/>
  <c r="F128" i="3" l="1"/>
  <c r="AM62" i="14" s="1"/>
  <c r="F129" i="3"/>
  <c r="AM101" i="14" s="1"/>
  <c r="F407" i="50"/>
  <c r="F405" i="50"/>
  <c r="F406" i="50"/>
  <c r="Z403" i="50"/>
  <c r="Z406" i="50"/>
  <c r="I407" i="50"/>
  <c r="I405" i="50"/>
  <c r="I406" i="50"/>
  <c r="F413" i="50"/>
  <c r="AA403" i="50"/>
  <c r="F415" i="50"/>
  <c r="F414" i="50"/>
  <c r="K413" i="50"/>
  <c r="AA408" i="50"/>
  <c r="K414" i="50"/>
  <c r="K415" i="50"/>
  <c r="Z407" i="50"/>
  <c r="J407" i="50"/>
  <c r="J405" i="50"/>
  <c r="J406" i="50"/>
  <c r="H406" i="50"/>
  <c r="H405" i="50"/>
  <c r="H407" i="50"/>
  <c r="Z405" i="50"/>
  <c r="AC82" i="50"/>
  <c r="F429" i="50"/>
  <c r="F428" i="50" s="1"/>
  <c r="H429" i="50"/>
  <c r="H428" i="50" s="1"/>
  <c r="K429" i="50"/>
  <c r="K428" i="50" s="1"/>
  <c r="G429" i="50"/>
  <c r="G428" i="50" s="1"/>
  <c r="H421" i="50"/>
  <c r="H420" i="50" s="1"/>
  <c r="J429" i="50"/>
  <c r="J428" i="50" s="1"/>
  <c r="I429" i="50"/>
  <c r="I428" i="50" s="1"/>
  <c r="F421" i="50"/>
  <c r="F420" i="50" s="1"/>
  <c r="I421" i="50"/>
  <c r="I420" i="50" s="1"/>
  <c r="J421" i="50"/>
  <c r="J420" i="50" s="1"/>
  <c r="K421" i="50"/>
  <c r="K420" i="50" s="1"/>
  <c r="G421" i="50"/>
  <c r="G420" i="50" s="1"/>
  <c r="K406" i="50"/>
  <c r="Z408" i="50"/>
  <c r="K407" i="50"/>
  <c r="K405" i="50"/>
  <c r="G406" i="50"/>
  <c r="Z404" i="50"/>
  <c r="G407" i="50"/>
  <c r="G405" i="50"/>
  <c r="G414" i="50"/>
  <c r="G415" i="50"/>
  <c r="AA404" i="50"/>
  <c r="G413" i="50"/>
  <c r="H413" i="50"/>
  <c r="H414" i="50"/>
  <c r="H415" i="50"/>
  <c r="AA405" i="50"/>
  <c r="I415" i="50"/>
  <c r="I413" i="50"/>
  <c r="AA406" i="50"/>
  <c r="I414" i="50"/>
  <c r="J415" i="50"/>
  <c r="J413" i="50"/>
  <c r="J414" i="50"/>
  <c r="AA407" i="50"/>
  <c r="P65" i="58"/>
  <c r="O81" i="58"/>
  <c r="O216" i="58"/>
  <c r="N232" i="58"/>
  <c r="N244" i="58" s="1"/>
  <c r="H13" i="58" s="1"/>
  <c r="AN42" i="14" s="1"/>
  <c r="O368" i="58"/>
  <c r="N384" i="58"/>
  <c r="N396" i="58" s="1"/>
  <c r="H17" i="58" s="1"/>
  <c r="AN46" i="14" s="1"/>
  <c r="O254" i="58"/>
  <c r="N270" i="58"/>
  <c r="N282" i="58" s="1"/>
  <c r="H14" i="58" s="1"/>
  <c r="AN43" i="14" s="1"/>
  <c r="O178" i="58"/>
  <c r="N194" i="58"/>
  <c r="N206" i="58" s="1"/>
  <c r="H12" i="58" s="1"/>
  <c r="AN41" i="14" s="1"/>
  <c r="P217" i="58"/>
  <c r="O233" i="58"/>
  <c r="P331" i="58"/>
  <c r="O347" i="58"/>
  <c r="N80" i="58"/>
  <c r="N92" i="58" s="1"/>
  <c r="H9" i="58" s="1"/>
  <c r="AN38" i="14" s="1"/>
  <c r="G66" i="3" s="1"/>
  <c r="G80" i="3" s="1"/>
  <c r="G90" i="3" s="1"/>
  <c r="P141" i="58"/>
  <c r="O157" i="58"/>
  <c r="O140" i="58"/>
  <c r="N156" i="58"/>
  <c r="N168" i="58" s="1"/>
  <c r="P255" i="58"/>
  <c r="O271" i="58"/>
  <c r="P179" i="58"/>
  <c r="O195" i="58"/>
  <c r="O292" i="58"/>
  <c r="N308" i="58"/>
  <c r="N320" i="58" s="1"/>
  <c r="H15" i="58" s="1"/>
  <c r="AN44" i="14" s="1"/>
  <c r="O330" i="58"/>
  <c r="N346" i="58"/>
  <c r="N358" i="58" s="1"/>
  <c r="H16" i="58" s="1"/>
  <c r="AN45" i="14" s="1"/>
  <c r="P369" i="58"/>
  <c r="O385" i="58"/>
  <c r="P293" i="58"/>
  <c r="O309" i="58"/>
  <c r="O119" i="58"/>
  <c r="P103" i="58"/>
  <c r="N118" i="58"/>
  <c r="N130" i="58" s="1"/>
  <c r="H10" i="58" s="1"/>
  <c r="AN39" i="14" s="1"/>
  <c r="G104" i="3" s="1"/>
  <c r="G118" i="3" s="1"/>
  <c r="O102" i="58"/>
  <c r="P120" i="58"/>
  <c r="Q104" i="58"/>
  <c r="Q120" i="58" s="1"/>
  <c r="P82" i="58"/>
  <c r="Q66" i="58"/>
  <c r="Q82" i="58" s="1"/>
  <c r="P196" i="58"/>
  <c r="Q180" i="58"/>
  <c r="Q196" i="58" s="1"/>
  <c r="P348" i="58"/>
  <c r="Q332" i="58"/>
  <c r="Q348" i="58" s="1"/>
  <c r="P310" i="58"/>
  <c r="Q294" i="58"/>
  <c r="Q310" i="58" s="1"/>
  <c r="P272" i="58"/>
  <c r="Q256" i="58"/>
  <c r="Q272" i="58" s="1"/>
  <c r="P234" i="58"/>
  <c r="Q218" i="58"/>
  <c r="Q234" i="58" s="1"/>
  <c r="P158" i="58"/>
  <c r="Q142" i="58"/>
  <c r="Q158" i="58" s="1"/>
  <c r="P386" i="58"/>
  <c r="Q370" i="58"/>
  <c r="Q386" i="58" s="1"/>
  <c r="O54" i="58"/>
  <c r="I8" i="58" s="1"/>
  <c r="AO37" i="14" s="1"/>
  <c r="H28" i="3" s="1"/>
  <c r="H42" i="3" s="1"/>
  <c r="H52" i="3" s="1"/>
  <c r="AO60" i="14" s="1"/>
  <c r="G37" i="38"/>
  <c r="G41" i="38" s="1"/>
  <c r="AW33" i="14"/>
  <c r="AM52" i="14"/>
  <c r="F129" i="56"/>
  <c r="AM91" i="14" s="1"/>
  <c r="AP52" i="14"/>
  <c r="I129" i="56"/>
  <c r="AP91" i="14" s="1"/>
  <c r="AL52" i="14"/>
  <c r="E129" i="56"/>
  <c r="AL91" i="14" s="1"/>
  <c r="AO52" i="14"/>
  <c r="H129" i="56"/>
  <c r="AO91" i="14" s="1"/>
  <c r="AN52" i="14"/>
  <c r="G129" i="56"/>
  <c r="AN91" i="14" s="1"/>
  <c r="AQ52" i="14"/>
  <c r="J129" i="56"/>
  <c r="AQ91" i="14" s="1"/>
  <c r="P78" i="15"/>
  <c r="O37" i="38"/>
  <c r="Q81" i="37" s="1"/>
  <c r="Q78" i="15"/>
  <c r="Q97" i="15" s="1"/>
  <c r="P37" i="38"/>
  <c r="R81" i="37" s="1"/>
  <c r="F40" i="38"/>
  <c r="H80" i="37"/>
  <c r="I81" i="37"/>
  <c r="H97" i="15"/>
  <c r="P36" i="38"/>
  <c r="R80" i="37" s="1"/>
  <c r="G36" i="38"/>
  <c r="P77" i="15"/>
  <c r="O36" i="38"/>
  <c r="Q80" i="37" s="1"/>
  <c r="J108" i="38"/>
  <c r="I16" i="38" s="1"/>
  <c r="J77" i="15" s="1"/>
  <c r="I120" i="38"/>
  <c r="H17" i="38" s="1"/>
  <c r="I78" i="15" s="1"/>
  <c r="I108" i="38"/>
  <c r="H16" i="38" s="1"/>
  <c r="I77" i="15" s="1"/>
  <c r="J120" i="38"/>
  <c r="I17" i="38" s="1"/>
  <c r="J78" i="15" s="1"/>
  <c r="AM61" i="14"/>
  <c r="F91" i="3"/>
  <c r="AM100" i="14" s="1"/>
  <c r="AN61" i="14"/>
  <c r="E53" i="3"/>
  <c r="AL60" i="14"/>
  <c r="F51" i="60" s="1"/>
  <c r="E14" i="3"/>
  <c r="G53" i="3"/>
  <c r="AN60" i="14"/>
  <c r="AL61" i="14"/>
  <c r="E91" i="3"/>
  <c r="AL100" i="14" s="1"/>
  <c r="F53" i="3"/>
  <c r="AM60" i="14"/>
  <c r="P43" i="58"/>
  <c r="Q27" i="58"/>
  <c r="Q43" i="58" s="1"/>
  <c r="H11" i="58"/>
  <c r="AN40" i="14" s="1"/>
  <c r="E53" i="56"/>
  <c r="E14" i="56"/>
  <c r="AL50" i="14"/>
  <c r="F29" i="60" s="1"/>
  <c r="AO50" i="14"/>
  <c r="H53" i="56"/>
  <c r="H14" i="56"/>
  <c r="F14" i="56"/>
  <c r="F53" i="56"/>
  <c r="AM50" i="14"/>
  <c r="AO70" i="14"/>
  <c r="H14" i="53"/>
  <c r="H44" i="53"/>
  <c r="AM70" i="14"/>
  <c r="F14" i="53"/>
  <c r="F44" i="53"/>
  <c r="G44" i="53"/>
  <c r="G14" i="53"/>
  <c r="AN70" i="14"/>
  <c r="AQ50" i="14"/>
  <c r="J53" i="56"/>
  <c r="J14" i="56"/>
  <c r="I53" i="56"/>
  <c r="I14" i="56"/>
  <c r="AP50" i="14"/>
  <c r="G14" i="56"/>
  <c r="AN50" i="14"/>
  <c r="G53" i="56"/>
  <c r="E14" i="53"/>
  <c r="E44" i="53"/>
  <c r="AL70" i="14"/>
  <c r="J44" i="53"/>
  <c r="AQ70" i="14"/>
  <c r="J14" i="53"/>
  <c r="I44" i="53"/>
  <c r="I14" i="53"/>
  <c r="AP70" i="14"/>
  <c r="H53" i="3" l="1"/>
  <c r="G91" i="3"/>
  <c r="AN100" i="14" s="1"/>
  <c r="F14" i="3"/>
  <c r="G128" i="3"/>
  <c r="G129" i="3"/>
  <c r="AN101" i="14" s="1"/>
  <c r="Z421" i="50"/>
  <c r="G424" i="50"/>
  <c r="G422" i="50"/>
  <c r="G423" i="50"/>
  <c r="Z424" i="50"/>
  <c r="J423" i="50"/>
  <c r="J424" i="50"/>
  <c r="J422" i="50"/>
  <c r="F424" i="50"/>
  <c r="F422" i="50"/>
  <c r="F423" i="50"/>
  <c r="Z420" i="50"/>
  <c r="J431" i="50"/>
  <c r="AA424" i="50"/>
  <c r="J432" i="50"/>
  <c r="J430" i="50"/>
  <c r="G432" i="50"/>
  <c r="G430" i="50"/>
  <c r="AA421" i="50"/>
  <c r="G431" i="50"/>
  <c r="H431" i="50"/>
  <c r="AA422" i="50"/>
  <c r="H432" i="50"/>
  <c r="H430" i="50"/>
  <c r="F446" i="50"/>
  <c r="F445" i="50" s="1"/>
  <c r="J438" i="50"/>
  <c r="J437" i="50" s="1"/>
  <c r="G438" i="50"/>
  <c r="G437" i="50" s="1"/>
  <c r="K438" i="50"/>
  <c r="K437" i="50" s="1"/>
  <c r="H446" i="50"/>
  <c r="H445" i="50" s="1"/>
  <c r="I446" i="50"/>
  <c r="I445" i="50" s="1"/>
  <c r="F438" i="50"/>
  <c r="F437" i="50" s="1"/>
  <c r="J446" i="50"/>
  <c r="J445" i="50" s="1"/>
  <c r="H438" i="50"/>
  <c r="H437" i="50" s="1"/>
  <c r="I438" i="50"/>
  <c r="I437" i="50" s="1"/>
  <c r="K446" i="50"/>
  <c r="K445" i="50" s="1"/>
  <c r="G446" i="50"/>
  <c r="G445" i="50" s="1"/>
  <c r="K423" i="50"/>
  <c r="Z425" i="50"/>
  <c r="K424" i="50"/>
  <c r="K422" i="50"/>
  <c r="I423" i="50"/>
  <c r="Z423" i="50"/>
  <c r="I424" i="50"/>
  <c r="I422" i="50"/>
  <c r="I431" i="50"/>
  <c r="I432" i="50"/>
  <c r="I430" i="50"/>
  <c r="AA423" i="50"/>
  <c r="H423" i="50"/>
  <c r="H422" i="50"/>
  <c r="H424" i="50"/>
  <c r="Z422" i="50"/>
  <c r="K431" i="50"/>
  <c r="K432" i="50"/>
  <c r="K430" i="50"/>
  <c r="AA425" i="50"/>
  <c r="AA420" i="50"/>
  <c r="F431" i="50"/>
  <c r="F432" i="50"/>
  <c r="F430" i="50"/>
  <c r="O118" i="58"/>
  <c r="O130" i="58" s="1"/>
  <c r="I10" i="58" s="1"/>
  <c r="AO39" i="14" s="1"/>
  <c r="H104" i="3" s="1"/>
  <c r="H118" i="3" s="1"/>
  <c r="P102" i="58"/>
  <c r="P119" i="58"/>
  <c r="Q103" i="58"/>
  <c r="Q119" i="58" s="1"/>
  <c r="P309" i="58"/>
  <c r="Q293" i="58"/>
  <c r="Q309" i="58" s="1"/>
  <c r="P385" i="58"/>
  <c r="Q369" i="58"/>
  <c r="Q385" i="58" s="1"/>
  <c r="O346" i="58"/>
  <c r="O358" i="58" s="1"/>
  <c r="I16" i="58" s="1"/>
  <c r="AO45" i="14" s="1"/>
  <c r="P330" i="58"/>
  <c r="O308" i="58"/>
  <c r="O320" i="58" s="1"/>
  <c r="I15" i="58" s="1"/>
  <c r="AO44" i="14" s="1"/>
  <c r="P292" i="58"/>
  <c r="P195" i="58"/>
  <c r="Q179" i="58"/>
  <c r="Q195" i="58" s="1"/>
  <c r="P271" i="58"/>
  <c r="Q255" i="58"/>
  <c r="Q271" i="58" s="1"/>
  <c r="O156" i="58"/>
  <c r="O168" i="58" s="1"/>
  <c r="I11" i="58" s="1"/>
  <c r="AO40" i="14" s="1"/>
  <c r="P140" i="58"/>
  <c r="P157" i="58"/>
  <c r="Q141" i="58"/>
  <c r="Q157" i="58" s="1"/>
  <c r="O80" i="58"/>
  <c r="O92" i="58" s="1"/>
  <c r="I9" i="58" s="1"/>
  <c r="AO38" i="14" s="1"/>
  <c r="H66" i="3" s="1"/>
  <c r="H80" i="3" s="1"/>
  <c r="P347" i="58"/>
  <c r="Q331" i="58"/>
  <c r="Q347" i="58" s="1"/>
  <c r="P233" i="58"/>
  <c r="Q217" i="58"/>
  <c r="Q233" i="58" s="1"/>
  <c r="O194" i="58"/>
  <c r="O206" i="58" s="1"/>
  <c r="I12" i="58" s="1"/>
  <c r="AO41" i="14" s="1"/>
  <c r="P178" i="58"/>
  <c r="O270" i="58"/>
  <c r="O282" i="58" s="1"/>
  <c r="I14" i="58" s="1"/>
  <c r="AO43" i="14" s="1"/>
  <c r="P254" i="58"/>
  <c r="O384" i="58"/>
  <c r="O396" i="58" s="1"/>
  <c r="I17" i="58" s="1"/>
  <c r="AO46" i="14" s="1"/>
  <c r="P368" i="58"/>
  <c r="O232" i="58"/>
  <c r="O244" i="58" s="1"/>
  <c r="I13" i="58" s="1"/>
  <c r="AO42" i="14" s="1"/>
  <c r="P216" i="58"/>
  <c r="P81" i="58"/>
  <c r="Q65" i="58"/>
  <c r="Q81" i="58" s="1"/>
  <c r="Q54" i="58"/>
  <c r="K8" i="58" s="1"/>
  <c r="AQ37" i="14" s="1"/>
  <c r="J28" i="3" s="1"/>
  <c r="J42" i="3" s="1"/>
  <c r="P54" i="58"/>
  <c r="J8" i="58" s="1"/>
  <c r="AP37" i="14" s="1"/>
  <c r="I28" i="3" s="1"/>
  <c r="I42" i="3" s="1"/>
  <c r="H37" i="38"/>
  <c r="H41" i="38" s="1"/>
  <c r="AW34" i="14"/>
  <c r="I37" i="38"/>
  <c r="I41" i="38" s="1"/>
  <c r="J97" i="15"/>
  <c r="I36" i="38"/>
  <c r="K80" i="37" s="1"/>
  <c r="G40" i="38"/>
  <c r="I80" i="37"/>
  <c r="P97" i="15"/>
  <c r="I97" i="15"/>
  <c r="H36" i="38"/>
  <c r="H227" i="60"/>
  <c r="I235" i="60" s="1"/>
  <c r="J227" i="60"/>
  <c r="J237" i="60" s="1"/>
  <c r="I227" i="60"/>
  <c r="J236" i="60" s="1"/>
  <c r="K227" i="60"/>
  <c r="K238" i="60" s="1"/>
  <c r="G227" i="60"/>
  <c r="H234" i="60" s="1"/>
  <c r="F227" i="60"/>
  <c r="G233" i="60" s="1"/>
  <c r="AM81" i="14"/>
  <c r="G447" i="60" s="1"/>
  <c r="G454" i="60" s="1"/>
  <c r="AM99" i="14"/>
  <c r="AM120" i="14" s="1"/>
  <c r="O447" i="60" s="1"/>
  <c r="F15" i="3"/>
  <c r="AO99" i="14"/>
  <c r="AN99" i="14"/>
  <c r="AL81" i="14"/>
  <c r="F447" i="60" s="1"/>
  <c r="E15" i="3"/>
  <c r="AL99" i="14"/>
  <c r="AL120" i="14" s="1"/>
  <c r="N447" i="60" s="1"/>
  <c r="J403" i="60"/>
  <c r="J381" i="60"/>
  <c r="J359" i="60"/>
  <c r="J337" i="60"/>
  <c r="J139" i="60"/>
  <c r="J183" i="60"/>
  <c r="J535" i="60"/>
  <c r="AP83" i="14"/>
  <c r="J293" i="60" s="1"/>
  <c r="J513" i="60"/>
  <c r="J557" i="60"/>
  <c r="J117" i="60"/>
  <c r="J161" i="60"/>
  <c r="AP109" i="14"/>
  <c r="I15" i="53"/>
  <c r="K513" i="60"/>
  <c r="K524" i="60" s="1"/>
  <c r="K337" i="60"/>
  <c r="K348" i="60" s="1"/>
  <c r="K183" i="60"/>
  <c r="K194" i="60" s="1"/>
  <c r="K535" i="60"/>
  <c r="K546" i="60" s="1"/>
  <c r="K359" i="60"/>
  <c r="K370" i="60" s="1"/>
  <c r="K117" i="60"/>
  <c r="K128" i="60" s="1"/>
  <c r="K557" i="60"/>
  <c r="K568" i="60" s="1"/>
  <c r="K403" i="60"/>
  <c r="K414" i="60" s="1"/>
  <c r="K381" i="60"/>
  <c r="K392" i="60" s="1"/>
  <c r="K139" i="60"/>
  <c r="K150" i="60" s="1"/>
  <c r="K161" i="60"/>
  <c r="K172" i="60" s="1"/>
  <c r="AQ83" i="14"/>
  <c r="K293" i="60" s="1"/>
  <c r="K304" i="60" s="1"/>
  <c r="F557" i="60"/>
  <c r="F535" i="60"/>
  <c r="F403" i="60"/>
  <c r="F359" i="60"/>
  <c r="F337" i="60"/>
  <c r="F139" i="60"/>
  <c r="F183" i="60"/>
  <c r="F95" i="60"/>
  <c r="F513" i="60"/>
  <c r="F161" i="60"/>
  <c r="F117" i="60"/>
  <c r="F73" i="60"/>
  <c r="AL83" i="14"/>
  <c r="F293" i="60" s="1"/>
  <c r="F381" i="60"/>
  <c r="AN80" i="14"/>
  <c r="H29" i="60" s="1"/>
  <c r="AP80" i="14"/>
  <c r="I15" i="56"/>
  <c r="AP89" i="14"/>
  <c r="J15" i="56"/>
  <c r="AQ89" i="14"/>
  <c r="H513" i="60"/>
  <c r="H161" i="60"/>
  <c r="H73" i="60"/>
  <c r="H51" i="60"/>
  <c r="H535" i="60"/>
  <c r="H403" i="60"/>
  <c r="H337" i="60"/>
  <c r="H381" i="60"/>
  <c r="H139" i="60"/>
  <c r="H557" i="60"/>
  <c r="H359" i="60"/>
  <c r="H117" i="60"/>
  <c r="H183" i="60"/>
  <c r="AN83" i="14"/>
  <c r="H293" i="60" s="1"/>
  <c r="AN109" i="14"/>
  <c r="G15" i="53"/>
  <c r="H15" i="53"/>
  <c r="AO109" i="14"/>
  <c r="I513" i="60"/>
  <c r="I381" i="60"/>
  <c r="I359" i="60"/>
  <c r="I183" i="60"/>
  <c r="I51" i="60"/>
  <c r="I535" i="60"/>
  <c r="I403" i="60"/>
  <c r="I337" i="60"/>
  <c r="I161" i="60"/>
  <c r="I557" i="60"/>
  <c r="I271" i="60"/>
  <c r="I117" i="60"/>
  <c r="I139" i="60"/>
  <c r="AO83" i="14"/>
  <c r="I293" i="60" s="1"/>
  <c r="F15" i="56"/>
  <c r="AM89" i="14"/>
  <c r="AO80" i="14"/>
  <c r="J15" i="53"/>
  <c r="AQ109" i="14"/>
  <c r="E15" i="53"/>
  <c r="AL109" i="14"/>
  <c r="G15" i="56"/>
  <c r="AN89" i="14"/>
  <c r="AQ80" i="14"/>
  <c r="F15" i="53"/>
  <c r="AM109" i="14"/>
  <c r="G557" i="60"/>
  <c r="G535" i="60"/>
  <c r="G403" i="60"/>
  <c r="G359" i="60"/>
  <c r="G337" i="60"/>
  <c r="G139" i="60"/>
  <c r="G183" i="60"/>
  <c r="G73" i="60"/>
  <c r="G51" i="60"/>
  <c r="G117" i="60"/>
  <c r="G161" i="60"/>
  <c r="G95" i="60"/>
  <c r="AM83" i="14"/>
  <c r="G293" i="60" s="1"/>
  <c r="G513" i="60"/>
  <c r="G381" i="60"/>
  <c r="AM80" i="14"/>
  <c r="G29" i="60" s="1"/>
  <c r="H15" i="56"/>
  <c r="AO89" i="14"/>
  <c r="AL80" i="14"/>
  <c r="E15" i="56"/>
  <c r="AL89" i="14"/>
  <c r="I40" i="38" l="1"/>
  <c r="G15" i="3"/>
  <c r="AN120" i="14"/>
  <c r="P447" i="60" s="1"/>
  <c r="P455" i="60" s="1"/>
  <c r="I52" i="3"/>
  <c r="AP60" i="14" s="1"/>
  <c r="J51" i="60" s="1"/>
  <c r="K61" i="60" s="1"/>
  <c r="I53" i="3"/>
  <c r="AP99" i="14" s="1"/>
  <c r="R51" i="60" s="1"/>
  <c r="J52" i="3"/>
  <c r="AQ60" i="14" s="1"/>
  <c r="K51" i="60" s="1"/>
  <c r="K62" i="60" s="1"/>
  <c r="J53" i="3"/>
  <c r="AQ99" i="14" s="1"/>
  <c r="S51" i="60" s="1"/>
  <c r="S62" i="60" s="1"/>
  <c r="H90" i="3"/>
  <c r="AO61" i="14" s="1"/>
  <c r="I73" i="60" s="1"/>
  <c r="I82" i="60" s="1"/>
  <c r="H91" i="3"/>
  <c r="AO100" i="14" s="1"/>
  <c r="Q73" i="60" s="1"/>
  <c r="H128" i="3"/>
  <c r="H129" i="3"/>
  <c r="AN62" i="14"/>
  <c r="G14" i="3"/>
  <c r="J81" i="37"/>
  <c r="K81" i="37"/>
  <c r="K449" i="50"/>
  <c r="K448" i="50"/>
  <c r="K447" i="50"/>
  <c r="AA442" i="50"/>
  <c r="H441" i="50"/>
  <c r="H440" i="50"/>
  <c r="H439" i="50"/>
  <c r="Z439" i="50"/>
  <c r="F440" i="50"/>
  <c r="Z437" i="50"/>
  <c r="F441" i="50"/>
  <c r="F439" i="50"/>
  <c r="H449" i="50"/>
  <c r="H447" i="50"/>
  <c r="H448" i="50"/>
  <c r="AA439" i="50"/>
  <c r="G440" i="50"/>
  <c r="Z438" i="50"/>
  <c r="G441" i="50"/>
  <c r="G439" i="50"/>
  <c r="F449" i="50"/>
  <c r="F447" i="50"/>
  <c r="AA437" i="50"/>
  <c r="F448" i="50"/>
  <c r="G448" i="50"/>
  <c r="G447" i="50"/>
  <c r="G449" i="50"/>
  <c r="AA438" i="50"/>
  <c r="Z440" i="50"/>
  <c r="I439" i="50"/>
  <c r="I441" i="50"/>
  <c r="I440" i="50"/>
  <c r="J448" i="50"/>
  <c r="AA441" i="50"/>
  <c r="J449" i="50"/>
  <c r="J447" i="50"/>
  <c r="I449" i="50"/>
  <c r="I447" i="50"/>
  <c r="AA440" i="50"/>
  <c r="I448" i="50"/>
  <c r="Z442" i="50"/>
  <c r="K441" i="50"/>
  <c r="K439" i="50"/>
  <c r="K440" i="50"/>
  <c r="Z441" i="50"/>
  <c r="J440" i="50"/>
  <c r="J441" i="50"/>
  <c r="J439" i="50"/>
  <c r="Q216" i="58"/>
  <c r="Q232" i="58" s="1"/>
  <c r="Q244" i="58" s="1"/>
  <c r="K13" i="58" s="1"/>
  <c r="AQ42" i="14" s="1"/>
  <c r="P232" i="58"/>
  <c r="P244" i="58" s="1"/>
  <c r="J13" i="58" s="1"/>
  <c r="AP42" i="14" s="1"/>
  <c r="Q368" i="58"/>
  <c r="Q384" i="58" s="1"/>
  <c r="Q396" i="58" s="1"/>
  <c r="K17" i="58" s="1"/>
  <c r="AQ46" i="14" s="1"/>
  <c r="P384" i="58"/>
  <c r="P396" i="58" s="1"/>
  <c r="J17" i="58" s="1"/>
  <c r="AP46" i="14" s="1"/>
  <c r="Q254" i="58"/>
  <c r="Q270" i="58" s="1"/>
  <c r="Q282" i="58" s="1"/>
  <c r="K14" i="58" s="1"/>
  <c r="AQ43" i="14" s="1"/>
  <c r="P270" i="58"/>
  <c r="P282" i="58" s="1"/>
  <c r="J14" i="58" s="1"/>
  <c r="AP43" i="14" s="1"/>
  <c r="Q178" i="58"/>
  <c r="Q194" i="58" s="1"/>
  <c r="Q206" i="58" s="1"/>
  <c r="K12" i="58" s="1"/>
  <c r="AQ41" i="14" s="1"/>
  <c r="P194" i="58"/>
  <c r="P206" i="58" s="1"/>
  <c r="J12" i="58" s="1"/>
  <c r="AP41" i="14" s="1"/>
  <c r="Q64" i="58"/>
  <c r="Q80" i="58" s="1"/>
  <c r="Q92" i="58" s="1"/>
  <c r="K9" i="58" s="1"/>
  <c r="AQ38" i="14" s="1"/>
  <c r="J66" i="3" s="1"/>
  <c r="J80" i="3" s="1"/>
  <c r="P80" i="58"/>
  <c r="P92" i="58" s="1"/>
  <c r="J9" i="58" s="1"/>
  <c r="AP38" i="14" s="1"/>
  <c r="I66" i="3" s="1"/>
  <c r="I80" i="3" s="1"/>
  <c r="Q140" i="58"/>
  <c r="Q156" i="58" s="1"/>
  <c r="Q168" i="58" s="1"/>
  <c r="K11" i="58" s="1"/>
  <c r="AQ40" i="14" s="1"/>
  <c r="P156" i="58"/>
  <c r="P168" i="58" s="1"/>
  <c r="J11" i="58" s="1"/>
  <c r="AP40" i="14" s="1"/>
  <c r="Q292" i="58"/>
  <c r="Q308" i="58" s="1"/>
  <c r="Q320" i="58" s="1"/>
  <c r="K15" i="58" s="1"/>
  <c r="AQ44" i="14" s="1"/>
  <c r="P308" i="58"/>
  <c r="P320" i="58" s="1"/>
  <c r="J15" i="58" s="1"/>
  <c r="AP44" i="14" s="1"/>
  <c r="Q330" i="58"/>
  <c r="Q346" i="58" s="1"/>
  <c r="Q358" i="58" s="1"/>
  <c r="K16" i="58" s="1"/>
  <c r="AQ45" i="14" s="1"/>
  <c r="P346" i="58"/>
  <c r="P358" i="58" s="1"/>
  <c r="J16" i="58" s="1"/>
  <c r="AP45" i="14" s="1"/>
  <c r="P118" i="58"/>
  <c r="P130" i="58" s="1"/>
  <c r="J10" i="58" s="1"/>
  <c r="Q102" i="58"/>
  <c r="Q118" i="58" s="1"/>
  <c r="Q130" i="58" s="1"/>
  <c r="K10" i="58" s="1"/>
  <c r="AQ39" i="14" s="1"/>
  <c r="J104" i="3" s="1"/>
  <c r="J118" i="3" s="1"/>
  <c r="J454" i="60"/>
  <c r="AW35" i="14"/>
  <c r="K233" i="60"/>
  <c r="H40" i="38"/>
  <c r="A1" i="38" s="1"/>
  <c r="C20" i="1" s="1"/>
  <c r="H20" i="1" s="1"/>
  <c r="J80" i="37"/>
  <c r="Q227" i="60"/>
  <c r="R236" i="60" s="1"/>
  <c r="N227" i="60"/>
  <c r="R233" i="60" s="1"/>
  <c r="P227" i="60"/>
  <c r="R235" i="60" s="1"/>
  <c r="S227" i="60"/>
  <c r="S238" i="60" s="1"/>
  <c r="R227" i="60"/>
  <c r="S237" i="60" s="1"/>
  <c r="O227" i="60"/>
  <c r="R234" i="60" s="1"/>
  <c r="I234" i="60"/>
  <c r="J239" i="60"/>
  <c r="AY59" i="14" s="1"/>
  <c r="G239" i="60"/>
  <c r="AV59" i="14" s="1"/>
  <c r="I239" i="60"/>
  <c r="AX59" i="14" s="1"/>
  <c r="J235" i="60"/>
  <c r="K234" i="60"/>
  <c r="K239" i="60"/>
  <c r="AZ59" i="14" s="1"/>
  <c r="I236" i="60"/>
  <c r="K237" i="60"/>
  <c r="H235" i="60"/>
  <c r="G234" i="60"/>
  <c r="J234" i="60"/>
  <c r="K236" i="60"/>
  <c r="H239" i="60"/>
  <c r="AW59" i="14" s="1"/>
  <c r="K235" i="60"/>
  <c r="J233" i="60"/>
  <c r="H233" i="60"/>
  <c r="F233" i="60"/>
  <c r="F239" i="60" s="1"/>
  <c r="AU59" i="14" s="1"/>
  <c r="I233" i="60"/>
  <c r="I29" i="60"/>
  <c r="I38" i="60" s="1"/>
  <c r="J29" i="60"/>
  <c r="K39" i="60" s="1"/>
  <c r="K29" i="60"/>
  <c r="K40" i="60" s="1"/>
  <c r="G271" i="60"/>
  <c r="H278" i="60" s="1"/>
  <c r="AM82" i="14"/>
  <c r="G469" i="60" s="1"/>
  <c r="G476" i="60" s="1"/>
  <c r="H454" i="60"/>
  <c r="H271" i="60"/>
  <c r="I279" i="60" s="1"/>
  <c r="K454" i="60"/>
  <c r="G459" i="60"/>
  <c r="AV69" i="14" s="1"/>
  <c r="I454" i="60"/>
  <c r="AL82" i="14"/>
  <c r="F205" i="60" s="1"/>
  <c r="F211" i="60" s="1"/>
  <c r="F217" i="60" s="1"/>
  <c r="AU58" i="14" s="1"/>
  <c r="N459" i="60"/>
  <c r="AU108" i="14" s="1"/>
  <c r="O453" i="60"/>
  <c r="R453" i="60"/>
  <c r="P453" i="60"/>
  <c r="N453" i="60"/>
  <c r="Q453" i="60"/>
  <c r="S453" i="60"/>
  <c r="F453" i="60"/>
  <c r="F459" i="60"/>
  <c r="AU69" i="14" s="1"/>
  <c r="K453" i="60"/>
  <c r="H453" i="60"/>
  <c r="I453" i="60"/>
  <c r="J453" i="60"/>
  <c r="G453" i="60"/>
  <c r="P459" i="60"/>
  <c r="AW108" i="14" s="1"/>
  <c r="O459" i="60"/>
  <c r="AV108" i="14" s="1"/>
  <c r="P454" i="60"/>
  <c r="Q454" i="60"/>
  <c r="O454" i="60"/>
  <c r="R454" i="60"/>
  <c r="S454" i="60"/>
  <c r="H469" i="60"/>
  <c r="H477" i="60" s="1"/>
  <c r="I491" i="60"/>
  <c r="I500" i="60" s="1"/>
  <c r="G491" i="60"/>
  <c r="I498" i="60" s="1"/>
  <c r="H491" i="60"/>
  <c r="I499" i="60" s="1"/>
  <c r="F491" i="60"/>
  <c r="G497" i="60" s="1"/>
  <c r="K491" i="60"/>
  <c r="K502" i="60" s="1"/>
  <c r="J491" i="60"/>
  <c r="K501" i="60" s="1"/>
  <c r="I469" i="60"/>
  <c r="K478" i="60" s="1"/>
  <c r="K469" i="60"/>
  <c r="K480" i="60" s="1"/>
  <c r="H425" i="60"/>
  <c r="H433" i="60" s="1"/>
  <c r="I425" i="60"/>
  <c r="I434" i="60" s="1"/>
  <c r="F425" i="60"/>
  <c r="I431" i="60" s="1"/>
  <c r="J425" i="60"/>
  <c r="J435" i="60" s="1"/>
  <c r="G425" i="60"/>
  <c r="I432" i="60" s="1"/>
  <c r="K425" i="60"/>
  <c r="K436" i="60" s="1"/>
  <c r="H249" i="60"/>
  <c r="I257" i="60" s="1"/>
  <c r="K271" i="60"/>
  <c r="K282" i="60" s="1"/>
  <c r="F271" i="60"/>
  <c r="I277" i="60" s="1"/>
  <c r="J271" i="60"/>
  <c r="K281" i="60" s="1"/>
  <c r="I249" i="60"/>
  <c r="K258" i="60" s="1"/>
  <c r="F249" i="60"/>
  <c r="F255" i="60" s="1"/>
  <c r="F261" i="60" s="1"/>
  <c r="AU60" i="14" s="1"/>
  <c r="G249" i="60"/>
  <c r="K256" i="60" s="1"/>
  <c r="K249" i="60"/>
  <c r="K260" i="60" s="1"/>
  <c r="J249" i="60"/>
  <c r="J259" i="60" s="1"/>
  <c r="I205" i="60"/>
  <c r="I214" i="60" s="1"/>
  <c r="J205" i="60"/>
  <c r="J215" i="60" s="1"/>
  <c r="A1" i="56"/>
  <c r="C16" i="1" s="1"/>
  <c r="H16" i="1" s="1"/>
  <c r="A1" i="53"/>
  <c r="C18" i="1" s="1"/>
  <c r="H18" i="1" s="1"/>
  <c r="AL119" i="14"/>
  <c r="AL121" i="14" s="1"/>
  <c r="N205" i="60" s="1"/>
  <c r="AO119" i="14"/>
  <c r="J388" i="60"/>
  <c r="K388" i="60"/>
  <c r="I388" i="60"/>
  <c r="H388" i="60"/>
  <c r="G388" i="60"/>
  <c r="J102" i="60"/>
  <c r="K102" i="60"/>
  <c r="I102" i="60"/>
  <c r="G102" i="60"/>
  <c r="H102" i="60"/>
  <c r="H124" i="60"/>
  <c r="J124" i="60"/>
  <c r="G124" i="60"/>
  <c r="K124" i="60"/>
  <c r="I124" i="60"/>
  <c r="J36" i="60"/>
  <c r="H36" i="60"/>
  <c r="G36" i="60"/>
  <c r="I36" i="60"/>
  <c r="K36" i="60"/>
  <c r="H80" i="60"/>
  <c r="J80" i="60"/>
  <c r="G80" i="60"/>
  <c r="I80" i="60"/>
  <c r="K80" i="60"/>
  <c r="K146" i="60"/>
  <c r="G146" i="60"/>
  <c r="H146" i="60"/>
  <c r="J146" i="60"/>
  <c r="I146" i="60"/>
  <c r="K344" i="60"/>
  <c r="G344" i="60"/>
  <c r="H344" i="60"/>
  <c r="J344" i="60"/>
  <c r="I344" i="60"/>
  <c r="K410" i="60"/>
  <c r="G410" i="60"/>
  <c r="H410" i="60"/>
  <c r="J410" i="60"/>
  <c r="I410" i="60"/>
  <c r="H564" i="60"/>
  <c r="G564" i="60"/>
  <c r="J564" i="60"/>
  <c r="I564" i="60"/>
  <c r="K564" i="60"/>
  <c r="K148" i="60"/>
  <c r="J148" i="60"/>
  <c r="I148" i="60"/>
  <c r="K302" i="60"/>
  <c r="J302" i="60"/>
  <c r="I302" i="60"/>
  <c r="K566" i="60"/>
  <c r="J566" i="60"/>
  <c r="I566" i="60"/>
  <c r="I346" i="60"/>
  <c r="K346" i="60"/>
  <c r="J346" i="60"/>
  <c r="I412" i="60"/>
  <c r="K412" i="60"/>
  <c r="J412" i="60"/>
  <c r="J60" i="60"/>
  <c r="I60" i="60"/>
  <c r="K60" i="60"/>
  <c r="K192" i="60"/>
  <c r="I192" i="60"/>
  <c r="J192" i="60"/>
  <c r="J390" i="60"/>
  <c r="K390" i="60"/>
  <c r="I390" i="60"/>
  <c r="K522" i="60"/>
  <c r="J522" i="60"/>
  <c r="I522" i="60"/>
  <c r="P513" i="60"/>
  <c r="P337" i="60"/>
  <c r="P557" i="60"/>
  <c r="P359" i="60"/>
  <c r="P117" i="60"/>
  <c r="P139" i="60"/>
  <c r="P161" i="60"/>
  <c r="P95" i="60"/>
  <c r="P535" i="60"/>
  <c r="P403" i="60"/>
  <c r="P381" i="60"/>
  <c r="P73" i="60"/>
  <c r="P183" i="60"/>
  <c r="P51" i="60"/>
  <c r="AN122" i="14"/>
  <c r="P293" i="60" s="1"/>
  <c r="K191" i="60"/>
  <c r="J191" i="60"/>
  <c r="I191" i="60"/>
  <c r="H191" i="60"/>
  <c r="K367" i="60"/>
  <c r="J367" i="60"/>
  <c r="I367" i="60"/>
  <c r="H367" i="60"/>
  <c r="J565" i="60"/>
  <c r="K565" i="60"/>
  <c r="H565" i="60"/>
  <c r="I565" i="60"/>
  <c r="J147" i="60"/>
  <c r="K147" i="60"/>
  <c r="H147" i="60"/>
  <c r="I147" i="60"/>
  <c r="J345" i="60"/>
  <c r="K345" i="60"/>
  <c r="H345" i="60"/>
  <c r="I345" i="60"/>
  <c r="J543" i="60"/>
  <c r="K543" i="60"/>
  <c r="H543" i="60"/>
  <c r="I543" i="60"/>
  <c r="I81" i="60"/>
  <c r="J81" i="60"/>
  <c r="K81" i="60"/>
  <c r="H81" i="60"/>
  <c r="AQ119" i="14"/>
  <c r="AP119" i="14"/>
  <c r="I35" i="60"/>
  <c r="H35" i="60"/>
  <c r="F35" i="60"/>
  <c r="F41" i="60" s="1"/>
  <c r="AU50" i="14" s="1"/>
  <c r="J35" i="60"/>
  <c r="G35" i="60"/>
  <c r="K35" i="60"/>
  <c r="I123" i="60"/>
  <c r="J123" i="60"/>
  <c r="H123" i="60"/>
  <c r="K123" i="60"/>
  <c r="F123" i="60"/>
  <c r="F129" i="60" s="1"/>
  <c r="AU54" i="14" s="1"/>
  <c r="AI122" i="37" s="1"/>
  <c r="G123" i="60"/>
  <c r="J299" i="60"/>
  <c r="F299" i="60"/>
  <c r="F305" i="60" s="1"/>
  <c r="AU62" i="14" s="1"/>
  <c r="G299" i="60"/>
  <c r="H299" i="60"/>
  <c r="I299" i="60"/>
  <c r="K299" i="60"/>
  <c r="I57" i="60"/>
  <c r="J57" i="60"/>
  <c r="K57" i="60"/>
  <c r="H57" i="60"/>
  <c r="G57" i="60"/>
  <c r="F57" i="60"/>
  <c r="F63" i="60" s="1"/>
  <c r="AU51" i="14" s="1"/>
  <c r="J189" i="60"/>
  <c r="F189" i="60"/>
  <c r="F195" i="60" s="1"/>
  <c r="AU57" i="14" s="1"/>
  <c r="I189" i="60"/>
  <c r="K189" i="60"/>
  <c r="H189" i="60"/>
  <c r="G189" i="60"/>
  <c r="I365" i="60"/>
  <c r="J365" i="60"/>
  <c r="H365" i="60"/>
  <c r="G365" i="60"/>
  <c r="K365" i="60"/>
  <c r="F365" i="60"/>
  <c r="F371" i="60" s="1"/>
  <c r="AU65" i="14" s="1"/>
  <c r="H541" i="60"/>
  <c r="K541" i="60"/>
  <c r="I541" i="60"/>
  <c r="F541" i="60"/>
  <c r="F547" i="60" s="1"/>
  <c r="AU73" i="14" s="1"/>
  <c r="J541" i="60"/>
  <c r="G541" i="60"/>
  <c r="R557" i="60"/>
  <c r="R535" i="60"/>
  <c r="R403" i="60"/>
  <c r="R381" i="60"/>
  <c r="R513" i="60"/>
  <c r="R337" i="60"/>
  <c r="R117" i="60"/>
  <c r="R139" i="60"/>
  <c r="R183" i="60"/>
  <c r="AP122" i="14"/>
  <c r="R293" i="60" s="1"/>
  <c r="R29" i="60"/>
  <c r="R271" i="60"/>
  <c r="R359" i="60"/>
  <c r="R161" i="60"/>
  <c r="J127" i="60"/>
  <c r="K127" i="60"/>
  <c r="K523" i="60"/>
  <c r="J523" i="60"/>
  <c r="J303" i="60"/>
  <c r="K303" i="60"/>
  <c r="J545" i="60"/>
  <c r="K545" i="60"/>
  <c r="K193" i="60"/>
  <c r="J193" i="60"/>
  <c r="J369" i="60"/>
  <c r="K369" i="60"/>
  <c r="J520" i="60"/>
  <c r="K520" i="60"/>
  <c r="I520" i="60"/>
  <c r="G520" i="60"/>
  <c r="H520" i="60"/>
  <c r="J168" i="60"/>
  <c r="K168" i="60"/>
  <c r="G168" i="60"/>
  <c r="H168" i="60"/>
  <c r="I168" i="60"/>
  <c r="I300" i="60"/>
  <c r="J300" i="60"/>
  <c r="K300" i="60"/>
  <c r="H300" i="60"/>
  <c r="G300" i="60"/>
  <c r="H58" i="60"/>
  <c r="I58" i="60"/>
  <c r="K58" i="60"/>
  <c r="J58" i="60"/>
  <c r="G58" i="60"/>
  <c r="I190" i="60"/>
  <c r="J190" i="60"/>
  <c r="K190" i="60"/>
  <c r="H190" i="60"/>
  <c r="G190" i="60"/>
  <c r="H366" i="60"/>
  <c r="K366" i="60"/>
  <c r="J366" i="60"/>
  <c r="G366" i="60"/>
  <c r="I366" i="60"/>
  <c r="K542" i="60"/>
  <c r="G542" i="60"/>
  <c r="H542" i="60"/>
  <c r="I542" i="60"/>
  <c r="J542" i="60"/>
  <c r="O557" i="60"/>
  <c r="O535" i="60"/>
  <c r="O403" i="60"/>
  <c r="O359" i="60"/>
  <c r="O337" i="60"/>
  <c r="O381" i="60"/>
  <c r="O117" i="60"/>
  <c r="O139" i="60"/>
  <c r="O183" i="60"/>
  <c r="O95" i="60"/>
  <c r="AM122" i="14"/>
  <c r="O293" i="60" s="1"/>
  <c r="O513" i="60"/>
  <c r="O51" i="60"/>
  <c r="O161" i="60"/>
  <c r="O73" i="60"/>
  <c r="AN119" i="14"/>
  <c r="N535" i="60"/>
  <c r="N557" i="60"/>
  <c r="N403" i="60"/>
  <c r="N271" i="60"/>
  <c r="N337" i="60"/>
  <c r="N513" i="60"/>
  <c r="N359" i="60"/>
  <c r="N117" i="60"/>
  <c r="N161" i="60"/>
  <c r="N139" i="60"/>
  <c r="N95" i="60"/>
  <c r="N29" i="60"/>
  <c r="AL122" i="14"/>
  <c r="N293" i="60" s="1"/>
  <c r="N381" i="60"/>
  <c r="N183" i="60"/>
  <c r="N51" i="60"/>
  <c r="N73" i="60"/>
  <c r="S513" i="60"/>
  <c r="S524" i="60" s="1"/>
  <c r="S271" i="60"/>
  <c r="S282" i="60" s="1"/>
  <c r="S337" i="60"/>
  <c r="S348" i="60" s="1"/>
  <c r="S359" i="60"/>
  <c r="S370" i="60" s="1"/>
  <c r="S535" i="60"/>
  <c r="S546" i="60" s="1"/>
  <c r="S403" i="60"/>
  <c r="S414" i="60" s="1"/>
  <c r="S381" i="60"/>
  <c r="S392" i="60" s="1"/>
  <c r="S117" i="60"/>
  <c r="S128" i="60" s="1"/>
  <c r="S139" i="60"/>
  <c r="S150" i="60" s="1"/>
  <c r="S183" i="60"/>
  <c r="S194" i="60" s="1"/>
  <c r="S29" i="60"/>
  <c r="S40" i="60" s="1"/>
  <c r="S557" i="60"/>
  <c r="S568" i="60" s="1"/>
  <c r="S161" i="60"/>
  <c r="S172" i="60" s="1"/>
  <c r="AQ122" i="14"/>
  <c r="S293" i="60" s="1"/>
  <c r="S304" i="60" s="1"/>
  <c r="AM119" i="14"/>
  <c r="AM121" i="14" s="1"/>
  <c r="O205" i="60" s="1"/>
  <c r="J126" i="60"/>
  <c r="K126" i="60"/>
  <c r="I126" i="60"/>
  <c r="J280" i="60"/>
  <c r="I280" i="60"/>
  <c r="K280" i="60"/>
  <c r="K170" i="60"/>
  <c r="J170" i="60"/>
  <c r="I170" i="60"/>
  <c r="I544" i="60"/>
  <c r="K544" i="60"/>
  <c r="J544" i="60"/>
  <c r="K82" i="60"/>
  <c r="K368" i="60"/>
  <c r="J368" i="60"/>
  <c r="I368" i="60"/>
  <c r="Q513" i="60"/>
  <c r="Q557" i="60"/>
  <c r="Q359" i="60"/>
  <c r="Q117" i="60"/>
  <c r="Q161" i="60"/>
  <c r="Q29" i="60"/>
  <c r="AO122" i="14"/>
  <c r="Q293" i="60" s="1"/>
  <c r="Q535" i="60"/>
  <c r="Q403" i="60"/>
  <c r="Q381" i="60"/>
  <c r="Q337" i="60"/>
  <c r="Q183" i="60"/>
  <c r="Q139" i="60"/>
  <c r="Q51" i="60"/>
  <c r="I125" i="60"/>
  <c r="K125" i="60"/>
  <c r="J125" i="60"/>
  <c r="H125" i="60"/>
  <c r="J301" i="60"/>
  <c r="K301" i="60"/>
  <c r="H301" i="60"/>
  <c r="I301" i="60"/>
  <c r="J37" i="60"/>
  <c r="H37" i="60"/>
  <c r="K37" i="60"/>
  <c r="I37" i="60"/>
  <c r="K389" i="60"/>
  <c r="H389" i="60"/>
  <c r="I389" i="60"/>
  <c r="J389" i="60"/>
  <c r="J411" i="60"/>
  <c r="K411" i="60"/>
  <c r="H411" i="60"/>
  <c r="I411" i="60"/>
  <c r="K59" i="60"/>
  <c r="J59" i="60"/>
  <c r="H59" i="60"/>
  <c r="I59" i="60"/>
  <c r="K169" i="60"/>
  <c r="J169" i="60"/>
  <c r="H169" i="60"/>
  <c r="I169" i="60"/>
  <c r="I521" i="60"/>
  <c r="H521" i="60"/>
  <c r="J521" i="60"/>
  <c r="K521" i="60"/>
  <c r="K387" i="60"/>
  <c r="G387" i="60"/>
  <c r="F387" i="60"/>
  <c r="F393" i="60" s="1"/>
  <c r="AU66" i="14" s="1"/>
  <c r="H387" i="60"/>
  <c r="I387" i="60"/>
  <c r="J387" i="60"/>
  <c r="I79" i="60"/>
  <c r="J79" i="60"/>
  <c r="H79" i="60"/>
  <c r="K79" i="60"/>
  <c r="F79" i="60"/>
  <c r="F85" i="60" s="1"/>
  <c r="AU52" i="14" s="1"/>
  <c r="G79" i="60"/>
  <c r="K167" i="60"/>
  <c r="G167" i="60"/>
  <c r="H167" i="60"/>
  <c r="I167" i="60"/>
  <c r="F167" i="60"/>
  <c r="F173" i="60" s="1"/>
  <c r="AU56" i="14" s="1"/>
  <c r="J167" i="60"/>
  <c r="J519" i="60"/>
  <c r="F519" i="60"/>
  <c r="F525" i="60" s="1"/>
  <c r="AU72" i="14" s="1"/>
  <c r="I519" i="60"/>
  <c r="H519" i="60"/>
  <c r="G519" i="60"/>
  <c r="K519" i="60"/>
  <c r="I101" i="60"/>
  <c r="K101" i="60"/>
  <c r="H101" i="60"/>
  <c r="F101" i="60"/>
  <c r="F107" i="60" s="1"/>
  <c r="AU53" i="14" s="1"/>
  <c r="G101" i="60"/>
  <c r="J101" i="60"/>
  <c r="J145" i="60"/>
  <c r="F145" i="60"/>
  <c r="F151" i="60" s="1"/>
  <c r="AU55" i="14" s="1"/>
  <c r="G145" i="60"/>
  <c r="H145" i="60"/>
  <c r="I145" i="60"/>
  <c r="K145" i="60"/>
  <c r="H343" i="60"/>
  <c r="K343" i="60"/>
  <c r="I343" i="60"/>
  <c r="J343" i="60"/>
  <c r="G343" i="60"/>
  <c r="F343" i="60"/>
  <c r="F349" i="60" s="1"/>
  <c r="AU64" i="14" s="1"/>
  <c r="H409" i="60"/>
  <c r="K409" i="60"/>
  <c r="I409" i="60"/>
  <c r="J409" i="60"/>
  <c r="G409" i="60"/>
  <c r="F409" i="60"/>
  <c r="F415" i="60" s="1"/>
  <c r="AU67" i="14" s="1"/>
  <c r="I563" i="60"/>
  <c r="H563" i="60"/>
  <c r="J563" i="60"/>
  <c r="K563" i="60"/>
  <c r="F563" i="60"/>
  <c r="F569" i="60" s="1"/>
  <c r="AU74" i="14" s="1"/>
  <c r="G563" i="60"/>
  <c r="K171" i="60"/>
  <c r="J171" i="60"/>
  <c r="J567" i="60"/>
  <c r="K567" i="60"/>
  <c r="J149" i="60"/>
  <c r="K149" i="60"/>
  <c r="K347" i="60"/>
  <c r="J347" i="60"/>
  <c r="J391" i="60"/>
  <c r="K391" i="60"/>
  <c r="K413" i="60"/>
  <c r="J413" i="60"/>
  <c r="J82" i="60" l="1"/>
  <c r="J61" i="60"/>
  <c r="J63" i="60" s="1"/>
  <c r="AY51" i="14" s="1"/>
  <c r="S455" i="60"/>
  <c r="R455" i="60"/>
  <c r="AN121" i="14"/>
  <c r="P205" i="60" s="1"/>
  <c r="Q213" i="60" s="1"/>
  <c r="Q455" i="60"/>
  <c r="I90" i="3"/>
  <c r="AP61" i="14" s="1"/>
  <c r="J73" i="60" s="1"/>
  <c r="I91" i="3"/>
  <c r="AP100" i="14" s="1"/>
  <c r="R73" i="60" s="1"/>
  <c r="R83" i="60" s="1"/>
  <c r="J90" i="3"/>
  <c r="AQ61" i="14" s="1"/>
  <c r="K73" i="60" s="1"/>
  <c r="K84" i="60" s="1"/>
  <c r="J91" i="3"/>
  <c r="AQ100" i="14" s="1"/>
  <c r="S73" i="60" s="1"/>
  <c r="S84" i="60" s="1"/>
  <c r="J128" i="3"/>
  <c r="J129" i="3"/>
  <c r="H95" i="60"/>
  <c r="AN81" i="14"/>
  <c r="AO62" i="14"/>
  <c r="H14" i="3"/>
  <c r="AO101" i="14"/>
  <c r="H15" i="3"/>
  <c r="AI121" i="37"/>
  <c r="AF109" i="15"/>
  <c r="AI120" i="37"/>
  <c r="AI89" i="37" s="1"/>
  <c r="M51" i="37" s="1"/>
  <c r="M19" i="37" s="1"/>
  <c r="AF108" i="15"/>
  <c r="AF79" i="15" s="1"/>
  <c r="AF51" i="15" s="1"/>
  <c r="AI119" i="37"/>
  <c r="AI88" i="37" s="1"/>
  <c r="M50" i="37" s="1"/>
  <c r="M18" i="37" s="1"/>
  <c r="AF107" i="15"/>
  <c r="AF105" i="15"/>
  <c r="AF106" i="15"/>
  <c r="AF76" i="15"/>
  <c r="L48" i="15" s="1"/>
  <c r="AI91" i="37"/>
  <c r="M53" i="37" s="1"/>
  <c r="M21" i="37" s="1"/>
  <c r="AI90" i="37"/>
  <c r="M52" i="37" s="1"/>
  <c r="M20" i="37" s="1"/>
  <c r="AI458" i="50"/>
  <c r="AI511" i="50" s="1"/>
  <c r="F518" i="50" s="1"/>
  <c r="AI118" i="37"/>
  <c r="AM84" i="14"/>
  <c r="G315" i="60" s="1"/>
  <c r="K322" i="60" s="1"/>
  <c r="AW36" i="14"/>
  <c r="AI487" i="50"/>
  <c r="F510" i="50" s="1"/>
  <c r="Q234" i="60"/>
  <c r="AI63" i="50"/>
  <c r="AI114" i="50" s="1"/>
  <c r="AI64" i="50"/>
  <c r="AI115" i="50" s="1"/>
  <c r="AI90" i="50"/>
  <c r="S235" i="60"/>
  <c r="R237" i="60"/>
  <c r="N233" i="60"/>
  <c r="N239" i="60" s="1"/>
  <c r="AU98" i="14" s="1"/>
  <c r="P239" i="60"/>
  <c r="AW98" i="14" s="1"/>
  <c r="S236" i="60"/>
  <c r="P234" i="60"/>
  <c r="J38" i="60"/>
  <c r="S239" i="60"/>
  <c r="AZ98" i="14" s="1"/>
  <c r="Q235" i="60"/>
  <c r="Q236" i="60"/>
  <c r="O233" i="60"/>
  <c r="Q233" i="60"/>
  <c r="S234" i="60"/>
  <c r="R239" i="60"/>
  <c r="AY98" i="14" s="1"/>
  <c r="P235" i="60"/>
  <c r="Q239" i="60"/>
  <c r="AX98" i="14" s="1"/>
  <c r="P233" i="60"/>
  <c r="S233" i="60"/>
  <c r="O239" i="60"/>
  <c r="AV98" i="14" s="1"/>
  <c r="O234" i="60"/>
  <c r="O29" i="60"/>
  <c r="P36" i="60" s="1"/>
  <c r="P29" i="60"/>
  <c r="P37" i="60" s="1"/>
  <c r="J39" i="60"/>
  <c r="J41" i="60" s="1"/>
  <c r="AY50" i="14" s="1"/>
  <c r="K38" i="60"/>
  <c r="K41" i="60" s="1"/>
  <c r="AZ50" i="14" s="1"/>
  <c r="R491" i="60"/>
  <c r="S501" i="60" s="1"/>
  <c r="K278" i="60"/>
  <c r="J211" i="60"/>
  <c r="J278" i="60"/>
  <c r="H476" i="60"/>
  <c r="J476" i="60"/>
  <c r="K476" i="60"/>
  <c r="G278" i="60"/>
  <c r="I278" i="60"/>
  <c r="I283" i="60" s="1"/>
  <c r="AX61" i="14" s="1"/>
  <c r="J279" i="60"/>
  <c r="H211" i="60"/>
  <c r="I476" i="60"/>
  <c r="G205" i="60"/>
  <c r="I212" i="60" s="1"/>
  <c r="H497" i="60"/>
  <c r="H279" i="60"/>
  <c r="I477" i="60"/>
  <c r="K279" i="60"/>
  <c r="K498" i="60"/>
  <c r="I211" i="60"/>
  <c r="G211" i="60"/>
  <c r="K211" i="60"/>
  <c r="AL84" i="14"/>
  <c r="F315" i="60" s="1"/>
  <c r="K321" i="60" s="1"/>
  <c r="F469" i="60"/>
  <c r="F475" i="60" s="1"/>
  <c r="F481" i="60" s="1"/>
  <c r="AU70" i="14" s="1"/>
  <c r="J431" i="60"/>
  <c r="H498" i="60"/>
  <c r="AP39" i="14"/>
  <c r="I104" i="3" s="1"/>
  <c r="I118" i="3" s="1"/>
  <c r="A1" i="58"/>
  <c r="J501" i="60"/>
  <c r="I497" i="60"/>
  <c r="I503" i="60" s="1"/>
  <c r="AX71" i="14" s="1"/>
  <c r="K497" i="60"/>
  <c r="J477" i="60"/>
  <c r="J498" i="60"/>
  <c r="K500" i="60"/>
  <c r="G431" i="60"/>
  <c r="F497" i="60"/>
  <c r="F503" i="60" s="1"/>
  <c r="AU71" i="14" s="1"/>
  <c r="J497" i="60"/>
  <c r="K477" i="60"/>
  <c r="S469" i="60"/>
  <c r="S480" i="60" s="1"/>
  <c r="G498" i="60"/>
  <c r="G503" i="60" s="1"/>
  <c r="AV71" i="14" s="1"/>
  <c r="I433" i="60"/>
  <c r="I437" i="60" s="1"/>
  <c r="AX68" i="14" s="1"/>
  <c r="K432" i="60"/>
  <c r="R469" i="60"/>
  <c r="S479" i="60" s="1"/>
  <c r="K435" i="60"/>
  <c r="J277" i="60"/>
  <c r="K499" i="60"/>
  <c r="J434" i="60"/>
  <c r="J500" i="60"/>
  <c r="J257" i="60"/>
  <c r="Q425" i="60"/>
  <c r="Q434" i="60" s="1"/>
  <c r="J478" i="60"/>
  <c r="K434" i="60"/>
  <c r="H499" i="60"/>
  <c r="Q469" i="60"/>
  <c r="R478" i="60" s="1"/>
  <c r="I478" i="60"/>
  <c r="J499" i="60"/>
  <c r="N491" i="60"/>
  <c r="R497" i="60" s="1"/>
  <c r="P491" i="60"/>
  <c r="S499" i="60" s="1"/>
  <c r="Q491" i="60"/>
  <c r="S500" i="60" s="1"/>
  <c r="S491" i="60"/>
  <c r="S502" i="60" s="1"/>
  <c r="R425" i="60"/>
  <c r="R435" i="60" s="1"/>
  <c r="O491" i="60"/>
  <c r="O498" i="60" s="1"/>
  <c r="K431" i="60"/>
  <c r="N469" i="60"/>
  <c r="Q475" i="60" s="1"/>
  <c r="N425" i="60"/>
  <c r="S431" i="60" s="1"/>
  <c r="K433" i="60"/>
  <c r="G432" i="60"/>
  <c r="J432" i="60"/>
  <c r="O469" i="60"/>
  <c r="P476" i="60" s="1"/>
  <c r="P469" i="60"/>
  <c r="R477" i="60" s="1"/>
  <c r="F431" i="60"/>
  <c r="F437" i="60" s="1"/>
  <c r="AU68" i="14" s="1"/>
  <c r="H431" i="60"/>
  <c r="J433" i="60"/>
  <c r="H432" i="60"/>
  <c r="S425" i="60"/>
  <c r="S436" i="60" s="1"/>
  <c r="O425" i="60"/>
  <c r="S432" i="60" s="1"/>
  <c r="P425" i="60"/>
  <c r="P433" i="60" s="1"/>
  <c r="H257" i="60"/>
  <c r="J256" i="60"/>
  <c r="K257" i="60"/>
  <c r="F277" i="60"/>
  <c r="F283" i="60" s="1"/>
  <c r="AU61" i="14" s="1"/>
  <c r="J255" i="60"/>
  <c r="J281" i="60"/>
  <c r="H255" i="60"/>
  <c r="K259" i="60"/>
  <c r="G256" i="60"/>
  <c r="G277" i="60"/>
  <c r="G283" i="60" s="1"/>
  <c r="AV61" i="14" s="1"/>
  <c r="J258" i="60"/>
  <c r="O271" i="60"/>
  <c r="P278" i="60" s="1"/>
  <c r="Q271" i="60"/>
  <c r="S280" i="60" s="1"/>
  <c r="Q249" i="60"/>
  <c r="S258" i="60" s="1"/>
  <c r="I256" i="60"/>
  <c r="H256" i="60"/>
  <c r="K277" i="60"/>
  <c r="H277" i="60"/>
  <c r="H283" i="60" s="1"/>
  <c r="AW61" i="14" s="1"/>
  <c r="P271" i="60"/>
  <c r="Q279" i="60" s="1"/>
  <c r="I258" i="60"/>
  <c r="G255" i="60"/>
  <c r="S249" i="60"/>
  <c r="S260" i="60" s="1"/>
  <c r="I255" i="60"/>
  <c r="K255" i="60"/>
  <c r="N249" i="60"/>
  <c r="R255" i="60" s="1"/>
  <c r="O249" i="60"/>
  <c r="P256" i="60" s="1"/>
  <c r="K215" i="60"/>
  <c r="R249" i="60"/>
  <c r="R259" i="60" s="1"/>
  <c r="P249" i="60"/>
  <c r="P257" i="60" s="1"/>
  <c r="J214" i="60"/>
  <c r="G569" i="60"/>
  <c r="AV74" i="14" s="1"/>
  <c r="G85" i="60"/>
  <c r="AV52" i="14" s="1"/>
  <c r="G393" i="60"/>
  <c r="AV66" i="14" s="1"/>
  <c r="K214" i="60"/>
  <c r="K212" i="60"/>
  <c r="G415" i="60"/>
  <c r="AV67" i="14" s="1"/>
  <c r="G349" i="60"/>
  <c r="AV64" i="14" s="1"/>
  <c r="I525" i="60"/>
  <c r="AX72" i="14" s="1"/>
  <c r="H173" i="60"/>
  <c r="AW56" i="14" s="1"/>
  <c r="I85" i="60"/>
  <c r="AX52" i="14" s="1"/>
  <c r="G63" i="60"/>
  <c r="AV51" i="14" s="1"/>
  <c r="G173" i="60"/>
  <c r="AV56" i="14" s="1"/>
  <c r="AL123" i="14"/>
  <c r="N315" i="60" s="1"/>
  <c r="S321" i="60" s="1"/>
  <c r="G41" i="60"/>
  <c r="AV50" i="14" s="1"/>
  <c r="AG106" i="15" s="1"/>
  <c r="AI117" i="37"/>
  <c r="I569" i="60"/>
  <c r="AX74" i="14" s="1"/>
  <c r="H415" i="60"/>
  <c r="AW67" i="14" s="1"/>
  <c r="I349" i="60"/>
  <c r="AX64" i="14" s="1"/>
  <c r="H349" i="60"/>
  <c r="AW64" i="14" s="1"/>
  <c r="I151" i="60"/>
  <c r="AX55" i="14" s="1"/>
  <c r="G151" i="60"/>
  <c r="AV55" i="14" s="1"/>
  <c r="G525" i="60"/>
  <c r="AV72" i="14" s="1"/>
  <c r="J525" i="60"/>
  <c r="AY72" i="14" s="1"/>
  <c r="H85" i="60"/>
  <c r="AW52" i="14" s="1"/>
  <c r="I393" i="60"/>
  <c r="AX66" i="14" s="1"/>
  <c r="H569" i="60"/>
  <c r="AW74" i="14" s="1"/>
  <c r="H151" i="60"/>
  <c r="AW55" i="14" s="1"/>
  <c r="K525" i="60"/>
  <c r="AZ72" i="14" s="1"/>
  <c r="H525" i="60"/>
  <c r="AW72" i="14" s="1"/>
  <c r="I173" i="60"/>
  <c r="AX56" i="14" s="1"/>
  <c r="H393" i="60"/>
  <c r="AW66" i="14" s="1"/>
  <c r="AM123" i="14"/>
  <c r="O315" i="60" s="1"/>
  <c r="S322" i="60" s="1"/>
  <c r="G129" i="60"/>
  <c r="AV54" i="14" s="1"/>
  <c r="AJ122" i="37" s="1"/>
  <c r="I415" i="60"/>
  <c r="AX67" i="14" s="1"/>
  <c r="J151" i="60"/>
  <c r="AY55" i="14" s="1"/>
  <c r="K569" i="60"/>
  <c r="AZ74" i="14" s="1"/>
  <c r="J415" i="60"/>
  <c r="AY67" i="14" s="1"/>
  <c r="K415" i="60"/>
  <c r="AZ67" i="14" s="1"/>
  <c r="J349" i="60"/>
  <c r="AY64" i="14" s="1"/>
  <c r="K349" i="60"/>
  <c r="AZ64" i="14" s="1"/>
  <c r="K151" i="60"/>
  <c r="AZ55" i="14" s="1"/>
  <c r="J173" i="60"/>
  <c r="AY56" i="14" s="1"/>
  <c r="J393" i="60"/>
  <c r="AY66" i="14" s="1"/>
  <c r="R148" i="60"/>
  <c r="S148" i="60"/>
  <c r="Q148" i="60"/>
  <c r="Q82" i="60"/>
  <c r="R82" i="60"/>
  <c r="S82" i="60"/>
  <c r="R346" i="60"/>
  <c r="S346" i="60"/>
  <c r="Q346" i="60"/>
  <c r="R412" i="60"/>
  <c r="S412" i="60"/>
  <c r="Q412" i="60"/>
  <c r="Q170" i="60"/>
  <c r="S170" i="60"/>
  <c r="R170" i="60"/>
  <c r="Q302" i="60"/>
  <c r="R302" i="60"/>
  <c r="S302" i="60"/>
  <c r="R566" i="60"/>
  <c r="S566" i="60"/>
  <c r="Q566" i="60"/>
  <c r="S79" i="60"/>
  <c r="Q79" i="60"/>
  <c r="N79" i="60"/>
  <c r="N85" i="60" s="1"/>
  <c r="AU91" i="14" s="1"/>
  <c r="R79" i="60"/>
  <c r="O79" i="60"/>
  <c r="P79" i="60"/>
  <c r="Q57" i="60"/>
  <c r="R57" i="60"/>
  <c r="N57" i="60"/>
  <c r="N63" i="60" s="1"/>
  <c r="AU90" i="14" s="1"/>
  <c r="S57" i="60"/>
  <c r="P57" i="60"/>
  <c r="O57" i="60"/>
  <c r="O35" i="60"/>
  <c r="P35" i="60"/>
  <c r="S35" i="60"/>
  <c r="N35" i="60"/>
  <c r="N41" i="60" s="1"/>
  <c r="AU89" i="14" s="1"/>
  <c r="R35" i="60"/>
  <c r="Q35" i="60"/>
  <c r="Q101" i="60"/>
  <c r="R101" i="60"/>
  <c r="P101" i="60"/>
  <c r="O101" i="60"/>
  <c r="S101" i="60"/>
  <c r="N101" i="60"/>
  <c r="N107" i="60" s="1"/>
  <c r="AU92" i="14" s="1"/>
  <c r="Q167" i="60"/>
  <c r="R167" i="60"/>
  <c r="N167" i="60"/>
  <c r="N173" i="60" s="1"/>
  <c r="AU95" i="14" s="1"/>
  <c r="O167" i="60"/>
  <c r="S167" i="60"/>
  <c r="P167" i="60"/>
  <c r="S365" i="60"/>
  <c r="O365" i="60"/>
  <c r="N365" i="60"/>
  <c r="N371" i="60" s="1"/>
  <c r="AU104" i="14" s="1"/>
  <c r="Q365" i="60"/>
  <c r="P365" i="60"/>
  <c r="R365" i="60"/>
  <c r="R343" i="60"/>
  <c r="N343" i="60"/>
  <c r="N349" i="60" s="1"/>
  <c r="AU103" i="14" s="1"/>
  <c r="O343" i="60"/>
  <c r="Q343" i="60"/>
  <c r="P343" i="60"/>
  <c r="S343" i="60"/>
  <c r="R409" i="60"/>
  <c r="N409" i="60"/>
  <c r="N415" i="60" s="1"/>
  <c r="AU106" i="14" s="1"/>
  <c r="S409" i="60"/>
  <c r="Q409" i="60"/>
  <c r="P409" i="60"/>
  <c r="O409" i="60"/>
  <c r="P541" i="60"/>
  <c r="Q541" i="60"/>
  <c r="O541" i="60"/>
  <c r="R541" i="60"/>
  <c r="N541" i="60"/>
  <c r="N547" i="60" s="1"/>
  <c r="AU112" i="14" s="1"/>
  <c r="S541" i="60"/>
  <c r="Q168" i="60"/>
  <c r="R168" i="60"/>
  <c r="S168" i="60"/>
  <c r="P168" i="60"/>
  <c r="O168" i="60"/>
  <c r="R212" i="60"/>
  <c r="S212" i="60"/>
  <c r="O212" i="60"/>
  <c r="Q212" i="60"/>
  <c r="P212" i="60"/>
  <c r="Q520" i="60"/>
  <c r="R520" i="60"/>
  <c r="S520" i="60"/>
  <c r="O520" i="60"/>
  <c r="P520" i="60"/>
  <c r="S102" i="60"/>
  <c r="O102" i="60"/>
  <c r="P102" i="60"/>
  <c r="Q102" i="60"/>
  <c r="R102" i="60"/>
  <c r="R146" i="60"/>
  <c r="Q146" i="60"/>
  <c r="O146" i="60"/>
  <c r="P146" i="60"/>
  <c r="S146" i="60"/>
  <c r="Q366" i="60"/>
  <c r="P366" i="60"/>
  <c r="S366" i="60"/>
  <c r="O366" i="60"/>
  <c r="R366" i="60"/>
  <c r="R542" i="60"/>
  <c r="Q542" i="60"/>
  <c r="O542" i="60"/>
  <c r="P542" i="60"/>
  <c r="S542" i="60"/>
  <c r="R171" i="60"/>
  <c r="S171" i="60"/>
  <c r="R281" i="60"/>
  <c r="S281" i="60"/>
  <c r="R193" i="60"/>
  <c r="S193" i="60"/>
  <c r="R127" i="60"/>
  <c r="S127" i="60"/>
  <c r="S523" i="60"/>
  <c r="R523" i="60"/>
  <c r="S303" i="60"/>
  <c r="R303" i="60"/>
  <c r="R545" i="60"/>
  <c r="S545" i="60"/>
  <c r="G547" i="60"/>
  <c r="AV73" i="14" s="1"/>
  <c r="K547" i="60"/>
  <c r="AZ73" i="14" s="1"/>
  <c r="G371" i="60"/>
  <c r="AV65" i="14" s="1"/>
  <c r="J371" i="60"/>
  <c r="AY65" i="14" s="1"/>
  <c r="G195" i="60"/>
  <c r="AV57" i="14" s="1"/>
  <c r="K195" i="60"/>
  <c r="AZ57" i="14" s="1"/>
  <c r="H63" i="60"/>
  <c r="AW51" i="14" s="1"/>
  <c r="K305" i="60"/>
  <c r="AZ62" i="14" s="1"/>
  <c r="H305" i="60"/>
  <c r="AW62" i="14" s="1"/>
  <c r="K129" i="60"/>
  <c r="AZ54" i="14" s="1"/>
  <c r="AN122" i="37" s="1"/>
  <c r="J129" i="60"/>
  <c r="AY54" i="14" s="1"/>
  <c r="AM122" i="37" s="1"/>
  <c r="I261" i="60"/>
  <c r="AX60" i="14" s="1"/>
  <c r="K261" i="60"/>
  <c r="AZ60" i="14" s="1"/>
  <c r="H41" i="60"/>
  <c r="AW50" i="14" s="1"/>
  <c r="AN123" i="14"/>
  <c r="P315" i="60" s="1"/>
  <c r="Q323" i="60" s="1"/>
  <c r="Q191" i="60"/>
  <c r="P191" i="60"/>
  <c r="R191" i="60"/>
  <c r="S191" i="60"/>
  <c r="S81" i="60"/>
  <c r="R81" i="60"/>
  <c r="P81" i="60"/>
  <c r="Q81" i="60"/>
  <c r="R543" i="60"/>
  <c r="S543" i="60"/>
  <c r="P543" i="60"/>
  <c r="Q543" i="60"/>
  <c r="Q169" i="60"/>
  <c r="P169" i="60"/>
  <c r="S169" i="60"/>
  <c r="R169" i="60"/>
  <c r="Q125" i="60"/>
  <c r="S125" i="60"/>
  <c r="R125" i="60"/>
  <c r="P125" i="60"/>
  <c r="Q367" i="60"/>
  <c r="P367" i="60"/>
  <c r="R367" i="60"/>
  <c r="S367" i="60"/>
  <c r="P301" i="60"/>
  <c r="Q301" i="60"/>
  <c r="S301" i="60"/>
  <c r="R301" i="60"/>
  <c r="S521" i="60"/>
  <c r="R521" i="60"/>
  <c r="Q521" i="60"/>
  <c r="P521" i="60"/>
  <c r="J569" i="60"/>
  <c r="AY74" i="14" s="1"/>
  <c r="K173" i="60"/>
  <c r="AZ56" i="14" s="1"/>
  <c r="K393" i="60"/>
  <c r="AZ66" i="14" s="1"/>
  <c r="Q60" i="60"/>
  <c r="R60" i="60"/>
  <c r="S60" i="60"/>
  <c r="Q192" i="60"/>
  <c r="R192" i="60"/>
  <c r="S192" i="60"/>
  <c r="S390" i="60"/>
  <c r="R390" i="60"/>
  <c r="Q390" i="60"/>
  <c r="Q544" i="60"/>
  <c r="R544" i="60"/>
  <c r="S544" i="60"/>
  <c r="Q38" i="60"/>
  <c r="S38" i="60"/>
  <c r="R38" i="60"/>
  <c r="S126" i="60"/>
  <c r="Q126" i="60"/>
  <c r="R126" i="60"/>
  <c r="Q368" i="60"/>
  <c r="S368" i="60"/>
  <c r="R368" i="60"/>
  <c r="Q522" i="60"/>
  <c r="S522" i="60"/>
  <c r="R522" i="60"/>
  <c r="P211" i="60"/>
  <c r="S211" i="60"/>
  <c r="O211" i="60"/>
  <c r="N211" i="60"/>
  <c r="N217" i="60" s="1"/>
  <c r="AU97" i="14" s="1"/>
  <c r="Q211" i="60"/>
  <c r="R211" i="60"/>
  <c r="P189" i="60"/>
  <c r="S189" i="60"/>
  <c r="O189" i="60"/>
  <c r="N189" i="60"/>
  <c r="N195" i="60" s="1"/>
  <c r="AU96" i="14" s="1"/>
  <c r="Q189" i="60"/>
  <c r="R189" i="60"/>
  <c r="S387" i="60"/>
  <c r="O387" i="60"/>
  <c r="N387" i="60"/>
  <c r="N393" i="60" s="1"/>
  <c r="AU105" i="14" s="1"/>
  <c r="Q387" i="60"/>
  <c r="R387" i="60"/>
  <c r="P387" i="60"/>
  <c r="P145" i="60"/>
  <c r="Q145" i="60"/>
  <c r="O145" i="60"/>
  <c r="R145" i="60"/>
  <c r="S145" i="60"/>
  <c r="N145" i="60"/>
  <c r="N151" i="60" s="1"/>
  <c r="AU94" i="14" s="1"/>
  <c r="Q123" i="60"/>
  <c r="R123" i="60"/>
  <c r="N123" i="60"/>
  <c r="N129" i="60" s="1"/>
  <c r="AU93" i="14" s="1"/>
  <c r="AO122" i="37" s="1"/>
  <c r="O123" i="60"/>
  <c r="S123" i="60"/>
  <c r="P123" i="60"/>
  <c r="P519" i="60"/>
  <c r="S519" i="60"/>
  <c r="O519" i="60"/>
  <c r="R519" i="60"/>
  <c r="N519" i="60"/>
  <c r="N525" i="60" s="1"/>
  <c r="AU111" i="14" s="1"/>
  <c r="Q519" i="60"/>
  <c r="R299" i="60"/>
  <c r="N299" i="60"/>
  <c r="N305" i="60" s="1"/>
  <c r="AU101" i="14" s="1"/>
  <c r="S299" i="60"/>
  <c r="P299" i="60"/>
  <c r="Q299" i="60"/>
  <c r="O299" i="60"/>
  <c r="S277" i="60"/>
  <c r="O277" i="60"/>
  <c r="R277" i="60"/>
  <c r="P277" i="60"/>
  <c r="Q277" i="60"/>
  <c r="N277" i="60"/>
  <c r="N283" i="60" s="1"/>
  <c r="AU100" i="14" s="1"/>
  <c r="Q563" i="60"/>
  <c r="R563" i="60"/>
  <c r="P563" i="60"/>
  <c r="S563" i="60"/>
  <c r="O563" i="60"/>
  <c r="N563" i="60"/>
  <c r="N569" i="60" s="1"/>
  <c r="AU113" i="14" s="1"/>
  <c r="S80" i="60"/>
  <c r="Q80" i="60"/>
  <c r="R80" i="60"/>
  <c r="P80" i="60"/>
  <c r="O80" i="60"/>
  <c r="S58" i="60"/>
  <c r="O58" i="60"/>
  <c r="P58" i="60"/>
  <c r="R58" i="60"/>
  <c r="Q58" i="60"/>
  <c r="Q190" i="60"/>
  <c r="R190" i="60"/>
  <c r="P190" i="60"/>
  <c r="S190" i="60"/>
  <c r="O190" i="60"/>
  <c r="Q124" i="60"/>
  <c r="O124" i="60"/>
  <c r="R124" i="60"/>
  <c r="S124" i="60"/>
  <c r="P124" i="60"/>
  <c r="P300" i="60"/>
  <c r="S300" i="60"/>
  <c r="R300" i="60"/>
  <c r="Q300" i="60"/>
  <c r="O300" i="60"/>
  <c r="S388" i="60"/>
  <c r="O388" i="60"/>
  <c r="P388" i="60"/>
  <c r="Q388" i="60"/>
  <c r="R388" i="60"/>
  <c r="R344" i="60"/>
  <c r="Q344" i="60"/>
  <c r="S344" i="60"/>
  <c r="P344" i="60"/>
  <c r="O344" i="60"/>
  <c r="R410" i="60"/>
  <c r="Q410" i="60"/>
  <c r="O410" i="60"/>
  <c r="S410" i="60"/>
  <c r="P410" i="60"/>
  <c r="Q564" i="60"/>
  <c r="R564" i="60"/>
  <c r="S564" i="60"/>
  <c r="O564" i="60"/>
  <c r="P564" i="60"/>
  <c r="R61" i="60"/>
  <c r="S61" i="60"/>
  <c r="S369" i="60"/>
  <c r="R369" i="60"/>
  <c r="R39" i="60"/>
  <c r="S39" i="60"/>
  <c r="S149" i="60"/>
  <c r="R149" i="60"/>
  <c r="S347" i="60"/>
  <c r="R347" i="60"/>
  <c r="R391" i="60"/>
  <c r="S391" i="60"/>
  <c r="S413" i="60"/>
  <c r="R413" i="60"/>
  <c r="R567" i="60"/>
  <c r="S567" i="60"/>
  <c r="J547" i="60"/>
  <c r="AY73" i="14" s="1"/>
  <c r="I547" i="60"/>
  <c r="AX73" i="14" s="1"/>
  <c r="H547" i="60"/>
  <c r="AW73" i="14" s="1"/>
  <c r="K371" i="60"/>
  <c r="AZ65" i="14" s="1"/>
  <c r="H371" i="60"/>
  <c r="AW65" i="14" s="1"/>
  <c r="I371" i="60"/>
  <c r="AX65" i="14" s="1"/>
  <c r="H195" i="60"/>
  <c r="AW57" i="14" s="1"/>
  <c r="I195" i="60"/>
  <c r="AX57" i="14" s="1"/>
  <c r="J195" i="60"/>
  <c r="AY57" i="14" s="1"/>
  <c r="K63" i="60"/>
  <c r="AZ51" i="14" s="1"/>
  <c r="I63" i="60"/>
  <c r="AX51" i="14" s="1"/>
  <c r="I305" i="60"/>
  <c r="AX62" i="14" s="1"/>
  <c r="G305" i="60"/>
  <c r="AV62" i="14" s="1"/>
  <c r="J305" i="60"/>
  <c r="AY62" i="14" s="1"/>
  <c r="H129" i="60"/>
  <c r="AW54" i="14" s="1"/>
  <c r="AK122" i="37" s="1"/>
  <c r="I129" i="60"/>
  <c r="AX54" i="14" s="1"/>
  <c r="AL122" i="37" s="1"/>
  <c r="H261" i="60"/>
  <c r="AW60" i="14" s="1"/>
  <c r="G261" i="60"/>
  <c r="AV60" i="14" s="1"/>
  <c r="J261" i="60"/>
  <c r="AY60" i="14" s="1"/>
  <c r="I41" i="60"/>
  <c r="AX50" i="14" s="1"/>
  <c r="Q59" i="60"/>
  <c r="P59" i="60"/>
  <c r="S59" i="60"/>
  <c r="R59" i="60"/>
  <c r="P213" i="60"/>
  <c r="Q389" i="60"/>
  <c r="R389" i="60"/>
  <c r="S389" i="60"/>
  <c r="P389" i="60"/>
  <c r="P411" i="60"/>
  <c r="Q411" i="60"/>
  <c r="R411" i="60"/>
  <c r="S411" i="60"/>
  <c r="Q103" i="60"/>
  <c r="P103" i="60"/>
  <c r="R103" i="60"/>
  <c r="S103" i="60"/>
  <c r="P147" i="60"/>
  <c r="Q147" i="60"/>
  <c r="R147" i="60"/>
  <c r="S147" i="60"/>
  <c r="R565" i="60"/>
  <c r="S565" i="60"/>
  <c r="P565" i="60"/>
  <c r="Q565" i="60"/>
  <c r="P345" i="60"/>
  <c r="Q345" i="60"/>
  <c r="S345" i="60"/>
  <c r="R345" i="60"/>
  <c r="G107" i="60"/>
  <c r="AV53" i="14" s="1"/>
  <c r="S213" i="60" l="1"/>
  <c r="R213" i="60"/>
  <c r="S83" i="60"/>
  <c r="S85" i="60" s="1"/>
  <c r="AZ91" i="14" s="1"/>
  <c r="H321" i="60"/>
  <c r="I321" i="60"/>
  <c r="K83" i="60"/>
  <c r="K85" i="60" s="1"/>
  <c r="AZ52" i="14" s="1"/>
  <c r="AK108" i="15" s="1"/>
  <c r="J83" i="60"/>
  <c r="J85" i="60" s="1"/>
  <c r="AY52" i="14" s="1"/>
  <c r="AM120" i="37" s="1"/>
  <c r="AM89" i="37" s="1"/>
  <c r="Q51" i="37" s="1"/>
  <c r="Q19" i="37" s="1"/>
  <c r="H475" i="60"/>
  <c r="AO120" i="14"/>
  <c r="Q95" i="60"/>
  <c r="AO81" i="14"/>
  <c r="I95" i="60"/>
  <c r="I103" i="60"/>
  <c r="K103" i="60"/>
  <c r="H103" i="60"/>
  <c r="H107" i="60" s="1"/>
  <c r="AW53" i="14" s="1"/>
  <c r="AH109" i="15" s="1"/>
  <c r="J103" i="60"/>
  <c r="AQ62" i="14"/>
  <c r="J14" i="3"/>
  <c r="I128" i="3"/>
  <c r="I129" i="3"/>
  <c r="H447" i="60"/>
  <c r="AN82" i="14"/>
  <c r="AQ101" i="14"/>
  <c r="J15" i="3"/>
  <c r="AJ121" i="37"/>
  <c r="AJ90" i="37" s="1"/>
  <c r="N52" i="37" s="1"/>
  <c r="N20" i="37" s="1"/>
  <c r="AG109" i="15"/>
  <c r="AO121" i="37"/>
  <c r="AO90" i="37" s="1"/>
  <c r="AO52" i="37" s="1"/>
  <c r="AL109" i="15"/>
  <c r="AK121" i="37"/>
  <c r="AK90" i="37" s="1"/>
  <c r="O52" i="37" s="1"/>
  <c r="O20" i="37" s="1"/>
  <c r="AF80" i="15"/>
  <c r="AF52" i="15" s="1"/>
  <c r="AJ108" i="15"/>
  <c r="AJ120" i="37"/>
  <c r="AJ89" i="37" s="1"/>
  <c r="N51" i="37" s="1"/>
  <c r="N19" i="37" s="1"/>
  <c r="AG108" i="15"/>
  <c r="AO120" i="37"/>
  <c r="AO89" i="37" s="1"/>
  <c r="AO51" i="37" s="1"/>
  <c r="AL108" i="15"/>
  <c r="AN120" i="37"/>
  <c r="AN89" i="37" s="1"/>
  <c r="R51" i="37" s="1"/>
  <c r="R19" i="37" s="1"/>
  <c r="AK120" i="37"/>
  <c r="AK89" i="37" s="1"/>
  <c r="O51" i="37" s="1"/>
  <c r="O19" i="37" s="1"/>
  <c r="AH108" i="15"/>
  <c r="AL120" i="37"/>
  <c r="AL89" i="37" s="1"/>
  <c r="P51" i="37" s="1"/>
  <c r="P19" i="37" s="1"/>
  <c r="AI108" i="15"/>
  <c r="AN119" i="37"/>
  <c r="AN88" i="37" s="1"/>
  <c r="R50" i="37" s="1"/>
  <c r="R18" i="37" s="1"/>
  <c r="AK107" i="15"/>
  <c r="AK119" i="37"/>
  <c r="AK88" i="37" s="1"/>
  <c r="O50" i="37" s="1"/>
  <c r="O18" i="37" s="1"/>
  <c r="AH107" i="15"/>
  <c r="AF78" i="15"/>
  <c r="AF50" i="15" s="1"/>
  <c r="AL119" i="37"/>
  <c r="AL88" i="37" s="1"/>
  <c r="P50" i="37" s="1"/>
  <c r="P18" i="37" s="1"/>
  <c r="AI107" i="15"/>
  <c r="AM119" i="37"/>
  <c r="AM88" i="37" s="1"/>
  <c r="Q50" i="37" s="1"/>
  <c r="Q18" i="37" s="1"/>
  <c r="AJ107" i="15"/>
  <c r="AO119" i="37"/>
  <c r="AO88" i="37" s="1"/>
  <c r="AO50" i="37" s="1"/>
  <c r="AL107" i="15"/>
  <c r="AJ119" i="37"/>
  <c r="AJ88" i="37" s="1"/>
  <c r="N50" i="37" s="1"/>
  <c r="N18" i="37" s="1"/>
  <c r="AG107" i="15"/>
  <c r="AF48" i="15"/>
  <c r="E48" i="15" s="1"/>
  <c r="E16" i="15" s="1"/>
  <c r="AI105" i="15"/>
  <c r="AI106" i="15"/>
  <c r="AK105" i="15"/>
  <c r="AK106" i="15"/>
  <c r="AJ105" i="15"/>
  <c r="AJ76" i="15" s="1"/>
  <c r="P48" i="15" s="1"/>
  <c r="AJ106" i="15"/>
  <c r="AF77" i="15"/>
  <c r="AF49" i="15" s="1"/>
  <c r="AH105" i="15"/>
  <c r="AH106" i="15"/>
  <c r="AL105" i="15"/>
  <c r="AL76" i="15" s="1"/>
  <c r="AL48" i="15" s="1"/>
  <c r="AL106" i="15"/>
  <c r="AG77" i="15"/>
  <c r="AG49" i="15" s="1"/>
  <c r="AI76" i="15"/>
  <c r="O48" i="15" s="1"/>
  <c r="AH76" i="15"/>
  <c r="N48" i="15" s="1"/>
  <c r="AJ118" i="37"/>
  <c r="AJ87" i="37" s="1"/>
  <c r="AJ49" i="37" s="1"/>
  <c r="AG105" i="15"/>
  <c r="AK76" i="15"/>
  <c r="Q48" i="15" s="1"/>
  <c r="L16" i="15"/>
  <c r="AL91" i="37"/>
  <c r="P53" i="37" s="1"/>
  <c r="P21" i="37" s="1"/>
  <c r="AO91" i="37"/>
  <c r="AO53" i="37" s="1"/>
  <c r="AN91" i="37"/>
  <c r="R53" i="37" s="1"/>
  <c r="R21" i="37" s="1"/>
  <c r="AJ91" i="37"/>
  <c r="N53" i="37" s="1"/>
  <c r="N21" i="37" s="1"/>
  <c r="AI53" i="37"/>
  <c r="F53" i="37" s="1"/>
  <c r="F21" i="37" s="1"/>
  <c r="AK91" i="37"/>
  <c r="O53" i="37" s="1"/>
  <c r="O21" i="37" s="1"/>
  <c r="AM91" i="37"/>
  <c r="Q53" i="37" s="1"/>
  <c r="Q21" i="37" s="1"/>
  <c r="D97" i="34"/>
  <c r="D96" i="34"/>
  <c r="D170" i="7"/>
  <c r="AH109" i="7" s="1"/>
  <c r="D96" i="43"/>
  <c r="D97" i="43"/>
  <c r="AI50" i="37"/>
  <c r="F50" i="37" s="1"/>
  <c r="F18" i="37" s="1"/>
  <c r="D145" i="7" s="1"/>
  <c r="AB106" i="7" s="1"/>
  <c r="AI51" i="37"/>
  <c r="F51" i="37" s="1"/>
  <c r="F19" i="37" s="1"/>
  <c r="D68" i="34" s="1"/>
  <c r="AI52" i="37"/>
  <c r="F52" i="37" s="1"/>
  <c r="F20" i="37" s="1"/>
  <c r="D84" i="43"/>
  <c r="D162" i="7"/>
  <c r="AH108" i="7" s="1"/>
  <c r="D84" i="34"/>
  <c r="D85" i="34"/>
  <c r="D85" i="43"/>
  <c r="D86" i="43" s="1"/>
  <c r="D154" i="7"/>
  <c r="AH107" i="7" s="1"/>
  <c r="D73" i="34"/>
  <c r="D72" i="34"/>
  <c r="D72" i="43"/>
  <c r="D73" i="43"/>
  <c r="D60" i="34"/>
  <c r="D146" i="7"/>
  <c r="AH106" i="7" s="1"/>
  <c r="D60" i="43"/>
  <c r="D61" i="34"/>
  <c r="D61" i="43"/>
  <c r="AN458" i="50"/>
  <c r="AN511" i="50" s="1"/>
  <c r="K518" i="50" s="1"/>
  <c r="AN118" i="37"/>
  <c r="AM458" i="50"/>
  <c r="AM511" i="50" s="1"/>
  <c r="J518" i="50" s="1"/>
  <c r="AM118" i="37"/>
  <c r="AI87" i="37"/>
  <c r="AI49" i="37" s="1"/>
  <c r="AL458" i="50"/>
  <c r="AL511" i="50" s="1"/>
  <c r="I518" i="50" s="1"/>
  <c r="AL118" i="37"/>
  <c r="AK458" i="50"/>
  <c r="AK511" i="50" s="1"/>
  <c r="H518" i="50" s="1"/>
  <c r="AK118" i="37"/>
  <c r="AP458" i="50"/>
  <c r="AP511" i="50" s="1"/>
  <c r="AW511" i="50" s="1"/>
  <c r="AO118" i="37"/>
  <c r="AO87" i="37" s="1"/>
  <c r="J322" i="60"/>
  <c r="I322" i="60"/>
  <c r="G322" i="60"/>
  <c r="H322" i="60"/>
  <c r="AW37" i="14"/>
  <c r="AJ64" i="50"/>
  <c r="AJ115" i="50" s="1"/>
  <c r="AJ458" i="50"/>
  <c r="AP63" i="50"/>
  <c r="AP114" i="50" s="1"/>
  <c r="AP90" i="50" s="1"/>
  <c r="AW90" i="50" s="1"/>
  <c r="AP64" i="50"/>
  <c r="AP115" i="50" s="1"/>
  <c r="AN63" i="50"/>
  <c r="AN114" i="50" s="1"/>
  <c r="AN64" i="50"/>
  <c r="AM63" i="50"/>
  <c r="AM114" i="50" s="1"/>
  <c r="AM64" i="50"/>
  <c r="AL63" i="50"/>
  <c r="AL64" i="50"/>
  <c r="AK63" i="50"/>
  <c r="AK64" i="50"/>
  <c r="AI91" i="50"/>
  <c r="AJ117" i="37"/>
  <c r="AJ86" i="37" s="1"/>
  <c r="AJ63" i="50"/>
  <c r="R37" i="60"/>
  <c r="S36" i="60"/>
  <c r="Q36" i="60"/>
  <c r="Q37" i="60"/>
  <c r="O36" i="60"/>
  <c r="O41" i="60" s="1"/>
  <c r="AV89" i="14" s="1"/>
  <c r="R36" i="60"/>
  <c r="S37" i="60"/>
  <c r="R501" i="60"/>
  <c r="H481" i="60"/>
  <c r="AW70" i="14" s="1"/>
  <c r="S476" i="60"/>
  <c r="H212" i="60"/>
  <c r="I217" i="60"/>
  <c r="AX58" i="14" s="1"/>
  <c r="G321" i="60"/>
  <c r="R479" i="60"/>
  <c r="J283" i="60"/>
  <c r="AY61" i="14" s="1"/>
  <c r="F321" i="60"/>
  <c r="F327" i="60" s="1"/>
  <c r="AU63" i="14" s="1"/>
  <c r="AU80" i="14" s="1"/>
  <c r="F15" i="60" s="1"/>
  <c r="J321" i="60"/>
  <c r="G212" i="60"/>
  <c r="G217" i="60" s="1"/>
  <c r="AV58" i="14" s="1"/>
  <c r="J212" i="60"/>
  <c r="J217" i="60" s="1"/>
  <c r="AY58" i="14" s="1"/>
  <c r="K283" i="60"/>
  <c r="AZ61" i="14" s="1"/>
  <c r="H503" i="60"/>
  <c r="AW71" i="14" s="1"/>
  <c r="K475" i="60"/>
  <c r="G475" i="60"/>
  <c r="G481" i="60" s="1"/>
  <c r="AV70" i="14" s="1"/>
  <c r="J475" i="60"/>
  <c r="I475" i="60"/>
  <c r="I481" i="60" s="1"/>
  <c r="AX70" i="14" s="1"/>
  <c r="R500" i="60"/>
  <c r="C33" i="1"/>
  <c r="H33" i="1" s="1"/>
  <c r="AB1" i="58"/>
  <c r="Q431" i="60"/>
  <c r="K481" i="60"/>
  <c r="AZ70" i="14" s="1"/>
  <c r="J503" i="60"/>
  <c r="AY71" i="14" s="1"/>
  <c r="K503" i="60"/>
  <c r="AZ71" i="14" s="1"/>
  <c r="S433" i="60"/>
  <c r="Q478" i="60"/>
  <c r="R498" i="60"/>
  <c r="G437" i="60"/>
  <c r="AV68" i="14" s="1"/>
  <c r="Q432" i="60"/>
  <c r="N497" i="60"/>
  <c r="N503" i="60" s="1"/>
  <c r="AU110" i="14" s="1"/>
  <c r="Q476" i="60"/>
  <c r="N431" i="60"/>
  <c r="N437" i="60" s="1"/>
  <c r="AU107" i="14" s="1"/>
  <c r="O431" i="60"/>
  <c r="S435" i="60"/>
  <c r="O497" i="60"/>
  <c r="O503" i="60" s="1"/>
  <c r="AV110" i="14" s="1"/>
  <c r="Q497" i="60"/>
  <c r="P499" i="60"/>
  <c r="S498" i="60"/>
  <c r="N475" i="60"/>
  <c r="N481" i="60" s="1"/>
  <c r="AU109" i="14" s="1"/>
  <c r="S434" i="60"/>
  <c r="S437" i="60" s="1"/>
  <c r="AZ107" i="14" s="1"/>
  <c r="R499" i="60"/>
  <c r="S478" i="60"/>
  <c r="S477" i="60"/>
  <c r="P498" i="60"/>
  <c r="P475" i="60"/>
  <c r="S259" i="60"/>
  <c r="O476" i="60"/>
  <c r="R476" i="60"/>
  <c r="O432" i="60"/>
  <c r="P431" i="60"/>
  <c r="R431" i="60"/>
  <c r="Q258" i="60"/>
  <c r="P497" i="60"/>
  <c r="S497" i="60"/>
  <c r="Q500" i="60"/>
  <c r="K437" i="60"/>
  <c r="AZ68" i="14" s="1"/>
  <c r="Q499" i="60"/>
  <c r="Q433" i="60"/>
  <c r="Q477" i="60"/>
  <c r="Q498" i="60"/>
  <c r="O321" i="60"/>
  <c r="O475" i="60"/>
  <c r="R434" i="60"/>
  <c r="J437" i="60"/>
  <c r="AY68" i="14" s="1"/>
  <c r="H437" i="60"/>
  <c r="AW68" i="14" s="1"/>
  <c r="R433" i="60"/>
  <c r="P477" i="60"/>
  <c r="S475" i="60"/>
  <c r="R475" i="60"/>
  <c r="P432" i="60"/>
  <c r="P437" i="60" s="1"/>
  <c r="AW107" i="14" s="1"/>
  <c r="R432" i="60"/>
  <c r="O278" i="60"/>
  <c r="O283" i="60" s="1"/>
  <c r="AV100" i="14" s="1"/>
  <c r="G327" i="60"/>
  <c r="AV63" i="14" s="1"/>
  <c r="N321" i="60"/>
  <c r="N327" i="60" s="1"/>
  <c r="AU102" i="14" s="1"/>
  <c r="P323" i="60"/>
  <c r="R258" i="60"/>
  <c r="R278" i="60"/>
  <c r="Q278" i="60"/>
  <c r="Q256" i="60"/>
  <c r="S323" i="60"/>
  <c r="Q322" i="60"/>
  <c r="P321" i="60"/>
  <c r="O322" i="60"/>
  <c r="O327" i="60" s="1"/>
  <c r="AV102" i="14" s="1"/>
  <c r="S278" i="60"/>
  <c r="S256" i="60"/>
  <c r="Q321" i="60"/>
  <c r="R321" i="60"/>
  <c r="R323" i="60"/>
  <c r="P322" i="60"/>
  <c r="R322" i="60"/>
  <c r="R280" i="60"/>
  <c r="P279" i="60"/>
  <c r="P283" i="60" s="1"/>
  <c r="AW100" i="14" s="1"/>
  <c r="S279" i="60"/>
  <c r="Q257" i="60"/>
  <c r="Q280" i="60"/>
  <c r="R279" i="60"/>
  <c r="P255" i="60"/>
  <c r="S257" i="60"/>
  <c r="O255" i="60"/>
  <c r="N255" i="60"/>
  <c r="N261" i="60" s="1"/>
  <c r="AU99" i="14" s="1"/>
  <c r="R257" i="60"/>
  <c r="Q255" i="60"/>
  <c r="S255" i="60"/>
  <c r="O256" i="60"/>
  <c r="R256" i="60"/>
  <c r="O525" i="60"/>
  <c r="AV111" i="14" s="1"/>
  <c r="O151" i="60"/>
  <c r="AV94" i="14" s="1"/>
  <c r="AK117" i="37"/>
  <c r="AN117" i="37"/>
  <c r="AO117" i="37"/>
  <c r="AI86" i="37"/>
  <c r="AL117" i="37"/>
  <c r="AM117" i="37"/>
  <c r="P525" i="60"/>
  <c r="AW111" i="14" s="1"/>
  <c r="Q525" i="60"/>
  <c r="AX111" i="14" s="1"/>
  <c r="R525" i="60"/>
  <c r="AY111" i="14" s="1"/>
  <c r="S525" i="60"/>
  <c r="AZ111" i="14" s="1"/>
  <c r="O217" i="60"/>
  <c r="AV97" i="14" s="1"/>
  <c r="O569" i="60"/>
  <c r="AV113" i="14" s="1"/>
  <c r="P569" i="60"/>
  <c r="AW113" i="14" s="1"/>
  <c r="Q569" i="60"/>
  <c r="AX113" i="14" s="1"/>
  <c r="Q305" i="60"/>
  <c r="AX101" i="14" s="1"/>
  <c r="S305" i="60"/>
  <c r="AZ101" i="14" s="1"/>
  <c r="R305" i="60"/>
  <c r="AY101" i="14" s="1"/>
  <c r="S129" i="60"/>
  <c r="AZ93" i="14" s="1"/>
  <c r="AT122" i="37" s="1"/>
  <c r="S151" i="60"/>
  <c r="AZ94" i="14" s="1"/>
  <c r="P151" i="60"/>
  <c r="AW94" i="14" s="1"/>
  <c r="P393" i="60"/>
  <c r="AW105" i="14" s="1"/>
  <c r="Q393" i="60"/>
  <c r="AX105" i="14" s="1"/>
  <c r="O393" i="60"/>
  <c r="AV105" i="14" s="1"/>
  <c r="R195" i="60"/>
  <c r="AY96" i="14" s="1"/>
  <c r="S195" i="60"/>
  <c r="AZ96" i="14" s="1"/>
  <c r="Q129" i="60"/>
  <c r="AX93" i="14" s="1"/>
  <c r="AR122" i="37" s="1"/>
  <c r="S547" i="60"/>
  <c r="AZ112" i="14" s="1"/>
  <c r="R547" i="60"/>
  <c r="AY112" i="14" s="1"/>
  <c r="Q547" i="60"/>
  <c r="AX112" i="14" s="1"/>
  <c r="O415" i="60"/>
  <c r="AV106" i="14" s="1"/>
  <c r="Q415" i="60"/>
  <c r="AX106" i="14" s="1"/>
  <c r="S349" i="60"/>
  <c r="AZ103" i="14" s="1"/>
  <c r="Q349" i="60"/>
  <c r="AX103" i="14" s="1"/>
  <c r="R371" i="60"/>
  <c r="AY104" i="14" s="1"/>
  <c r="Q371" i="60"/>
  <c r="AX104" i="14" s="1"/>
  <c r="O371" i="60"/>
  <c r="AV104" i="14" s="1"/>
  <c r="P173" i="60"/>
  <c r="AW95" i="14" s="1"/>
  <c r="O173" i="60"/>
  <c r="AV95" i="14" s="1"/>
  <c r="R173" i="60"/>
  <c r="AY95" i="14" s="1"/>
  <c r="O107" i="60"/>
  <c r="AV92" i="14" s="1"/>
  <c r="P41" i="60"/>
  <c r="AW89" i="14" s="1"/>
  <c r="O261" i="60"/>
  <c r="AV99" i="14" s="1"/>
  <c r="P261" i="60"/>
  <c r="AW99" i="14" s="1"/>
  <c r="O63" i="60"/>
  <c r="AV90" i="14" s="1"/>
  <c r="S63" i="60"/>
  <c r="AZ90" i="14" s="1"/>
  <c r="R63" i="60"/>
  <c r="AY90" i="14" s="1"/>
  <c r="P85" i="60"/>
  <c r="AW91" i="14" s="1"/>
  <c r="R85" i="60"/>
  <c r="AY91" i="14" s="1"/>
  <c r="Q85" i="60"/>
  <c r="AX91" i="14" s="1"/>
  <c r="S569" i="60"/>
  <c r="AZ113" i="14" s="1"/>
  <c r="R569" i="60"/>
  <c r="AY113" i="14" s="1"/>
  <c r="O305" i="60"/>
  <c r="AV101" i="14" s="1"/>
  <c r="P305" i="60"/>
  <c r="AW101" i="14" s="1"/>
  <c r="P129" i="60"/>
  <c r="AW93" i="14" s="1"/>
  <c r="AQ122" i="37" s="1"/>
  <c r="O129" i="60"/>
  <c r="AV93" i="14" s="1"/>
  <c r="AP122" i="37" s="1"/>
  <c r="R129" i="60"/>
  <c r="AY93" i="14" s="1"/>
  <c r="AS122" i="37" s="1"/>
  <c r="R151" i="60"/>
  <c r="AY94" i="14" s="1"/>
  <c r="Q151" i="60"/>
  <c r="AX94" i="14" s="1"/>
  <c r="R393" i="60"/>
  <c r="AY105" i="14" s="1"/>
  <c r="S393" i="60"/>
  <c r="AZ105" i="14" s="1"/>
  <c r="Q195" i="60"/>
  <c r="AX96" i="14" s="1"/>
  <c r="O195" i="60"/>
  <c r="AV96" i="14" s="1"/>
  <c r="P195" i="60"/>
  <c r="AW96" i="14" s="1"/>
  <c r="P217" i="60"/>
  <c r="AW97" i="14" s="1"/>
  <c r="O547" i="60"/>
  <c r="AV112" i="14" s="1"/>
  <c r="P547" i="60"/>
  <c r="AW112" i="14" s="1"/>
  <c r="P415" i="60"/>
  <c r="AW106" i="14" s="1"/>
  <c r="S415" i="60"/>
  <c r="AZ106" i="14" s="1"/>
  <c r="R415" i="60"/>
  <c r="AY106" i="14" s="1"/>
  <c r="P349" i="60"/>
  <c r="AW103" i="14" s="1"/>
  <c r="O349" i="60"/>
  <c r="AV103" i="14" s="1"/>
  <c r="R349" i="60"/>
  <c r="AY103" i="14" s="1"/>
  <c r="P371" i="60"/>
  <c r="AW104" i="14" s="1"/>
  <c r="S371" i="60"/>
  <c r="AZ104" i="14" s="1"/>
  <c r="S173" i="60"/>
  <c r="AZ95" i="14" s="1"/>
  <c r="Q173" i="60"/>
  <c r="AX95" i="14" s="1"/>
  <c r="P107" i="60"/>
  <c r="AW92" i="14" s="1"/>
  <c r="Q261" i="60"/>
  <c r="AX99" i="14" s="1"/>
  <c r="S261" i="60"/>
  <c r="AZ99" i="14" s="1"/>
  <c r="R261" i="60"/>
  <c r="AY99" i="14" s="1"/>
  <c r="P63" i="60"/>
  <c r="AW90" i="14" s="1"/>
  <c r="Q63" i="60"/>
  <c r="AX90" i="14" s="1"/>
  <c r="O85" i="60"/>
  <c r="AV91" i="14" s="1"/>
  <c r="AQ120" i="14" l="1"/>
  <c r="S95" i="60"/>
  <c r="S106" i="60" s="1"/>
  <c r="H455" i="60"/>
  <c r="I455" i="60"/>
  <c r="H459" i="60"/>
  <c r="AW69" i="14" s="1"/>
  <c r="K455" i="60"/>
  <c r="J455" i="60"/>
  <c r="AP101" i="14"/>
  <c r="I15" i="3"/>
  <c r="I104" i="60"/>
  <c r="I107" i="60" s="1"/>
  <c r="AX53" i="14" s="1"/>
  <c r="K104" i="60"/>
  <c r="J104" i="60"/>
  <c r="Q104" i="60"/>
  <c r="Q107" i="60" s="1"/>
  <c r="AX92" i="14" s="1"/>
  <c r="AO109" i="15" s="1"/>
  <c r="R104" i="60"/>
  <c r="S104" i="60"/>
  <c r="H205" i="60"/>
  <c r="H217" i="60" s="1"/>
  <c r="AW58" i="14" s="1"/>
  <c r="AN84" i="14"/>
  <c r="H315" i="60" s="1"/>
  <c r="AP62" i="14"/>
  <c r="I14" i="3"/>
  <c r="A1" i="3" s="1"/>
  <c r="C17" i="1" s="1"/>
  <c r="H17" i="1" s="1"/>
  <c r="AQ81" i="14"/>
  <c r="K95" i="60"/>
  <c r="K106" i="60" s="1"/>
  <c r="I447" i="60"/>
  <c r="AO82" i="14"/>
  <c r="AO84" i="14" s="1"/>
  <c r="I315" i="60" s="1"/>
  <c r="Q447" i="60"/>
  <c r="AO121" i="14"/>
  <c r="AL50" i="37"/>
  <c r="I50" i="37" s="1"/>
  <c r="I18" i="37" s="1"/>
  <c r="G55" i="34" s="1"/>
  <c r="D55" i="34"/>
  <c r="AH80" i="15"/>
  <c r="AH52" i="15" s="1"/>
  <c r="AL80" i="15"/>
  <c r="L52" i="15" s="1"/>
  <c r="L20" i="15" s="1"/>
  <c r="AG80" i="15"/>
  <c r="AG52" i="15" s="1"/>
  <c r="AQ121" i="37"/>
  <c r="AN109" i="15"/>
  <c r="AR121" i="37"/>
  <c r="AR90" i="37" s="1"/>
  <c r="AR52" i="37" s="1"/>
  <c r="AP121" i="37"/>
  <c r="AP90" i="37" s="1"/>
  <c r="AP52" i="37" s="1"/>
  <c r="AM109" i="15"/>
  <c r="AT120" i="37"/>
  <c r="AT89" i="37" s="1"/>
  <c r="AT51" i="37" s="1"/>
  <c r="AQ108" i="15"/>
  <c r="AS120" i="37"/>
  <c r="AS89" i="37" s="1"/>
  <c r="AS51" i="37" s="1"/>
  <c r="AP108" i="15"/>
  <c r="AI79" i="15"/>
  <c r="AI51" i="15" s="1"/>
  <c r="AH79" i="15"/>
  <c r="AH51" i="15" s="1"/>
  <c r="AK79" i="15"/>
  <c r="AK51" i="15" s="1"/>
  <c r="AL79" i="15"/>
  <c r="L51" i="15" s="1"/>
  <c r="L19" i="15" s="1"/>
  <c r="AG79" i="15"/>
  <c r="AG51" i="15" s="1"/>
  <c r="AJ79" i="15"/>
  <c r="AJ51" i="15" s="1"/>
  <c r="AP120" i="37"/>
  <c r="AP89" i="37" s="1"/>
  <c r="AP51" i="37" s="1"/>
  <c r="AM108" i="15"/>
  <c r="AR120" i="37"/>
  <c r="AR89" i="37" s="1"/>
  <c r="AR51" i="37" s="1"/>
  <c r="AO108" i="15"/>
  <c r="AQ120" i="37"/>
  <c r="AQ89" i="37" s="1"/>
  <c r="AQ51" i="37" s="1"/>
  <c r="AN108" i="15"/>
  <c r="AR119" i="37"/>
  <c r="AR88" i="37" s="1"/>
  <c r="AR50" i="37" s="1"/>
  <c r="AO107" i="15"/>
  <c r="AS119" i="37"/>
  <c r="AS88" i="37" s="1"/>
  <c r="AS50" i="37" s="1"/>
  <c r="AP107" i="15"/>
  <c r="AQ119" i="37"/>
  <c r="AQ88" i="37" s="1"/>
  <c r="AQ50" i="37" s="1"/>
  <c r="AN107" i="15"/>
  <c r="AT119" i="37"/>
  <c r="AT88" i="37" s="1"/>
  <c r="AT50" i="37" s="1"/>
  <c r="AQ107" i="15"/>
  <c r="AG78" i="15"/>
  <c r="AG50" i="15" s="1"/>
  <c r="AL78" i="15"/>
  <c r="L50" i="15" s="1"/>
  <c r="L18" i="15" s="1"/>
  <c r="AJ78" i="15"/>
  <c r="AJ50" i="15" s="1"/>
  <c r="AI78" i="15"/>
  <c r="AI50" i="15" s="1"/>
  <c r="AH78" i="15"/>
  <c r="AH50" i="15" s="1"/>
  <c r="AK78" i="15"/>
  <c r="AK50" i="15" s="1"/>
  <c r="AP119" i="37"/>
  <c r="AP88" i="37" s="1"/>
  <c r="AP50" i="37" s="1"/>
  <c r="AM107" i="15"/>
  <c r="D56" i="43"/>
  <c r="AN487" i="50"/>
  <c r="K510" i="50" s="1"/>
  <c r="D56" i="34"/>
  <c r="AK48" i="15"/>
  <c r="J48" i="15" s="1"/>
  <c r="AH48" i="15"/>
  <c r="G48" i="15" s="1"/>
  <c r="G16" i="15" s="1"/>
  <c r="AI48" i="15"/>
  <c r="H48" i="15" s="1"/>
  <c r="H16" i="15" s="1"/>
  <c r="AJ48" i="15"/>
  <c r="I48" i="15" s="1"/>
  <c r="I16" i="15" s="1"/>
  <c r="AL77" i="15"/>
  <c r="L49" i="15" s="1"/>
  <c r="AH77" i="15"/>
  <c r="AH49" i="15" s="1"/>
  <c r="AJ77" i="15"/>
  <c r="AJ49" i="15" s="1"/>
  <c r="AK77" i="15"/>
  <c r="AK49" i="15" s="1"/>
  <c r="AI77" i="15"/>
  <c r="AI49" i="15" s="1"/>
  <c r="AN105" i="15"/>
  <c r="AN76" i="15" s="1"/>
  <c r="AN48" i="15" s="1"/>
  <c r="AN106" i="15"/>
  <c r="AM105" i="15"/>
  <c r="AM106" i="15"/>
  <c r="D36" i="44"/>
  <c r="D364" i="7"/>
  <c r="D36" i="45"/>
  <c r="D37" i="44"/>
  <c r="D37" i="45"/>
  <c r="J16" i="15"/>
  <c r="D31" i="44"/>
  <c r="D32" i="44"/>
  <c r="D32" i="45"/>
  <c r="D31" i="45"/>
  <c r="D363" i="7"/>
  <c r="AG76" i="15"/>
  <c r="M48" i="15" s="1"/>
  <c r="AM76" i="15"/>
  <c r="AM48" i="15" s="1"/>
  <c r="P16" i="15"/>
  <c r="Q16" i="15"/>
  <c r="N16" i="15"/>
  <c r="O16" i="15"/>
  <c r="D55" i="43"/>
  <c r="D67" i="34"/>
  <c r="D69" i="34" s="1"/>
  <c r="D68" i="43"/>
  <c r="D153" i="7"/>
  <c r="AB107" i="7" s="1"/>
  <c r="D98" i="34"/>
  <c r="AM53" i="37"/>
  <c r="J53" i="37" s="1"/>
  <c r="J21" i="37" s="1"/>
  <c r="H91" i="43" s="1"/>
  <c r="AK53" i="37"/>
  <c r="H53" i="37" s="1"/>
  <c r="H21" i="37" s="1"/>
  <c r="F92" i="34" s="1"/>
  <c r="AJ51" i="37"/>
  <c r="G51" i="37" s="1"/>
  <c r="G19" i="37" s="1"/>
  <c r="E153" i="7" s="1"/>
  <c r="AC107" i="7" s="1"/>
  <c r="AM51" i="37"/>
  <c r="J51" i="37" s="1"/>
  <c r="J19" i="37" s="1"/>
  <c r="H68" i="34" s="1"/>
  <c r="AP91" i="37"/>
  <c r="AP53" i="37" s="1"/>
  <c r="AS91" i="37"/>
  <c r="AS53" i="37" s="1"/>
  <c r="AQ91" i="37"/>
  <c r="AQ53" i="37" s="1"/>
  <c r="AR91" i="37"/>
  <c r="AR53" i="37" s="1"/>
  <c r="AT91" i="37"/>
  <c r="AT53" i="37" s="1"/>
  <c r="D86" i="34"/>
  <c r="AJ52" i="37"/>
  <c r="G52" i="37" s="1"/>
  <c r="G20" i="37" s="1"/>
  <c r="E161" i="7" s="1"/>
  <c r="AC108" i="7" s="1"/>
  <c r="D98" i="43"/>
  <c r="H97" i="34"/>
  <c r="H96" i="34"/>
  <c r="H170" i="7"/>
  <c r="AL109" i="7" s="1"/>
  <c r="H96" i="43"/>
  <c r="H97" i="43"/>
  <c r="F97" i="34"/>
  <c r="F170" i="7"/>
  <c r="AJ109" i="7" s="1"/>
  <c r="F96" i="34"/>
  <c r="F98" i="34" s="1"/>
  <c r="F96" i="43"/>
  <c r="F97" i="43"/>
  <c r="AJ53" i="37"/>
  <c r="G53" i="37" s="1"/>
  <c r="G21" i="37" s="1"/>
  <c r="AN53" i="37"/>
  <c r="K53" i="37" s="1"/>
  <c r="K21" i="37" s="1"/>
  <c r="AL53" i="37"/>
  <c r="I53" i="37" s="1"/>
  <c r="I21" i="37" s="1"/>
  <c r="D92" i="34"/>
  <c r="D91" i="43"/>
  <c r="D169" i="7"/>
  <c r="AB109" i="7" s="1"/>
  <c r="D91" i="34"/>
  <c r="D92" i="43"/>
  <c r="E170" i="7"/>
  <c r="AI109" i="7" s="1"/>
  <c r="E97" i="34"/>
  <c r="E96" i="34"/>
  <c r="E96" i="43"/>
  <c r="E97" i="43"/>
  <c r="I97" i="34"/>
  <c r="I96" i="34"/>
  <c r="I96" i="43"/>
  <c r="I170" i="7"/>
  <c r="AM109" i="7" s="1"/>
  <c r="I97" i="43"/>
  <c r="G97" i="34"/>
  <c r="G96" i="34"/>
  <c r="G170" i="7"/>
  <c r="AK109" i="7" s="1"/>
  <c r="G96" i="43"/>
  <c r="G97" i="43"/>
  <c r="F84" i="34"/>
  <c r="F84" i="43"/>
  <c r="F162" i="7"/>
  <c r="AJ108" i="7" s="1"/>
  <c r="F85" i="34"/>
  <c r="F85" i="43"/>
  <c r="AQ90" i="37"/>
  <c r="AK50" i="37"/>
  <c r="H50" i="37" s="1"/>
  <c r="H18" i="37" s="1"/>
  <c r="F55" i="43" s="1"/>
  <c r="AN50" i="37"/>
  <c r="K50" i="37" s="1"/>
  <c r="K18" i="37" s="1"/>
  <c r="I56" i="34" s="1"/>
  <c r="D67" i="43"/>
  <c r="D69" i="43" s="1"/>
  <c r="AN51" i="37"/>
  <c r="K51" i="37" s="1"/>
  <c r="K19" i="37" s="1"/>
  <c r="I153" i="7" s="1"/>
  <c r="AG107" i="7" s="1"/>
  <c r="AK52" i="37"/>
  <c r="H52" i="37" s="1"/>
  <c r="H20" i="37" s="1"/>
  <c r="D79" i="43"/>
  <c r="D80" i="43"/>
  <c r="D161" i="7"/>
  <c r="AB108" i="7" s="1"/>
  <c r="D79" i="34"/>
  <c r="D80" i="34"/>
  <c r="E84" i="34"/>
  <c r="E162" i="7"/>
  <c r="AI108" i="7" s="1"/>
  <c r="E85" i="34"/>
  <c r="E84" i="43"/>
  <c r="E85" i="43"/>
  <c r="AM50" i="37"/>
  <c r="J50" i="37" s="1"/>
  <c r="J18" i="37" s="1"/>
  <c r="H145" i="7" s="1"/>
  <c r="AF106" i="7" s="1"/>
  <c r="D74" i="43"/>
  <c r="D74" i="34"/>
  <c r="E72" i="34"/>
  <c r="E73" i="34"/>
  <c r="E154" i="7"/>
  <c r="AI107" i="7" s="1"/>
  <c r="E72" i="43"/>
  <c r="E73" i="43"/>
  <c r="H73" i="34"/>
  <c r="H73" i="43"/>
  <c r="H154" i="7"/>
  <c r="AL107" i="7" s="1"/>
  <c r="H72" i="34"/>
  <c r="H72" i="43"/>
  <c r="AL51" i="37"/>
  <c r="I51" i="37" s="1"/>
  <c r="I19" i="37" s="1"/>
  <c r="AK51" i="37"/>
  <c r="H51" i="37" s="1"/>
  <c r="H19" i="37" s="1"/>
  <c r="G72" i="34"/>
  <c r="G154" i="7"/>
  <c r="AK107" i="7" s="1"/>
  <c r="G72" i="43"/>
  <c r="G73" i="34"/>
  <c r="G73" i="43"/>
  <c r="G74" i="43" s="1"/>
  <c r="F72" i="43"/>
  <c r="F154" i="7"/>
  <c r="AJ107" i="7" s="1"/>
  <c r="F73" i="43"/>
  <c r="F72" i="34"/>
  <c r="F73" i="34"/>
  <c r="I72" i="43"/>
  <c r="I72" i="34"/>
  <c r="I73" i="34"/>
  <c r="I154" i="7"/>
  <c r="AM107" i="7" s="1"/>
  <c r="I73" i="43"/>
  <c r="I74" i="43" s="1"/>
  <c r="D62" i="43"/>
  <c r="D62" i="34"/>
  <c r="F60" i="43"/>
  <c r="F146" i="7"/>
  <c r="AJ106" i="7" s="1"/>
  <c r="F61" i="34"/>
  <c r="F60" i="34"/>
  <c r="F61" i="43"/>
  <c r="I60" i="43"/>
  <c r="I60" i="34"/>
  <c r="I61" i="34"/>
  <c r="I146" i="7"/>
  <c r="AM106" i="7" s="1"/>
  <c r="I61" i="43"/>
  <c r="I62" i="43" s="1"/>
  <c r="AJ50" i="37"/>
  <c r="G50" i="37" s="1"/>
  <c r="G18" i="37" s="1"/>
  <c r="G60" i="43"/>
  <c r="G61" i="34"/>
  <c r="G60" i="34"/>
  <c r="G146" i="7"/>
  <c r="AK106" i="7" s="1"/>
  <c r="G61" i="43"/>
  <c r="G62" i="43" s="1"/>
  <c r="E60" i="43"/>
  <c r="E60" i="34"/>
  <c r="E146" i="7"/>
  <c r="AI106" i="7" s="1"/>
  <c r="E61" i="34"/>
  <c r="E61" i="43"/>
  <c r="E62" i="43" s="1"/>
  <c r="H146" i="7"/>
  <c r="AL106" i="7" s="1"/>
  <c r="H60" i="34"/>
  <c r="H60" i="43"/>
  <c r="H61" i="34"/>
  <c r="H61" i="43"/>
  <c r="H62" i="43" s="1"/>
  <c r="AM487" i="50"/>
  <c r="J510" i="50" s="1"/>
  <c r="AP487" i="50"/>
  <c r="AW487" i="50" s="1"/>
  <c r="AK487" i="50"/>
  <c r="H510" i="50" s="1"/>
  <c r="AL487" i="50"/>
  <c r="I510" i="50" s="1"/>
  <c r="AR458" i="50"/>
  <c r="AR511" i="50" s="1"/>
  <c r="AY511" i="50" s="1"/>
  <c r="AQ118" i="37"/>
  <c r="AO49" i="37"/>
  <c r="F49" i="37" s="1"/>
  <c r="F17" i="37" s="1"/>
  <c r="M49" i="37"/>
  <c r="M17" i="37" s="1"/>
  <c r="AK87" i="37"/>
  <c r="AK49" i="37" s="1"/>
  <c r="AL87" i="37"/>
  <c r="AL49" i="37" s="1"/>
  <c r="AM87" i="37"/>
  <c r="AM49" i="37" s="1"/>
  <c r="AN87" i="37"/>
  <c r="AN49" i="37" s="1"/>
  <c r="AQ458" i="50"/>
  <c r="AQ511" i="50" s="1"/>
  <c r="AQ487" i="50" s="1"/>
  <c r="AP118" i="37"/>
  <c r="AW38" i="14"/>
  <c r="AW114" i="50"/>
  <c r="S41" i="60"/>
  <c r="AZ89" i="14" s="1"/>
  <c r="AQ106" i="15" s="1"/>
  <c r="Q41" i="60"/>
  <c r="AX89" i="14" s="1"/>
  <c r="AR117" i="37" s="1"/>
  <c r="R41" i="60"/>
  <c r="AY89" i="14" s="1"/>
  <c r="AP106" i="15" s="1"/>
  <c r="AN90" i="50"/>
  <c r="AR487" i="50"/>
  <c r="AY487" i="50" s="1"/>
  <c r="AM90" i="50"/>
  <c r="AJ511" i="50"/>
  <c r="G518" i="50" s="1"/>
  <c r="AQ63" i="50"/>
  <c r="AQ114" i="50" s="1"/>
  <c r="AQ90" i="50" s="1"/>
  <c r="AQ64" i="50"/>
  <c r="AQ115" i="50" s="1"/>
  <c r="AQ91" i="50" s="1"/>
  <c r="AS63" i="50"/>
  <c r="AS114" i="50" s="1"/>
  <c r="AS90" i="50" s="1"/>
  <c r="AP91" i="50"/>
  <c r="AW91" i="50" s="1"/>
  <c r="F132" i="50" s="1"/>
  <c r="F131" i="50" s="1"/>
  <c r="AW115" i="50"/>
  <c r="F140" i="50" s="1"/>
  <c r="F139" i="50" s="1"/>
  <c r="AU63" i="50"/>
  <c r="AU114" i="50" s="1"/>
  <c r="AU90" i="50" s="1"/>
  <c r="AR63" i="50"/>
  <c r="AR114" i="50" s="1"/>
  <c r="AR90" i="50" s="1"/>
  <c r="AR64" i="50"/>
  <c r="AR115" i="50" s="1"/>
  <c r="AR91" i="50" s="1"/>
  <c r="AJ91" i="50"/>
  <c r="AK115" i="50"/>
  <c r="AL115" i="50"/>
  <c r="AM115" i="50"/>
  <c r="AN115" i="50"/>
  <c r="AK114" i="50"/>
  <c r="AL114" i="50"/>
  <c r="AJ114" i="50"/>
  <c r="S283" i="60"/>
  <c r="AZ100" i="14" s="1"/>
  <c r="AV80" i="14"/>
  <c r="G15" i="60" s="1"/>
  <c r="Q437" i="60"/>
  <c r="AX107" i="14" s="1"/>
  <c r="R503" i="60"/>
  <c r="AY110" i="14" s="1"/>
  <c r="AJ48" i="37"/>
  <c r="G48" i="37" s="1"/>
  <c r="N48" i="37"/>
  <c r="AI48" i="37"/>
  <c r="F48" i="37" s="1"/>
  <c r="M48" i="37"/>
  <c r="AU119" i="14"/>
  <c r="F16" i="60" s="1"/>
  <c r="F17" i="60" s="1"/>
  <c r="R481" i="60"/>
  <c r="AY109" i="14" s="1"/>
  <c r="P481" i="60"/>
  <c r="AW109" i="14" s="1"/>
  <c r="Q481" i="60"/>
  <c r="AX109" i="14" s="1"/>
  <c r="P503" i="60"/>
  <c r="AW110" i="14" s="1"/>
  <c r="O437" i="60"/>
  <c r="AV107" i="14" s="1"/>
  <c r="S503" i="60"/>
  <c r="AZ110" i="14" s="1"/>
  <c r="S481" i="60"/>
  <c r="AZ109" i="14" s="1"/>
  <c r="R437" i="60"/>
  <c r="AY107" i="14" s="1"/>
  <c r="O481" i="60"/>
  <c r="AV109" i="14" s="1"/>
  <c r="Q503" i="60"/>
  <c r="AX110" i="14" s="1"/>
  <c r="Q283" i="60"/>
  <c r="AX100" i="14" s="1"/>
  <c r="P327" i="60"/>
  <c r="AW102" i="14" s="1"/>
  <c r="R283" i="60"/>
  <c r="AY100" i="14" s="1"/>
  <c r="AQ117" i="37"/>
  <c r="AM86" i="37"/>
  <c r="AL86" i="37"/>
  <c r="AO86" i="37"/>
  <c r="AO48" i="37" s="1"/>
  <c r="AN86" i="37"/>
  <c r="AK86" i="37"/>
  <c r="AP117" i="37"/>
  <c r="AQ52" i="37" l="1"/>
  <c r="AX511" i="50"/>
  <c r="H91" i="34"/>
  <c r="F91" i="34"/>
  <c r="AI109" i="15"/>
  <c r="AI80" i="15" s="1"/>
  <c r="AI52" i="15" s="1"/>
  <c r="AL121" i="37"/>
  <c r="Q456" i="60"/>
  <c r="Q459" i="60"/>
  <c r="AX108" i="14" s="1"/>
  <c r="S456" i="60"/>
  <c r="R456" i="60"/>
  <c r="J456" i="60"/>
  <c r="K456" i="60"/>
  <c r="I456" i="60"/>
  <c r="I459" i="60"/>
  <c r="AX69" i="14" s="1"/>
  <c r="I323" i="60"/>
  <c r="K323" i="60"/>
  <c r="H323" i="60"/>
  <c r="H327" i="60" s="1"/>
  <c r="AW63" i="14" s="1"/>
  <c r="AW80" i="14" s="1"/>
  <c r="H15" i="60" s="1"/>
  <c r="J323" i="60"/>
  <c r="AP120" i="14"/>
  <c r="R95" i="60"/>
  <c r="Q205" i="60"/>
  <c r="AO123" i="14"/>
  <c r="Q315" i="60" s="1"/>
  <c r="K324" i="60"/>
  <c r="I324" i="60"/>
  <c r="J324" i="60"/>
  <c r="I327" i="60"/>
  <c r="AX63" i="14" s="1"/>
  <c r="AX80" i="14" s="1"/>
  <c r="I15" i="60" s="1"/>
  <c r="K447" i="60"/>
  <c r="AQ82" i="14"/>
  <c r="AP81" i="14"/>
  <c r="J95" i="60"/>
  <c r="K213" i="60"/>
  <c r="I213" i="60"/>
  <c r="J213" i="60"/>
  <c r="H213" i="60"/>
  <c r="S447" i="60"/>
  <c r="AQ121" i="14"/>
  <c r="G56" i="34"/>
  <c r="G57" i="34" s="1"/>
  <c r="G55" i="43"/>
  <c r="G56" i="43"/>
  <c r="G145" i="7"/>
  <c r="AE106" i="7" s="1"/>
  <c r="AH338" i="7"/>
  <c r="D303" i="7" s="1"/>
  <c r="D366" i="7"/>
  <c r="T338" i="7" s="1"/>
  <c r="AB338" i="7"/>
  <c r="D296" i="7" s="1"/>
  <c r="D365" i="7"/>
  <c r="N338" i="7" s="1"/>
  <c r="E67" i="34"/>
  <c r="H153" i="7"/>
  <c r="AF107" i="7" s="1"/>
  <c r="D57" i="34"/>
  <c r="I55" i="43"/>
  <c r="I67" i="34"/>
  <c r="AM80" i="15"/>
  <c r="M52" i="15" s="1"/>
  <c r="M20" i="15" s="1"/>
  <c r="AO80" i="15"/>
  <c r="O52" i="15" s="1"/>
  <c r="O20" i="15" s="1"/>
  <c r="AN80" i="15"/>
  <c r="N52" i="15" s="1"/>
  <c r="N20" i="15" s="1"/>
  <c r="AL52" i="15"/>
  <c r="E52" i="15" s="1"/>
  <c r="E20" i="15" s="1"/>
  <c r="D396" i="7"/>
  <c r="D84" i="44"/>
  <c r="D84" i="45"/>
  <c r="D85" i="45"/>
  <c r="D85" i="44"/>
  <c r="AL50" i="15"/>
  <c r="E50" i="15" s="1"/>
  <c r="E18" i="15" s="1"/>
  <c r="D55" i="45" s="1"/>
  <c r="AN79" i="15"/>
  <c r="N51" i="15" s="1"/>
  <c r="N19" i="15" s="1"/>
  <c r="AO79" i="15"/>
  <c r="O51" i="15" s="1"/>
  <c r="O19" i="15" s="1"/>
  <c r="AM79" i="15"/>
  <c r="M51" i="15" s="1"/>
  <c r="M19" i="15" s="1"/>
  <c r="AL51" i="15"/>
  <c r="E51" i="15" s="1"/>
  <c r="E19" i="15" s="1"/>
  <c r="AP79" i="15"/>
  <c r="P51" i="15" s="1"/>
  <c r="P19" i="15" s="1"/>
  <c r="AQ79" i="15"/>
  <c r="Q51" i="15" s="1"/>
  <c r="Q19" i="15" s="1"/>
  <c r="D72" i="45"/>
  <c r="D388" i="7"/>
  <c r="D72" i="44"/>
  <c r="D73" i="45"/>
  <c r="D73" i="44"/>
  <c r="D74" i="44" s="1"/>
  <c r="AM78" i="15"/>
  <c r="M50" i="15" s="1"/>
  <c r="M18" i="15" s="1"/>
  <c r="AQ78" i="15"/>
  <c r="Q50" i="15" s="1"/>
  <c r="Q18" i="15" s="1"/>
  <c r="AN78" i="15"/>
  <c r="N50" i="15" s="1"/>
  <c r="N18" i="15" s="1"/>
  <c r="AP78" i="15"/>
  <c r="P50" i="15" s="1"/>
  <c r="P18" i="15" s="1"/>
  <c r="AO78" i="15"/>
  <c r="O50" i="15" s="1"/>
  <c r="O18" i="15" s="1"/>
  <c r="D60" i="44"/>
  <c r="D60" i="45"/>
  <c r="D380" i="7"/>
  <c r="D61" i="44"/>
  <c r="D61" i="45"/>
  <c r="D57" i="43"/>
  <c r="AL49" i="15"/>
  <c r="E49" i="15" s="1"/>
  <c r="E17" i="15" s="1"/>
  <c r="AP77" i="15"/>
  <c r="P49" i="15" s="1"/>
  <c r="AQ77" i="15"/>
  <c r="Q49" i="15" s="1"/>
  <c r="AM77" i="15"/>
  <c r="M49" i="15" s="1"/>
  <c r="M17" i="15" s="1"/>
  <c r="AN77" i="15"/>
  <c r="N49" i="15" s="1"/>
  <c r="AO105" i="15"/>
  <c r="AO76" i="15" s="1"/>
  <c r="AO48" i="15" s="1"/>
  <c r="AO106" i="15"/>
  <c r="L17" i="15"/>
  <c r="L68" i="15"/>
  <c r="G36" i="45"/>
  <c r="G364" i="7"/>
  <c r="G37" i="45"/>
  <c r="G36" i="44"/>
  <c r="G37" i="44"/>
  <c r="F364" i="7"/>
  <c r="F37" i="44"/>
  <c r="F36" i="45"/>
  <c r="F36" i="44"/>
  <c r="F37" i="45"/>
  <c r="I36" i="45"/>
  <c r="I37" i="44"/>
  <c r="I364" i="7"/>
  <c r="I36" i="44"/>
  <c r="I37" i="45"/>
  <c r="H364" i="7"/>
  <c r="H37" i="44"/>
  <c r="H37" i="45"/>
  <c r="H36" i="45"/>
  <c r="H36" i="44"/>
  <c r="G31" i="45"/>
  <c r="G363" i="7"/>
  <c r="G31" i="44"/>
  <c r="G32" i="44"/>
  <c r="G32" i="45"/>
  <c r="F31" i="44"/>
  <c r="F32" i="45"/>
  <c r="F363" i="7"/>
  <c r="F31" i="45"/>
  <c r="F32" i="44"/>
  <c r="AG48" i="15"/>
  <c r="F48" i="15" s="1"/>
  <c r="D33" i="45"/>
  <c r="D33" i="44"/>
  <c r="I31" i="44"/>
  <c r="I31" i="45"/>
  <c r="I32" i="45"/>
  <c r="I363" i="7"/>
  <c r="I32" i="44"/>
  <c r="H31" i="45"/>
  <c r="H363" i="7"/>
  <c r="H32" i="44"/>
  <c r="H31" i="44"/>
  <c r="H32" i="45"/>
  <c r="D38" i="45"/>
  <c r="D38" i="44"/>
  <c r="AS117" i="37"/>
  <c r="AS86" i="37" s="1"/>
  <c r="AS48" i="37" s="1"/>
  <c r="AP105" i="15"/>
  <c r="AT117" i="37"/>
  <c r="AT86" i="37" s="1"/>
  <c r="AT48" i="37" s="1"/>
  <c r="AQ105" i="15"/>
  <c r="M16" i="15"/>
  <c r="F55" i="34"/>
  <c r="I56" i="43"/>
  <c r="I57" i="43" s="1"/>
  <c r="H92" i="43"/>
  <c r="H93" i="43" s="1"/>
  <c r="H56" i="34"/>
  <c r="I145" i="7"/>
  <c r="AG106" i="7" s="1"/>
  <c r="I67" i="43"/>
  <c r="E80" i="43"/>
  <c r="I55" i="34"/>
  <c r="I57" i="34" s="1"/>
  <c r="E68" i="43"/>
  <c r="E68" i="34"/>
  <c r="I68" i="43"/>
  <c r="I68" i="34"/>
  <c r="H92" i="34"/>
  <c r="H93" i="34" s="1"/>
  <c r="E79" i="43"/>
  <c r="F92" i="43"/>
  <c r="F56" i="43"/>
  <c r="F57" i="43" s="1"/>
  <c r="H55" i="43"/>
  <c r="H67" i="34"/>
  <c r="H69" i="34" s="1"/>
  <c r="E80" i="34"/>
  <c r="F91" i="43"/>
  <c r="F56" i="34"/>
  <c r="H56" i="43"/>
  <c r="H68" i="43"/>
  <c r="H67" i="43"/>
  <c r="E79" i="34"/>
  <c r="G98" i="34"/>
  <c r="E98" i="43"/>
  <c r="D93" i="43"/>
  <c r="F169" i="7"/>
  <c r="AD109" i="7" s="1"/>
  <c r="F98" i="43"/>
  <c r="H98" i="34"/>
  <c r="F145" i="7"/>
  <c r="AD106" i="7" s="1"/>
  <c r="H55" i="34"/>
  <c r="E67" i="43"/>
  <c r="H169" i="7"/>
  <c r="AF109" i="7" s="1"/>
  <c r="F86" i="34"/>
  <c r="H74" i="43"/>
  <c r="E74" i="43"/>
  <c r="E74" i="34"/>
  <c r="E86" i="43"/>
  <c r="D81" i="43"/>
  <c r="I98" i="43"/>
  <c r="I169" i="7"/>
  <c r="AG109" i="7" s="1"/>
  <c r="I92" i="34"/>
  <c r="I91" i="34"/>
  <c r="I91" i="43"/>
  <c r="I92" i="43"/>
  <c r="G98" i="43"/>
  <c r="I98" i="34"/>
  <c r="E98" i="34"/>
  <c r="D93" i="34"/>
  <c r="F93" i="34"/>
  <c r="G91" i="34"/>
  <c r="G92" i="34"/>
  <c r="G169" i="7"/>
  <c r="AE109" i="7" s="1"/>
  <c r="G91" i="43"/>
  <c r="G92" i="43"/>
  <c r="E91" i="43"/>
  <c r="E169" i="7"/>
  <c r="AC109" i="7" s="1"/>
  <c r="E92" i="43"/>
  <c r="E93" i="43" s="1"/>
  <c r="E91" i="34"/>
  <c r="E92" i="34"/>
  <c r="H98" i="43"/>
  <c r="G62" i="34"/>
  <c r="F74" i="34"/>
  <c r="D81" i="34"/>
  <c r="E86" i="34"/>
  <c r="F79" i="34"/>
  <c r="F79" i="43"/>
  <c r="F161" i="7"/>
  <c r="AD108" i="7" s="1"/>
  <c r="F80" i="34"/>
  <c r="F80" i="43"/>
  <c r="F86" i="43"/>
  <c r="I62" i="34"/>
  <c r="I74" i="34"/>
  <c r="F74" i="43"/>
  <c r="G74" i="34"/>
  <c r="G67" i="34"/>
  <c r="G67" i="43"/>
  <c r="G153" i="7"/>
  <c r="AE107" i="7" s="1"/>
  <c r="G68" i="34"/>
  <c r="G68" i="43"/>
  <c r="H74" i="34"/>
  <c r="F68" i="34"/>
  <c r="F153" i="7"/>
  <c r="AD107" i="7" s="1"/>
  <c r="F67" i="43"/>
  <c r="F67" i="34"/>
  <c r="F68" i="43"/>
  <c r="F69" i="43" s="1"/>
  <c r="H62" i="34"/>
  <c r="F62" i="34"/>
  <c r="E62" i="34"/>
  <c r="E55" i="34"/>
  <c r="E145" i="7"/>
  <c r="AC106" i="7" s="1"/>
  <c r="E55" i="43"/>
  <c r="E56" i="34"/>
  <c r="E56" i="43"/>
  <c r="F62" i="43"/>
  <c r="AS458" i="50"/>
  <c r="AS511" i="50" s="1"/>
  <c r="AS487" i="50" s="1"/>
  <c r="AZ487" i="50" s="1"/>
  <c r="AR118" i="37"/>
  <c r="AP87" i="37"/>
  <c r="N49" i="37" s="1"/>
  <c r="N17" i="37" s="1"/>
  <c r="D48" i="34"/>
  <c r="D138" i="7"/>
  <c r="D48" i="43"/>
  <c r="D49" i="43"/>
  <c r="D49" i="34"/>
  <c r="D50" i="34" s="1"/>
  <c r="AQ87" i="37"/>
  <c r="O49" i="37" s="1"/>
  <c r="O17" i="37" s="1"/>
  <c r="AT458" i="50"/>
  <c r="AT511" i="50" s="1"/>
  <c r="BA511" i="50" s="1"/>
  <c r="AS118" i="37"/>
  <c r="AU458" i="50"/>
  <c r="AU511" i="50" s="1"/>
  <c r="BB511" i="50" s="1"/>
  <c r="AT118" i="37"/>
  <c r="D137" i="7"/>
  <c r="D44" i="43"/>
  <c r="D43" i="34"/>
  <c r="D44" i="34"/>
  <c r="D43" i="43"/>
  <c r="AV119" i="14"/>
  <c r="G16" i="60" s="1"/>
  <c r="G17" i="60" s="1"/>
  <c r="AL91" i="50"/>
  <c r="AM91" i="50"/>
  <c r="AK91" i="50"/>
  <c r="F135" i="50"/>
  <c r="F134" i="50"/>
  <c r="Z131" i="50" s="1"/>
  <c r="F133" i="50"/>
  <c r="F143" i="50"/>
  <c r="F142" i="50"/>
  <c r="AA131" i="50" s="1"/>
  <c r="F141" i="50"/>
  <c r="AT64" i="50"/>
  <c r="AT115" i="50" s="1"/>
  <c r="AT91" i="50" s="1"/>
  <c r="AU64" i="50"/>
  <c r="AU115" i="50" s="1"/>
  <c r="AU91" i="50" s="1"/>
  <c r="AT63" i="50"/>
  <c r="AT114" i="50" s="1"/>
  <c r="AT90" i="50" s="1"/>
  <c r="BA90" i="50" s="1"/>
  <c r="AS64" i="50"/>
  <c r="AS115" i="50" s="1"/>
  <c r="AS91" i="50" s="1"/>
  <c r="AW39" i="14"/>
  <c r="AZ114" i="50"/>
  <c r="BB90" i="50"/>
  <c r="AX114" i="50"/>
  <c r="AJ487" i="50"/>
  <c r="AY115" i="50"/>
  <c r="H140" i="50" s="1"/>
  <c r="H139" i="50" s="1"/>
  <c r="AY114" i="50"/>
  <c r="AX91" i="50"/>
  <c r="G132" i="50" s="1"/>
  <c r="G131" i="50" s="1"/>
  <c r="BB114" i="50"/>
  <c r="AX115" i="50"/>
  <c r="G140" i="50" s="1"/>
  <c r="G139" i="50" s="1"/>
  <c r="AN91" i="50"/>
  <c r="AL90" i="50"/>
  <c r="AZ90" i="50" s="1"/>
  <c r="AK90" i="50"/>
  <c r="AY90" i="50" s="1"/>
  <c r="AJ90" i="50"/>
  <c r="AX90" i="50" s="1"/>
  <c r="AM48" i="37"/>
  <c r="J48" i="37" s="1"/>
  <c r="Q48" i="37"/>
  <c r="M16" i="37"/>
  <c r="M68" i="37"/>
  <c r="N16" i="37"/>
  <c r="AK48" i="37"/>
  <c r="H48" i="37" s="1"/>
  <c r="O48" i="37"/>
  <c r="AN48" i="37"/>
  <c r="K48" i="37" s="1"/>
  <c r="R48" i="37"/>
  <c r="AL48" i="37"/>
  <c r="I48" i="37" s="1"/>
  <c r="P48" i="37"/>
  <c r="F16" i="37"/>
  <c r="F68" i="37"/>
  <c r="G16" i="37"/>
  <c r="AW119" i="14"/>
  <c r="H16" i="60" s="1"/>
  <c r="AP86" i="37"/>
  <c r="AP48" i="37" s="1"/>
  <c r="AQ86" i="37"/>
  <c r="AQ48" i="37" s="1"/>
  <c r="AR86" i="37"/>
  <c r="AR48" i="37" s="1"/>
  <c r="AX487" i="50" l="1"/>
  <c r="G510" i="50"/>
  <c r="E81" i="43"/>
  <c r="S459" i="60"/>
  <c r="AZ108" i="14" s="1"/>
  <c r="S458" i="60"/>
  <c r="J105" i="60"/>
  <c r="J107" i="60" s="1"/>
  <c r="AY53" i="14" s="1"/>
  <c r="K105" i="60"/>
  <c r="K107" i="60" s="1"/>
  <c r="AZ53" i="14" s="1"/>
  <c r="K205" i="60"/>
  <c r="AQ84" i="14"/>
  <c r="K315" i="60" s="1"/>
  <c r="K326" i="60" s="1"/>
  <c r="Q324" i="60"/>
  <c r="S324" i="60"/>
  <c r="R324" i="60"/>
  <c r="Q327" i="60"/>
  <c r="AX102" i="14" s="1"/>
  <c r="S105" i="60"/>
  <c r="S107" i="60" s="1"/>
  <c r="AZ92" i="14" s="1"/>
  <c r="R105" i="60"/>
  <c r="R107" i="60" s="1"/>
  <c r="AY92" i="14" s="1"/>
  <c r="H17" i="60"/>
  <c r="S205" i="60"/>
  <c r="AQ123" i="14"/>
  <c r="S315" i="60" s="1"/>
  <c r="J447" i="60"/>
  <c r="AP82" i="14"/>
  <c r="K458" i="60"/>
  <c r="K459" i="60"/>
  <c r="AZ69" i="14" s="1"/>
  <c r="S214" i="60"/>
  <c r="Q214" i="60"/>
  <c r="R214" i="60"/>
  <c r="Q217" i="60"/>
  <c r="AX97" i="14" s="1"/>
  <c r="R447" i="60"/>
  <c r="AP121" i="14"/>
  <c r="K327" i="60"/>
  <c r="AZ63" i="14" s="1"/>
  <c r="AL90" i="37"/>
  <c r="P52" i="37" s="1"/>
  <c r="P20" i="37" s="1"/>
  <c r="G57" i="43"/>
  <c r="AZ511" i="50"/>
  <c r="D316" i="7"/>
  <c r="D320" i="7"/>
  <c r="D326" i="7"/>
  <c r="D330" i="7"/>
  <c r="AH342" i="7"/>
  <c r="D398" i="7"/>
  <c r="T342" i="7" s="1"/>
  <c r="AH341" i="7"/>
  <c r="D390" i="7"/>
  <c r="T341" i="7" s="1"/>
  <c r="AH340" i="7"/>
  <c r="D382" i="7"/>
  <c r="T340" i="7" s="1"/>
  <c r="AF338" i="7"/>
  <c r="H296" i="7" s="1"/>
  <c r="H365" i="7"/>
  <c r="R338" i="7" s="1"/>
  <c r="AD338" i="7"/>
  <c r="F296" i="7" s="1"/>
  <c r="F365" i="7"/>
  <c r="P338" i="7" s="1"/>
  <c r="AE338" i="7"/>
  <c r="G296" i="7" s="1"/>
  <c r="G365" i="7"/>
  <c r="Q338" i="7" s="1"/>
  <c r="AL338" i="7"/>
  <c r="H303" i="7" s="1"/>
  <c r="H366" i="7"/>
  <c r="X338" i="7" s="1"/>
  <c r="AJ338" i="7"/>
  <c r="F303" i="7" s="1"/>
  <c r="F366" i="7"/>
  <c r="V338" i="7" s="1"/>
  <c r="AK338" i="7"/>
  <c r="G303" i="7" s="1"/>
  <c r="G366" i="7"/>
  <c r="W338" i="7" s="1"/>
  <c r="AG338" i="7"/>
  <c r="I296" i="7" s="1"/>
  <c r="I365" i="7"/>
  <c r="S338" i="7" s="1"/>
  <c r="AM338" i="7"/>
  <c r="I303" i="7" s="1"/>
  <c r="I366" i="7"/>
  <c r="Y338" i="7" s="1"/>
  <c r="AH105" i="7"/>
  <c r="D68" i="7" s="1"/>
  <c r="D140" i="7"/>
  <c r="T105" i="7" s="1"/>
  <c r="AB105" i="7"/>
  <c r="D61" i="7" s="1"/>
  <c r="D139" i="7"/>
  <c r="N105" i="7" s="1"/>
  <c r="E69" i="34"/>
  <c r="I69" i="34"/>
  <c r="D56" i="44"/>
  <c r="D55" i="44"/>
  <c r="D56" i="45"/>
  <c r="D57" i="45" s="1"/>
  <c r="D379" i="7"/>
  <c r="AN51" i="15"/>
  <c r="G51" i="15" s="1"/>
  <c r="G19" i="15" s="1"/>
  <c r="F67" i="44" s="1"/>
  <c r="D86" i="45"/>
  <c r="D62" i="45"/>
  <c r="AQ50" i="15"/>
  <c r="J50" i="15" s="1"/>
  <c r="J18" i="15" s="1"/>
  <c r="I379" i="7" s="1"/>
  <c r="D74" i="45"/>
  <c r="AQ51" i="15"/>
  <c r="J51" i="15" s="1"/>
  <c r="J19" i="15" s="1"/>
  <c r="I67" i="45" s="1"/>
  <c r="AP51" i="15"/>
  <c r="I51" i="15" s="1"/>
  <c r="I19" i="15" s="1"/>
  <c r="H387" i="7" s="1"/>
  <c r="D86" i="44"/>
  <c r="AN52" i="15"/>
  <c r="G52" i="15" s="1"/>
  <c r="G20" i="15" s="1"/>
  <c r="AO52" i="15"/>
  <c r="H52" i="15" s="1"/>
  <c r="H20" i="15" s="1"/>
  <c r="AM52" i="15"/>
  <c r="F52" i="15" s="1"/>
  <c r="F20" i="15" s="1"/>
  <c r="D395" i="7"/>
  <c r="D79" i="45"/>
  <c r="D79" i="44"/>
  <c r="D80" i="44"/>
  <c r="D80" i="45"/>
  <c r="F396" i="7"/>
  <c r="F84" i="44"/>
  <c r="F84" i="45"/>
  <c r="F85" i="44"/>
  <c r="F86" i="44" s="1"/>
  <c r="F85" i="45"/>
  <c r="F86" i="45" s="1"/>
  <c r="G84" i="45"/>
  <c r="G84" i="44"/>
  <c r="G396" i="7"/>
  <c r="G85" i="44"/>
  <c r="G86" i="44" s="1"/>
  <c r="G85" i="45"/>
  <c r="G86" i="45" s="1"/>
  <c r="E84" i="45"/>
  <c r="E84" i="44"/>
  <c r="E396" i="7"/>
  <c r="E85" i="45"/>
  <c r="E85" i="44"/>
  <c r="D387" i="7"/>
  <c r="D67" i="45"/>
  <c r="D67" i="44"/>
  <c r="D68" i="44"/>
  <c r="D68" i="45"/>
  <c r="E72" i="45"/>
  <c r="E388" i="7"/>
  <c r="E72" i="44"/>
  <c r="E73" i="45"/>
  <c r="E73" i="44"/>
  <c r="E74" i="44" s="1"/>
  <c r="G72" i="45"/>
  <c r="G72" i="44"/>
  <c r="G388" i="7"/>
  <c r="G73" i="45"/>
  <c r="G73" i="44"/>
  <c r="F388" i="7"/>
  <c r="F72" i="45"/>
  <c r="F72" i="44"/>
  <c r="F73" i="45"/>
  <c r="F73" i="44"/>
  <c r="F74" i="44" s="1"/>
  <c r="AM50" i="15"/>
  <c r="F50" i="15" s="1"/>
  <c r="F18" i="15" s="1"/>
  <c r="E379" i="7" s="1"/>
  <c r="I388" i="7"/>
  <c r="I72" i="45"/>
  <c r="I72" i="44"/>
  <c r="I73" i="45"/>
  <c r="I73" i="44"/>
  <c r="I74" i="44" s="1"/>
  <c r="H72" i="44"/>
  <c r="H72" i="45"/>
  <c r="H388" i="7"/>
  <c r="H73" i="45"/>
  <c r="H74" i="45" s="1"/>
  <c r="H73" i="44"/>
  <c r="H74" i="44" s="1"/>
  <c r="AM51" i="15"/>
  <c r="F51" i="15" s="1"/>
  <c r="F19" i="15" s="1"/>
  <c r="AO51" i="15"/>
  <c r="H51" i="15" s="1"/>
  <c r="H19" i="15" s="1"/>
  <c r="G380" i="7"/>
  <c r="G60" i="44"/>
  <c r="G60" i="45"/>
  <c r="G61" i="44"/>
  <c r="G62" i="44" s="1"/>
  <c r="G61" i="45"/>
  <c r="G62" i="45" s="1"/>
  <c r="H60" i="45"/>
  <c r="H60" i="44"/>
  <c r="H380" i="7"/>
  <c r="H61" i="44"/>
  <c r="H62" i="44" s="1"/>
  <c r="H61" i="45"/>
  <c r="H62" i="45" s="1"/>
  <c r="F60" i="44"/>
  <c r="F60" i="45"/>
  <c r="F380" i="7"/>
  <c r="F61" i="44"/>
  <c r="F61" i="45"/>
  <c r="I380" i="7"/>
  <c r="I60" i="44"/>
  <c r="I60" i="45"/>
  <c r="I61" i="45"/>
  <c r="I61" i="44"/>
  <c r="D62" i="44"/>
  <c r="AO50" i="15"/>
  <c r="H50" i="15" s="1"/>
  <c r="H18" i="15" s="1"/>
  <c r="AP50" i="15"/>
  <c r="I50" i="15" s="1"/>
  <c r="I18" i="15" s="1"/>
  <c r="AN50" i="15"/>
  <c r="G50" i="15" s="1"/>
  <c r="G18" i="15" s="1"/>
  <c r="E380" i="7"/>
  <c r="E60" i="44"/>
  <c r="E60" i="45"/>
  <c r="E61" i="45"/>
  <c r="E61" i="44"/>
  <c r="M68" i="15"/>
  <c r="E68" i="15"/>
  <c r="AQ49" i="15"/>
  <c r="J49" i="15" s="1"/>
  <c r="J17" i="15" s="1"/>
  <c r="AP49" i="15"/>
  <c r="I49" i="15" s="1"/>
  <c r="I17" i="15" s="1"/>
  <c r="H57" i="34"/>
  <c r="F57" i="34"/>
  <c r="D371" i="7"/>
  <c r="D43" i="44"/>
  <c r="D43" i="45"/>
  <c r="D44" i="44"/>
  <c r="D44" i="45"/>
  <c r="E36" i="15"/>
  <c r="N17" i="15"/>
  <c r="N68" i="15"/>
  <c r="E49" i="45"/>
  <c r="E49" i="44"/>
  <c r="E48" i="44"/>
  <c r="E372" i="7"/>
  <c r="E48" i="45"/>
  <c r="E50" i="45" s="1"/>
  <c r="D372" i="7"/>
  <c r="D48" i="45"/>
  <c r="D48" i="44"/>
  <c r="D49" i="44"/>
  <c r="D21" i="44" s="1"/>
  <c r="D49" i="45"/>
  <c r="D21" i="45" s="1"/>
  <c r="L36" i="15"/>
  <c r="AO77" i="15"/>
  <c r="O49" i="15" s="1"/>
  <c r="AN49" i="15"/>
  <c r="G49" i="15" s="1"/>
  <c r="AM49" i="15"/>
  <c r="F49" i="15" s="1"/>
  <c r="F17" i="15" s="1"/>
  <c r="Q17" i="15"/>
  <c r="P17" i="15"/>
  <c r="E364" i="7"/>
  <c r="E37" i="44"/>
  <c r="E37" i="45"/>
  <c r="E36" i="45"/>
  <c r="E36" i="44"/>
  <c r="M36" i="15"/>
  <c r="AQ76" i="15"/>
  <c r="AQ48" i="15" s="1"/>
  <c r="AP76" i="15"/>
  <c r="AP48" i="15" s="1"/>
  <c r="H33" i="45"/>
  <c r="I33" i="44"/>
  <c r="F33" i="45"/>
  <c r="G33" i="44"/>
  <c r="H38" i="45"/>
  <c r="I38" i="44"/>
  <c r="F38" i="45"/>
  <c r="G38" i="44"/>
  <c r="H33" i="44"/>
  <c r="I33" i="45"/>
  <c r="F16" i="15"/>
  <c r="F33" i="44"/>
  <c r="G33" i="45"/>
  <c r="H38" i="44"/>
  <c r="I38" i="45"/>
  <c r="F38" i="44"/>
  <c r="G38" i="45"/>
  <c r="H57" i="43"/>
  <c r="I69" i="43"/>
  <c r="F93" i="43"/>
  <c r="E69" i="43"/>
  <c r="E81" i="34"/>
  <c r="G69" i="34"/>
  <c r="F81" i="43"/>
  <c r="H69" i="43"/>
  <c r="G93" i="43"/>
  <c r="F81" i="34"/>
  <c r="E93" i="34"/>
  <c r="G93" i="34"/>
  <c r="I93" i="43"/>
  <c r="I93" i="34"/>
  <c r="G69" i="43"/>
  <c r="F69" i="34"/>
  <c r="E57" i="43"/>
  <c r="E57" i="34"/>
  <c r="N68" i="37"/>
  <c r="AT487" i="50"/>
  <c r="BA487" i="50" s="1"/>
  <c r="AU487" i="50"/>
  <c r="BB487" i="50" s="1"/>
  <c r="D45" i="43"/>
  <c r="D45" i="34"/>
  <c r="AP49" i="37"/>
  <c r="G49" i="37" s="1"/>
  <c r="F138" i="7"/>
  <c r="F49" i="43"/>
  <c r="F48" i="34"/>
  <c r="F49" i="34"/>
  <c r="F48" i="43"/>
  <c r="AR87" i="37"/>
  <c r="P49" i="37" s="1"/>
  <c r="P17" i="37" s="1"/>
  <c r="AT87" i="37"/>
  <c r="R49" i="37" s="1"/>
  <c r="R17" i="37" s="1"/>
  <c r="AS87" i="37"/>
  <c r="Q49" i="37" s="1"/>
  <c r="Q17" i="37" s="1"/>
  <c r="AQ49" i="37"/>
  <c r="H49" i="37" s="1"/>
  <c r="H17" i="37" s="1"/>
  <c r="D50" i="43"/>
  <c r="E49" i="43"/>
  <c r="E48" i="34"/>
  <c r="E138" i="7"/>
  <c r="E49" i="34"/>
  <c r="E48" i="43"/>
  <c r="E50" i="43" s="1"/>
  <c r="AY91" i="50"/>
  <c r="H132" i="50" s="1"/>
  <c r="BA91" i="50"/>
  <c r="J132" i="50" s="1"/>
  <c r="AZ91" i="50"/>
  <c r="I132" i="50" s="1"/>
  <c r="I131" i="50" s="1"/>
  <c r="G143" i="50"/>
  <c r="G142" i="50"/>
  <c r="AA132" i="50" s="1"/>
  <c r="G141" i="50"/>
  <c r="G135" i="50"/>
  <c r="G134" i="50"/>
  <c r="Z132" i="50" s="1"/>
  <c r="G133" i="50"/>
  <c r="H143" i="50"/>
  <c r="H142" i="50"/>
  <c r="AA133" i="50" s="1"/>
  <c r="H141" i="50"/>
  <c r="BA115" i="50"/>
  <c r="J140" i="50" s="1"/>
  <c r="J139" i="50" s="1"/>
  <c r="AZ115" i="50"/>
  <c r="I140" i="50" s="1"/>
  <c r="I139" i="50" s="1"/>
  <c r="BB115" i="50"/>
  <c r="K140" i="50" s="1"/>
  <c r="K139" i="50" s="1"/>
  <c r="BB91" i="50"/>
  <c r="K132" i="50" s="1"/>
  <c r="K131" i="50" s="1"/>
  <c r="BA114" i="50"/>
  <c r="AW40" i="14"/>
  <c r="F71" i="37"/>
  <c r="E37" i="43"/>
  <c r="E36" i="43"/>
  <c r="N36" i="37"/>
  <c r="G585" i="50" s="1"/>
  <c r="E130" i="7"/>
  <c r="E36" i="34"/>
  <c r="E37" i="34"/>
  <c r="P16" i="37"/>
  <c r="R16" i="37"/>
  <c r="O16" i="37"/>
  <c r="O68" i="37"/>
  <c r="Q16" i="37"/>
  <c r="E129" i="7"/>
  <c r="E32" i="43"/>
  <c r="E31" i="34"/>
  <c r="E31" i="43"/>
  <c r="E32" i="34"/>
  <c r="D32" i="43"/>
  <c r="D16" i="43" s="1"/>
  <c r="D129" i="7"/>
  <c r="D31" i="34"/>
  <c r="D15" i="34" s="1"/>
  <c r="D31" i="43"/>
  <c r="F36" i="37"/>
  <c r="D32" i="34"/>
  <c r="I16" i="37"/>
  <c r="K16" i="37"/>
  <c r="H16" i="37"/>
  <c r="D130" i="7"/>
  <c r="D36" i="43"/>
  <c r="D36" i="34"/>
  <c r="D20" i="34" s="1"/>
  <c r="D37" i="43"/>
  <c r="D21" i="43" s="1"/>
  <c r="M36" i="37"/>
  <c r="D37" i="34"/>
  <c r="J16" i="37"/>
  <c r="AL52" i="37" l="1"/>
  <c r="I52" i="37" s="1"/>
  <c r="I20" i="37" s="1"/>
  <c r="G79" i="43" s="1"/>
  <c r="R459" i="60"/>
  <c r="AY108" i="14" s="1"/>
  <c r="S457" i="60"/>
  <c r="R457" i="60"/>
  <c r="J459" i="60"/>
  <c r="AY69" i="14" s="1"/>
  <c r="K457" i="60"/>
  <c r="J457" i="60"/>
  <c r="S216" i="60"/>
  <c r="S217" i="60"/>
  <c r="AZ97" i="14" s="1"/>
  <c r="AP109" i="15"/>
  <c r="AS121" i="37"/>
  <c r="AS90" i="37" s="1"/>
  <c r="AS52" i="37" s="1"/>
  <c r="AN121" i="37"/>
  <c r="AK109" i="15"/>
  <c r="AK80" i="15" s="1"/>
  <c r="AK52" i="15" s="1"/>
  <c r="G162" i="7"/>
  <c r="AK108" i="7" s="1"/>
  <c r="G84" i="43"/>
  <c r="G85" i="43"/>
  <c r="G84" i="34"/>
  <c r="G85" i="34"/>
  <c r="R205" i="60"/>
  <c r="AP123" i="14"/>
  <c r="R315" i="60" s="1"/>
  <c r="AX119" i="14"/>
  <c r="I16" i="60" s="1"/>
  <c r="I17" i="60" s="1"/>
  <c r="J469" i="60"/>
  <c r="AP84" i="14"/>
  <c r="J315" i="60" s="1"/>
  <c r="S326" i="60"/>
  <c r="S327" i="60"/>
  <c r="AZ102" i="14" s="1"/>
  <c r="AZ119" i="14" s="1"/>
  <c r="K16" i="60" s="1"/>
  <c r="AQ109" i="15"/>
  <c r="AT121" i="37"/>
  <c r="AT90" i="37" s="1"/>
  <c r="AT52" i="37" s="1"/>
  <c r="K216" i="60"/>
  <c r="K217" i="60"/>
  <c r="AZ58" i="14" s="1"/>
  <c r="AZ80" i="14" s="1"/>
  <c r="K15" i="60" s="1"/>
  <c r="AJ109" i="15"/>
  <c r="AJ80" i="15" s="1"/>
  <c r="AJ52" i="15" s="1"/>
  <c r="AM121" i="37"/>
  <c r="F74" i="45"/>
  <c r="E20" i="34"/>
  <c r="J134" i="50"/>
  <c r="Z135" i="50" s="1"/>
  <c r="J131" i="50"/>
  <c r="H135" i="50"/>
  <c r="H131" i="50"/>
  <c r="I74" i="45"/>
  <c r="F585" i="50"/>
  <c r="F563" i="50"/>
  <c r="Z560" i="50" s="1"/>
  <c r="F577" i="50"/>
  <c r="G589" i="50"/>
  <c r="G587" i="50"/>
  <c r="AA578" i="50"/>
  <c r="G588" i="50"/>
  <c r="H134" i="50"/>
  <c r="Z133" i="50" s="1"/>
  <c r="G568" i="50"/>
  <c r="F543" i="50"/>
  <c r="F534" i="50"/>
  <c r="F551" i="50"/>
  <c r="F530" i="50"/>
  <c r="G123" i="50"/>
  <c r="G534" i="50"/>
  <c r="F123" i="50"/>
  <c r="F517" i="50"/>
  <c r="F115" i="50"/>
  <c r="F509" i="50"/>
  <c r="G517" i="50"/>
  <c r="I326" i="7"/>
  <c r="I330" i="7"/>
  <c r="I316" i="7"/>
  <c r="I320" i="7"/>
  <c r="G326" i="7"/>
  <c r="G330" i="7"/>
  <c r="F326" i="7"/>
  <c r="F330" i="7"/>
  <c r="H326" i="7"/>
  <c r="H330" i="7"/>
  <c r="G316" i="7"/>
  <c r="G320" i="7"/>
  <c r="F316" i="7"/>
  <c r="F320" i="7"/>
  <c r="H316" i="7"/>
  <c r="H320" i="7"/>
  <c r="AI342" i="7"/>
  <c r="E398" i="7"/>
  <c r="U342" i="7" s="1"/>
  <c r="AK342" i="7"/>
  <c r="G398" i="7"/>
  <c r="W342" i="7" s="1"/>
  <c r="AB342" i="7"/>
  <c r="D397" i="7"/>
  <c r="N342" i="7" s="1"/>
  <c r="AJ342" i="7"/>
  <c r="F398" i="7"/>
  <c r="V342" i="7" s="1"/>
  <c r="AM341" i="7"/>
  <c r="I390" i="7"/>
  <c r="Y341" i="7" s="1"/>
  <c r="AJ341" i="7"/>
  <c r="F390" i="7"/>
  <c r="V341" i="7" s="1"/>
  <c r="AF341" i="7"/>
  <c r="H389" i="7"/>
  <c r="R341" i="7" s="1"/>
  <c r="AL341" i="7"/>
  <c r="H390" i="7"/>
  <c r="X341" i="7" s="1"/>
  <c r="AK341" i="7"/>
  <c r="G390" i="7"/>
  <c r="W341" i="7" s="1"/>
  <c r="AI341" i="7"/>
  <c r="E390" i="7"/>
  <c r="U341" i="7" s="1"/>
  <c r="AB341" i="7"/>
  <c r="D389" i="7"/>
  <c r="N341" i="7" s="1"/>
  <c r="AI340" i="7"/>
  <c r="E382" i="7"/>
  <c r="U340" i="7" s="1"/>
  <c r="AJ340" i="7"/>
  <c r="F382" i="7"/>
  <c r="V340" i="7" s="1"/>
  <c r="AK340" i="7"/>
  <c r="G382" i="7"/>
  <c r="W340" i="7" s="1"/>
  <c r="AB340" i="7"/>
  <c r="D381" i="7"/>
  <c r="N340" i="7" s="1"/>
  <c r="AM340" i="7"/>
  <c r="I382" i="7"/>
  <c r="Y340" i="7" s="1"/>
  <c r="AL340" i="7"/>
  <c r="H382" i="7"/>
  <c r="X340" i="7" s="1"/>
  <c r="AC340" i="7"/>
  <c r="E381" i="7"/>
  <c r="O340" i="7" s="1"/>
  <c r="AG340" i="7"/>
  <c r="I381" i="7"/>
  <c r="S340" i="7" s="1"/>
  <c r="AH339" i="7"/>
  <c r="D374" i="7"/>
  <c r="T339" i="7" s="1"/>
  <c r="AI339" i="7"/>
  <c r="E302" i="7" s="1"/>
  <c r="E374" i="7"/>
  <c r="U339" i="7" s="1"/>
  <c r="AB339" i="7"/>
  <c r="D295" i="7" s="1"/>
  <c r="D373" i="7"/>
  <c r="N339" i="7" s="1"/>
  <c r="D16" i="7"/>
  <c r="AI338" i="7"/>
  <c r="E303" i="7" s="1"/>
  <c r="E366" i="7"/>
  <c r="U338" i="7" s="1"/>
  <c r="H68" i="45"/>
  <c r="D81" i="7"/>
  <c r="D85" i="7"/>
  <c r="D91" i="7"/>
  <c r="D95" i="7"/>
  <c r="AI105" i="7"/>
  <c r="E68" i="7" s="1"/>
  <c r="E23" i="7" s="1"/>
  <c r="E140" i="7"/>
  <c r="U105" i="7" s="1"/>
  <c r="AJ105" i="7"/>
  <c r="F68" i="7" s="1"/>
  <c r="F140" i="7"/>
  <c r="V105" i="7" s="1"/>
  <c r="AH104" i="7"/>
  <c r="D132" i="7"/>
  <c r="T104" i="7" s="1"/>
  <c r="AB104" i="7"/>
  <c r="D131" i="7"/>
  <c r="N104" i="7" s="1"/>
  <c r="AC104" i="7"/>
  <c r="E62" i="7" s="1"/>
  <c r="E131" i="7"/>
  <c r="O104" i="7" s="1"/>
  <c r="AI104" i="7"/>
  <c r="E132" i="7"/>
  <c r="U104" i="7" s="1"/>
  <c r="H67" i="45"/>
  <c r="I56" i="44"/>
  <c r="F387" i="7"/>
  <c r="H68" i="44"/>
  <c r="H67" i="44"/>
  <c r="D57" i="44"/>
  <c r="I387" i="7"/>
  <c r="I55" i="45"/>
  <c r="F68" i="44"/>
  <c r="F69" i="44" s="1"/>
  <c r="I68" i="45"/>
  <c r="I69" i="45" s="1"/>
  <c r="D16" i="45"/>
  <c r="I56" i="45"/>
  <c r="I55" i="44"/>
  <c r="F68" i="45"/>
  <c r="F67" i="45"/>
  <c r="I67" i="44"/>
  <c r="I62" i="45"/>
  <c r="F62" i="45"/>
  <c r="E56" i="44"/>
  <c r="G74" i="44"/>
  <c r="E74" i="45"/>
  <c r="D69" i="45"/>
  <c r="E86" i="45"/>
  <c r="D81" i="44"/>
  <c r="E55" i="44"/>
  <c r="F79" i="44"/>
  <c r="F395" i="7"/>
  <c r="F79" i="45"/>
  <c r="F80" i="45"/>
  <c r="F80" i="44"/>
  <c r="F81" i="44" s="1"/>
  <c r="D16" i="44"/>
  <c r="E56" i="45"/>
  <c r="E55" i="45"/>
  <c r="I68" i="44"/>
  <c r="E86" i="44"/>
  <c r="D81" i="45"/>
  <c r="E79" i="45"/>
  <c r="E395" i="7"/>
  <c r="E79" i="44"/>
  <c r="E80" i="44"/>
  <c r="E80" i="45"/>
  <c r="E81" i="45" s="1"/>
  <c r="G79" i="44"/>
  <c r="G79" i="45"/>
  <c r="G395" i="7"/>
  <c r="G80" i="45"/>
  <c r="G81" i="45" s="1"/>
  <c r="G80" i="44"/>
  <c r="E62" i="44"/>
  <c r="I62" i="44"/>
  <c r="F62" i="44"/>
  <c r="E67" i="44"/>
  <c r="E387" i="7"/>
  <c r="E67" i="45"/>
  <c r="E68" i="44"/>
  <c r="E68" i="45"/>
  <c r="E69" i="45" s="1"/>
  <c r="G74" i="45"/>
  <c r="D69" i="44"/>
  <c r="G67" i="45"/>
  <c r="G387" i="7"/>
  <c r="G67" i="44"/>
  <c r="G68" i="45"/>
  <c r="G68" i="44"/>
  <c r="G69" i="44" s="1"/>
  <c r="F55" i="45"/>
  <c r="F379" i="7"/>
  <c r="F55" i="44"/>
  <c r="F56" i="45"/>
  <c r="F56" i="44"/>
  <c r="G55" i="45"/>
  <c r="G379" i="7"/>
  <c r="G55" i="44"/>
  <c r="G56" i="44"/>
  <c r="G56" i="45"/>
  <c r="G57" i="45" s="1"/>
  <c r="E62" i="45"/>
  <c r="H55" i="45"/>
  <c r="H55" i="44"/>
  <c r="H379" i="7"/>
  <c r="H56" i="44"/>
  <c r="H56" i="45"/>
  <c r="H57" i="45" s="1"/>
  <c r="E21" i="45"/>
  <c r="F68" i="15"/>
  <c r="E21" i="44"/>
  <c r="AO49" i="15"/>
  <c r="H49" i="15" s="1"/>
  <c r="H17" i="15" s="1"/>
  <c r="H48" i="45"/>
  <c r="H48" i="44"/>
  <c r="H49" i="45"/>
  <c r="H372" i="7"/>
  <c r="H49" i="44"/>
  <c r="I48" i="44"/>
  <c r="I48" i="45"/>
  <c r="I49" i="45"/>
  <c r="I49" i="44"/>
  <c r="I372" i="7"/>
  <c r="G17" i="15"/>
  <c r="G68" i="15"/>
  <c r="O17" i="15"/>
  <c r="O68" i="15"/>
  <c r="D50" i="44"/>
  <c r="D20" i="44"/>
  <c r="D22" i="44" s="1"/>
  <c r="E50" i="44"/>
  <c r="F48" i="45"/>
  <c r="F49" i="44"/>
  <c r="F21" i="44" s="1"/>
  <c r="F372" i="7"/>
  <c r="F48" i="44"/>
  <c r="F49" i="45"/>
  <c r="F21" i="45" s="1"/>
  <c r="N36" i="15"/>
  <c r="D45" i="45"/>
  <c r="D15" i="45"/>
  <c r="E371" i="7"/>
  <c r="E43" i="45"/>
  <c r="E44" i="45"/>
  <c r="E43" i="44"/>
  <c r="E44" i="44"/>
  <c r="D50" i="45"/>
  <c r="D20" i="45"/>
  <c r="D22" i="45" s="1"/>
  <c r="H371" i="7"/>
  <c r="H43" i="44"/>
  <c r="H44" i="45"/>
  <c r="H43" i="45"/>
  <c r="H44" i="44"/>
  <c r="I371" i="7"/>
  <c r="I44" i="44"/>
  <c r="I43" i="44"/>
  <c r="I43" i="45"/>
  <c r="I44" i="45"/>
  <c r="E39" i="15"/>
  <c r="B24" i="1" s="1"/>
  <c r="G24" i="1" s="1"/>
  <c r="D45" i="44"/>
  <c r="D15" i="44"/>
  <c r="E20" i="45"/>
  <c r="E38" i="45"/>
  <c r="E31" i="44"/>
  <c r="E32" i="44"/>
  <c r="F36" i="15"/>
  <c r="F39" i="15" s="1"/>
  <c r="E363" i="7"/>
  <c r="E31" i="45"/>
  <c r="E32" i="45"/>
  <c r="E20" i="44"/>
  <c r="E38" i="44"/>
  <c r="P68" i="37"/>
  <c r="H68" i="37"/>
  <c r="H71" i="37" s="1"/>
  <c r="E21" i="43"/>
  <c r="F50" i="43"/>
  <c r="G17" i="37"/>
  <c r="G68" i="37"/>
  <c r="G71" i="37" s="1"/>
  <c r="E50" i="34"/>
  <c r="AS49" i="37"/>
  <c r="J49" i="37" s="1"/>
  <c r="AT49" i="37"/>
  <c r="K49" i="37" s="1"/>
  <c r="AR49" i="37"/>
  <c r="I49" i="37" s="1"/>
  <c r="F43" i="34"/>
  <c r="F44" i="43"/>
  <c r="F43" i="43"/>
  <c r="F44" i="34"/>
  <c r="F137" i="7"/>
  <c r="H48" i="43"/>
  <c r="H138" i="7"/>
  <c r="H49" i="43"/>
  <c r="H50" i="43" s="1"/>
  <c r="H48" i="34"/>
  <c r="H49" i="34"/>
  <c r="I48" i="43"/>
  <c r="I49" i="43"/>
  <c r="I48" i="34"/>
  <c r="I138" i="7"/>
  <c r="I49" i="34"/>
  <c r="G138" i="7"/>
  <c r="G49" i="43"/>
  <c r="G48" i="43"/>
  <c r="G48" i="34"/>
  <c r="G49" i="34"/>
  <c r="F50" i="34"/>
  <c r="J135" i="50"/>
  <c r="G115" i="50"/>
  <c r="I133" i="50"/>
  <c r="J133" i="50"/>
  <c r="I135" i="50"/>
  <c r="H133" i="50"/>
  <c r="I134" i="50"/>
  <c r="Z134" i="50" s="1"/>
  <c r="G116" i="50"/>
  <c r="K143" i="50"/>
  <c r="K142" i="50"/>
  <c r="AA136" i="50" s="1"/>
  <c r="K141" i="50"/>
  <c r="J143" i="50"/>
  <c r="J142" i="50"/>
  <c r="AA135" i="50" s="1"/>
  <c r="J141" i="50"/>
  <c r="K135" i="50"/>
  <c r="K134" i="50"/>
  <c r="Z136" i="50" s="1"/>
  <c r="K133" i="50"/>
  <c r="I143" i="50"/>
  <c r="I142" i="50"/>
  <c r="AA134" i="50" s="1"/>
  <c r="I141" i="50"/>
  <c r="AW41" i="14"/>
  <c r="H32" i="43"/>
  <c r="H31" i="34"/>
  <c r="H129" i="7"/>
  <c r="H31" i="43"/>
  <c r="H32" i="34"/>
  <c r="F129" i="7"/>
  <c r="F31" i="34"/>
  <c r="F32" i="43"/>
  <c r="F31" i="43"/>
  <c r="H36" i="37"/>
  <c r="F32" i="34"/>
  <c r="G32" i="43"/>
  <c r="G31" i="43"/>
  <c r="G129" i="7"/>
  <c r="G31" i="34"/>
  <c r="G32" i="34"/>
  <c r="H37" i="43"/>
  <c r="H36" i="34"/>
  <c r="H36" i="43"/>
  <c r="H130" i="7"/>
  <c r="H37" i="34"/>
  <c r="D38" i="34"/>
  <c r="D21" i="34"/>
  <c r="D22" i="34" s="1"/>
  <c r="D38" i="43"/>
  <c r="D20" i="43"/>
  <c r="D22" i="43" s="1"/>
  <c r="D33" i="34"/>
  <c r="D16" i="34"/>
  <c r="D17" i="34" s="1"/>
  <c r="C15" i="46" s="1"/>
  <c r="D33" i="43"/>
  <c r="D15" i="43"/>
  <c r="D17" i="43" s="1"/>
  <c r="C32" i="46" s="1"/>
  <c r="E33" i="34"/>
  <c r="E33" i="43"/>
  <c r="E38" i="34"/>
  <c r="E21" i="34"/>
  <c r="E38" i="43"/>
  <c r="E20" i="43"/>
  <c r="I129" i="7"/>
  <c r="I31" i="34"/>
  <c r="I31" i="43"/>
  <c r="I32" i="43"/>
  <c r="I32" i="34"/>
  <c r="F39" i="37"/>
  <c r="F37" i="43"/>
  <c r="F21" i="43" s="1"/>
  <c r="F36" i="43"/>
  <c r="F36" i="34"/>
  <c r="F20" i="34" s="1"/>
  <c r="F130" i="7"/>
  <c r="O36" i="37"/>
  <c r="F37" i="34"/>
  <c r="I36" i="43"/>
  <c r="I130" i="7"/>
  <c r="I37" i="43"/>
  <c r="I36" i="34"/>
  <c r="I37" i="34"/>
  <c r="G36" i="43"/>
  <c r="G37" i="43"/>
  <c r="P36" i="37"/>
  <c r="G130" i="7"/>
  <c r="G36" i="34"/>
  <c r="G37" i="34"/>
  <c r="E300" i="7" l="1"/>
  <c r="D293" i="7"/>
  <c r="D297" i="7" s="1"/>
  <c r="E22" i="34"/>
  <c r="G80" i="34"/>
  <c r="G161" i="7"/>
  <c r="AE108" i="7" s="1"/>
  <c r="G79" i="34"/>
  <c r="G81" i="34" s="1"/>
  <c r="G80" i="43"/>
  <c r="G81" i="43" s="1"/>
  <c r="I57" i="45"/>
  <c r="K17" i="60"/>
  <c r="AM90" i="37"/>
  <c r="Q52" i="37" s="1"/>
  <c r="AQ80" i="15"/>
  <c r="Q52" i="15" s="1"/>
  <c r="K479" i="60"/>
  <c r="J479" i="60"/>
  <c r="J481" i="60"/>
  <c r="AY70" i="14" s="1"/>
  <c r="S325" i="60"/>
  <c r="R325" i="60"/>
  <c r="R327" i="60"/>
  <c r="AY102" i="14" s="1"/>
  <c r="AP80" i="15"/>
  <c r="P52" i="15" s="1"/>
  <c r="K325" i="60"/>
  <c r="J325" i="60"/>
  <c r="J327" i="60"/>
  <c r="AY63" i="14" s="1"/>
  <c r="R215" i="60"/>
  <c r="S215" i="60"/>
  <c r="R217" i="60"/>
  <c r="AY97" i="14" s="1"/>
  <c r="G86" i="34"/>
  <c r="G86" i="43"/>
  <c r="AN90" i="37"/>
  <c r="R52" i="37" s="1"/>
  <c r="G122" i="50"/>
  <c r="G22" i="50" s="1"/>
  <c r="F126" i="50"/>
  <c r="F122" i="50"/>
  <c r="F22" i="50" s="1"/>
  <c r="G114" i="50"/>
  <c r="G16" i="50" s="1"/>
  <c r="F118" i="50"/>
  <c r="F114" i="50"/>
  <c r="F16" i="50" s="1"/>
  <c r="F571" i="50"/>
  <c r="F568" i="50"/>
  <c r="G555" i="50"/>
  <c r="G551" i="50"/>
  <c r="F564" i="50"/>
  <c r="F560" i="50"/>
  <c r="F528" i="50"/>
  <c r="F526" i="50"/>
  <c r="AA510" i="50"/>
  <c r="F570" i="50"/>
  <c r="AA560" i="50"/>
  <c r="F125" i="50"/>
  <c r="AA114" i="50" s="1"/>
  <c r="F116" i="50"/>
  <c r="F562" i="50"/>
  <c r="F572" i="50"/>
  <c r="F15" i="34"/>
  <c r="G117" i="50"/>
  <c r="Z115" i="50" s="1"/>
  <c r="G52" i="50" s="1"/>
  <c r="F16" i="43"/>
  <c r="G126" i="50"/>
  <c r="G124" i="50"/>
  <c r="G125" i="50"/>
  <c r="AA115" i="50" s="1"/>
  <c r="F124" i="50"/>
  <c r="F117" i="50"/>
  <c r="Z114" i="50" s="1"/>
  <c r="F52" i="50" s="1"/>
  <c r="F529" i="50"/>
  <c r="Z526" i="50" s="1"/>
  <c r="G554" i="50"/>
  <c r="AA526" i="50"/>
  <c r="F538" i="50"/>
  <c r="G553" i="50"/>
  <c r="F537" i="50"/>
  <c r="F536" i="50"/>
  <c r="AA544" i="50"/>
  <c r="I585" i="50"/>
  <c r="H585" i="50"/>
  <c r="F581" i="50"/>
  <c r="F579" i="50"/>
  <c r="F580" i="50"/>
  <c r="Z577" i="50" s="1"/>
  <c r="AA577" i="50"/>
  <c r="F588" i="50"/>
  <c r="F589" i="50"/>
  <c r="F587" i="50"/>
  <c r="H577" i="50"/>
  <c r="G572" i="50"/>
  <c r="G570" i="50"/>
  <c r="AA561" i="50"/>
  <c r="G571" i="50"/>
  <c r="H543" i="50"/>
  <c r="I551" i="50"/>
  <c r="H551" i="50"/>
  <c r="F546" i="50"/>
  <c r="Z543" i="50" s="1"/>
  <c r="F547" i="50"/>
  <c r="F545" i="50"/>
  <c r="AA543" i="50"/>
  <c r="F554" i="50"/>
  <c r="F555" i="50"/>
  <c r="F553" i="50"/>
  <c r="G537" i="50"/>
  <c r="G538" i="50"/>
  <c r="G536" i="50"/>
  <c r="AA527" i="50"/>
  <c r="J123" i="50"/>
  <c r="J126" i="50" s="1"/>
  <c r="K123" i="50"/>
  <c r="G520" i="50"/>
  <c r="G521" i="50"/>
  <c r="G519" i="50"/>
  <c r="F512" i="50"/>
  <c r="Z509" i="50" s="1"/>
  <c r="F513" i="50"/>
  <c r="F511" i="50"/>
  <c r="F520" i="50"/>
  <c r="F521" i="50"/>
  <c r="F519" i="50"/>
  <c r="AA509" i="50"/>
  <c r="H115" i="50"/>
  <c r="H509" i="50"/>
  <c r="I123" i="50"/>
  <c r="I517" i="50"/>
  <c r="H123" i="50"/>
  <c r="H517" i="50"/>
  <c r="E304" i="7"/>
  <c r="D315" i="7"/>
  <c r="D317" i="7" s="1"/>
  <c r="D319" i="7"/>
  <c r="D40" i="7" s="1"/>
  <c r="E325" i="7"/>
  <c r="E329" i="7"/>
  <c r="D325" i="7"/>
  <c r="D327" i="7" s="1"/>
  <c r="D329" i="7"/>
  <c r="D50" i="7" s="1"/>
  <c r="E326" i="7"/>
  <c r="E330" i="7"/>
  <c r="AD342" i="7"/>
  <c r="F397" i="7"/>
  <c r="P342" i="7" s="1"/>
  <c r="AE342" i="7"/>
  <c r="G397" i="7"/>
  <c r="Q342" i="7" s="1"/>
  <c r="AC342" i="7"/>
  <c r="E397" i="7"/>
  <c r="O342" i="7" s="1"/>
  <c r="AE341" i="7"/>
  <c r="G389" i="7"/>
  <c r="Q341" i="7" s="1"/>
  <c r="AC341" i="7"/>
  <c r="E389" i="7"/>
  <c r="O341" i="7" s="1"/>
  <c r="AG341" i="7"/>
  <c r="I389" i="7"/>
  <c r="S341" i="7" s="1"/>
  <c r="AD341" i="7"/>
  <c r="F389" i="7"/>
  <c r="P341" i="7" s="1"/>
  <c r="AE340" i="7"/>
  <c r="G381" i="7"/>
  <c r="Q340" i="7" s="1"/>
  <c r="AF340" i="7"/>
  <c r="H381" i="7"/>
  <c r="R340" i="7" s="1"/>
  <c r="AD340" i="7"/>
  <c r="F381" i="7"/>
  <c r="P340" i="7" s="1"/>
  <c r="H69" i="45"/>
  <c r="AC339" i="7"/>
  <c r="E373" i="7"/>
  <c r="O339" i="7" s="1"/>
  <c r="AJ339" i="7"/>
  <c r="F374" i="7"/>
  <c r="V339" i="7" s="1"/>
  <c r="AL339" i="7"/>
  <c r="H374" i="7"/>
  <c r="X339" i="7" s="1"/>
  <c r="AG339" i="7"/>
  <c r="I373" i="7"/>
  <c r="S339" i="7" s="1"/>
  <c r="AF339" i="7"/>
  <c r="H373" i="7"/>
  <c r="R339" i="7" s="1"/>
  <c r="AM339" i="7"/>
  <c r="I374" i="7"/>
  <c r="Y339" i="7" s="1"/>
  <c r="D300" i="7"/>
  <c r="D302" i="7"/>
  <c r="D23" i="7" s="1"/>
  <c r="AC338" i="7"/>
  <c r="E296" i="7" s="1"/>
  <c r="E17" i="7" s="1"/>
  <c r="E365" i="7"/>
  <c r="O338" i="7" s="1"/>
  <c r="F91" i="7"/>
  <c r="F95" i="7"/>
  <c r="E91" i="7"/>
  <c r="E95" i="7"/>
  <c r="AL105" i="7"/>
  <c r="H68" i="7" s="1"/>
  <c r="H140" i="7"/>
  <c r="X105" i="7" s="1"/>
  <c r="AD105" i="7"/>
  <c r="F61" i="7" s="1"/>
  <c r="F139" i="7"/>
  <c r="P105" i="7" s="1"/>
  <c r="AK105" i="7"/>
  <c r="G68" i="7" s="1"/>
  <c r="G140" i="7"/>
  <c r="W105" i="7" s="1"/>
  <c r="AM105" i="7"/>
  <c r="I68" i="7" s="1"/>
  <c r="I140" i="7"/>
  <c r="Y105" i="7" s="1"/>
  <c r="E92" i="7"/>
  <c r="E93" i="7" s="1"/>
  <c r="E96" i="7"/>
  <c r="E82" i="7"/>
  <c r="E86" i="7"/>
  <c r="D82" i="7"/>
  <c r="D83" i="7" s="1"/>
  <c r="D86" i="7"/>
  <c r="D41" i="7" s="1"/>
  <c r="D92" i="7"/>
  <c r="D47" i="7" s="1"/>
  <c r="D96" i="7"/>
  <c r="D51" i="7" s="1"/>
  <c r="AK104" i="7"/>
  <c r="G69" i="7" s="1"/>
  <c r="G24" i="7" s="1"/>
  <c r="G132" i="7"/>
  <c r="W104" i="7" s="1"/>
  <c r="AJ104" i="7"/>
  <c r="F132" i="7"/>
  <c r="V104" i="7" s="1"/>
  <c r="AF104" i="7"/>
  <c r="H62" i="7" s="1"/>
  <c r="H17" i="7" s="1"/>
  <c r="H131" i="7"/>
  <c r="R104" i="7" s="1"/>
  <c r="AM104" i="7"/>
  <c r="I69" i="7" s="1"/>
  <c r="I24" i="7" s="1"/>
  <c r="I132" i="7"/>
  <c r="Y104" i="7" s="1"/>
  <c r="AG104" i="7"/>
  <c r="I62" i="7" s="1"/>
  <c r="I17" i="7" s="1"/>
  <c r="I131" i="7"/>
  <c r="S104" i="7" s="1"/>
  <c r="AL104" i="7"/>
  <c r="H69" i="7" s="1"/>
  <c r="H24" i="7" s="1"/>
  <c r="H132" i="7"/>
  <c r="X104" i="7" s="1"/>
  <c r="AE104" i="7"/>
  <c r="G62" i="7" s="1"/>
  <c r="G17" i="7" s="1"/>
  <c r="G131" i="7"/>
  <c r="Q104" i="7" s="1"/>
  <c r="AD104" i="7"/>
  <c r="F62" i="7" s="1"/>
  <c r="F17" i="7" s="1"/>
  <c r="F131" i="7"/>
  <c r="P104" i="7" s="1"/>
  <c r="I57" i="44"/>
  <c r="E66" i="7"/>
  <c r="E69" i="7"/>
  <c r="E24" i="7" s="1"/>
  <c r="D59" i="7"/>
  <c r="D62" i="7"/>
  <c r="D17" i="7" s="1"/>
  <c r="D66" i="7"/>
  <c r="D69" i="7"/>
  <c r="D24" i="7" s="1"/>
  <c r="H69" i="44"/>
  <c r="E57" i="44"/>
  <c r="F69" i="45"/>
  <c r="G81" i="44"/>
  <c r="I69" i="44"/>
  <c r="H68" i="15"/>
  <c r="D17" i="45"/>
  <c r="C33" i="46" s="1"/>
  <c r="C34" i="46" s="1"/>
  <c r="D17" i="44"/>
  <c r="C16" i="46" s="1"/>
  <c r="C17" i="46" s="1"/>
  <c r="E57" i="45"/>
  <c r="F81" i="45"/>
  <c r="F57" i="45"/>
  <c r="E81" i="44"/>
  <c r="G69" i="45"/>
  <c r="E69" i="44"/>
  <c r="H57" i="44"/>
  <c r="G57" i="44"/>
  <c r="F57" i="44"/>
  <c r="E22" i="45"/>
  <c r="D39" i="46" s="1"/>
  <c r="E22" i="44"/>
  <c r="D21" i="46" s="1"/>
  <c r="G20" i="34"/>
  <c r="E15" i="45"/>
  <c r="E15" i="44"/>
  <c r="E45" i="44"/>
  <c r="I45" i="45"/>
  <c r="H45" i="45"/>
  <c r="H45" i="44"/>
  <c r="C39" i="46"/>
  <c r="F50" i="45"/>
  <c r="F20" i="45"/>
  <c r="F22" i="45" s="1"/>
  <c r="C21" i="46"/>
  <c r="I50" i="45"/>
  <c r="I45" i="44"/>
  <c r="G43" i="44"/>
  <c r="G371" i="7"/>
  <c r="G44" i="45"/>
  <c r="G16" i="45" s="1"/>
  <c r="G43" i="45"/>
  <c r="G44" i="44"/>
  <c r="G16" i="44" s="1"/>
  <c r="H36" i="15"/>
  <c r="E45" i="45"/>
  <c r="F50" i="44"/>
  <c r="F20" i="44"/>
  <c r="F22" i="44" s="1"/>
  <c r="G48" i="44"/>
  <c r="G372" i="7"/>
  <c r="G48" i="45"/>
  <c r="G49" i="44"/>
  <c r="G21" i="44" s="1"/>
  <c r="G49" i="45"/>
  <c r="G21" i="45" s="1"/>
  <c r="O36" i="15"/>
  <c r="F371" i="7"/>
  <c r="F43" i="45"/>
  <c r="F44" i="45"/>
  <c r="F16" i="45" s="1"/>
  <c r="F43" i="44"/>
  <c r="F44" i="44"/>
  <c r="F16" i="44" s="1"/>
  <c r="G36" i="15"/>
  <c r="G39" i="15" s="1"/>
  <c r="I50" i="44"/>
  <c r="H50" i="44"/>
  <c r="H50" i="45"/>
  <c r="E33" i="45"/>
  <c r="E16" i="45"/>
  <c r="E33" i="44"/>
  <c r="E16" i="44"/>
  <c r="G20" i="43"/>
  <c r="E22" i="43"/>
  <c r="D38" i="46" s="1"/>
  <c r="F45" i="43"/>
  <c r="E43" i="34"/>
  <c r="E15" i="34" s="1"/>
  <c r="E43" i="43"/>
  <c r="E137" i="7"/>
  <c r="E44" i="43"/>
  <c r="E16" i="43" s="1"/>
  <c r="E44" i="34"/>
  <c r="G36" i="37"/>
  <c r="G50" i="43"/>
  <c r="I50" i="43"/>
  <c r="F45" i="34"/>
  <c r="I17" i="37"/>
  <c r="I68" i="37"/>
  <c r="I71" i="37" s="1"/>
  <c r="J17" i="37"/>
  <c r="G50" i="34"/>
  <c r="I50" i="34"/>
  <c r="H50" i="34"/>
  <c r="K17" i="37"/>
  <c r="G118" i="50"/>
  <c r="AW42" i="14"/>
  <c r="D24" i="43"/>
  <c r="C38" i="46"/>
  <c r="G38" i="34"/>
  <c r="G21" i="34"/>
  <c r="G38" i="43"/>
  <c r="G21" i="43"/>
  <c r="I38" i="34"/>
  <c r="I38" i="43"/>
  <c r="F38" i="34"/>
  <c r="F21" i="34"/>
  <c r="F22" i="34" s="1"/>
  <c r="F38" i="43"/>
  <c r="F20" i="43"/>
  <c r="F22" i="43" s="1"/>
  <c r="I33" i="34"/>
  <c r="I33" i="43"/>
  <c r="D20" i="46"/>
  <c r="H38" i="43"/>
  <c r="G33" i="34"/>
  <c r="G33" i="43"/>
  <c r="F33" i="34"/>
  <c r="F16" i="34"/>
  <c r="F33" i="43"/>
  <c r="F15" i="43"/>
  <c r="H33" i="34"/>
  <c r="H33" i="43"/>
  <c r="D24" i="34"/>
  <c r="C20" i="46"/>
  <c r="H38" i="34"/>
  <c r="H39" i="37"/>
  <c r="F59" i="7" l="1"/>
  <c r="C35" i="46"/>
  <c r="G66" i="7"/>
  <c r="E21" i="7"/>
  <c r="D14" i="7"/>
  <c r="E293" i="7"/>
  <c r="D21" i="7"/>
  <c r="D25" i="7" s="1"/>
  <c r="AY119" i="14"/>
  <c r="J16" i="60" s="1"/>
  <c r="AY80" i="14"/>
  <c r="J15" i="60" s="1"/>
  <c r="R20" i="37"/>
  <c r="R68" i="37"/>
  <c r="P20" i="15"/>
  <c r="P68" i="15"/>
  <c r="Q20" i="15"/>
  <c r="Q68" i="15"/>
  <c r="Q20" i="37"/>
  <c r="Q68" i="37"/>
  <c r="AN52" i="37"/>
  <c r="K52" i="37" s="1"/>
  <c r="AP52" i="15"/>
  <c r="I52" i="15" s="1"/>
  <c r="AQ52" i="15"/>
  <c r="J52" i="15" s="1"/>
  <c r="AM52" i="37"/>
  <c r="J52" i="37" s="1"/>
  <c r="H122" i="50"/>
  <c r="H22" i="50" s="1"/>
  <c r="I122" i="50"/>
  <c r="I22" i="50" s="1"/>
  <c r="K122" i="50"/>
  <c r="K22" i="50" s="1"/>
  <c r="J125" i="50"/>
  <c r="J122" i="50"/>
  <c r="H117" i="50"/>
  <c r="Z116" i="50" s="1"/>
  <c r="H52" i="50" s="1"/>
  <c r="H114" i="50"/>
  <c r="H16" i="50" s="1"/>
  <c r="H572" i="50"/>
  <c r="H568" i="50"/>
  <c r="I570" i="50"/>
  <c r="I568" i="50"/>
  <c r="H537" i="50"/>
  <c r="H534" i="50"/>
  <c r="I538" i="50"/>
  <c r="I534" i="50"/>
  <c r="I572" i="50"/>
  <c r="H563" i="50"/>
  <c r="Z562" i="50" s="1"/>
  <c r="H560" i="50"/>
  <c r="H528" i="50"/>
  <c r="H526" i="50"/>
  <c r="F17" i="43"/>
  <c r="E32" i="46" s="1"/>
  <c r="F17" i="34"/>
  <c r="E15" i="46" s="1"/>
  <c r="E51" i="7"/>
  <c r="E50" i="7"/>
  <c r="F23" i="50"/>
  <c r="F24" i="50" s="1"/>
  <c r="H118" i="50"/>
  <c r="H571" i="50"/>
  <c r="H126" i="50"/>
  <c r="K124" i="50"/>
  <c r="J124" i="50"/>
  <c r="I125" i="50"/>
  <c r="AA117" i="50" s="1"/>
  <c r="K126" i="50"/>
  <c r="I126" i="50"/>
  <c r="H570" i="50"/>
  <c r="AA563" i="50"/>
  <c r="AA118" i="50"/>
  <c r="J22" i="50"/>
  <c r="I124" i="50"/>
  <c r="K125" i="50"/>
  <c r="AA119" i="50" s="1"/>
  <c r="H125" i="50"/>
  <c r="AA116" i="50" s="1"/>
  <c r="H124" i="50"/>
  <c r="H116" i="50"/>
  <c r="I537" i="50"/>
  <c r="H529" i="50"/>
  <c r="Z528" i="50" s="1"/>
  <c r="AA562" i="50"/>
  <c r="I571" i="50"/>
  <c r="H538" i="50"/>
  <c r="I536" i="50"/>
  <c r="H530" i="50"/>
  <c r="H562" i="50"/>
  <c r="F17" i="50"/>
  <c r="F18" i="50" s="1"/>
  <c r="G23" i="50"/>
  <c r="G24" i="50" s="1"/>
  <c r="AA528" i="50"/>
  <c r="H536" i="50"/>
  <c r="AA529" i="50"/>
  <c r="H564" i="50"/>
  <c r="F53" i="50"/>
  <c r="F54" i="50" s="1"/>
  <c r="G577" i="50"/>
  <c r="H589" i="50"/>
  <c r="H587" i="50"/>
  <c r="H588" i="50"/>
  <c r="AA579" i="50"/>
  <c r="I589" i="50"/>
  <c r="I587" i="50"/>
  <c r="AA580" i="50"/>
  <c r="I588" i="50"/>
  <c r="H581" i="50"/>
  <c r="H580" i="50"/>
  <c r="Z579" i="50" s="1"/>
  <c r="H579" i="50"/>
  <c r="E47" i="7"/>
  <c r="E46" i="7"/>
  <c r="E295" i="7"/>
  <c r="E297" i="7" s="1"/>
  <c r="E306" i="7" s="1"/>
  <c r="G526" i="50"/>
  <c r="G543" i="50"/>
  <c r="D93" i="7"/>
  <c r="D36" i="7"/>
  <c r="H555" i="50"/>
  <c r="H553" i="50"/>
  <c r="H554" i="50"/>
  <c r="AA545" i="50"/>
  <c r="I555" i="50"/>
  <c r="I553" i="50"/>
  <c r="AA546" i="50"/>
  <c r="I554" i="50"/>
  <c r="H546" i="50"/>
  <c r="Z545" i="50" s="1"/>
  <c r="H545" i="50"/>
  <c r="H547" i="50"/>
  <c r="E327" i="7"/>
  <c r="D37" i="7"/>
  <c r="D46" i="7"/>
  <c r="D48" i="7" s="1"/>
  <c r="G39" i="37"/>
  <c r="G509" i="50"/>
  <c r="H520" i="50"/>
  <c r="H521" i="50"/>
  <c r="H519" i="50"/>
  <c r="AA511" i="50"/>
  <c r="I520" i="50"/>
  <c r="I521" i="50"/>
  <c r="I519" i="50"/>
  <c r="AA512" i="50"/>
  <c r="H513" i="50"/>
  <c r="H511" i="50"/>
  <c r="H512" i="50"/>
  <c r="Z511" i="50" s="1"/>
  <c r="F325" i="7"/>
  <c r="F327" i="7" s="1"/>
  <c r="F329" i="7"/>
  <c r="F50" i="7" s="1"/>
  <c r="E315" i="7"/>
  <c r="E319" i="7"/>
  <c r="E316" i="7"/>
  <c r="E320" i="7"/>
  <c r="E41" i="7" s="1"/>
  <c r="D304" i="7"/>
  <c r="D306" i="7" s="1"/>
  <c r="AD339" i="7"/>
  <c r="F373" i="7"/>
  <c r="P339" i="7" s="1"/>
  <c r="AE339" i="7"/>
  <c r="G373" i="7"/>
  <c r="Q339" i="7" s="1"/>
  <c r="AK339" i="7"/>
  <c r="G374" i="7"/>
  <c r="W339" i="7" s="1"/>
  <c r="G95" i="7" s="1"/>
  <c r="F300" i="7"/>
  <c r="F302" i="7"/>
  <c r="F23" i="7" s="1"/>
  <c r="D63" i="7"/>
  <c r="E25" i="7"/>
  <c r="D70" i="7"/>
  <c r="D18" i="7"/>
  <c r="E70" i="7"/>
  <c r="I91" i="7"/>
  <c r="G91" i="7"/>
  <c r="F81" i="7"/>
  <c r="F85" i="7"/>
  <c r="H91" i="7"/>
  <c r="AC105" i="7"/>
  <c r="E139" i="7"/>
  <c r="O105" i="7" s="1"/>
  <c r="F82" i="7"/>
  <c r="F86" i="7"/>
  <c r="F41" i="7" s="1"/>
  <c r="G82" i="7"/>
  <c r="G37" i="7" s="1"/>
  <c r="G86" i="7"/>
  <c r="G41" i="7" s="1"/>
  <c r="H92" i="7"/>
  <c r="H47" i="7" s="1"/>
  <c r="H96" i="7"/>
  <c r="H51" i="7" s="1"/>
  <c r="I82" i="7"/>
  <c r="I37" i="7" s="1"/>
  <c r="I86" i="7"/>
  <c r="I41" i="7" s="1"/>
  <c r="I92" i="7"/>
  <c r="I47" i="7" s="1"/>
  <c r="I96" i="7"/>
  <c r="I51" i="7" s="1"/>
  <c r="H82" i="7"/>
  <c r="H37" i="7" s="1"/>
  <c r="H86" i="7"/>
  <c r="H41" i="7" s="1"/>
  <c r="F92" i="7"/>
  <c r="F93" i="7" s="1"/>
  <c r="F96" i="7"/>
  <c r="F51" i="7" s="1"/>
  <c r="G92" i="7"/>
  <c r="G47" i="7" s="1"/>
  <c r="G96" i="7"/>
  <c r="G51" i="7" s="1"/>
  <c r="F37" i="7"/>
  <c r="F66" i="7"/>
  <c r="F69" i="7"/>
  <c r="F24" i="7" s="1"/>
  <c r="D24" i="45"/>
  <c r="C22" i="46"/>
  <c r="C24" i="46" s="1"/>
  <c r="G22" i="34"/>
  <c r="F20" i="46" s="1"/>
  <c r="C40" i="46"/>
  <c r="C43" i="46" s="1"/>
  <c r="E17" i="45"/>
  <c r="E24" i="45" s="1"/>
  <c r="D24" i="44"/>
  <c r="G22" i="43"/>
  <c r="F38" i="46" s="1"/>
  <c r="D22" i="46"/>
  <c r="D40" i="46"/>
  <c r="E17" i="44"/>
  <c r="D16" i="46" s="1"/>
  <c r="E39" i="46"/>
  <c r="G50" i="45"/>
  <c r="G20" i="45"/>
  <c r="G22" i="45" s="1"/>
  <c r="G50" i="44"/>
  <c r="G20" i="44"/>
  <c r="G22" i="44" s="1"/>
  <c r="H39" i="15"/>
  <c r="G45" i="45"/>
  <c r="G15" i="45"/>
  <c r="G17" i="45" s="1"/>
  <c r="F33" i="46" s="1"/>
  <c r="F45" i="44"/>
  <c r="F15" i="44"/>
  <c r="F17" i="44" s="1"/>
  <c r="E16" i="46" s="1"/>
  <c r="F45" i="45"/>
  <c r="F15" i="45"/>
  <c r="F17" i="45" s="1"/>
  <c r="E33" i="46" s="1"/>
  <c r="E21" i="46"/>
  <c r="G45" i="44"/>
  <c r="G15" i="44"/>
  <c r="G17" i="44" s="1"/>
  <c r="F16" i="46" s="1"/>
  <c r="E45" i="43"/>
  <c r="E15" i="43"/>
  <c r="E17" i="43" s="1"/>
  <c r="E45" i="34"/>
  <c r="E16" i="34"/>
  <c r="E17" i="34" s="1"/>
  <c r="I43" i="34"/>
  <c r="I43" i="43"/>
  <c r="I137" i="7"/>
  <c r="I44" i="43"/>
  <c r="I44" i="34"/>
  <c r="H43" i="34"/>
  <c r="H137" i="7"/>
  <c r="H43" i="43"/>
  <c r="H44" i="34"/>
  <c r="H44" i="43"/>
  <c r="G43" i="34"/>
  <c r="G44" i="43"/>
  <c r="G16" i="43" s="1"/>
  <c r="G137" i="7"/>
  <c r="G43" i="43"/>
  <c r="G44" i="34"/>
  <c r="G16" i="34" s="1"/>
  <c r="I36" i="37"/>
  <c r="I577" i="50" s="1"/>
  <c r="AW43" i="14"/>
  <c r="E38" i="46"/>
  <c r="E20" i="46"/>
  <c r="G70" i="7"/>
  <c r="F63" i="7"/>
  <c r="D41" i="46" l="1"/>
  <c r="F21" i="7"/>
  <c r="J17" i="60"/>
  <c r="A1" i="60"/>
  <c r="C19" i="1" s="1"/>
  <c r="H19" i="1" s="1"/>
  <c r="E317" i="7"/>
  <c r="J20" i="15"/>
  <c r="J68" i="15"/>
  <c r="J20" i="37"/>
  <c r="J68" i="37"/>
  <c r="J71" i="37" s="1"/>
  <c r="I20" i="15"/>
  <c r="I68" i="15"/>
  <c r="K20" i="37"/>
  <c r="K68" i="37"/>
  <c r="K71" i="37" s="1"/>
  <c r="H162" i="7"/>
  <c r="AL108" i="7" s="1"/>
  <c r="H66" i="7" s="1"/>
  <c r="H84" i="43"/>
  <c r="H20" i="43" s="1"/>
  <c r="H85" i="43"/>
  <c r="H84" i="34"/>
  <c r="H85" i="34"/>
  <c r="H21" i="34" s="1"/>
  <c r="Q36" i="37"/>
  <c r="I396" i="7"/>
  <c r="I84" i="44"/>
  <c r="I85" i="45"/>
  <c r="I21" i="45" s="1"/>
  <c r="I84" i="45"/>
  <c r="I85" i="44"/>
  <c r="I21" i="44" s="1"/>
  <c r="Q36" i="15"/>
  <c r="H84" i="45"/>
  <c r="H85" i="44"/>
  <c r="H21" i="44" s="1"/>
  <c r="H84" i="44"/>
  <c r="H396" i="7"/>
  <c r="H85" i="45"/>
  <c r="H21" i="45" s="1"/>
  <c r="P36" i="15"/>
  <c r="I162" i="7"/>
  <c r="AM108" i="7" s="1"/>
  <c r="I66" i="7" s="1"/>
  <c r="I84" i="34"/>
  <c r="I85" i="34"/>
  <c r="I21" i="34" s="1"/>
  <c r="I84" i="43"/>
  <c r="I85" i="43"/>
  <c r="I21" i="43" s="1"/>
  <c r="R36" i="37"/>
  <c r="F24" i="44"/>
  <c r="G530" i="50"/>
  <c r="G563" i="50"/>
  <c r="Z561" i="50" s="1"/>
  <c r="G560" i="50"/>
  <c r="E17" i="46"/>
  <c r="F26" i="50"/>
  <c r="F24" i="43"/>
  <c r="E34" i="46"/>
  <c r="F24" i="34"/>
  <c r="D27" i="7"/>
  <c r="F46" i="7"/>
  <c r="G564" i="50"/>
  <c r="D38" i="7"/>
  <c r="E37" i="7"/>
  <c r="G562" i="50"/>
  <c r="G529" i="50"/>
  <c r="H53" i="50"/>
  <c r="H54" i="50" s="1"/>
  <c r="I23" i="50"/>
  <c r="I24" i="50" s="1"/>
  <c r="I581" i="50"/>
  <c r="I579" i="50"/>
  <c r="I580" i="50"/>
  <c r="Z580" i="50" s="1"/>
  <c r="G580" i="50"/>
  <c r="Z578" i="50" s="1"/>
  <c r="G581" i="50"/>
  <c r="G579" i="50"/>
  <c r="I547" i="50"/>
  <c r="I560" i="50"/>
  <c r="H17" i="50"/>
  <c r="H18" i="50" s="1"/>
  <c r="H23" i="50"/>
  <c r="H24" i="50" s="1"/>
  <c r="G528" i="50"/>
  <c r="Z527" i="50"/>
  <c r="E48" i="7"/>
  <c r="G547" i="50"/>
  <c r="G545" i="50"/>
  <c r="G546" i="50"/>
  <c r="Z544" i="50" s="1"/>
  <c r="I513" i="50"/>
  <c r="I526" i="50"/>
  <c r="G512" i="50"/>
  <c r="Z510" i="50" s="1"/>
  <c r="G513" i="50"/>
  <c r="G511" i="50"/>
  <c r="G325" i="7"/>
  <c r="G327" i="7" s="1"/>
  <c r="G329" i="7"/>
  <c r="G50" i="7" s="1"/>
  <c r="G315" i="7"/>
  <c r="G317" i="7" s="1"/>
  <c r="G319" i="7"/>
  <c r="F315" i="7"/>
  <c r="F317" i="7" s="1"/>
  <c r="F319" i="7"/>
  <c r="F40" i="7" s="1"/>
  <c r="G46" i="7"/>
  <c r="G48" i="7" s="1"/>
  <c r="F304" i="7"/>
  <c r="G300" i="7"/>
  <c r="G302" i="7"/>
  <c r="G23" i="7" s="1"/>
  <c r="G293" i="7"/>
  <c r="G295" i="7"/>
  <c r="F293" i="7"/>
  <c r="F295" i="7"/>
  <c r="F16" i="7" s="1"/>
  <c r="D72" i="7"/>
  <c r="F47" i="7"/>
  <c r="I93" i="7"/>
  <c r="F25" i="7"/>
  <c r="G93" i="7"/>
  <c r="H93" i="7"/>
  <c r="F83" i="7"/>
  <c r="E81" i="7"/>
  <c r="E83" i="7" s="1"/>
  <c r="E85" i="7"/>
  <c r="E40" i="7" s="1"/>
  <c r="AF105" i="7"/>
  <c r="H139" i="7"/>
  <c r="R105" i="7" s="1"/>
  <c r="AE105" i="7"/>
  <c r="G139" i="7"/>
  <c r="Q105" i="7" s="1"/>
  <c r="AG105" i="7"/>
  <c r="I139" i="7"/>
  <c r="S105" i="7" s="1"/>
  <c r="E59" i="7"/>
  <c r="E61" i="7"/>
  <c r="E16" i="7" s="1"/>
  <c r="F70" i="7"/>
  <c r="F72" i="7" s="1"/>
  <c r="C41" i="46"/>
  <c r="D33" i="46"/>
  <c r="E22" i="46"/>
  <c r="E40" i="46"/>
  <c r="E24" i="44"/>
  <c r="F39" i="46"/>
  <c r="F40" i="46" s="1"/>
  <c r="G24" i="45"/>
  <c r="F21" i="46"/>
  <c r="F22" i="46" s="1"/>
  <c r="G24" i="44"/>
  <c r="F24" i="45"/>
  <c r="D15" i="46"/>
  <c r="D17" i="46" s="1"/>
  <c r="D24" i="46" s="1"/>
  <c r="E24" i="34"/>
  <c r="D32" i="46"/>
  <c r="E24" i="43"/>
  <c r="I115" i="50"/>
  <c r="I114" i="50" s="1"/>
  <c r="I39" i="37"/>
  <c r="G45" i="43"/>
  <c r="G15" i="43"/>
  <c r="G17" i="43" s="1"/>
  <c r="J115" i="50"/>
  <c r="J114" i="50" s="1"/>
  <c r="H45" i="34"/>
  <c r="K115" i="50"/>
  <c r="K114" i="50" s="1"/>
  <c r="I45" i="43"/>
  <c r="G45" i="34"/>
  <c r="G15" i="34"/>
  <c r="G17" i="34" s="1"/>
  <c r="H45" i="43"/>
  <c r="I45" i="34"/>
  <c r="AW44" i="14"/>
  <c r="F41" i="46" l="1"/>
  <c r="E35" i="46"/>
  <c r="I70" i="7"/>
  <c r="H86" i="44"/>
  <c r="H20" i="44"/>
  <c r="H86" i="45"/>
  <c r="H20" i="45"/>
  <c r="H22" i="45" s="1"/>
  <c r="AM342" i="7"/>
  <c r="I398" i="7"/>
  <c r="Y342" i="7" s="1"/>
  <c r="H86" i="43"/>
  <c r="H21" i="43"/>
  <c r="H22" i="43" s="1"/>
  <c r="G38" i="46" s="1"/>
  <c r="H70" i="7"/>
  <c r="I79" i="43"/>
  <c r="I15" i="43" s="1"/>
  <c r="I80" i="43"/>
  <c r="I80" i="34"/>
  <c r="I16" i="34" s="1"/>
  <c r="I79" i="34"/>
  <c r="I161" i="7"/>
  <c r="AG108" i="7" s="1"/>
  <c r="I59" i="7" s="1"/>
  <c r="K36" i="37"/>
  <c r="H79" i="44"/>
  <c r="H15" i="44" s="1"/>
  <c r="H395" i="7"/>
  <c r="I36" i="15"/>
  <c r="I39" i="15" s="1"/>
  <c r="H80" i="45"/>
  <c r="H16" i="45" s="1"/>
  <c r="H79" i="45"/>
  <c r="H80" i="44"/>
  <c r="H79" i="43"/>
  <c r="H80" i="34"/>
  <c r="H16" i="34" s="1"/>
  <c r="H161" i="7"/>
  <c r="AF108" i="7" s="1"/>
  <c r="H59" i="7" s="1"/>
  <c r="H79" i="34"/>
  <c r="H80" i="43"/>
  <c r="H16" i="43" s="1"/>
  <c r="J36" i="37"/>
  <c r="I395" i="7"/>
  <c r="I80" i="45"/>
  <c r="I16" i="45" s="1"/>
  <c r="J36" i="15"/>
  <c r="J39" i="15" s="1"/>
  <c r="I79" i="45"/>
  <c r="I79" i="44"/>
  <c r="I15" i="44" s="1"/>
  <c r="I80" i="44"/>
  <c r="I86" i="43"/>
  <c r="I20" i="43"/>
  <c r="I22" i="43" s="1"/>
  <c r="H38" i="46" s="1"/>
  <c r="I86" i="34"/>
  <c r="I20" i="34"/>
  <c r="I22" i="34" s="1"/>
  <c r="H20" i="46" s="1"/>
  <c r="AL342" i="7"/>
  <c r="H398" i="7"/>
  <c r="X342" i="7" s="1"/>
  <c r="H22" i="44"/>
  <c r="I86" i="45"/>
  <c r="I20" i="45"/>
  <c r="I22" i="45" s="1"/>
  <c r="I86" i="44"/>
  <c r="I20" i="44"/>
  <c r="I22" i="44" s="1"/>
  <c r="H86" i="34"/>
  <c r="H20" i="34"/>
  <c r="H22" i="34" s="1"/>
  <c r="G20" i="46" s="1"/>
  <c r="E24" i="46"/>
  <c r="I545" i="50"/>
  <c r="I543" i="50"/>
  <c r="I511" i="50"/>
  <c r="I509" i="50"/>
  <c r="E43" i="46"/>
  <c r="F48" i="7"/>
  <c r="I546" i="50"/>
  <c r="Z546" i="50" s="1"/>
  <c r="G53" i="50"/>
  <c r="G54" i="50" s="1"/>
  <c r="I512" i="50"/>
  <c r="Z512" i="50" s="1"/>
  <c r="G17" i="50"/>
  <c r="G18" i="50" s="1"/>
  <c r="G26" i="50" s="1"/>
  <c r="H26" i="50"/>
  <c r="I564" i="50"/>
  <c r="I562" i="50"/>
  <c r="I563" i="50"/>
  <c r="Z563" i="50" s="1"/>
  <c r="I530" i="50"/>
  <c r="I529" i="50"/>
  <c r="Z529" i="50" s="1"/>
  <c r="I528" i="50"/>
  <c r="E36" i="7"/>
  <c r="E38" i="7" s="1"/>
  <c r="F36" i="7"/>
  <c r="F38" i="7" s="1"/>
  <c r="G297" i="7"/>
  <c r="F297" i="7"/>
  <c r="F306" i="7" s="1"/>
  <c r="F14" i="7"/>
  <c r="F18" i="7" s="1"/>
  <c r="F27" i="7" s="1"/>
  <c r="G304" i="7"/>
  <c r="G21" i="7"/>
  <c r="G25" i="7" s="1"/>
  <c r="I81" i="7"/>
  <c r="I83" i="7" s="1"/>
  <c r="I85" i="7"/>
  <c r="G81" i="7"/>
  <c r="G83" i="7" s="1"/>
  <c r="G85" i="7"/>
  <c r="G40" i="7" s="1"/>
  <c r="H81" i="7"/>
  <c r="H83" i="7" s="1"/>
  <c r="H85" i="7"/>
  <c r="E14" i="7"/>
  <c r="E18" i="7" s="1"/>
  <c r="E27" i="7" s="1"/>
  <c r="E63" i="7"/>
  <c r="E72" i="7" s="1"/>
  <c r="I61" i="7"/>
  <c r="G59" i="7"/>
  <c r="G61" i="7"/>
  <c r="G16" i="7" s="1"/>
  <c r="H61" i="7"/>
  <c r="D34" i="46"/>
  <c r="D43" i="46" s="1"/>
  <c r="E41" i="46"/>
  <c r="F15" i="46"/>
  <c r="F17" i="46" s="1"/>
  <c r="G24" i="34"/>
  <c r="K16" i="50"/>
  <c r="K118" i="50"/>
  <c r="K117" i="50"/>
  <c r="Z119" i="50" s="1"/>
  <c r="K52" i="50" s="1"/>
  <c r="K116" i="50"/>
  <c r="J117" i="50"/>
  <c r="Z118" i="50" s="1"/>
  <c r="J52" i="50" s="1"/>
  <c r="J116" i="50"/>
  <c r="J16" i="50"/>
  <c r="J118" i="50"/>
  <c r="F32" i="46"/>
  <c r="F34" i="46" s="1"/>
  <c r="G24" i="43"/>
  <c r="I16" i="50"/>
  <c r="I118" i="50"/>
  <c r="I117" i="50"/>
  <c r="Z117" i="50" s="1"/>
  <c r="I52" i="50" s="1"/>
  <c r="I116" i="50"/>
  <c r="AW45" i="14"/>
  <c r="H302" i="7" l="1"/>
  <c r="H23" i="7" s="1"/>
  <c r="H300" i="7"/>
  <c r="H21" i="7" s="1"/>
  <c r="I302" i="7"/>
  <c r="I23" i="7" s="1"/>
  <c r="I300" i="7"/>
  <c r="I21" i="7" s="1"/>
  <c r="G39" i="46"/>
  <c r="G40" i="46" s="1"/>
  <c r="J534" i="50"/>
  <c r="J537" i="50"/>
  <c r="J536" i="50"/>
  <c r="AA530" i="50"/>
  <c r="J538" i="50"/>
  <c r="J517" i="50"/>
  <c r="J521" i="50"/>
  <c r="AA513" i="50"/>
  <c r="J520" i="50"/>
  <c r="J519" i="50"/>
  <c r="J585" i="50"/>
  <c r="J589" i="50"/>
  <c r="J588" i="50"/>
  <c r="J587" i="50"/>
  <c r="AA581" i="50"/>
  <c r="H325" i="7"/>
  <c r="H329" i="7"/>
  <c r="H95" i="7"/>
  <c r="K517" i="50"/>
  <c r="K521" i="50"/>
  <c r="AA514" i="50"/>
  <c r="K520" i="50"/>
  <c r="K519" i="50"/>
  <c r="K570" i="50"/>
  <c r="K572" i="50"/>
  <c r="AA565" i="50"/>
  <c r="K568" i="50"/>
  <c r="K571" i="50"/>
  <c r="K585" i="50"/>
  <c r="K589" i="50"/>
  <c r="AA582" i="50"/>
  <c r="K587" i="50"/>
  <c r="K588" i="50"/>
  <c r="I397" i="7"/>
  <c r="S342" i="7" s="1"/>
  <c r="AG342" i="7"/>
  <c r="H81" i="43"/>
  <c r="H15" i="43"/>
  <c r="H17" i="43" s="1"/>
  <c r="H81" i="45"/>
  <c r="H15" i="45"/>
  <c r="H17" i="45" s="1"/>
  <c r="G33" i="46" s="1"/>
  <c r="A1" i="15"/>
  <c r="C24" i="1" s="1"/>
  <c r="H24" i="1" s="1"/>
  <c r="J553" i="50"/>
  <c r="AA547" i="50"/>
  <c r="J551" i="50"/>
  <c r="J555" i="50"/>
  <c r="J554" i="50"/>
  <c r="J568" i="50"/>
  <c r="J572" i="50"/>
  <c r="J571" i="50"/>
  <c r="J570" i="50"/>
  <c r="AA564" i="50"/>
  <c r="H21" i="46"/>
  <c r="H22" i="46" s="1"/>
  <c r="H39" i="46"/>
  <c r="H40" i="46" s="1"/>
  <c r="G21" i="46"/>
  <c r="G22" i="46" s="1"/>
  <c r="K534" i="50"/>
  <c r="K538" i="50"/>
  <c r="K536" i="50"/>
  <c r="AA531" i="50"/>
  <c r="K537" i="50"/>
  <c r="K551" i="50"/>
  <c r="K553" i="50"/>
  <c r="K554" i="50"/>
  <c r="K555" i="50"/>
  <c r="AA548" i="50"/>
  <c r="I81" i="44"/>
  <c r="I16" i="44"/>
  <c r="I17" i="44" s="1"/>
  <c r="I81" i="45"/>
  <c r="I15" i="45"/>
  <c r="I17" i="45" s="1"/>
  <c r="H33" i="46" s="1"/>
  <c r="A1" i="37"/>
  <c r="C21" i="1" s="1"/>
  <c r="H21" i="1" s="1"/>
  <c r="J39" i="37"/>
  <c r="H81" i="34"/>
  <c r="H15" i="34"/>
  <c r="H17" i="34" s="1"/>
  <c r="H81" i="44"/>
  <c r="H16" i="44"/>
  <c r="H17" i="44" s="1"/>
  <c r="AF342" i="7"/>
  <c r="H397" i="7"/>
  <c r="R342" i="7" s="1"/>
  <c r="K39" i="37"/>
  <c r="I81" i="34"/>
  <c r="I15" i="34"/>
  <c r="I17" i="34" s="1"/>
  <c r="I81" i="43"/>
  <c r="I16" i="43"/>
  <c r="I17" i="43" s="1"/>
  <c r="I325" i="7"/>
  <c r="I95" i="7"/>
  <c r="I329" i="7"/>
  <c r="I53" i="50"/>
  <c r="I54" i="50" s="1"/>
  <c r="D35" i="46"/>
  <c r="I17" i="50"/>
  <c r="I18" i="50" s="1"/>
  <c r="I26" i="50" s="1"/>
  <c r="G306" i="7"/>
  <c r="G36" i="7"/>
  <c r="H63" i="7"/>
  <c r="H72" i="7" s="1"/>
  <c r="G14" i="7"/>
  <c r="G18" i="7" s="1"/>
  <c r="G27" i="7" s="1"/>
  <c r="G63" i="7"/>
  <c r="G72" i="7" s="1"/>
  <c r="I63" i="7"/>
  <c r="I72" i="7" s="1"/>
  <c r="F35" i="46"/>
  <c r="F43" i="46"/>
  <c r="F24" i="46"/>
  <c r="AW46" i="14"/>
  <c r="AX44" i="14" s="1"/>
  <c r="G41" i="46" l="1"/>
  <c r="K22" i="46" s="1"/>
  <c r="M2" i="46" s="1"/>
  <c r="H17" i="41" s="1"/>
  <c r="N17" i="41" s="1"/>
  <c r="E39" i="41" s="1"/>
  <c r="I25" i="7"/>
  <c r="H25" i="7"/>
  <c r="H304" i="7"/>
  <c r="I304" i="7"/>
  <c r="I295" i="7"/>
  <c r="I293" i="7"/>
  <c r="I14" i="7" s="1"/>
  <c r="H295" i="7"/>
  <c r="H293" i="7"/>
  <c r="H14" i="7" s="1"/>
  <c r="I16" i="7"/>
  <c r="H50" i="7"/>
  <c r="I50" i="7"/>
  <c r="H16" i="46"/>
  <c r="I24" i="44"/>
  <c r="I24" i="43"/>
  <c r="H32" i="46"/>
  <c r="H34" i="46" s="1"/>
  <c r="G16" i="46"/>
  <c r="B25" i="1"/>
  <c r="G25" i="1" s="1"/>
  <c r="H24" i="44"/>
  <c r="H24" i="34"/>
  <c r="G15" i="46"/>
  <c r="G17" i="46" s="1"/>
  <c r="H41" i="46"/>
  <c r="I327" i="7"/>
  <c r="I46" i="7"/>
  <c r="I48" i="7" s="1"/>
  <c r="I24" i="34"/>
  <c r="H15" i="46"/>
  <c r="K526" i="50"/>
  <c r="K528" i="50"/>
  <c r="K530" i="50"/>
  <c r="K529" i="50"/>
  <c r="Z531" i="50" s="1"/>
  <c r="K543" i="50"/>
  <c r="K545" i="50"/>
  <c r="K547" i="50"/>
  <c r="K546" i="50"/>
  <c r="Z548" i="50" s="1"/>
  <c r="H315" i="7"/>
  <c r="H319" i="7"/>
  <c r="H40" i="7" s="1"/>
  <c r="J526" i="50"/>
  <c r="J529" i="50"/>
  <c r="Z530" i="50" s="1"/>
  <c r="J528" i="50"/>
  <c r="J530" i="50"/>
  <c r="J543" i="50"/>
  <c r="J547" i="50"/>
  <c r="J545" i="50"/>
  <c r="J546" i="50"/>
  <c r="Z547" i="50" s="1"/>
  <c r="I24" i="45"/>
  <c r="H16" i="7"/>
  <c r="I319" i="7"/>
  <c r="I40" i="7" s="1"/>
  <c r="I315" i="7"/>
  <c r="K23" i="50"/>
  <c r="K24" i="50" s="1"/>
  <c r="H24" i="45"/>
  <c r="K560" i="50"/>
  <c r="K564" i="50"/>
  <c r="K563" i="50"/>
  <c r="Z565" i="50" s="1"/>
  <c r="K562" i="50"/>
  <c r="K509" i="50"/>
  <c r="K513" i="50"/>
  <c r="K512" i="50"/>
  <c r="Z514" i="50" s="1"/>
  <c r="K511" i="50"/>
  <c r="K577" i="50"/>
  <c r="K580" i="50"/>
  <c r="Z582" i="50" s="1"/>
  <c r="K579" i="50"/>
  <c r="K581" i="50"/>
  <c r="J560" i="50"/>
  <c r="J564" i="50"/>
  <c r="J563" i="50"/>
  <c r="Z564" i="50" s="1"/>
  <c r="J562" i="50"/>
  <c r="J509" i="50"/>
  <c r="J513" i="50"/>
  <c r="J512" i="50"/>
  <c r="Z513" i="50" s="1"/>
  <c r="J511" i="50"/>
  <c r="J577" i="50"/>
  <c r="J579" i="50"/>
  <c r="J581" i="50"/>
  <c r="J580" i="50"/>
  <c r="Z581" i="50" s="1"/>
  <c r="H24" i="43"/>
  <c r="A1" i="43" s="1"/>
  <c r="G32" i="46"/>
  <c r="G34" i="46" s="1"/>
  <c r="H327" i="7"/>
  <c r="H46" i="7"/>
  <c r="J23" i="50"/>
  <c r="J24" i="50" s="1"/>
  <c r="Y23" i="50" s="1"/>
  <c r="G38" i="7"/>
  <c r="AX43" i="14"/>
  <c r="AX46" i="14"/>
  <c r="AX7" i="14"/>
  <c r="AX8" i="14"/>
  <c r="AX12" i="14"/>
  <c r="AX9" i="14"/>
  <c r="AX10" i="14"/>
  <c r="AX11" i="14"/>
  <c r="AX14" i="14"/>
  <c r="AX13" i="14"/>
  <c r="AX15" i="14"/>
  <c r="AX16" i="14"/>
  <c r="AX17" i="14"/>
  <c r="AX18" i="14"/>
  <c r="AX19" i="14"/>
  <c r="AX21" i="14"/>
  <c r="AX20" i="14"/>
  <c r="AX22" i="14"/>
  <c r="AX23" i="14"/>
  <c r="AX24" i="14"/>
  <c r="AX25" i="14"/>
  <c r="AX27" i="14"/>
  <c r="AX26" i="14"/>
  <c r="AX28" i="14"/>
  <c r="AX29" i="14"/>
  <c r="AX30" i="14"/>
  <c r="AX31" i="14"/>
  <c r="AX32" i="14"/>
  <c r="AX34" i="14"/>
  <c r="AX33" i="14"/>
  <c r="AX35" i="14"/>
  <c r="AX38" i="14"/>
  <c r="AX36" i="14"/>
  <c r="AX37" i="14"/>
  <c r="AX39" i="14"/>
  <c r="AX41" i="14"/>
  <c r="AX40" i="14"/>
  <c r="AX42" i="14"/>
  <c r="AX45" i="14"/>
  <c r="A1" i="45" l="1"/>
  <c r="H18" i="7"/>
  <c r="H27" i="7" s="1"/>
  <c r="I18" i="7"/>
  <c r="I27" i="7" s="1"/>
  <c r="H297" i="7"/>
  <c r="H306" i="7" s="1"/>
  <c r="I297" i="7"/>
  <c r="I306" i="7" s="1"/>
  <c r="H17" i="46"/>
  <c r="H24" i="46" s="1"/>
  <c r="J53" i="50"/>
  <c r="J54" i="50" s="1"/>
  <c r="K53" i="50"/>
  <c r="K54" i="50" s="1"/>
  <c r="H43" i="46"/>
  <c r="A1" i="44"/>
  <c r="C25" i="1" s="1"/>
  <c r="H25" i="1" s="1"/>
  <c r="H48" i="7"/>
  <c r="L48" i="7"/>
  <c r="G43" i="46"/>
  <c r="G35" i="46"/>
  <c r="C26" i="1"/>
  <c r="H26" i="1" s="1"/>
  <c r="L1" i="45"/>
  <c r="I317" i="7"/>
  <c r="I36" i="7"/>
  <c r="I38" i="7" s="1"/>
  <c r="A1" i="34"/>
  <c r="C23" i="1"/>
  <c r="H23" i="1" s="1"/>
  <c r="L1" i="43"/>
  <c r="J17" i="50"/>
  <c r="J18" i="50" s="1"/>
  <c r="K17" i="50"/>
  <c r="K18" i="50" s="1"/>
  <c r="K26" i="50" s="1"/>
  <c r="H317" i="7"/>
  <c r="H36" i="7"/>
  <c r="G24" i="46"/>
  <c r="AY8" i="14"/>
  <c r="AU8" i="14" s="1"/>
  <c r="E31" i="50" s="1"/>
  <c r="AY10" i="14"/>
  <c r="AU10" i="14" s="1"/>
  <c r="E33" i="50" s="1"/>
  <c r="AY12" i="14"/>
  <c r="AU12" i="14" s="1"/>
  <c r="E35" i="50" s="1"/>
  <c r="AY14" i="14"/>
  <c r="AU14" i="14" s="1"/>
  <c r="E37" i="50" s="1"/>
  <c r="AY16" i="14"/>
  <c r="AU16" i="14" s="1"/>
  <c r="E39" i="50" s="1"/>
  <c r="AY18" i="14"/>
  <c r="AU18" i="14" s="1"/>
  <c r="E41" i="50" s="1"/>
  <c r="AY20" i="14"/>
  <c r="AU20" i="14" s="1"/>
  <c r="E43" i="50" s="1"/>
  <c r="AY22" i="14"/>
  <c r="AU22" i="14" s="1"/>
  <c r="E45" i="50" s="1"/>
  <c r="AY24" i="14"/>
  <c r="AU24" i="14" s="1"/>
  <c r="E47" i="50" s="1"/>
  <c r="AY26" i="14"/>
  <c r="AU26" i="14" s="1"/>
  <c r="E49" i="50" s="1"/>
  <c r="AY28" i="14"/>
  <c r="AU28" i="14" s="1"/>
  <c r="AY30" i="14"/>
  <c r="AU30" i="14" s="1"/>
  <c r="AY32" i="14"/>
  <c r="AU32" i="14" s="1"/>
  <c r="AY34" i="14"/>
  <c r="AU34" i="14" s="1"/>
  <c r="AY36" i="14"/>
  <c r="AU36" i="14" s="1"/>
  <c r="AY38" i="14"/>
  <c r="AU38" i="14" s="1"/>
  <c r="AY40" i="14"/>
  <c r="AU40" i="14" s="1"/>
  <c r="AY42" i="14"/>
  <c r="AU42" i="14" s="1"/>
  <c r="AY44" i="14"/>
  <c r="AU44" i="14" s="1"/>
  <c r="AY46" i="14"/>
  <c r="AU46" i="14" s="1"/>
  <c r="AY9" i="14"/>
  <c r="AU9" i="14" s="1"/>
  <c r="E32" i="50" s="1"/>
  <c r="AY11" i="14"/>
  <c r="AU11" i="14" s="1"/>
  <c r="E34" i="50" s="1"/>
  <c r="AY13" i="14"/>
  <c r="AU13" i="14" s="1"/>
  <c r="E36" i="50" s="1"/>
  <c r="AY15" i="14"/>
  <c r="AU15" i="14" s="1"/>
  <c r="E38" i="50" s="1"/>
  <c r="AY17" i="14"/>
  <c r="AU17" i="14" s="1"/>
  <c r="E40" i="50" s="1"/>
  <c r="AY19" i="14"/>
  <c r="AU19" i="14" s="1"/>
  <c r="E42" i="50" s="1"/>
  <c r="AY21" i="14"/>
  <c r="AU21" i="14" s="1"/>
  <c r="E44" i="50" s="1"/>
  <c r="AY23" i="14"/>
  <c r="AU23" i="14" s="1"/>
  <c r="E46" i="50" s="1"/>
  <c r="AY25" i="14"/>
  <c r="AU25" i="14" s="1"/>
  <c r="E48" i="50" s="1"/>
  <c r="AY27" i="14"/>
  <c r="AU27" i="14" s="1"/>
  <c r="AY29" i="14"/>
  <c r="AU29" i="14" s="1"/>
  <c r="AY31" i="14"/>
  <c r="AU31" i="14" s="1"/>
  <c r="AY33" i="14"/>
  <c r="AU33" i="14" s="1"/>
  <c r="AY35" i="14"/>
  <c r="AU35" i="14" s="1"/>
  <c r="AY37" i="14"/>
  <c r="AU37" i="14" s="1"/>
  <c r="AY39" i="14"/>
  <c r="AU39" i="14" s="1"/>
  <c r="AY41" i="14"/>
  <c r="AU41" i="14" s="1"/>
  <c r="AY43" i="14"/>
  <c r="AU43" i="14" s="1"/>
  <c r="AY45" i="14"/>
  <c r="AU45" i="14" s="1"/>
  <c r="AY7" i="14"/>
  <c r="AU7" i="14" s="1"/>
  <c r="E30" i="50" s="1"/>
  <c r="H35" i="46" l="1"/>
  <c r="L1" i="44"/>
  <c r="A1" i="46"/>
  <c r="K19" i="46"/>
  <c r="K17" i="46"/>
  <c r="H38" i="7"/>
  <c r="A1" i="7" s="1"/>
  <c r="C28" i="1" s="1"/>
  <c r="H28" i="1" s="1"/>
  <c r="L38" i="7"/>
  <c r="L49" i="7" s="1"/>
  <c r="AA1" i="7" s="1"/>
  <c r="H21" i="41" s="1"/>
  <c r="N22" i="41" s="1"/>
  <c r="E41" i="41" s="1"/>
  <c r="J26" i="50"/>
  <c r="A1" i="50" s="1"/>
  <c r="C29" i="1" s="1"/>
  <c r="H29" i="1" s="1"/>
  <c r="Y19" i="50"/>
  <c r="Y24" i="50" s="1"/>
  <c r="V1" i="50" s="1"/>
  <c r="H19" i="41" s="1"/>
  <c r="N21" i="41" s="1"/>
  <c r="E40" i="41" s="1"/>
  <c r="C22" i="1"/>
  <c r="H22" i="1" s="1"/>
  <c r="L1" i="34"/>
  <c r="F30" i="50"/>
  <c r="I30" i="50"/>
  <c r="J30" i="50"/>
  <c r="H30" i="50"/>
  <c r="K30" i="50"/>
  <c r="G30" i="50"/>
  <c r="F46" i="50"/>
  <c r="G46" i="50"/>
  <c r="H46" i="50"/>
  <c r="I46" i="50"/>
  <c r="J46" i="50"/>
  <c r="K46" i="50"/>
  <c r="F42" i="50"/>
  <c r="G42" i="50"/>
  <c r="H42" i="50"/>
  <c r="I42" i="50"/>
  <c r="J42" i="50"/>
  <c r="K42" i="50"/>
  <c r="F38" i="50"/>
  <c r="G38" i="50"/>
  <c r="H38" i="50"/>
  <c r="I38" i="50"/>
  <c r="J38" i="50"/>
  <c r="K38" i="50"/>
  <c r="F34" i="50"/>
  <c r="G34" i="50"/>
  <c r="H34" i="50"/>
  <c r="I34" i="50"/>
  <c r="J34" i="50"/>
  <c r="K34" i="50"/>
  <c r="F49" i="50"/>
  <c r="G49" i="50"/>
  <c r="H49" i="50"/>
  <c r="I49" i="50"/>
  <c r="J49" i="50"/>
  <c r="K49" i="50"/>
  <c r="F45" i="50"/>
  <c r="G45" i="50"/>
  <c r="H45" i="50"/>
  <c r="I45" i="50"/>
  <c r="J45" i="50"/>
  <c r="K45" i="50"/>
  <c r="F41" i="50"/>
  <c r="G41" i="50"/>
  <c r="H41" i="50"/>
  <c r="I41" i="50"/>
  <c r="J41" i="50"/>
  <c r="K41" i="50"/>
  <c r="F37" i="50"/>
  <c r="G37" i="50"/>
  <c r="H37" i="50"/>
  <c r="I37" i="50"/>
  <c r="J37" i="50"/>
  <c r="K37" i="50"/>
  <c r="F33" i="50"/>
  <c r="G33" i="50"/>
  <c r="H33" i="50"/>
  <c r="I33" i="50"/>
  <c r="J33" i="50"/>
  <c r="K33" i="50"/>
  <c r="F48" i="50"/>
  <c r="G48" i="50"/>
  <c r="H48" i="50"/>
  <c r="I48" i="50"/>
  <c r="J48" i="50"/>
  <c r="K48" i="50"/>
  <c r="F44" i="50"/>
  <c r="G44" i="50"/>
  <c r="H44" i="50"/>
  <c r="I44" i="50"/>
  <c r="J44" i="50"/>
  <c r="K44" i="50"/>
  <c r="F40" i="50"/>
  <c r="G40" i="50"/>
  <c r="H40" i="50"/>
  <c r="I40" i="50"/>
  <c r="J40" i="50"/>
  <c r="K40" i="50"/>
  <c r="F36" i="50"/>
  <c r="G36" i="50"/>
  <c r="H36" i="50"/>
  <c r="I36" i="50"/>
  <c r="J36" i="50"/>
  <c r="K36" i="50"/>
  <c r="K32" i="50"/>
  <c r="F32" i="50"/>
  <c r="J32" i="50"/>
  <c r="G32" i="50"/>
  <c r="H32" i="50"/>
  <c r="I32" i="50"/>
  <c r="F47" i="50"/>
  <c r="G47" i="50"/>
  <c r="H47" i="50"/>
  <c r="I47" i="50"/>
  <c r="J47" i="50"/>
  <c r="K47" i="50"/>
  <c r="F43" i="50"/>
  <c r="G43" i="50"/>
  <c r="H43" i="50"/>
  <c r="I43" i="50"/>
  <c r="J43" i="50"/>
  <c r="K43" i="50"/>
  <c r="F39" i="50"/>
  <c r="G39" i="50"/>
  <c r="H39" i="50"/>
  <c r="I39" i="50"/>
  <c r="J39" i="50"/>
  <c r="K39" i="50"/>
  <c r="F35" i="50"/>
  <c r="G35" i="50"/>
  <c r="H35" i="50"/>
  <c r="I35" i="50"/>
  <c r="J35" i="50"/>
  <c r="K35" i="50"/>
  <c r="F31" i="50"/>
  <c r="G31" i="50"/>
  <c r="K31" i="50"/>
  <c r="I31" i="50"/>
  <c r="J31" i="50"/>
  <c r="H31" i="50"/>
  <c r="Q30" i="50"/>
  <c r="Q46" i="50"/>
  <c r="Q42" i="50"/>
  <c r="Q38" i="50"/>
  <c r="Q34" i="50"/>
  <c r="Q49" i="50"/>
  <c r="Q45" i="50"/>
  <c r="Q41" i="50"/>
  <c r="Q37" i="50"/>
  <c r="Q33" i="50"/>
  <c r="Q48" i="50"/>
  <c r="Q44" i="50"/>
  <c r="Q40" i="50"/>
  <c r="Q36" i="50"/>
  <c r="Q32" i="50"/>
  <c r="Q47" i="50"/>
  <c r="Q43" i="50"/>
  <c r="Q39" i="50"/>
  <c r="Q35" i="50"/>
  <c r="Q31" i="50"/>
  <c r="M1" i="46" l="1"/>
  <c r="H16" i="41" s="1"/>
  <c r="N16" i="41" s="1"/>
  <c r="U31" i="50"/>
  <c r="R31" i="50"/>
  <c r="V31" i="50"/>
  <c r="S31" i="50"/>
  <c r="T31" i="50"/>
  <c r="R39" i="50"/>
  <c r="S39" i="50"/>
  <c r="T39" i="50"/>
  <c r="U39" i="50"/>
  <c r="V39" i="50"/>
  <c r="R47" i="50"/>
  <c r="S47" i="50"/>
  <c r="T47" i="50"/>
  <c r="U47" i="50"/>
  <c r="V47" i="50"/>
  <c r="R36" i="50"/>
  <c r="S36" i="50"/>
  <c r="T36" i="50"/>
  <c r="U36" i="50"/>
  <c r="V36" i="50"/>
  <c r="R44" i="50"/>
  <c r="S44" i="50"/>
  <c r="T44" i="50"/>
  <c r="U44" i="50"/>
  <c r="V44" i="50"/>
  <c r="R33" i="50"/>
  <c r="S33" i="50"/>
  <c r="T33" i="50"/>
  <c r="U33" i="50"/>
  <c r="V33" i="50"/>
  <c r="R41" i="50"/>
  <c r="S41" i="50"/>
  <c r="T41" i="50"/>
  <c r="U41" i="50"/>
  <c r="V41" i="50"/>
  <c r="R49" i="50"/>
  <c r="S49" i="50"/>
  <c r="T49" i="50"/>
  <c r="U49" i="50"/>
  <c r="V49" i="50"/>
  <c r="R38" i="50"/>
  <c r="S38" i="50"/>
  <c r="T38" i="50"/>
  <c r="U38" i="50"/>
  <c r="V38" i="50"/>
  <c r="R46" i="50"/>
  <c r="S46" i="50"/>
  <c r="T46" i="50"/>
  <c r="U46" i="50"/>
  <c r="V46" i="50"/>
  <c r="R35" i="50"/>
  <c r="S35" i="50"/>
  <c r="T35" i="50"/>
  <c r="U35" i="50"/>
  <c r="V35" i="50"/>
  <c r="R43" i="50"/>
  <c r="S43" i="50"/>
  <c r="T43" i="50"/>
  <c r="U43" i="50"/>
  <c r="V43" i="50"/>
  <c r="R32" i="50"/>
  <c r="V32" i="50"/>
  <c r="U32" i="50"/>
  <c r="T32" i="50"/>
  <c r="S32" i="50"/>
  <c r="R40" i="50"/>
  <c r="S40" i="50"/>
  <c r="T40" i="50"/>
  <c r="U40" i="50"/>
  <c r="V40" i="50"/>
  <c r="R48" i="50"/>
  <c r="S48" i="50"/>
  <c r="T48" i="50"/>
  <c r="U48" i="50"/>
  <c r="V48" i="50"/>
  <c r="R37" i="50"/>
  <c r="S37" i="50"/>
  <c r="T37" i="50"/>
  <c r="U37" i="50"/>
  <c r="V37" i="50"/>
  <c r="R45" i="50"/>
  <c r="S45" i="50"/>
  <c r="T45" i="50"/>
  <c r="U45" i="50"/>
  <c r="V45" i="50"/>
  <c r="R34" i="50"/>
  <c r="S34" i="50"/>
  <c r="T34" i="50"/>
  <c r="U34" i="50"/>
  <c r="V34" i="50"/>
  <c r="R42" i="50"/>
  <c r="S42" i="50"/>
  <c r="T42" i="50"/>
  <c r="U42" i="50"/>
  <c r="V42" i="50"/>
  <c r="R30" i="50"/>
  <c r="T30" i="50"/>
  <c r="V30" i="50"/>
  <c r="S30" i="50"/>
  <c r="U30" i="50"/>
  <c r="E38" i="41" l="1"/>
  <c r="E37" i="41"/>
  <c r="E30" i="41" l="1"/>
</calcChain>
</file>

<file path=xl/comments1.xml><?xml version="1.0" encoding="utf-8"?>
<comments xmlns="http://schemas.openxmlformats.org/spreadsheetml/2006/main">
  <authors>
    <author>Author</author>
  </authors>
  <commentList>
    <comment ref="K16" authorId="0" shapeId="0">
      <text>
        <r>
          <rPr>
            <b/>
            <sz val="8"/>
            <color indexed="81"/>
            <rFont val="Tahoma"/>
            <family val="2"/>
          </rPr>
          <t>Note:</t>
        </r>
        <r>
          <rPr>
            <sz val="8"/>
            <color indexed="81"/>
            <rFont val="Tahoma"/>
            <family val="2"/>
          </rPr>
          <t xml:space="preserve">
This is what the cost to the patient (at the PUBLISHED price) would be for a standard course of treatment (episodic treatments) or a year of therapy (chronic or extended treatments) if the medicine was not subsidised on the PBS.</t>
        </r>
      </text>
    </comment>
    <comment ref="K17" authorId="0" shapeId="0">
      <text>
        <r>
          <rPr>
            <b/>
            <sz val="8"/>
            <color indexed="81"/>
            <rFont val="Tahoma"/>
            <family val="2"/>
          </rPr>
          <t>Note:</t>
        </r>
        <r>
          <rPr>
            <sz val="8"/>
            <color indexed="81"/>
            <rFont val="Tahoma"/>
            <family val="2"/>
          </rPr>
          <t xml:space="preserve">
This is what the cost to the patient (at the EFFECTIVE price) would be for a standard course of treatment (episodic treatments) or a year of therapy (chronic or extended treatments) if the medicine was not subsidised on the PBS.</t>
        </r>
      </text>
    </comment>
    <comment ref="G18" authorId="0" shapeId="0">
      <text>
        <r>
          <rPr>
            <b/>
            <sz val="8"/>
            <color indexed="81"/>
            <rFont val="Tahoma"/>
            <family val="2"/>
          </rPr>
          <t>Note:</t>
        </r>
        <r>
          <rPr>
            <sz val="8"/>
            <color indexed="81"/>
            <rFont val="Tahoma"/>
            <family val="2"/>
          </rPr>
          <t xml:space="preserve">
If the DVA population is not explicitly projected in the model then the declining population </t>
        </r>
        <r>
          <rPr>
            <b/>
            <sz val="8"/>
            <color indexed="81"/>
            <rFont val="Tahoma"/>
            <family val="2"/>
          </rPr>
          <t>SHOULD</t>
        </r>
        <r>
          <rPr>
            <sz val="8"/>
            <color indexed="81"/>
            <rFont val="Tahoma"/>
            <family val="2"/>
          </rPr>
          <t xml:space="preserve"> be used.
If the DVA population is explicitly projected in the model then the declining population </t>
        </r>
        <r>
          <rPr>
            <b/>
            <sz val="8"/>
            <color indexed="81"/>
            <rFont val="Tahoma"/>
            <family val="2"/>
          </rPr>
          <t>SHOULD NOT</t>
        </r>
        <r>
          <rPr>
            <sz val="8"/>
            <color indexed="81"/>
            <rFont val="Tahoma"/>
            <family val="2"/>
          </rPr>
          <t xml:space="preserve"> be used.</t>
        </r>
      </text>
    </comment>
    <comment ref="E405" authorId="0" shapeId="0">
      <text>
        <r>
          <rPr>
            <b/>
            <sz val="8"/>
            <color indexed="81"/>
            <rFont val="Tahoma"/>
            <family val="2"/>
          </rPr>
          <t>Note:</t>
        </r>
        <r>
          <rPr>
            <sz val="8"/>
            <color indexed="81"/>
            <rFont val="Tahoma"/>
            <family val="2"/>
          </rPr>
          <t xml:space="preserve">
Explanation of the method of calculating the cost to a patient per year or course of treatment e.g.
(365.25 / 28 x Medicine A DPMQ) +
(365.25 / 30 * Medicine B DPMQ).</t>
        </r>
      </text>
    </comment>
    <comment ref="H405" authorId="0" shapeId="0">
      <text>
        <r>
          <rPr>
            <b/>
            <sz val="8"/>
            <color indexed="81"/>
            <rFont val="Tahoma"/>
            <family val="2"/>
          </rPr>
          <t>Note:</t>
        </r>
        <r>
          <rPr>
            <sz val="8"/>
            <color indexed="81"/>
            <rFont val="Tahoma"/>
            <family val="2"/>
          </rPr>
          <t xml:space="preserve">
This is the duration of a standard treatment period:
* Chronic (open ended treatment)
* Extended (finite - greater than 12 months)
* Episodic (finite - less than 12 months).</t>
        </r>
      </text>
    </comment>
  </commentList>
</comments>
</file>

<file path=xl/sharedStrings.xml><?xml version="1.0" encoding="utf-8"?>
<sst xmlns="http://schemas.openxmlformats.org/spreadsheetml/2006/main" count="5377" uniqueCount="1315">
  <si>
    <t>PBS</t>
  </si>
  <si>
    <t>RPBS</t>
  </si>
  <si>
    <t>Introduction</t>
  </si>
  <si>
    <t>Guidance</t>
  </si>
  <si>
    <t>Cells</t>
  </si>
  <si>
    <t>Data</t>
  </si>
  <si>
    <t>Extra sheets added</t>
  </si>
  <si>
    <t>Minor</t>
  </si>
  <si>
    <t>Yes</t>
  </si>
  <si>
    <t>No</t>
  </si>
  <si>
    <t>Number of patients</t>
  </si>
  <si>
    <t>Output cells</t>
  </si>
  <si>
    <t>Table of contents</t>
  </si>
  <si>
    <t>Data source</t>
  </si>
  <si>
    <t>Relevance to Australian setting</t>
  </si>
  <si>
    <t>Category of data</t>
  </si>
  <si>
    <t>Link to worksheet</t>
  </si>
  <si>
    <t>Data summary #1</t>
  </si>
  <si>
    <t>Data summary #2</t>
  </si>
  <si>
    <t>Data summary #3</t>
  </si>
  <si>
    <t>Data summary #4</t>
  </si>
  <si>
    <t>Data summary #5</t>
  </si>
  <si>
    <t>Data summary #6</t>
  </si>
  <si>
    <t>Please outline all data used and calculations in the space below.</t>
  </si>
  <si>
    <t>Please outline all methods and assumptions used to estimate the net changes in the space below.</t>
  </si>
  <si>
    <t>Copies of data</t>
  </si>
  <si>
    <t>Estimated annual rate of growth</t>
  </si>
  <si>
    <t>3. Methods and assumptions</t>
  </si>
  <si>
    <t>The following table summarises the results of your estimate.</t>
  </si>
  <si>
    <t>Make sure to include all calculations performed, including methods and assumptions used, in the space provided in each spreadsheet.</t>
  </si>
  <si>
    <t>When entering prices, use constant values, do not use a discount rate and assume a zero inflation rate.</t>
  </si>
  <si>
    <t>Description and purpose of data</t>
  </si>
  <si>
    <t>Utilisation and Cost Model Workbook</t>
  </si>
  <si>
    <t>Proportion applicable to indication</t>
  </si>
  <si>
    <t>Proportion of public hospital use</t>
  </si>
  <si>
    <t>ATC code - Level 1</t>
  </si>
  <si>
    <t>ATC code - Level 2</t>
  </si>
  <si>
    <t>ATC code - Level 3</t>
  </si>
  <si>
    <t>ATC code - Level 4</t>
  </si>
  <si>
    <t>ATC code - Level 5</t>
  </si>
  <si>
    <t>Unrestricted</t>
  </si>
  <si>
    <t>Restricted</t>
  </si>
  <si>
    <t>AR - Streamlined</t>
  </si>
  <si>
    <t>AR - Telephone</t>
  </si>
  <si>
    <t>Financial Impact</t>
  </si>
  <si>
    <t>PBS impact:</t>
  </si>
  <si>
    <t>Nil</t>
  </si>
  <si>
    <t>RPBS impact:</t>
  </si>
  <si>
    <t>Programme</t>
  </si>
  <si>
    <t>Submission</t>
  </si>
  <si>
    <t>Switch</t>
  </si>
  <si>
    <t>Population</t>
  </si>
  <si>
    <t>Epidemiology</t>
  </si>
  <si>
    <t>Market share</t>
  </si>
  <si>
    <t>Other</t>
  </si>
  <si>
    <t>Mixed model</t>
  </si>
  <si>
    <t>Treatment phase</t>
  </si>
  <si>
    <t>Listing</t>
  </si>
  <si>
    <t>Calculation</t>
  </si>
  <si>
    <t>Initial</t>
  </si>
  <si>
    <t>New</t>
  </si>
  <si>
    <t>Continuing</t>
  </si>
  <si>
    <t>Amended</t>
  </si>
  <si>
    <t>Extended</t>
  </si>
  <si>
    <t>Analysis</t>
  </si>
  <si>
    <t>High cost</t>
  </si>
  <si>
    <t>Cost</t>
  </si>
  <si>
    <t>Cost-effectiveness</t>
  </si>
  <si>
    <t>Minor cost</t>
  </si>
  <si>
    <t>Save</t>
  </si>
  <si>
    <t>Cost-minimisation</t>
  </si>
  <si>
    <t>Minor save</t>
  </si>
  <si>
    <t>High save</t>
  </si>
  <si>
    <t>Total</t>
  </si>
  <si>
    <t>Co-payment</t>
  </si>
  <si>
    <t>Proportion of private hospital use</t>
  </si>
  <si>
    <t>Proportion of out-patient services</t>
  </si>
  <si>
    <t>General Information</t>
  </si>
  <si>
    <t xml:space="preserve">For all sources of data used in this workbook, please provide details of the data in the following table.  </t>
  </si>
  <si>
    <t>Please do not link any data in additional spreadsheets to other spreadsheets in the workbook.</t>
  </si>
  <si>
    <t>1. Overview</t>
  </si>
  <si>
    <t>Estimate the net change in the number of each type of affected MBS Item.</t>
  </si>
  <si>
    <t>Form, strength and pack size</t>
  </si>
  <si>
    <t>2020 March</t>
  </si>
  <si>
    <t>2020 July</t>
  </si>
  <si>
    <t>2020 November</t>
  </si>
  <si>
    <t>Cost to PBS</t>
  </si>
  <si>
    <t>Cost to RPBS</t>
  </si>
  <si>
    <t>Net cost to PBS</t>
  </si>
  <si>
    <t>Net cost to RPBS</t>
  </si>
  <si>
    <t>Eligible patients (#)</t>
  </si>
  <si>
    <t>Patients electing treatment (%)</t>
  </si>
  <si>
    <t>Prevalent population</t>
  </si>
  <si>
    <t>First year</t>
  </si>
  <si>
    <t>General - Ordinary Services</t>
  </si>
  <si>
    <t>General - Safety Net Services</t>
  </si>
  <si>
    <t>Concessional - Ordinary Services</t>
  </si>
  <si>
    <t>Concessional - Free Services</t>
  </si>
  <si>
    <t>RPBS - Ordinary Services</t>
  </si>
  <si>
    <t>RPBS - Safety Net Services</t>
  </si>
  <si>
    <t>Total Services</t>
  </si>
  <si>
    <t>Total PBS</t>
  </si>
  <si>
    <t>Total RPBS</t>
  </si>
  <si>
    <t>RPBS Services</t>
  </si>
  <si>
    <t>PBS Services</t>
  </si>
  <si>
    <t>PBS %</t>
  </si>
  <si>
    <t>RPBS %</t>
  </si>
  <si>
    <t>Net effect - PBS</t>
  </si>
  <si>
    <t>Net effect - RPBS</t>
  </si>
  <si>
    <t>Item code</t>
  </si>
  <si>
    <t>Form / Strength</t>
  </si>
  <si>
    <t>Less co-payments</t>
  </si>
  <si>
    <t>AEMP</t>
  </si>
  <si>
    <t>Patient source</t>
  </si>
  <si>
    <t xml:space="preserve">Estimated script volume </t>
  </si>
  <si>
    <t>Epidemology</t>
  </si>
  <si>
    <t>Incidence Rate (%)</t>
  </si>
  <si>
    <t>Incidence X:100,000</t>
  </si>
  <si>
    <t>Incidence (#)</t>
  </si>
  <si>
    <t>Pack size</t>
  </si>
  <si>
    <t>Authority</t>
  </si>
  <si>
    <t>Authority type</t>
  </si>
  <si>
    <t>PBS scripts</t>
  </si>
  <si>
    <t>RPBS scripts</t>
  </si>
  <si>
    <t>PBS authorities</t>
  </si>
  <si>
    <t>RPBS authorities</t>
  </si>
  <si>
    <t>Total scripts</t>
  </si>
  <si>
    <t>Substitution rate</t>
  </si>
  <si>
    <t>Data Sources</t>
  </si>
  <si>
    <t>Disease epidemiological</t>
  </si>
  <si>
    <t>Pharmacoepidemiological</t>
  </si>
  <si>
    <t>Market data</t>
  </si>
  <si>
    <t>Commissioned</t>
  </si>
  <si>
    <t>Net change in PBS</t>
  </si>
  <si>
    <t>Net change in RPBS</t>
  </si>
  <si>
    <t>Authorities</t>
  </si>
  <si>
    <t>Per patient</t>
  </si>
  <si>
    <t>Per script</t>
  </si>
  <si>
    <t>Script equivalence</t>
  </si>
  <si>
    <t>MBS:</t>
  </si>
  <si>
    <t>Line by line</t>
  </si>
  <si>
    <t>Price change</t>
  </si>
  <si>
    <t>C</t>
  </si>
  <si>
    <t>S</t>
  </si>
  <si>
    <t>N</t>
  </si>
  <si>
    <t>2021 March</t>
  </si>
  <si>
    <t>2021 July</t>
  </si>
  <si>
    <t>2021 November</t>
  </si>
  <si>
    <t>2022 March</t>
  </si>
  <si>
    <t>2022 July</t>
  </si>
  <si>
    <t>2022 November</t>
  </si>
  <si>
    <t>Reporting</t>
  </si>
  <si>
    <t>Overall - nil:</t>
  </si>
  <si>
    <t>As there are no financial impacts for any portfolio agency, there is no financial impact for the Commonwealth.</t>
  </si>
  <si>
    <t>Price increase:</t>
  </si>
  <si>
    <t>As there is an increased financial impact for the PBS/RPBS and no impact for other portfolio agencies, there is a increased financial impact for the Commonwealth.</t>
  </si>
  <si>
    <t>Additional data</t>
  </si>
  <si>
    <t>Price decrease:</t>
  </si>
  <si>
    <t>As there is a reduced financial impact for the PBS/RPBS and no impact for other portfolio agencies, there is a reduced financial impact for the Commonwealth.</t>
  </si>
  <si>
    <t>Complex</t>
  </si>
  <si>
    <t>PBS - nil:</t>
  </si>
  <si>
    <t>RPBS - nil:</t>
  </si>
  <si>
    <t>As there is no testing or medical imaging associated with this listing, there is no impact on the MBS.</t>
  </si>
  <si>
    <t>GE</t>
  </si>
  <si>
    <t>CA</t>
  </si>
  <si>
    <t>Community Access</t>
  </si>
  <si>
    <t>CT</t>
  </si>
  <si>
    <t>S100 EFC related</t>
  </si>
  <si>
    <t>DB</t>
  </si>
  <si>
    <t>GH</t>
  </si>
  <si>
    <t>S100 Human Growth Hormone</t>
  </si>
  <si>
    <t>HB</t>
  </si>
  <si>
    <t>S100 HSD - Public</t>
  </si>
  <si>
    <t>HS</t>
  </si>
  <si>
    <t>S100 HSD - Private</t>
  </si>
  <si>
    <t>Grandfathered</t>
  </si>
  <si>
    <t>IF</t>
  </si>
  <si>
    <t>S100 IVF/GIFT</t>
  </si>
  <si>
    <t>IN</t>
  </si>
  <si>
    <t>S100 EFC - Private</t>
  </si>
  <si>
    <t>IP</t>
  </si>
  <si>
    <t>S100 EFC - Public</t>
  </si>
  <si>
    <t>MD</t>
  </si>
  <si>
    <t>S100 Opiate Dep</t>
  </si>
  <si>
    <t>Balance of supply</t>
  </si>
  <si>
    <t>Cost Types - General</t>
  </si>
  <si>
    <t>MF</t>
  </si>
  <si>
    <t>S100 Botox</t>
  </si>
  <si>
    <t>PL</t>
  </si>
  <si>
    <t>Palliative Care</t>
  </si>
  <si>
    <t>PQ</t>
  </si>
  <si>
    <t>S100 Para/Quad</t>
  </si>
  <si>
    <t>R1</t>
  </si>
  <si>
    <t>TY</t>
  </si>
  <si>
    <t>S100 EFC - Trastuzumab Priv</t>
  </si>
  <si>
    <t>Cost Types - PBS</t>
  </si>
  <si>
    <t>TZ</t>
  </si>
  <si>
    <t>S100 EFC - Trastuzumab Pub</t>
  </si>
  <si>
    <t>PBAC Meeting</t>
  </si>
  <si>
    <t>MaxQ</t>
  </si>
  <si>
    <t>Incident patients</t>
  </si>
  <si>
    <t>Prevalent patients</t>
  </si>
  <si>
    <t>Include sources for all values, "assumption" is not sufficient, please provide the basis for the assumption</t>
  </si>
  <si>
    <t>Structure of the model</t>
  </si>
  <si>
    <t>Identify the script source</t>
  </si>
  <si>
    <t>Eligibility</t>
  </si>
  <si>
    <t>Messages</t>
  </si>
  <si>
    <t>** NOT USED **</t>
  </si>
  <si>
    <t>Portfolio agencies</t>
  </si>
  <si>
    <t>The price increase associated with this listing results in an increased financial impact for the PBS.</t>
  </si>
  <si>
    <t>The price decrease associated with this listing results in a reduced financial impact for the PBS.</t>
  </si>
  <si>
    <t>The price increase associated with this listing results in an increased financial impact for the RPBS.</t>
  </si>
  <si>
    <t>The price decrease associated with this listing results in a reduced financial impact for the RPBS.</t>
  </si>
  <si>
    <t>Overall eligibility (%)</t>
  </si>
  <si>
    <t>Comparator / clinical trials</t>
  </si>
  <si>
    <t>Economics / SPA / RSA</t>
  </si>
  <si>
    <t>Patients count / costs</t>
  </si>
  <si>
    <t>Outline all steps taken to calculate the estimated number of patients in the space below.</t>
  </si>
  <si>
    <t>Regulatory information</t>
  </si>
  <si>
    <t>Include references to all data used as well as justifications for your approach and be sure to include a source for each line of working.</t>
  </si>
  <si>
    <t>Please complete a separate copy of the following template for each PBS Item Code listed in the table above.</t>
  </si>
  <si>
    <t>Optional cells not used</t>
  </si>
  <si>
    <t>Aggregate volumes</t>
  </si>
  <si>
    <t>PBS script volumes</t>
  </si>
  <si>
    <t>RPBS script volumes</t>
  </si>
  <si>
    <t>PBS treated patients</t>
  </si>
  <si>
    <t>RPBS treated patients</t>
  </si>
  <si>
    <t>PBS current script volumes</t>
  </si>
  <si>
    <t>RPBS current script volumes</t>
  </si>
  <si>
    <t>PBS forecast script volumes</t>
  </si>
  <si>
    <t>RPBS forecast script volumes</t>
  </si>
  <si>
    <t>Overview</t>
  </si>
  <si>
    <t>Estimated total volume of medicine</t>
  </si>
  <si>
    <t>This may include services associated with: eligibility, monitoring, clinical management, AEs or administration of the medicine.</t>
  </si>
  <si>
    <t>Scheduled fee
(100%)</t>
  </si>
  <si>
    <t>The following tables summarises the indicative financial impacts from changes to MBS Items.</t>
  </si>
  <si>
    <t>Calculate the net financial impact of this listing on the PBS and RPBS at both the published and effective prices.</t>
  </si>
  <si>
    <t>1. Summary - published prices</t>
  </si>
  <si>
    <t>New listing</t>
  </si>
  <si>
    <t>Changed listing</t>
  </si>
  <si>
    <t>Persons</t>
  </si>
  <si>
    <t>Age</t>
  </si>
  <si>
    <t>Included ages</t>
  </si>
  <si>
    <t>Male</t>
  </si>
  <si>
    <t>Female</t>
  </si>
  <si>
    <t>Minimum</t>
  </si>
  <si>
    <t>Maximum</t>
  </si>
  <si>
    <t>Scripts</t>
  </si>
  <si>
    <t>Net change in scripts</t>
  </si>
  <si>
    <t>Code</t>
  </si>
  <si>
    <t>EFC</t>
  </si>
  <si>
    <t>Displaced</t>
  </si>
  <si>
    <t>Increase</t>
  </si>
  <si>
    <t>Decrease</t>
  </si>
  <si>
    <t>Expected change</t>
  </si>
  <si>
    <t>Population used</t>
  </si>
  <si>
    <t>TP short</t>
  </si>
  <si>
    <t>TP long</t>
  </si>
  <si>
    <t>Source</t>
  </si>
  <si>
    <t>Worksheet and cell legend</t>
  </si>
  <si>
    <t>Worksheet</t>
  </si>
  <si>
    <t xml:space="preserve">Where necessary, please insert copies of data into this workbook as new spreadsheets after this worksheet. </t>
  </si>
  <si>
    <t>Treatment Phase</t>
  </si>
  <si>
    <t>High cost ($m)</t>
  </si>
  <si>
    <t>Total cost ($m)</t>
  </si>
  <si>
    <t>Impact</t>
  </si>
  <si>
    <t>None</t>
  </si>
  <si>
    <t>Market Impact</t>
  </si>
  <si>
    <t>Adjunctive</t>
  </si>
  <si>
    <t>DoH forecast</t>
  </si>
  <si>
    <t>Data series</t>
  </si>
  <si>
    <t>Epi source</t>
  </si>
  <si>
    <t>ABS</t>
  </si>
  <si>
    <t>AIHW</t>
  </si>
  <si>
    <t>Schedule</t>
  </si>
  <si>
    <t>EFC Listing</t>
  </si>
  <si>
    <t>Non-EFC Listing</t>
  </si>
  <si>
    <t>Authority Type</t>
  </si>
  <si>
    <t>Copays</t>
  </si>
  <si>
    <t>Name</t>
  </si>
  <si>
    <t>One copayment per script</t>
  </si>
  <si>
    <t>Copayment Method</t>
  </si>
  <si>
    <t>Cohort 1</t>
  </si>
  <si>
    <t>Cohort 2</t>
  </si>
  <si>
    <t>Cohort 3</t>
  </si>
  <si>
    <t>Cohort 4</t>
  </si>
  <si>
    <t>Cohort 5</t>
  </si>
  <si>
    <t>Cohort 6</t>
  </si>
  <si>
    <t>A separate workbook should be completed for each indication of the medicine.</t>
  </si>
  <si>
    <t>I</t>
  </si>
  <si>
    <t>IC</t>
  </si>
  <si>
    <t>Tx phase</t>
  </si>
  <si>
    <t>Flow-ons to other medicines</t>
  </si>
  <si>
    <t>Change to listing</t>
  </si>
  <si>
    <t>Item / Medicine</t>
  </si>
  <si>
    <t>Existing listings of this medicine</t>
  </si>
  <si>
    <t>Public</t>
  </si>
  <si>
    <t>Private</t>
  </si>
  <si>
    <t>Include in split</t>
  </si>
  <si>
    <t>Updated: 22/11/2018</t>
  </si>
  <si>
    <t>Millions</t>
  </si>
  <si>
    <t>Growth</t>
  </si>
  <si>
    <t>Compliance %</t>
  </si>
  <si>
    <t>Derived split</t>
  </si>
  <si>
    <t>The following table summarises the financial impacts for the PBS and RPBS at the effective price.</t>
  </si>
  <si>
    <t>The following table summarises the financial impacts for the PBS and RPBS at the published price.</t>
  </si>
  <si>
    <t>The estimated volume changes to each MBS Item will flow through the following tables.</t>
  </si>
  <si>
    <t>MBS Item Number</t>
  </si>
  <si>
    <t>Change Type</t>
  </si>
  <si>
    <t>Delivery Basis</t>
  </si>
  <si>
    <t>Items details</t>
  </si>
  <si>
    <t>MBS Item</t>
  </si>
  <si>
    <t>Impact:</t>
  </si>
  <si>
    <t>Please outline all methods and assumptions used to estimate the changes in the space below.</t>
  </si>
  <si>
    <t>Calculation basis</t>
  </si>
  <si>
    <t>ABS Population</t>
  </si>
  <si>
    <t>Reference values</t>
  </si>
  <si>
    <t>DO NOT EDIT / DELETE</t>
  </si>
  <si>
    <t>Current details</t>
  </si>
  <si>
    <t>New details</t>
  </si>
  <si>
    <t>Comments</t>
  </si>
  <si>
    <t>Existing</t>
  </si>
  <si>
    <t>Required</t>
  </si>
  <si>
    <t>Completed</t>
  </si>
  <si>
    <t>Populations</t>
  </si>
  <si>
    <t>Patients: incident</t>
  </si>
  <si>
    <t>Patients: prevalent</t>
  </si>
  <si>
    <t>ABS1</t>
  </si>
  <si>
    <t>ABS2</t>
  </si>
  <si>
    <t>ABS3</t>
  </si>
  <si>
    <t>ABS4</t>
  </si>
  <si>
    <t>ABS5</t>
  </si>
  <si>
    <t>AIHW1</t>
  </si>
  <si>
    <t>AIHW2</t>
  </si>
  <si>
    <t>AIHW3</t>
  </si>
  <si>
    <t>AIHW4</t>
  </si>
  <si>
    <t>AIHW5</t>
  </si>
  <si>
    <t>Other1</t>
  </si>
  <si>
    <t>Other2</t>
  </si>
  <si>
    <t>Other3</t>
  </si>
  <si>
    <t>Other4</t>
  </si>
  <si>
    <t>Other5</t>
  </si>
  <si>
    <t>Incident population</t>
  </si>
  <si>
    <t>Increased service volume (PBS)</t>
  </si>
  <si>
    <t>Decreased service volume (PBS)</t>
  </si>
  <si>
    <t>Total MBS service volume (PBS)</t>
  </si>
  <si>
    <t>Patient Populations</t>
  </si>
  <si>
    <t>ABS6</t>
  </si>
  <si>
    <t>ABS7</t>
  </si>
  <si>
    <t>ABS8</t>
  </si>
  <si>
    <t>ABS9</t>
  </si>
  <si>
    <t>ABS10</t>
  </si>
  <si>
    <t>AIHW6</t>
  </si>
  <si>
    <t>AIHW7</t>
  </si>
  <si>
    <t>AIHW8</t>
  </si>
  <si>
    <t>AIHW9</t>
  </si>
  <si>
    <t>AIHW10</t>
  </si>
  <si>
    <t>Other6</t>
  </si>
  <si>
    <t>Other7</t>
  </si>
  <si>
    <t>Other8</t>
  </si>
  <si>
    <t>Other9</t>
  </si>
  <si>
    <t>Other10</t>
  </si>
  <si>
    <t>Notes</t>
  </si>
  <si>
    <t>Patient population count</t>
  </si>
  <si>
    <t>Population split</t>
  </si>
  <si>
    <t>Start year</t>
  </si>
  <si>
    <t>People</t>
  </si>
  <si>
    <t>Doses / period</t>
  </si>
  <si>
    <t>Days</t>
  </si>
  <si>
    <t>Weeks</t>
  </si>
  <si>
    <t>Months</t>
  </si>
  <si>
    <t>Increased cost</t>
  </si>
  <si>
    <t>Decreased cost</t>
  </si>
  <si>
    <t>Net cost</t>
  </si>
  <si>
    <t>Period</t>
  </si>
  <si>
    <t>Duration (periods)</t>
  </si>
  <si>
    <t>All</t>
  </si>
  <si>
    <t>As there is no change to the price or volume of the medicine associated with this listing, there is no financial impact on the PBS.</t>
  </si>
  <si>
    <t>As there no change to the price or volume of the medicine associated with this listing, there is no financial impact on the RPBS.</t>
  </si>
  <si>
    <t>New/adjunctive medicines</t>
  </si>
  <si>
    <t>Incident</t>
  </si>
  <si>
    <t>Prevalent</t>
  </si>
  <si>
    <t>Totals</t>
  </si>
  <si>
    <t>Treatment Populations</t>
  </si>
  <si>
    <t>IP1</t>
  </si>
  <si>
    <t>IP2</t>
  </si>
  <si>
    <t>IP3</t>
  </si>
  <si>
    <t>IP4</t>
  </si>
  <si>
    <t>IP5</t>
  </si>
  <si>
    <t>IP6</t>
  </si>
  <si>
    <t>IP7</t>
  </si>
  <si>
    <t>IP8</t>
  </si>
  <si>
    <t>IP9</t>
  </si>
  <si>
    <t>IP10</t>
  </si>
  <si>
    <t>PP1</t>
  </si>
  <si>
    <t>PP2</t>
  </si>
  <si>
    <t>PP3</t>
  </si>
  <si>
    <t>PP4</t>
  </si>
  <si>
    <t>PP5</t>
  </si>
  <si>
    <t>PP6</t>
  </si>
  <si>
    <t>PP7</t>
  </si>
  <si>
    <t>PP8</t>
  </si>
  <si>
    <t>PP9</t>
  </si>
  <si>
    <t>PP10</t>
  </si>
  <si>
    <t>GFP1</t>
  </si>
  <si>
    <t>GFP2</t>
  </si>
  <si>
    <t>GFP3</t>
  </si>
  <si>
    <t>GFP4</t>
  </si>
  <si>
    <t>GFP5</t>
  </si>
  <si>
    <t>GFP6</t>
  </si>
  <si>
    <t>GFP7</t>
  </si>
  <si>
    <t>GFP8</t>
  </si>
  <si>
    <t>GFP9</t>
  </si>
  <si>
    <t>GFP10</t>
  </si>
  <si>
    <t>Treatment population count</t>
  </si>
  <si>
    <t>TIP</t>
  </si>
  <si>
    <t>TPP</t>
  </si>
  <si>
    <t>TGFP</t>
  </si>
  <si>
    <t>TP</t>
  </si>
  <si>
    <t xml:space="preserve"> </t>
  </si>
  <si>
    <t>Population source</t>
  </si>
  <si>
    <t>Total treated incident patients</t>
  </si>
  <si>
    <t>Total treated prevalent patients</t>
  </si>
  <si>
    <t>Total treated patients</t>
  </si>
  <si>
    <t>Description</t>
  </si>
  <si>
    <t>Please complete the tables below for each PBS Item Code listed in the table above.</t>
  </si>
  <si>
    <t>Change</t>
  </si>
  <si>
    <t>Total patients</t>
  </si>
  <si>
    <t>PBS
co-payment</t>
  </si>
  <si>
    <t>RPBS
co-payment</t>
  </si>
  <si>
    <t>Number of repeats</t>
  </si>
  <si>
    <t>Proportion of
in-patient services</t>
  </si>
  <si>
    <t>This standardised Excel workbook is to be used as part of the Pharmaceutical Benefits Advisory Committee (PBAC) submission process to quantify the use and financial impact of</t>
  </si>
  <si>
    <t>the new medicine in practice. The workbook has been developed in accordance with the PBAC Guidelines and should be completed in accordance with Section 4 of the Guidelines</t>
  </si>
  <si>
    <t>and the User Manual for the Utilisation and Cost Model Workbook.</t>
  </si>
  <si>
    <t>* Increase medicine count to 20 on 2d worksheet</t>
  </si>
  <si>
    <t>* Increase medicine count to 20 on 3a worksheet</t>
  </si>
  <si>
    <t>* Increase medicine count to 20 on 3b worksheet</t>
  </si>
  <si>
    <t>* Increase medicine count to 20 on 3c worksheet</t>
  </si>
  <si>
    <t>* Add CoPayCountNew named range</t>
  </si>
  <si>
    <t>* Add CoPayCountChanged named range</t>
  </si>
  <si>
    <t>* Add DPMQNewPub named range</t>
  </si>
  <si>
    <t>* Modify cost calculation methodology on 3b worksheet</t>
  </si>
  <si>
    <t>* Modify PBSScriptsNew to include the medicine name</t>
  </si>
  <si>
    <t>* Remove script summary from 3b worksheet</t>
  </si>
  <si>
    <t>* Remove script summary from 3c worksheet</t>
  </si>
  <si>
    <t>* Increase medicine count to 20 on 4a worksheet</t>
  </si>
  <si>
    <t>* Increase TxPopOld to 20 elements</t>
  </si>
  <si>
    <t>* Increase TxPopNew to 20 elements</t>
  </si>
  <si>
    <t>* Increase medicine count to 20 in 4b worksheet</t>
  </si>
  <si>
    <t>* Remove script summary from 4b worksheet</t>
  </si>
  <si>
    <t>* Increase medicine count to 20 in 4c worksheet</t>
  </si>
  <si>
    <t>* Remove script summary from 4c worksheet</t>
  </si>
  <si>
    <t>* Increase medicine count to 20 in 6 worksheet</t>
  </si>
  <si>
    <t>* Modify 5 worksheet to hide Effective price section if no SPA</t>
  </si>
  <si>
    <t>Change Log</t>
  </si>
  <si>
    <t>* Corrected linking error in 2a and 2b worksheets in relation to last row percentage</t>
  </si>
  <si>
    <t>* Corrected count error in 4a worksheet which would ignore the first listed medicine</t>
  </si>
  <si>
    <t>* Corrected sign error in 7 worksheet when calculating item decreases based on script volumes</t>
  </si>
  <si>
    <t>* Added Item code to Section 1 - epidemiology in 4a worksheet</t>
  </si>
  <si>
    <t>* Added warning message for overwriting script displacement market share vs 2d market in 4a worksheet</t>
  </si>
  <si>
    <t>* Added warning message for overwriting script displacement epidemiology vs market share in 4a worksheet</t>
  </si>
  <si>
    <t>* Add prevalent population from prior year diagnosis</t>
  </si>
  <si>
    <t>Incidence</t>
  </si>
  <si>
    <t>Rate</t>
  </si>
  <si>
    <t>per</t>
  </si>
  <si>
    <t>* Modify 8 worksheet to include incidence rate if required</t>
  </si>
  <si>
    <t>* Modify 6 worksheet to remove reliance on 3b worksheet</t>
  </si>
  <si>
    <t>* Modify 6 worksheet to remove redundant treatment phase column</t>
  </si>
  <si>
    <t>* Modify 6 worksheet to simplify authority calculation</t>
  </si>
  <si>
    <t>Count</t>
  </si>
  <si>
    <t>* Cell formatting changes</t>
  </si>
  <si>
    <t>* Modify 3a worksheet</t>
  </si>
  <si>
    <t>* Modify 8 worksheet to include 2029 and 2030 data</t>
  </si>
  <si>
    <t>Cohort 7</t>
  </si>
  <si>
    <t>Cohort 8</t>
  </si>
  <si>
    <t>Cohort 9</t>
  </si>
  <si>
    <t>Cohort 10</t>
  </si>
  <si>
    <t>Cohort 11</t>
  </si>
  <si>
    <t>Cohort 12</t>
  </si>
  <si>
    <t>Indication</t>
  </si>
  <si>
    <t>12. Copies of data</t>
  </si>
  <si>
    <t>* Modify PxPopNumbers to include prevalent population</t>
  </si>
  <si>
    <t>* Modify PxPopNames to include prevalent population</t>
  </si>
  <si>
    <t>* Modify PxPopValid to include prevalent population</t>
  </si>
  <si>
    <t>* Modify EpiSource to include prevalent population</t>
  </si>
  <si>
    <t>* Modify EpiSourceCode to include prevalent population</t>
  </si>
  <si>
    <t>* Modify 2a worksheet to prevent #VALUE error when no population is selected</t>
  </si>
  <si>
    <t>* Modify 2a worksheet to remove () in titles if no description is entered for a population</t>
  </si>
  <si>
    <t>* Modify 2b worksheet to prevent #VALUE error when no population is selected</t>
  </si>
  <si>
    <t>* Modify 2b worksheet to remove () in titles if no description is entered for a population</t>
  </si>
  <si>
    <t>* Modify 2c worksheet to prevent #VALUE error when no population is selected</t>
  </si>
  <si>
    <t>* Modify 2c worksheet to remove () in titles if no description is entered for a population</t>
  </si>
  <si>
    <t>* Modify 2a worksheet to show warning message if prevalent pool used for incident population</t>
  </si>
  <si>
    <t>Changes since v8.4</t>
  </si>
  <si>
    <t>Changes since v8.3</t>
  </si>
  <si>
    <t>Changes since v8.2</t>
  </si>
  <si>
    <t>Changes since v8.1</t>
  </si>
  <si>
    <t>Changes since v8.0</t>
  </si>
  <si>
    <t>Changes since v7.9</t>
  </si>
  <si>
    <t>Changes since v7.8</t>
  </si>
  <si>
    <t>Changes since v7.7</t>
  </si>
  <si>
    <t>Worksheet Version</t>
  </si>
  <si>
    <t>* Modify 3a worksheet to prevent #VALUE error when no population selected</t>
  </si>
  <si>
    <t>* Modify 4a worksheet to prevent #VALUE error when no population selected</t>
  </si>
  <si>
    <t>Changes since v8.5</t>
  </si>
  <si>
    <t>* Modify worksheet 2f to correct population names in title rows</t>
  </si>
  <si>
    <t>Changes since v8.6</t>
  </si>
  <si>
    <t>* Modify worksheet 4a to correct section titles</t>
  </si>
  <si>
    <t>* Modify worksheet 4a to correctly identify related worksheets in guidance notes</t>
  </si>
  <si>
    <t>* Modify NamesChanged to increase to 20 medicines</t>
  </si>
  <si>
    <t>* Modify worksheet 2d to change column order for Item Code and Treatment phase</t>
  </si>
  <si>
    <t>* Modify worksheet 4a to include Treatment Phase in section 3 - market source</t>
  </si>
  <si>
    <t>* Modify worksheet 4a to reorder sections to match worksheet order - epi then market share</t>
  </si>
  <si>
    <t>* Modify worksheet 4a to correct conditional formatting in section 3</t>
  </si>
  <si>
    <t>* Modify PBSScriptsOld to point to worksheet 2a</t>
  </si>
  <si>
    <t>* Modify RPBSScriptsOld to point to worksheet 2a</t>
  </si>
  <si>
    <t>* Modify worksheet 4a to correct linkages for market share elements</t>
  </si>
  <si>
    <t>* Modify worksheet 4a to increased medicine count to 20</t>
  </si>
  <si>
    <t>All patients</t>
  </si>
  <si>
    <t>* Modify worksheet 4a to correct count in C153 to include all rows</t>
  </si>
  <si>
    <t>* Modify worksheet 4a to correct Not Used Indicator in I155</t>
  </si>
  <si>
    <t>* Modify worksheet 4a to correct Not Used Indicator in I127</t>
  </si>
  <si>
    <t>* Modify worksheet 4a to correct Not Used Indicator in I100</t>
  </si>
  <si>
    <t>* Modify worksheet 4a to correct Not Used Indicator in I71</t>
  </si>
  <si>
    <t>* Modify worksheet 4a to correct Not Used Indicator in I42</t>
  </si>
  <si>
    <t>Background</t>
  </si>
  <si>
    <t>Costs</t>
  </si>
  <si>
    <t>Population (epidemiology)</t>
  </si>
  <si>
    <t>Changes since v8.7</t>
  </si>
  <si>
    <t>* Modify worksheet 1 to correct patient source flag</t>
  </si>
  <si>
    <t>* Modify worksheet 7 to allow Section 2.2 medicines to point to worksheet 4a Summary</t>
  </si>
  <si>
    <t>* Modify worksheet 9 to correct linkages for populations</t>
  </si>
  <si>
    <t>* Modify worksheet 9 to allow overall populations to be entered directly</t>
  </si>
  <si>
    <t>* Modify worksheet 8 to correct linkages for populations</t>
  </si>
  <si>
    <t>* Modify worksheet 8 to improve population descriptions</t>
  </si>
  <si>
    <t>* Modify worksheet 10 to improve population descriptions</t>
  </si>
  <si>
    <t>* Modify worksheet 4a to correct medicine linkages for Section 3</t>
  </si>
  <si>
    <t>* Modify worksheet 2d to remove medicine names from Section 0 if the worksheet is used to only derive a co-payment calculation</t>
  </si>
  <si>
    <t>Changes since v8.8</t>
  </si>
  <si>
    <t>* Modify worksheet 4a to correct formula error H77-H96</t>
  </si>
  <si>
    <t>Changes since v8.9</t>
  </si>
  <si>
    <t>* Modify worksheet 2d to correct formula error D211 &amp; subsequent rows</t>
  </si>
  <si>
    <t>* Modify worksheet 2d to correct formula error Y71, 72 &amp; Y73 to include additional medicines in total calculations</t>
  </si>
  <si>
    <t>Evaluator review</t>
  </si>
  <si>
    <t>DUSC review</t>
  </si>
  <si>
    <t>ESC review</t>
  </si>
  <si>
    <t>Changes since v9.0</t>
  </si>
  <si>
    <t>* Modify worksheet 1 to include model inputs checklist</t>
  </si>
  <si>
    <t>Changes since v9.1</t>
  </si>
  <si>
    <t>* Modify NamesOld named range to point to worksheet 4a summary</t>
  </si>
  <si>
    <t>* Modify NamesOldDDL named range to point to worksheet 4a summary</t>
  </si>
  <si>
    <t>* Modify worksheet 7 to correct negation of decreasing MBS services</t>
  </si>
  <si>
    <t>Cost Drivers - completed by Department of Health</t>
  </si>
  <si>
    <t>PBAC / MSAC outcomes - completed by Department of Health</t>
  </si>
  <si>
    <t>PBAC meeting</t>
  </si>
  <si>
    <t>Brand name</t>
  </si>
  <si>
    <t>Agenda Item</t>
  </si>
  <si>
    <t>First year of listing</t>
  </si>
  <si>
    <t>Submission type</t>
  </si>
  <si>
    <t>PBS impact</t>
  </si>
  <si>
    <t>Published cost</t>
  </si>
  <si>
    <t>RPBS impact</t>
  </si>
  <si>
    <t>Effective cost</t>
  </si>
  <si>
    <t>Declining population</t>
  </si>
  <si>
    <t>MBS impact</t>
  </si>
  <si>
    <t>Complex Authority</t>
  </si>
  <si>
    <t>Reporting Required</t>
  </si>
  <si>
    <t>Flow-ons</t>
  </si>
  <si>
    <t>Net impact</t>
  </si>
  <si>
    <t>PBAC recommendation</t>
  </si>
  <si>
    <t>MSAC recommendation</t>
  </si>
  <si>
    <t>Dosing and administration</t>
  </si>
  <si>
    <t>TGA indication</t>
  </si>
  <si>
    <t>Restriction count</t>
  </si>
  <si>
    <t>Category / Program</t>
  </si>
  <si>
    <t>Listing type</t>
  </si>
  <si>
    <t>Repeats</t>
  </si>
  <si>
    <t>Episodicity</t>
  </si>
  <si>
    <t>Severity</t>
  </si>
  <si>
    <t>Condition</t>
  </si>
  <si>
    <t>Treatment criteria</t>
  </si>
  <si>
    <t>Clinical criteria</t>
  </si>
  <si>
    <t>Population criteria</t>
  </si>
  <si>
    <t>Manner of administration and form</t>
  </si>
  <si>
    <t>Details of existing PBS listings</t>
  </si>
  <si>
    <t>Clinical trials</t>
  </si>
  <si>
    <t>Cost comparator</t>
  </si>
  <si>
    <t>Join existing RSA</t>
  </si>
  <si>
    <t>Treatment period</t>
  </si>
  <si>
    <t>Published DPMQ</t>
  </si>
  <si>
    <t>Method of calculation</t>
  </si>
  <si>
    <t>Effective DPMQ</t>
  </si>
  <si>
    <t>Max quantity (units)</t>
  </si>
  <si>
    <t>Max amount (mg)</t>
  </si>
  <si>
    <t>Changes since v9.2</t>
  </si>
  <si>
    <t>* Modify worksheet 1 to make field labels consistent</t>
  </si>
  <si>
    <t>* Modify worksheet 1 to correct validation, moved to column S</t>
  </si>
  <si>
    <t>* Modify worksheet 2d to use 1 Jan 20 co-payments</t>
  </si>
  <si>
    <t>Co-payments</t>
  </si>
  <si>
    <t>G2</t>
  </si>
  <si>
    <t>G1</t>
  </si>
  <si>
    <t>C1</t>
  </si>
  <si>
    <t>C0</t>
  </si>
  <si>
    <t>R0</t>
  </si>
  <si>
    <t>* Modify worksheet 4a to refer to the References worksheet</t>
  </si>
  <si>
    <t>* Modify worksheet 2d to refer to the References worksheet</t>
  </si>
  <si>
    <t>* Modify worksheet References to include co-payments</t>
  </si>
  <si>
    <t>Changes since v9.3</t>
  </si>
  <si>
    <t>* Modify worksheet 8 to correct label error in populations</t>
  </si>
  <si>
    <t>* Modify worksheet 2b to correct prevalent patient labels</t>
  </si>
  <si>
    <t>* Modify worksheet 2c to correct grandfathered patient labels</t>
  </si>
  <si>
    <t>* Modify worksheet 3a to add conditional format to population columns</t>
  </si>
  <si>
    <t>* Modify worksheet 3a to switch the positions of the compliance and pack size columns</t>
  </si>
  <si>
    <t>* Modify worksheet 4b to use the weighted co-payments from worksheet 4a</t>
  </si>
  <si>
    <t>* Modify worksheet 4c to use the weighted co-payments from worksheet 4a</t>
  </si>
  <si>
    <t>* Modify worksheet 4a to include public/private split if a new range of medicines are included</t>
  </si>
  <si>
    <t>* Modify worksheet 4b to use public/private split from worksheet 4a</t>
  </si>
  <si>
    <t>* Modify worksheet 4c to use public/private split from worksheet 4a</t>
  </si>
  <si>
    <t>AR - Written</t>
  </si>
  <si>
    <t>Please provide details of each of the forms and strengths of the changed medicines</t>
  </si>
  <si>
    <t>* Modify worksheet 7 to correct lookup index for MBSPBSInc and MBSPBSDec</t>
  </si>
  <si>
    <t>Data summary #7</t>
  </si>
  <si>
    <t>Data summary #8</t>
  </si>
  <si>
    <t>Data summary #9</t>
  </si>
  <si>
    <t>Data summary #10</t>
  </si>
  <si>
    <t>Release</t>
  </si>
  <si>
    <t>Version</t>
  </si>
  <si>
    <t>Released</t>
  </si>
  <si>
    <t>* Modify worksheet 0 to include Release number</t>
  </si>
  <si>
    <t>* Modify worksheet Reference to include Release number</t>
  </si>
  <si>
    <t>* Modify worksheet 1 to colour code fields for data entry by DoH</t>
  </si>
  <si>
    <t>* Modify worksheet 1 to add additional model input checklist items</t>
  </si>
  <si>
    <t>Data inputs - DoH</t>
  </si>
  <si>
    <t>PBAC review</t>
  </si>
  <si>
    <t>* Modify worksheet 4a to correct **Not Used** label selection</t>
  </si>
  <si>
    <t>Changes since v9.4</t>
  </si>
  <si>
    <r>
      <t xml:space="preserve">Include all copies of data used as additional spreadsheets after </t>
    </r>
    <r>
      <rPr>
        <b/>
        <sz val="10"/>
        <color indexed="8"/>
        <rFont val="Arial"/>
        <family val="2"/>
      </rPr>
      <t xml:space="preserve">Spreadsheet 12. Copies of data.  </t>
    </r>
    <r>
      <rPr>
        <sz val="10"/>
        <color theme="1"/>
        <rFont val="Arial"/>
        <family val="2"/>
        <scheme val="minor"/>
      </rPr>
      <t>Please do not link any data in additional spreadsheets to other spreadsheets in the workbook.</t>
    </r>
  </si>
  <si>
    <t>Changes since v9.5</t>
  </si>
  <si>
    <t>2023 March</t>
  </si>
  <si>
    <t>2023 July</t>
  </si>
  <si>
    <t>2023 November</t>
  </si>
  <si>
    <t>2024 November</t>
  </si>
  <si>
    <t>2025 November</t>
  </si>
  <si>
    <t>2024 March</t>
  </si>
  <si>
    <t>2024 July</t>
  </si>
  <si>
    <t>2025 March</t>
  </si>
  <si>
    <t>2025 July</t>
  </si>
  <si>
    <t>* Modify worksheet Reference to remove old PBAC Meeting dates</t>
  </si>
  <si>
    <t>Scripts: other medicines affected by this listing</t>
  </si>
  <si>
    <t>* Modify worksheet 4a to change "displaced" labels to "affected"</t>
  </si>
  <si>
    <t>Error messages</t>
  </si>
  <si>
    <t>Warning messages</t>
  </si>
  <si>
    <t>IncPrev</t>
  </si>
  <si>
    <t>PrevGF</t>
  </si>
  <si>
    <t>both incident and prevalent patients identified, check for double counting</t>
  </si>
  <si>
    <t>both prevalent and grandfathered patients identified, check for double counting</t>
  </si>
  <si>
    <t>missing or conflicting data</t>
  </si>
  <si>
    <t>MissCon</t>
  </si>
  <si>
    <t>NoMSAC</t>
  </si>
  <si>
    <t xml:space="preserve">Error: </t>
  </si>
  <si>
    <t xml:space="preserve">Warning: </t>
  </si>
  <si>
    <t xml:space="preserve">Confirm: </t>
  </si>
  <si>
    <t xml:space="preserve">Note: </t>
  </si>
  <si>
    <t>not presented to MSAC</t>
  </si>
  <si>
    <t>NoPBAC</t>
  </si>
  <si>
    <t>missing PBAC recommendation</t>
  </si>
  <si>
    <t>missing MSAC recommendation</t>
  </si>
  <si>
    <t>duplicate Initial and Continuing Restrictions Detected</t>
  </si>
  <si>
    <t>DupInCon</t>
  </si>
  <si>
    <t>missing Initial or Continuing Restriction Detected</t>
  </si>
  <si>
    <t>MisInCon</t>
  </si>
  <si>
    <t>NoFlow</t>
  </si>
  <si>
    <t>no flow-ons to other medicines</t>
  </si>
  <si>
    <t>missing flow-on details</t>
  </si>
  <si>
    <t>Changes since v9.6</t>
  </si>
  <si>
    <t>* Modify worksheet 0 to update warning messages</t>
  </si>
  <si>
    <t>* Modify worksheet 1 to update warning messages</t>
  </si>
  <si>
    <t>* Modify worksheet 0 to update confirmation messages</t>
  </si>
  <si>
    <t>** NOT REQUIRED **</t>
  </si>
  <si>
    <t>* Modify worksheet Reference to include ** NOT REQUIRED ** message</t>
  </si>
  <si>
    <t>* Modify all worksheets to distinguish between NOT USED and NOT REQUIRED</t>
  </si>
  <si>
    <t>minor submission - optional</t>
  </si>
  <si>
    <t>patient number derived from population</t>
  </si>
  <si>
    <t>PxPop</t>
  </si>
  <si>
    <t>Patients: grandfathered</t>
  </si>
  <si>
    <t>Template worksheet</t>
  </si>
  <si>
    <t>* Add template worksheet for sponsor use</t>
  </si>
  <si>
    <t>* Modify worksheet 9 to include source for each population</t>
  </si>
  <si>
    <t>* Modify worksheet 10 to include source for each population</t>
  </si>
  <si>
    <t>* Modify worksheet 3b to include total PBS + RPBS</t>
  </si>
  <si>
    <t>* Modify worksheet 3b to update sum in A1</t>
  </si>
  <si>
    <t>* Modify worksheet 3c to include total PBS + RPBS</t>
  </si>
  <si>
    <t>* Modify worksheet 3c to update sum in A1</t>
  </si>
  <si>
    <t>* Modify worksheet 4b to include total PBS + RPBS</t>
  </si>
  <si>
    <t>* Modify worksheet 4b to update sum in A1</t>
  </si>
  <si>
    <t>* Modify worksheet 4c to include total PBS + RPBS</t>
  </si>
  <si>
    <t>* Modify worksheet 4c to update sum in A1</t>
  </si>
  <si>
    <t>Max quantity (packs)</t>
  </si>
  <si>
    <t>* Modify worksheet 1 to update Max qty label to Max quantity</t>
  </si>
  <si>
    <t>Electronic</t>
  </si>
  <si>
    <t>* Modify worksheet Reference to remove Electronic as a restriction type</t>
  </si>
  <si>
    <t>* Modify worksheet 6 to add Electronic as a restriction like EFC</t>
  </si>
  <si>
    <t>* Modify worksheet 6 to improve error checking for incomplete restriction data to prevent #VALUE errors</t>
  </si>
  <si>
    <t>Net prescription and authority processing changes for Services Australia</t>
  </si>
  <si>
    <t>* Modify worksheet 6 to change DHS to Services Australia</t>
  </si>
  <si>
    <t>Estimate the net administration changes for the Services Australia in this spreadsheet.</t>
  </si>
  <si>
    <t>* Modify worksheet 6 to remove EFCListingNew named range</t>
  </si>
  <si>
    <t>* Modify worksheet 6 to remove EFCListingChanged named range</t>
  </si>
  <si>
    <t>* Modify worksheet 6 to add SANew named range</t>
  </si>
  <si>
    <t>* Modify worksheet 6 to add SAChanged named range</t>
  </si>
  <si>
    <t>* Modify worksheet 4c to use SAChanged named range</t>
  </si>
  <si>
    <t>* Modify worksheet 4b to use SAChanged named range</t>
  </si>
  <si>
    <t>* Modify worksheet 3c to use SANew named range</t>
  </si>
  <si>
    <t>* Modify worksheet 3b to use SANew named range</t>
  </si>
  <si>
    <t>* Modify worksheet 6 to use named range for Authority calculations</t>
  </si>
  <si>
    <t>* Modify worksheet 6 to remove Electronic Authority from overall Authority count</t>
  </si>
  <si>
    <t>Restrictions</t>
  </si>
  <si>
    <t>* Modify worksheet 6 to add ComplexAuthCount</t>
  </si>
  <si>
    <t>* Modify worksheet 3a to add RestrictionCount</t>
  </si>
  <si>
    <t>* Modify worksheet 1 to increase restrictions to 20</t>
  </si>
  <si>
    <t>* Modify worksheet 1 to link to restrictions</t>
  </si>
  <si>
    <t>EFC - one copayment per original script</t>
  </si>
  <si>
    <t>Initiating</t>
  </si>
  <si>
    <t>* Modify worksheet 2a to change initial to initiating patients</t>
  </si>
  <si>
    <t>* Modify worksheet 2b to change initial to initiating patients</t>
  </si>
  <si>
    <t>* Modify worksheet 2c to change initial to initiating patients</t>
  </si>
  <si>
    <t>TxPhase Labels</t>
  </si>
  <si>
    <t>Phase1</t>
  </si>
  <si>
    <t>Phase 2</t>
  </si>
  <si>
    <t>the market share and epidemiology script volumes conflict</t>
  </si>
  <si>
    <t>DupScripts</t>
  </si>
  <si>
    <t>Avg annual patients</t>
  </si>
  <si>
    <t>Avg annual patients &amp; source</t>
  </si>
  <si>
    <t>Changes since v9.7</t>
  </si>
  <si>
    <t>SA impact</t>
  </si>
  <si>
    <t>SA:</t>
  </si>
  <si>
    <t>As there is no change in dispensing volumes or the service delivery model associated with this listing, there is no impact on SA.</t>
  </si>
  <si>
    <t>Changes since v9.8</t>
  </si>
  <si>
    <t>* Final clean-up of text labels</t>
  </si>
  <si>
    <t>* Modify worksheet 1 to remove format button</t>
  </si>
  <si>
    <t>* Remove macros</t>
  </si>
  <si>
    <t>* Save Workbook in xlsx format</t>
  </si>
  <si>
    <t>* Modify worksheet 2d to add co-payment band selector</t>
  </si>
  <si>
    <t>* Modify worksheet 2d to calculate up to 5 co-payments</t>
  </si>
  <si>
    <t>* Remove PBSCoPay1 named range</t>
  </si>
  <si>
    <t>* Remove PBSCoPay2 named range</t>
  </si>
  <si>
    <t>* Remove RPBSCoPay1 named range</t>
  </si>
  <si>
    <t>* Remove RPBSCoPay2 named range</t>
  </si>
  <si>
    <t>* Remove PBSSplit1 named range</t>
  </si>
  <si>
    <t>* Remove PBSSplit2 named range</t>
  </si>
  <si>
    <t>* Remove RPBSSplit1 named range</t>
  </si>
  <si>
    <t>* Remove RPBSSplit2 named range</t>
  </si>
  <si>
    <t>Co-pay splits</t>
  </si>
  <si>
    <t>PBS $</t>
  </si>
  <si>
    <t>RPBS $</t>
  </si>
  <si>
    <t>Co-payment group</t>
  </si>
  <si>
    <t>Group 1</t>
  </si>
  <si>
    <t>Group 2</t>
  </si>
  <si>
    <t>Group 3</t>
  </si>
  <si>
    <t>Group 4</t>
  </si>
  <si>
    <t>Group 5</t>
  </si>
  <si>
    <t>Over-ride split</t>
  </si>
  <si>
    <t>Tx phase code</t>
  </si>
  <si>
    <t>Tx phase name</t>
  </si>
  <si>
    <t>Co-Payment groups</t>
  </si>
  <si>
    <t>Changes since v9.9</t>
  </si>
  <si>
    <t>* Modify worksheet 7 to use TxPhase labels</t>
  </si>
  <si>
    <t>* Modify worksheet 4a to use TxPhase labels</t>
  </si>
  <si>
    <t>* Modify worksheet 3a to use TxPhase labels</t>
  </si>
  <si>
    <t>* Modify worksheet Reference to add TxPhase1Code</t>
  </si>
  <si>
    <t>* Modify worksheet Reference to add TxPhase2Code</t>
  </si>
  <si>
    <t>* Modify worksheet 2d to use TxPhase labels</t>
  </si>
  <si>
    <t>* Modify worksheet 2d to add co-payment band indicator to detail section</t>
  </si>
  <si>
    <t>Co-pay group</t>
  </si>
  <si>
    <t>* Modify worksheet 3b to link co-payment groups</t>
  </si>
  <si>
    <t>* Modify worksheet 3c to link co-payment groups</t>
  </si>
  <si>
    <t>* Modify worksheet 3b to add co-payment band indicator to detail section</t>
  </si>
  <si>
    <t>* Modify worksheet 3c to add co-payment band indicator to detail section</t>
  </si>
  <si>
    <t>* Modify worksheet 7 to allow link to 20 medicines</t>
  </si>
  <si>
    <t>* Modify worksheet 7 to add co-payment group</t>
  </si>
  <si>
    <t>Calculate the financial impact of the affected medicine using the published price.</t>
  </si>
  <si>
    <t>Calculate the financial impact of the affected medicine using the effective price.</t>
  </si>
  <si>
    <t>* Modify worksheet 2a to add co-payment group</t>
  </si>
  <si>
    <t>* Modify worksheet 2b to add co-payment group</t>
  </si>
  <si>
    <t>* Modify worksheet 2c to add co-payment group</t>
  </si>
  <si>
    <t>* Modify worksheet Reference to add co-payment group to PxTxNumbersInit</t>
  </si>
  <si>
    <t>* Modify worksheet Reference to add co-payment group to PxTxNumbersCont</t>
  </si>
  <si>
    <t>* Modify worksheet Reference to rename PxTxNumbersInit to PxTxPhase1</t>
  </si>
  <si>
    <t>* Modify worksheet Reference to rename PxTxNumbersCont to PxTxPhase2</t>
  </si>
  <si>
    <t>* Modify worksheet 8 to correct error with default age range only selecting individuals of age 0</t>
  </si>
  <si>
    <t>* Modify worksheet 3a to allow selection of old medicines to link to new medicines</t>
  </si>
  <si>
    <t>NoMS</t>
  </si>
  <si>
    <t>NoNew</t>
  </si>
  <si>
    <t>missing new medicine</t>
  </si>
  <si>
    <t>missing existing medicine</t>
  </si>
  <si>
    <t>* Modify worksheet 2c to add persistence rate as per worksheet 11</t>
  </si>
  <si>
    <t>* Modify worksheet 2b to add persistence rate as per worksheet 11</t>
  </si>
  <si>
    <t>* Modify worksheet 2a to add persistence rate as per worksheet 11</t>
  </si>
  <si>
    <t>* Modify worksheet 4a to co-payment group for RPBS split</t>
  </si>
  <si>
    <t>* Modify worksheet 3a to co-payment group for RPBS split</t>
  </si>
  <si>
    <t>* Modify worksheet 2c to add flag when persistence is applied</t>
  </si>
  <si>
    <t>* Modify worksheet 2b to add flag when persistence is applied</t>
  </si>
  <si>
    <t>* Modify worksheet 2a to add flag when persistence is applied</t>
  </si>
  <si>
    <t>prevalent data used for incident population</t>
  </si>
  <si>
    <t>PrevInc</t>
  </si>
  <si>
    <t>BadPop</t>
  </si>
  <si>
    <t>invalid population selected, reselect</t>
  </si>
  <si>
    <t>Grandfathered population</t>
  </si>
  <si>
    <t>Codependent</t>
  </si>
  <si>
    <t>MBS Item Descriptor</t>
  </si>
  <si>
    <t>Medicine / molecule name</t>
  </si>
  <si>
    <t>Medicine / molecule</t>
  </si>
  <si>
    <t>Medicine / Molecule</t>
  </si>
  <si>
    <t>Medicine / Molecule - Existing</t>
  </si>
  <si>
    <t>Medicine</t>
  </si>
  <si>
    <t>Clinical advisory board</t>
  </si>
  <si>
    <t>Data inputs - applicant</t>
  </si>
  <si>
    <t>Scripts: proposed medicine</t>
  </si>
  <si>
    <t xml:space="preserve">Calculate the results for the estimated script volumes for the proposed medicine. Please list all forms and strengths of the proposed medicine included in this listing.  </t>
  </si>
  <si>
    <t>The following table summarises the aggregate volume of the proposed medicine.</t>
  </si>
  <si>
    <t>The following table summarises the aggregate volume of the proposed medicine from the epidemiology source.</t>
  </si>
  <si>
    <t>Please list all forms and strengths of the proposed medicine, and provide the details as specified in the table.</t>
  </si>
  <si>
    <t>Please relate the proposed medicine to the existing market.</t>
  </si>
  <si>
    <t>Calculate the financial impact of the proposed medicine using the published price.</t>
  </si>
  <si>
    <t>The following tables summarise the net financial impact from the proposed medicine (at the published price).</t>
  </si>
  <si>
    <t>For all forms and strengths of the proposed medicine, please provide the details as specified in the table.</t>
  </si>
  <si>
    <t>Calculate the financial impact of the proposed medicine using the effective price.</t>
  </si>
  <si>
    <t>The following tables summarise the net financial impact from the proposed medicine (at the effective price).</t>
  </si>
  <si>
    <t>Estimate the volume of medicine that will be affected by this listing. Estimate the rate of substitution and the market growth rate over the six years.</t>
  </si>
  <si>
    <t>The following table summarises the aggregate volume of any affected medicines.</t>
  </si>
  <si>
    <t>The following table summarises the aggregate volume of the affected medicine from the epidemiology source.</t>
  </si>
  <si>
    <t>The following tables summarise the net financial impact from any affected medicine (at the published price).</t>
  </si>
  <si>
    <t>For all forms and strengths of the affected medicines, please provide the details as specified in the table.</t>
  </si>
  <si>
    <t>The following tables summarise the net financial impact from any affected medicine (at the effective price).</t>
  </si>
  <si>
    <t>Affected medicine has SPA</t>
  </si>
  <si>
    <t>Proposed listing results in</t>
  </si>
  <si>
    <t>Estimate the incident patients who will access the proposed medicine.</t>
  </si>
  <si>
    <t>Outline all steps taken to calculate the estimated numbers of patients in the space below.</t>
  </si>
  <si>
    <t>Identify the numbers of incident patients who would be eligible for the proposed medicine.</t>
  </si>
  <si>
    <t>Identify the numbers of prevalent patients who would be eligible for the proposed medicine.</t>
  </si>
  <si>
    <t>Estimate the prevalent patients who will access the proposed medicine.</t>
  </si>
  <si>
    <t>Identify the numbers of grandfathered patients who would be eligible for the proposed medicine.</t>
  </si>
  <si>
    <t>Estimate the grandfathered patients who will access the proposed medicine.</t>
  </si>
  <si>
    <t>Net effect - PBS / RPBS</t>
  </si>
  <si>
    <t>Net cost PBS / RPBS</t>
  </si>
  <si>
    <t>Comparator (PBS / RPBS)</t>
  </si>
  <si>
    <t>If some of the current grandfathered patients will NOT meet the proposed PBS restriction, please explain why.</t>
  </si>
  <si>
    <t>Patients meeting proposed restriction (#)</t>
  </si>
  <si>
    <t>Proportion affected by proposed medicine</t>
  </si>
  <si>
    <t>Please provide details of each of the forms and strengths of the proposed medicine</t>
  </si>
  <si>
    <t>List all the MBS items that will INCREASE as a result of the listing of the proposed medicine in the table below.</t>
  </si>
  <si>
    <t>Medicine / Molecule - Proposed</t>
  </si>
  <si>
    <t>List all the MBS items that will DECREASE as a result of the substitution of affected medicines in the table below.</t>
  </si>
  <si>
    <t>Medicine / Molecule - Affected</t>
  </si>
  <si>
    <t>Proposed</t>
  </si>
  <si>
    <t>3.1 Proportion of patients with the medical condition</t>
  </si>
  <si>
    <t>3.2 Proportion of patients who would be eligible for the requested restriction</t>
  </si>
  <si>
    <t>3.3 Proportion of patients who are likely to elect treatment</t>
  </si>
  <si>
    <t>1. Summary of patients</t>
  </si>
  <si>
    <t>3.1 Proportion of grandfathered patients who will meet the PBS restriction</t>
  </si>
  <si>
    <t>Patients meeting proposed restriction %</t>
  </si>
  <si>
    <t>1. Summary - aggregate scripts</t>
  </si>
  <si>
    <t>3. Estimate the number of scripts</t>
  </si>
  <si>
    <t>4. Methods and assumptions</t>
  </si>
  <si>
    <t>2. Script volumes - epidemiological source</t>
  </si>
  <si>
    <t>4. Identify all forms and strengths of the proposed medicine</t>
  </si>
  <si>
    <t>5. Relate the proposed medicine to the existing market</t>
  </si>
  <si>
    <t>6. Methods and assumptions</t>
  </si>
  <si>
    <t>1. Summary - aggregate financial impact</t>
  </si>
  <si>
    <t>2. Cost of individual forms / strengths</t>
  </si>
  <si>
    <t>2. Total script volumes - epidemiology</t>
  </si>
  <si>
    <t>6. Calculate PBS / RPBS co-payments and public / private split</t>
  </si>
  <si>
    <t>8. Methods and assumptions</t>
  </si>
  <si>
    <t>Please show calculation of the DPMQ/DPMA in the space below.</t>
  </si>
  <si>
    <t>2. Estimate volume INCREASES to the MBS</t>
  </si>
  <si>
    <t>3. Relate the MBS Item to the proposed medicines</t>
  </si>
  <si>
    <t>4. Estimate volume DECREASES to the MBS</t>
  </si>
  <si>
    <t>5. Relate the MBS Item to the affected medicines</t>
  </si>
  <si>
    <t>1. Detail of populations</t>
  </si>
  <si>
    <t>2. ABS Data - People</t>
  </si>
  <si>
    <t>3. ABS Data - Male</t>
  </si>
  <si>
    <t>4. ABS Data - Female</t>
  </si>
  <si>
    <t>AR</t>
  </si>
  <si>
    <t>3. Estimate of new volumes for Services Australia as a result of the listing of the proposed medicine</t>
  </si>
  <si>
    <t>Substitution</t>
  </si>
  <si>
    <t>new medicine will affect a PBS listed medicine - net impact shows interaction of proposed and existing medicines</t>
  </si>
  <si>
    <t>new medicine will NOT affect any PBS listed medicine - net impact shows proposed medicine ONLY</t>
  </si>
  <si>
    <t>Schedule of Pharmaceutical Benefits information</t>
  </si>
  <si>
    <t>General</t>
  </si>
  <si>
    <t>Prescriber's Bag</t>
  </si>
  <si>
    <t>NoExist</t>
  </si>
  <si>
    <t>no exiting PBS listings of this medicine</t>
  </si>
  <si>
    <t>SPA requested</t>
  </si>
  <si>
    <t>RSA requested</t>
  </si>
  <si>
    <t>Economic analysis</t>
  </si>
  <si>
    <t>PBS indication</t>
  </si>
  <si>
    <t>MBS rebate rate</t>
  </si>
  <si>
    <t>Rebate rate</t>
  </si>
  <si>
    <t>2a. Patients - incident</t>
  </si>
  <si>
    <t>2b. Patients - prevalent</t>
  </si>
  <si>
    <t>2c. Patients - grandfathered</t>
  </si>
  <si>
    <t>3a. Scripts - proposed</t>
  </si>
  <si>
    <t>3b. Impact - proposed (Published price)</t>
  </si>
  <si>
    <t>3c. Impact - proposed (Effective price)</t>
  </si>
  <si>
    <t>4a. Scripts - affected</t>
  </si>
  <si>
    <t>4b. Impact - affected (Published price)</t>
  </si>
  <si>
    <t>4c. Impact - affected (Effective price)</t>
  </si>
  <si>
    <t>5. Impact - net</t>
  </si>
  <si>
    <t>6. Net changes - SA</t>
  </si>
  <si>
    <t xml:space="preserve">7. Net changes - MBS </t>
  </si>
  <si>
    <t>8. ABS population</t>
  </si>
  <si>
    <t>9. AIHW population</t>
  </si>
  <si>
    <t>10. Registry population</t>
  </si>
  <si>
    <t>2. Detail of incident patients</t>
  </si>
  <si>
    <t>2. Detail of prevalent patients</t>
  </si>
  <si>
    <t>2. Detail of grandfathered patients</t>
  </si>
  <si>
    <t>3. Script volumes - market-share source</t>
  </si>
  <si>
    <t>3. Identify the costs for all forms / strengths of the proposed medicine</t>
  </si>
  <si>
    <t>3. Total script volumes - market-share</t>
  </si>
  <si>
    <t>4. Identify all forms / strengths of affected medicine - epidemiology</t>
  </si>
  <si>
    <t>5. Identify all forms / strengths of the affected medicine - market-share</t>
  </si>
  <si>
    <t>3. Identify the costs for all forms / strengths of the affected medicines</t>
  </si>
  <si>
    <t>Scripts: market-share</t>
  </si>
  <si>
    <t>Grandfathered patients</t>
  </si>
  <si>
    <t>Market-share impact</t>
  </si>
  <si>
    <t>This spreadsheet has been prepared for use with both an epidemiological and a market-share approach.  For additional guidance, please consult Section 4 of the PBAC Guidelines.</t>
  </si>
  <si>
    <t>The following table summarises the aggregate volume of the proposed medicine from the market-share source.</t>
  </si>
  <si>
    <t>The medicines listed on this worksheet are in ADDITION to any market-share changes included on worksheet 2b. Scripts - market</t>
  </si>
  <si>
    <t>The following table summarises the aggregate volume of the affected medicine from the market-share source.</t>
  </si>
  <si>
    <t>7. Estimated number of units affected - market-share</t>
  </si>
  <si>
    <t>Applicant company</t>
  </si>
  <si>
    <t>Max quantity
Max amount</t>
  </si>
  <si>
    <t>ABS population - 3222.0 Series B</t>
  </si>
  <si>
    <t>AIHW population</t>
  </si>
  <si>
    <t>Registry or other population</t>
  </si>
  <si>
    <t>Impact: proposed medicine (published price)</t>
  </si>
  <si>
    <t>Impact: proposed medicine (effective price)</t>
  </si>
  <si>
    <t>Impact: affected medicines (published price)</t>
  </si>
  <si>
    <t>Impact: net PBS / RPBS (published / effective price)</t>
  </si>
  <si>
    <t>Net changes to the Medicare Benefits Schedule</t>
  </si>
  <si>
    <t>Impact: affected medicines (effective price)</t>
  </si>
  <si>
    <t>AR - Electronic</t>
  </si>
  <si>
    <t>* Modify worksheet 2a to calculate population titles without overlap</t>
  </si>
  <si>
    <t>* Modify worksheet 2b to calculate population titles without overlap</t>
  </si>
  <si>
    <t>* Modify worksheet 2c to calculate population titles without overlap</t>
  </si>
  <si>
    <t>* Modify worksheet 7 to correct formula error in section 4 service volume source</t>
  </si>
  <si>
    <t>* Modify worksheet 7 to correct formula error in section 4 service volume sign</t>
  </si>
  <si>
    <t>* Modify worksheet 7 to correct population split calculations in section 2 and section 4</t>
  </si>
  <si>
    <t>Service rate</t>
  </si>
  <si>
    <t>Changes since v10.0</t>
  </si>
  <si>
    <t>Indicative costs</t>
  </si>
  <si>
    <t>Changes since v10.1</t>
  </si>
  <si>
    <t>* Modify worksheet 1 to update guidance on patient costs section</t>
  </si>
  <si>
    <t>If any PBS-listed medicines will be affected by this listing and have not be added to worksheet 3a. Scripts - proposed, please list them here.</t>
  </si>
  <si>
    <t>If any PBS-listed medicines will be affected by this listing and have not be added to worksheet 2d. Scripts - market, please list them here.</t>
  </si>
  <si>
    <t>* Modify worksheet 8 to add Source for incidence percentage</t>
  </si>
  <si>
    <t>Changes since v10.2</t>
  </si>
  <si>
    <t>* Modify worksheet 3a to remove medicine names from Section 2 if market-share model</t>
  </si>
  <si>
    <t>* Modify worksheet 3a to remove medicine names from Section 3 if epidemiology-based model</t>
  </si>
  <si>
    <t>* Modify worksheet 3a to add co-payment group to Section 5</t>
  </si>
  <si>
    <t>* Modify worksheet 3a to correct script counts</t>
  </si>
  <si>
    <t>ExtendTxPop</t>
  </si>
  <si>
    <t>* Modify worksheet 3a to add warning message for duplicate new medicine in Section 5</t>
  </si>
  <si>
    <t>* Modify worksheet 2a to include treatment duration over 12 months</t>
  </si>
  <si>
    <t>* Modify worksheet 2b to include treatment duration over 12 months</t>
  </si>
  <si>
    <t>* Modify worksheet 2c to include treatment duration over 12 months</t>
  </si>
  <si>
    <t>* Modify worksheet 3b to allow selection of co-payment group</t>
  </si>
  <si>
    <t>* Modify worksheet 4b to allow selection of co-payment group</t>
  </si>
  <si>
    <t>Changes since v10.3</t>
  </si>
  <si>
    <t>* Modify worksheet 3a to allow selection of epidemiology populations in mixed models</t>
  </si>
  <si>
    <t>* Modify worksheet 3b to allow public / private / weighted prices</t>
  </si>
  <si>
    <t>* Modify worksheet 3c to allow public / private / weighted prices</t>
  </si>
  <si>
    <t>* Modify worksheet 4b to allow public / private / weighted prices</t>
  </si>
  <si>
    <t>* Modify worksheet 4c to allow public / private / weighted prices</t>
  </si>
  <si>
    <t>Changes since v10.4</t>
  </si>
  <si>
    <t>* Modify worksheet 2d to use VLOOKUP for TxPhase and code</t>
  </si>
  <si>
    <t>* Modify worksheet 7 to correct patient number lookup</t>
  </si>
  <si>
    <t>* Modify worksheet 1 to use VLOOKUP for Treatment Period</t>
  </si>
  <si>
    <t>* Modify worksheet 2d to calculate TPInit</t>
  </si>
  <si>
    <t>* Modify worksheet 2d to calculate TPCont</t>
  </si>
  <si>
    <t>* Modify worksheet 2d to calculate TPAll</t>
  </si>
  <si>
    <t>The following table summarises the total patients per year.</t>
  </si>
  <si>
    <t>* Modify worksheet 7 to correct MBS Item decrease linking to scripts correctly</t>
  </si>
  <si>
    <t>* Modify worksheet 2d to remove ScriptsOldSplit named range</t>
  </si>
  <si>
    <t>* Modify worksheet 3a to remove market share split which is no longer required</t>
  </si>
  <si>
    <t>Changes since v10.5</t>
  </si>
  <si>
    <t>* Modify worksheet 3b to modify weighted co-payment presentation</t>
  </si>
  <si>
    <t>* Modify worksheet 3c to modify weighted co-payment presentation</t>
  </si>
  <si>
    <t>* Modify worksheet 4b to modify weighted co-payment presentation</t>
  </si>
  <si>
    <t>* Modify worksheet 4c to modify weighted co-payment presentation</t>
  </si>
  <si>
    <t>* Modify worksheet 7 to include PBS/RPBS total row</t>
  </si>
  <si>
    <t>* Modify worksheet 4b to show ** Not Required ** in title in epidemiology-based models</t>
  </si>
  <si>
    <t>* Modify worksheet 4b to show ** Not Required ** in medicine names in epidemiology-based models</t>
  </si>
  <si>
    <t>* Modify worksheet 4b to hide Co-payment group in epidemiology-based models</t>
  </si>
  <si>
    <t>* Modify worksheet 5 to display effective costs if there are effective prices for either proposed or affected medicines</t>
  </si>
  <si>
    <t>* Modify worksheet 4c to show ** Not Required ** in medicine names in epidemiology-based models</t>
  </si>
  <si>
    <t>* Modify worksheet 4c to hide Co-payment group in epidemiology-based models</t>
  </si>
  <si>
    <t>* Modify worksheet 4a to show ** Not Used ** in medicine names in Section 3 for epidemiology-based models</t>
  </si>
  <si>
    <t>* Modify worksheet 3a to add annual uptake rates which support cross-relating initial+continuing to all treatment phases.</t>
  </si>
  <si>
    <t>* Modify worksheet 3b to remove conditional formatting from weighted DPMQ column in Section 3</t>
  </si>
  <si>
    <t>* Modify worksheet 3c to remove conditional formatting from weighted DPMQ column in Section 3</t>
  </si>
  <si>
    <t>* Modify worksheet 4b to remove conditional formatting from weighted DPMQ column in Section 3</t>
  </si>
  <si>
    <t>* Modify worksheet 4c to remove conditional formatting from weighted DPMQ column in Section 3</t>
  </si>
  <si>
    <t>* Modify worksheet 11 to allow different persistence rate each year</t>
  </si>
  <si>
    <t>Year 1</t>
  </si>
  <si>
    <t>Year 2</t>
  </si>
  <si>
    <t>Year 3</t>
  </si>
  <si>
    <t>Year 4</t>
  </si>
  <si>
    <t>Year 5</t>
  </si>
  <si>
    <t>Year 6</t>
  </si>
  <si>
    <t>Year 7</t>
  </si>
  <si>
    <t>Year 8</t>
  </si>
  <si>
    <t>Year 9</t>
  </si>
  <si>
    <t>Year 10</t>
  </si>
  <si>
    <t>Year 11</t>
  </si>
  <si>
    <t>Persistent population</t>
  </si>
  <si>
    <t>* Modify worksheet 11 to increase populations to 10</t>
  </si>
  <si>
    <t>* Modify worksheet11 to rename prevalent to persistent</t>
  </si>
  <si>
    <t>* Modify worksheet 8 to remove population from titles</t>
  </si>
  <si>
    <t>* Modify worksheet 9 to remove population from titles</t>
  </si>
  <si>
    <t>* Modify worksheet 10 to remove population from titles</t>
  </si>
  <si>
    <t>* Modify worksheet 11 to remove population from titles</t>
  </si>
  <si>
    <t>PersPop1</t>
  </si>
  <si>
    <t>PersPop2</t>
  </si>
  <si>
    <t>PersPop3</t>
  </si>
  <si>
    <t>PersPop4</t>
  </si>
  <si>
    <t>PersPop5</t>
  </si>
  <si>
    <t>PersPop6</t>
  </si>
  <si>
    <t>PersPop7</t>
  </si>
  <si>
    <t>PersPop8</t>
  </si>
  <si>
    <t>PersPop9</t>
  </si>
  <si>
    <t>PersPop10</t>
  </si>
  <si>
    <t>Persistent</t>
  </si>
  <si>
    <t>11. Persistent population</t>
  </si>
  <si>
    <t>Year 12</t>
  </si>
  <si>
    <t>Changes since v10.6</t>
  </si>
  <si>
    <t>* Modify worksheet 1 to add Episodicity to PBS indication as required</t>
  </si>
  <si>
    <t>* Modify worksheet 7 to correctly account for electronic script volumes</t>
  </si>
  <si>
    <t>* Modify worksheet 3a to correct conditional formatting in Section 4</t>
  </si>
  <si>
    <t>* Modify worksheet 3a to add warning message for extended treatment in epidemiology-based models</t>
  </si>
  <si>
    <t>* Modify worksheet 7 to correct conditional formatting in section 4</t>
  </si>
  <si>
    <t>* Corrected Section 1 conditional formatting in 3a worksheet</t>
  </si>
  <si>
    <t>* Corrected conditional formatting in Section 1 - epidemiology in 4a worksheet</t>
  </si>
  <si>
    <t>Script split source</t>
  </si>
  <si>
    <t>Current market</t>
  </si>
  <si>
    <t>Proposed market</t>
  </si>
  <si>
    <t>Selected</t>
  </si>
  <si>
    <t>Current</t>
  </si>
  <si>
    <t>* Modify worksheet 1 to add script split source choice</t>
  </si>
  <si>
    <t>* Modify worksheet Reference to add ScriptSplitType</t>
  </si>
  <si>
    <t>* Modify worksheet Reference to add ScriptSplitCode</t>
  </si>
  <si>
    <t>* Add ScriptSplit named range</t>
  </si>
  <si>
    <t>* Modify worksheet 3a to calculate script split</t>
  </si>
  <si>
    <t>* Modify worksheet 2d to select script split from current or proposed market</t>
  </si>
  <si>
    <t>* Modify worksheet 11 to add eligibility rate to population definition</t>
  </si>
  <si>
    <t>PRate</t>
  </si>
  <si>
    <t>overall not individual rates used</t>
  </si>
  <si>
    <t>* Modify worksheet 2d to reverse IC vs I &amp; C logic</t>
  </si>
  <si>
    <t>* Modify worksheet 11 to add PRate01-10 named ranges for persistence and uptake of population 1-10</t>
  </si>
  <si>
    <t>* Modify worksheet 6 to only include Written Authorities in the Complex authority count</t>
  </si>
  <si>
    <t>* Modify worksheet 6 to show script volumes by Authority Type</t>
  </si>
  <si>
    <t>* Modify worksheet 3a to allow selection of percentage of current market if script split is proposed market</t>
  </si>
  <si>
    <t>NoSplit</t>
  </si>
  <si>
    <t>missing script split percentage</t>
  </si>
  <si>
    <t>Cohort</t>
  </si>
  <si>
    <t>* Modify worksheet 6 to split written and telephone authorities in electronic form</t>
  </si>
  <si>
    <t>ABS rate</t>
  </si>
  <si>
    <t>* Modify worksheet Reference to add ABSRate</t>
  </si>
  <si>
    <t>* Modify worksheet Reference to add ABSRateType</t>
  </si>
  <si>
    <t>Prevalence</t>
  </si>
  <si>
    <t>Changes since v10.7</t>
  </si>
  <si>
    <t>* Modify worksheet 8 to add ABS rate type selector to all populations</t>
  </si>
  <si>
    <t>* Modify worksheet 8 to update population titles to include incidence / prevalence source indicator</t>
  </si>
  <si>
    <t>* Modify worksheet Reference to update extended duration warning message</t>
  </si>
  <si>
    <t>* Modify worksheet 2b to warning of incident population in prevalent worksheet</t>
  </si>
  <si>
    <t>* Modify worksheet 2a to warning of prevalent population in incident worksheet</t>
  </si>
  <si>
    <t>BadPrevPop</t>
  </si>
  <si>
    <t>BadIncPop</t>
  </si>
  <si>
    <t>prevalence source used for incident population</t>
  </si>
  <si>
    <t>incidence source used for prevalent population</t>
  </si>
  <si>
    <t>* Modify worksheet 8 to add cross population warnings</t>
  </si>
  <si>
    <t>* Modify worksheet 3b to set co-payment = DPMQ if the DPMQ &lt;= co-payment</t>
  </si>
  <si>
    <t>* Modify worksheet 3c to set co-payment = DPMQ if the DPMQ &lt;= co-payment</t>
  </si>
  <si>
    <t>* Modify worksheet 4b to set co-payment = DPMQ if the DPMQ &lt;= co-payment</t>
  </si>
  <si>
    <t>* Modify worksheet 4c to set co-payment = DPMQ if the DPMQ &lt;= co-payment</t>
  </si>
  <si>
    <t>* Modify worksheet 4b to show ** Not Used ** when there are no affected script volumes</t>
  </si>
  <si>
    <t>2026 November</t>
  </si>
  <si>
    <t>2027 November</t>
  </si>
  <si>
    <t>2028 November</t>
  </si>
  <si>
    <t>2026 March</t>
  </si>
  <si>
    <t>2026 July</t>
  </si>
  <si>
    <t>2027 March</t>
  </si>
  <si>
    <t>2027 July</t>
  </si>
  <si>
    <t>2028 March</t>
  </si>
  <si>
    <t>2028 July</t>
  </si>
  <si>
    <t>Intracycle</t>
  </si>
  <si>
    <t>Net change: No authority</t>
  </si>
  <si>
    <t>Net change: AR - Streamlined</t>
  </si>
  <si>
    <t>Net change: AR - Telephone</t>
  </si>
  <si>
    <t>Net change: AR - Written</t>
  </si>
  <si>
    <t>Net change: AR - Electronic (T)</t>
  </si>
  <si>
    <t>Net change: AR - Electronic (W)</t>
  </si>
  <si>
    <t>* Modify worksheet Reference to implement new submission types</t>
  </si>
  <si>
    <t>* Modify worksheet Reference to remove prior years and add future years</t>
  </si>
  <si>
    <t>Resubmission</t>
  </si>
  <si>
    <t>Resubmission pathway</t>
  </si>
  <si>
    <t>Submission category</t>
  </si>
  <si>
    <t>Category 1</t>
  </si>
  <si>
    <t>Category 2</t>
  </si>
  <si>
    <t>Category 3</t>
  </si>
  <si>
    <t>Category 4</t>
  </si>
  <si>
    <t>Early resolution</t>
  </si>
  <si>
    <t>Facilitated resolution</t>
  </si>
  <si>
    <t>Early re-entry</t>
  </si>
  <si>
    <t>Standard re-entry</t>
  </si>
  <si>
    <t>* Modify worksheet Reference to implement new resubmission pathways</t>
  </si>
  <si>
    <t>* Modify worksheet 1 to implement new submission types</t>
  </si>
  <si>
    <t>* Modify worksheet 1 to implement new resubmission pathways</t>
  </si>
  <si>
    <t>The following table summarises the aggregate number of prescriptions of the proposed medicines.</t>
  </si>
  <si>
    <t>The following table summarises the aggregate number of authorities of the proposed medicines.</t>
  </si>
  <si>
    <t>The following table summarises the aggregate number of prescriptions of the affected medicines.</t>
  </si>
  <si>
    <t>The following table summarises the aggregate number of authorities of the affected medicines.</t>
  </si>
  <si>
    <t>1.1 Summary - aggregate scripts for all medicines</t>
  </si>
  <si>
    <t>The following table summarises the aggregate number of prescriptions of the proposed and affected medicines.</t>
  </si>
  <si>
    <t>1.2 Summary - aggregate authorities for all medicines</t>
  </si>
  <si>
    <t>The following table summarises the aggregate number of authorities of the proposed and affected medicines.</t>
  </si>
  <si>
    <t>2.1 Summary - aggregate scripts for proposed medicines</t>
  </si>
  <si>
    <t>2.2 Summary - aggregate authorities for proposed medicines</t>
  </si>
  <si>
    <t>4.1 Summary - aggregate scripts for affected medicines</t>
  </si>
  <si>
    <t>4.2 Summary - aggregate authorities for affected medicines</t>
  </si>
  <si>
    <t>5. Estimate of changed volumes for Services Australia as a result of the listing of the proposed medicine</t>
  </si>
  <si>
    <t>* Modify worksheet 6 to consolidate at proposed and affected medicine level</t>
  </si>
  <si>
    <t>* Rename worksheet 2 - Patients - summary</t>
  </si>
  <si>
    <t>* Modify worksheet 2a to remove duration of therapy adjustment</t>
  </si>
  <si>
    <t>* Modify worksheet Reference to add TxPxPhase1Adj named range - Phase1 patient numbers adjusted for duration of therapy greater than 12 months</t>
  </si>
  <si>
    <t>* Modify worksheet Reference to add TxPxPhase2Adj named range - Phase2 patient numbers adjusted for duration of therapy greater than 12 months</t>
  </si>
  <si>
    <t>* Modify worksheet Reference to add TxPxPhase1Adj table</t>
  </si>
  <si>
    <t>* Modify worksheet Reference to add TxPxPhase2Adj table</t>
  </si>
  <si>
    <t>* Modify worksheet 3a to use TxPxPhase1Adj in place of TxPxPhase1</t>
  </si>
  <si>
    <t>* Modify worksheet 3a to use TxPxPhase2Adj in place of TxPxPhase2</t>
  </si>
  <si>
    <t>* Modify worksheet 4a to use TxPxPhase1Adj in place of TxPxPhase1</t>
  </si>
  <si>
    <t>* Modify worksheet 4a to use TxPxPhase2Adj in place of TxPxPhase2</t>
  </si>
  <si>
    <t>* Modify worksheet 2 to add incident patient duration block</t>
  </si>
  <si>
    <t>* Modify worksheet 2 to add prevalent patient duration block</t>
  </si>
  <si>
    <t>* Modify worksheet 2 to add grandfathered patient duration block</t>
  </si>
  <si>
    <t>* Modify worksheet Reference to add extended population indicator to each population</t>
  </si>
  <si>
    <t>* Modify worksheet 2 to add extended population indicator to each population and totals</t>
  </si>
  <si>
    <t>* Modify worksheet 3a to modify TxPxPhase1 access</t>
  </si>
  <si>
    <t>* Modify worksheet 3a to modify TxPxPhase2 access</t>
  </si>
  <si>
    <t>* Modify worksheet 4 to modify TxPxPhase1 access</t>
  </si>
  <si>
    <t>* Modify worksheet 4 to modify TxPxPhase2 access</t>
  </si>
  <si>
    <t>Chronic</t>
  </si>
  <si>
    <t>Episodic</t>
  </si>
  <si>
    <t>* Modify worksheet 1 to update treatment period</t>
  </si>
  <si>
    <t>* Modify worksheet Reference to update Episodicity to TxDuration</t>
  </si>
  <si>
    <t>Init</t>
  </si>
  <si>
    <t>Free</t>
  </si>
  <si>
    <t>Cont</t>
  </si>
  <si>
    <t>Balance</t>
  </si>
  <si>
    <t>Duration of treatment</t>
  </si>
  <si>
    <t>Units</t>
  </si>
  <si>
    <t>* Modify worksheet Reference to add TimeUnitCount - number of days / weeks / months per year</t>
  </si>
  <si>
    <t>* Modify worksheet 2b to remove duration of therapy adjustment</t>
  </si>
  <si>
    <t>* Modify worksheet 2c to remove duration of therapy adjustment</t>
  </si>
  <si>
    <t>Continuing treatment source</t>
  </si>
  <si>
    <t>Initiating patients</t>
  </si>
  <si>
    <t>Eligible patients</t>
  </si>
  <si>
    <t>Continuing source</t>
  </si>
  <si>
    <t>* Modify worksheet 2a to allow selection of based population for Phase 2 - Phase 1 or total eligible population</t>
  </si>
  <si>
    <t>* Modify worksheet 2b to allow selection of based population for Phase 2 - Phase 1 or total eligible population</t>
  </si>
  <si>
    <t>* Modify worksheet 2c to allow selection of based population for Phase 2 - Phase 1 or total eligible population</t>
  </si>
  <si>
    <t>Item</t>
  </si>
  <si>
    <t>* Modify worksheet 2 to allow initial treatment to be 12 months or longer</t>
  </si>
  <si>
    <t>show values for 12 months of treatment only</t>
  </si>
  <si>
    <t>BadCPG</t>
  </si>
  <si>
    <t>missing co-payment group, check script source</t>
  </si>
  <si>
    <t>SplitErr</t>
  </si>
  <si>
    <t>* Modify worksheet 3a to check that script proportions add to 100%</t>
  </si>
  <si>
    <t>* Modify worksheet 3a to remove generic duplicate warning message</t>
  </si>
  <si>
    <t>substitution rates do not add to 100%</t>
  </si>
  <si>
    <t>Complex treatment costs</t>
  </si>
  <si>
    <t>Evaluation</t>
  </si>
  <si>
    <t>* Modify worksheet 2d to show completed worksheet when used in co-payment only mode</t>
  </si>
  <si>
    <t>Initiating Treatment - Patients</t>
  </si>
  <si>
    <t>Initiating Treatment - Patient months of treatment</t>
  </si>
  <si>
    <t>Continuing Treatment - Patients</t>
  </si>
  <si>
    <t>Continuing Treatment - Patient months of treatment</t>
  </si>
  <si>
    <t>TIPP</t>
  </si>
  <si>
    <t>Total treated incident &amp; prevalent patients</t>
  </si>
  <si>
    <t>CPG</t>
  </si>
  <si>
    <t>Duration of treatment group</t>
  </si>
  <si>
    <t>DTG</t>
  </si>
  <si>
    <t>Duration of treatment groups</t>
  </si>
  <si>
    <t>Duration of treatment group count</t>
  </si>
  <si>
    <t>* Modify worksheet 7 to use DTG in place of populations</t>
  </si>
  <si>
    <t>* Modify worksheet 4a to use DTG in place of populations</t>
  </si>
  <si>
    <t>* Modify worksheet 3a to use DTG in place of populations</t>
  </si>
  <si>
    <t>* Remove MBSPopInc named ranges</t>
  </si>
  <si>
    <t>* Remove MBSPopDec named ranges</t>
  </si>
  <si>
    <t>* Removed TxPopOld named ranges</t>
  </si>
  <si>
    <t>* Remove TxPopNew named ranges</t>
  </si>
  <si>
    <t>This worksheet summarised the patient years of treatment that will be access for the proposed medicine. This can be determined through incidence and/or prevalence.</t>
  </si>
  <si>
    <t>In addition, it can include the number of patients who will access this medicine through a grandfathering arrangement.</t>
  </si>
  <si>
    <t>The following table summarises the total patient population.</t>
  </si>
  <si>
    <t>Patients: Duration of treatment groups</t>
  </si>
  <si>
    <t>Identify the eligible patients who make up this duration of therapy.</t>
  </si>
  <si>
    <t>Year 1 cohort</t>
  </si>
  <si>
    <t>Year 2 cohort</t>
  </si>
  <si>
    <t>Year 3 cohort</t>
  </si>
  <si>
    <t>Year 4 cohort</t>
  </si>
  <si>
    <t>Year 5 cohort</t>
  </si>
  <si>
    <t>Year 6 cohort</t>
  </si>
  <si>
    <t>DTG01</t>
  </si>
  <si>
    <t>DTG02</t>
  </si>
  <si>
    <t>DTG03</t>
  </si>
  <si>
    <t>DTG04</t>
  </si>
  <si>
    <t>DTG05</t>
  </si>
  <si>
    <t>DTG06</t>
  </si>
  <si>
    <t>DTG07</t>
  </si>
  <si>
    <t>DTG08</t>
  </si>
  <si>
    <t>DTG09</t>
  </si>
  <si>
    <t>DTG10</t>
  </si>
  <si>
    <t>DTG11</t>
  </si>
  <si>
    <t>DTG12</t>
  </si>
  <si>
    <t>DTG13</t>
  </si>
  <si>
    <t>DTG14</t>
  </si>
  <si>
    <t>DTG15</t>
  </si>
  <si>
    <t>DTG16</t>
  </si>
  <si>
    <t>DTG17</t>
  </si>
  <si>
    <t>DTG18</t>
  </si>
  <si>
    <t>DTG19</t>
  </si>
  <si>
    <t>DTG20</t>
  </si>
  <si>
    <t>DTG21</t>
  </si>
  <si>
    <t>DTG22</t>
  </si>
  <si>
    <t>DTG23</t>
  </si>
  <si>
    <t>DTG24</t>
  </si>
  <si>
    <t>DTG25</t>
  </si>
  <si>
    <t>DTG26</t>
  </si>
  <si>
    <t>DTG27</t>
  </si>
  <si>
    <t>DTG28</t>
  </si>
  <si>
    <t>DTG29</t>
  </si>
  <si>
    <t>DTG30</t>
  </si>
  <si>
    <t>DTG31</t>
  </si>
  <si>
    <t>2. Detail of duration of treatment groups</t>
  </si>
  <si>
    <t>Total treated grandfathered patients</t>
  </si>
  <si>
    <t>* Remove worksheet 2 and replace with DTG version</t>
  </si>
  <si>
    <t>* Add DTGPops named ranges</t>
  </si>
  <si>
    <t>Unique</t>
  </si>
  <si>
    <t>Sorted</t>
  </si>
  <si>
    <t>Rank</t>
  </si>
  <si>
    <t>MBS Items</t>
  </si>
  <si>
    <t>2e. Scripts - market</t>
  </si>
  <si>
    <t>2d. Patients - duration of treatment groups</t>
  </si>
  <si>
    <t>Delivery basis</t>
  </si>
  <si>
    <t>Number of services / script</t>
  </si>
  <si>
    <t>DTG Units</t>
  </si>
  <si>
    <t>MBSInc10</t>
  </si>
  <si>
    <t>MBSInc11</t>
  </si>
  <si>
    <t>MBSInc12</t>
  </si>
  <si>
    <t>MBSInc13</t>
  </si>
  <si>
    <t>MBSInc14</t>
  </si>
  <si>
    <t>MBSInc15</t>
  </si>
  <si>
    <t>MBSInc16</t>
  </si>
  <si>
    <t>MBSInc17</t>
  </si>
  <si>
    <t>MBSInc18</t>
  </si>
  <si>
    <t>MBSInc19</t>
  </si>
  <si>
    <t>MBSInc20</t>
  </si>
  <si>
    <t>MBSDec01</t>
  </si>
  <si>
    <t>MBSDec02</t>
  </si>
  <si>
    <t>MBSDec03</t>
  </si>
  <si>
    <t>MBSDec04</t>
  </si>
  <si>
    <t>MBSDec05</t>
  </si>
  <si>
    <t>MBSDec06</t>
  </si>
  <si>
    <t>MBSDec07</t>
  </si>
  <si>
    <t>MBSDec08</t>
  </si>
  <si>
    <t>MBSDec09</t>
  </si>
  <si>
    <t>MBSDec10</t>
  </si>
  <si>
    <t>MBSDec11</t>
  </si>
  <si>
    <t>MBSDec12</t>
  </si>
  <si>
    <t>MBSDec13</t>
  </si>
  <si>
    <t>MBSDec14</t>
  </si>
  <si>
    <t>MBSDec15</t>
  </si>
  <si>
    <t>MBSDec16</t>
  </si>
  <si>
    <t>MBSDec17</t>
  </si>
  <si>
    <t>MBSDec18</t>
  </si>
  <si>
    <t>MBSDec19</t>
  </si>
  <si>
    <t>MBSDec20</t>
  </si>
  <si>
    <t>MBSInc01</t>
  </si>
  <si>
    <t>MBSInc02</t>
  </si>
  <si>
    <t>MBSInc03</t>
  </si>
  <si>
    <t>MBSInc04</t>
  </si>
  <si>
    <t>MBSInc05</t>
  </si>
  <si>
    <t>MBSInc06</t>
  </si>
  <si>
    <t>MBSInc07</t>
  </si>
  <si>
    <t>MBSInc08</t>
  </si>
  <si>
    <t>MBSInc09</t>
  </si>
  <si>
    <t>1. Summary of patient years of treatment</t>
  </si>
  <si>
    <t>MBS Services</t>
  </si>
  <si>
    <t>* Modify worksheet 7 to allow for 20 MBS items in increase and decrease</t>
  </si>
  <si>
    <t>Variable persistence rate</t>
  </si>
  <si>
    <t>Variable eligibility rate</t>
  </si>
  <si>
    <t>Include starting population in total</t>
  </si>
  <si>
    <t>Constant persistence rate for all years</t>
  </si>
  <si>
    <t>Contant eligibility rate for all years</t>
  </si>
  <si>
    <t>* Modify worksheet 11 to alow starting population to be included or ignored in total</t>
  </si>
  <si>
    <t>In hospital - public</t>
  </si>
  <si>
    <t>In hospital - private</t>
  </si>
  <si>
    <t>Out of hospital</t>
  </si>
  <si>
    <t>* Modify worksheet 7 to show In hospital - public, In hospital - private, Out of Hospital</t>
  </si>
  <si>
    <t>Total services</t>
  </si>
  <si>
    <t>Existing RSA</t>
  </si>
  <si>
    <t>Changes since v10.8</t>
  </si>
  <si>
    <t>* Modify worksheet 1 to add name of RSA if joining an existing RSA</t>
  </si>
  <si>
    <t>* Modify worksheet11 to correct formula error in Population 2-10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</si>
</sst>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2">
    <numFmt numFmtId="6" formatCode="&quot;$&quot;#,##0;[Red]\-&quot;$&quot;#,##0"/>
    <numFmt numFmtId="8" formatCode="&quot;$&quot;#,##0.00;[Red]\-&quot;$&quot;#,##0.00"/>
    <numFmt numFmtId="164" formatCode="&quot;$&quot;#,##0_);[Red]\(&quot;$&quot;#,##0\)"/>
    <numFmt numFmtId="165" formatCode="&quot;$&quot;#,##0.00_);[Red]\(&quot;$&quot;#,##0.00\)"/>
    <numFmt numFmtId="166" formatCode="_(&quot;$&quot;* #,##0_);_(&quot;$&quot;* \(#,##0\);_(&quot;$&quot;* &quot;-&quot;_);_(@_)"/>
    <numFmt numFmtId="167" formatCode="_(* #,##0_);_(* \(#,##0\);_(* &quot;-&quot;_);_(@_)"/>
    <numFmt numFmtId="168" formatCode="_(&quot;$&quot;* #,##0.00_);_(&quot;$&quot;* \(#,##0.00\);_(&quot;$&quot;* &quot;-&quot;??_);_(@_)"/>
    <numFmt numFmtId="169" formatCode="_(* #,##0.00_);_(* \(#,##0.00\);_(* &quot;-&quot;??_);_(@_)"/>
    <numFmt numFmtId="170" formatCode="_-* #,##0_-;\-* #,##0_-;_-* &quot;-&quot;??_-;_-@_-"/>
    <numFmt numFmtId="171" formatCode="#,##0_ ;[Red]\-#,##0\ "/>
    <numFmt numFmtId="172" formatCode="#,##0.00_ ;[Red]\-#,##0.00\ "/>
    <numFmt numFmtId="173" formatCode="mmm\-yyyy"/>
    <numFmt numFmtId="174" formatCode="0;\-0;0;@"/>
    <numFmt numFmtId="175" formatCode="#,##0_ ;\-#,##0\ "/>
    <numFmt numFmtId="176" formatCode="&quot;$&quot;#,##0.000;[Red]\-&quot;$&quot;#,##0.000"/>
    <numFmt numFmtId="177" formatCode="0.0"/>
    <numFmt numFmtId="178" formatCode="0.000%"/>
    <numFmt numFmtId="179" formatCode="0.000000"/>
    <numFmt numFmtId="180" formatCode="&quot;$&quot;#,##0.00"/>
    <numFmt numFmtId="181" formatCode="#,##0.0_ ;[Red]\-#,##0.0\ "/>
    <numFmt numFmtId="182" formatCode="0_ ;[Red]\-0\ "/>
    <numFmt numFmtId="183" formatCode="#,##0.0000_ ;[Red]\-#,##0.0000\ "/>
  </numFmts>
  <fonts count="82" x14ac:knownFonts="1">
    <font>
      <sz val="10"/>
      <color theme="1"/>
      <name val="Arial"/>
      <family val="2"/>
      <scheme val="minor"/>
    </font>
    <font>
      <sz val="10"/>
      <color theme="1"/>
      <name val="Arial"/>
      <family val="2"/>
    </font>
    <font>
      <sz val="10"/>
      <color theme="1"/>
      <name val="Arial"/>
      <family val="2"/>
    </font>
    <font>
      <b/>
      <sz val="10"/>
      <color indexed="8"/>
      <name val="Arial"/>
      <family val="2"/>
    </font>
    <font>
      <sz val="8"/>
      <name val="Arial"/>
      <family val="2"/>
    </font>
    <font>
      <sz val="10"/>
      <name val="Arial"/>
      <family val="2"/>
    </font>
    <font>
      <b/>
      <sz val="10"/>
      <name val="Arial"/>
      <family val="2"/>
    </font>
    <font>
      <b/>
      <sz val="8"/>
      <color indexed="81"/>
      <name val="Tahoma"/>
      <family val="2"/>
    </font>
    <font>
      <sz val="8"/>
      <color indexed="81"/>
      <name val="Tahoma"/>
      <family val="2"/>
    </font>
    <font>
      <sz val="10"/>
      <color indexed="63"/>
      <name val="Arial"/>
      <family val="2"/>
    </font>
    <font>
      <sz val="10"/>
      <color theme="1"/>
      <name val="Arial"/>
      <family val="2"/>
      <scheme val="minor"/>
    </font>
    <font>
      <sz val="10"/>
      <color theme="1"/>
      <name val="Arial"/>
      <family val="2"/>
    </font>
    <font>
      <sz val="10"/>
      <color theme="0"/>
      <name val="Arial"/>
      <family val="2"/>
    </font>
    <font>
      <sz val="10"/>
      <color rgb="FF9C0006"/>
      <name val="Arial"/>
      <family val="2"/>
    </font>
    <font>
      <b/>
      <sz val="10"/>
      <color rgb="FFFA7D00"/>
      <name val="Arial"/>
      <family val="2"/>
    </font>
    <font>
      <b/>
      <sz val="10"/>
      <color theme="0"/>
      <name val="Arial"/>
      <family val="2"/>
    </font>
    <font>
      <i/>
      <sz val="10"/>
      <color rgb="FF7F7F7F"/>
      <name val="Arial"/>
      <family val="2"/>
    </font>
    <font>
      <u/>
      <sz val="10"/>
      <color theme="11"/>
      <name val="Arial"/>
      <family val="2"/>
      <scheme val="minor"/>
    </font>
    <font>
      <sz val="10"/>
      <color rgb="FF006100"/>
      <name val="Arial"/>
      <family val="2"/>
    </font>
    <font>
      <b/>
      <sz val="15"/>
      <color theme="3"/>
      <name val="Arial"/>
      <family val="2"/>
    </font>
    <font>
      <b/>
      <sz val="13"/>
      <color theme="3"/>
      <name val="Arial"/>
      <family val="2"/>
    </font>
    <font>
      <b/>
      <sz val="11"/>
      <color theme="3"/>
      <name val="Arial"/>
      <family val="2"/>
    </font>
    <font>
      <u/>
      <sz val="10"/>
      <color theme="10"/>
      <name val="Arial"/>
      <family val="2"/>
      <scheme val="minor"/>
    </font>
    <font>
      <sz val="10"/>
      <color rgb="FF3F3F76"/>
      <name val="Arial"/>
      <family val="2"/>
    </font>
    <font>
      <sz val="10"/>
      <color rgb="FFFA7D00"/>
      <name val="Arial"/>
      <family val="2"/>
    </font>
    <font>
      <sz val="10"/>
      <color rgb="FF9C6500"/>
      <name val="Arial"/>
      <family val="2"/>
    </font>
    <font>
      <b/>
      <sz val="10"/>
      <color rgb="FF3F3F3F"/>
      <name val="Arial"/>
      <family val="2"/>
    </font>
    <font>
      <b/>
      <sz val="18"/>
      <color theme="3"/>
      <name val="Arial"/>
      <family val="2"/>
      <scheme val="major"/>
    </font>
    <font>
      <b/>
      <sz val="10"/>
      <color theme="1"/>
      <name val="Arial"/>
      <family val="2"/>
    </font>
    <font>
      <sz val="10"/>
      <color rgb="FFFF0000"/>
      <name val="Arial"/>
      <family val="2"/>
    </font>
    <font>
      <sz val="11"/>
      <color theme="0"/>
      <name val="Arial"/>
      <family val="2"/>
      <scheme val="minor"/>
    </font>
    <font>
      <b/>
      <sz val="10"/>
      <color theme="1"/>
      <name val="Arial"/>
      <family val="2"/>
      <scheme val="minor"/>
    </font>
    <font>
      <u/>
      <sz val="12"/>
      <color theme="1"/>
      <name val="Arial"/>
      <family val="2"/>
      <scheme val="minor"/>
    </font>
    <font>
      <b/>
      <sz val="10"/>
      <color rgb="FFFF0000"/>
      <name val="Arial"/>
      <family val="2"/>
      <scheme val="minor"/>
    </font>
    <font>
      <b/>
      <sz val="10"/>
      <color theme="3" tint="-0.249977111117893"/>
      <name val="Arial"/>
      <family val="2"/>
    </font>
    <font>
      <sz val="8"/>
      <color theme="1"/>
      <name val="Arial"/>
      <family val="2"/>
    </font>
    <font>
      <sz val="12"/>
      <color theme="0"/>
      <name val="Arial"/>
      <family val="2"/>
      <scheme val="minor"/>
    </font>
    <font>
      <sz val="12"/>
      <color theme="1"/>
      <name val="Arial"/>
      <family val="2"/>
      <scheme val="minor"/>
    </font>
    <font>
      <sz val="10"/>
      <name val="Arial"/>
      <family val="2"/>
      <scheme val="minor"/>
    </font>
    <font>
      <sz val="10"/>
      <color rgb="FFFF0000"/>
      <name val="Arial"/>
      <family val="2"/>
      <scheme val="minor"/>
    </font>
    <font>
      <sz val="8"/>
      <color theme="1"/>
      <name val="Arial"/>
      <family val="2"/>
      <scheme val="minor"/>
    </font>
    <font>
      <sz val="10"/>
      <color rgb="FF000000"/>
      <name val="Arial"/>
      <family val="2"/>
      <scheme val="minor"/>
    </font>
    <font>
      <sz val="8"/>
      <color rgb="FFFF0000"/>
      <name val="Arial"/>
      <family val="2"/>
      <scheme val="minor"/>
    </font>
    <font>
      <b/>
      <sz val="12"/>
      <color theme="0"/>
      <name val="Arial"/>
      <family val="2"/>
      <scheme val="minor"/>
    </font>
    <font>
      <sz val="8"/>
      <color theme="0"/>
      <name val="Arial"/>
      <family val="2"/>
    </font>
    <font>
      <b/>
      <sz val="12"/>
      <color theme="0"/>
      <name val="Arial"/>
      <family val="2"/>
    </font>
    <font>
      <b/>
      <sz val="10"/>
      <color rgb="FFFF0000"/>
      <name val="Arial"/>
      <family val="2"/>
    </font>
    <font>
      <sz val="11"/>
      <color theme="6"/>
      <name val="Arial"/>
      <family val="2"/>
      <scheme val="minor"/>
    </font>
    <font>
      <b/>
      <sz val="18"/>
      <color theme="0"/>
      <name val="Arial"/>
      <family val="2"/>
      <scheme val="minor"/>
    </font>
    <font>
      <sz val="10"/>
      <color theme="0"/>
      <name val="Arial"/>
      <family val="2"/>
      <scheme val="minor"/>
    </font>
    <font>
      <b/>
      <sz val="10"/>
      <name val="Arial"/>
      <family val="2"/>
      <scheme val="minor"/>
    </font>
    <font>
      <u/>
      <sz val="12"/>
      <color theme="0"/>
      <name val="Arial"/>
      <family val="2"/>
      <scheme val="minor"/>
    </font>
    <font>
      <b/>
      <sz val="11"/>
      <color theme="0"/>
      <name val="Arial"/>
      <family val="2"/>
      <scheme val="minor"/>
    </font>
    <font>
      <b/>
      <sz val="12"/>
      <color theme="1"/>
      <name val="Arial"/>
      <family val="2"/>
      <scheme val="minor"/>
    </font>
    <font>
      <u/>
      <sz val="10"/>
      <color theme="1"/>
      <name val="Arial"/>
      <family val="2"/>
      <scheme val="minor"/>
    </font>
    <font>
      <b/>
      <sz val="10"/>
      <color theme="0"/>
      <name val="Arial"/>
      <family val="2"/>
      <scheme val="minor"/>
    </font>
    <font>
      <i/>
      <sz val="11"/>
      <color theme="1"/>
      <name val="Arial"/>
      <family val="2"/>
      <scheme val="minor"/>
    </font>
    <font>
      <sz val="11"/>
      <color rgb="FFFF0000"/>
      <name val="Arial"/>
      <family val="2"/>
      <scheme val="minor"/>
    </font>
    <font>
      <b/>
      <sz val="8"/>
      <color theme="1"/>
      <name val="Arial"/>
      <family val="2"/>
      <scheme val="minor"/>
    </font>
    <font>
      <b/>
      <sz val="11"/>
      <color theme="1"/>
      <name val="Arial"/>
      <family val="2"/>
      <scheme val="minor"/>
    </font>
    <font>
      <i/>
      <sz val="10"/>
      <color theme="1"/>
      <name val="Arial"/>
      <family val="2"/>
      <scheme val="minor"/>
    </font>
    <font>
      <sz val="8"/>
      <color theme="0" tint="-0.499984740745262"/>
      <name val="Arial"/>
      <family val="2"/>
      <scheme val="minor"/>
    </font>
    <font>
      <sz val="11"/>
      <color theme="8"/>
      <name val="Arial"/>
      <family val="2"/>
      <scheme val="minor"/>
    </font>
    <font>
      <sz val="10"/>
      <color theme="5"/>
      <name val="Arial"/>
      <family val="2"/>
    </font>
    <font>
      <b/>
      <sz val="18"/>
      <color theme="0"/>
      <name val="Arial"/>
      <family val="2"/>
    </font>
    <font>
      <sz val="8"/>
      <color rgb="FFFF0000"/>
      <name val="Arial"/>
      <family val="2"/>
    </font>
    <font>
      <b/>
      <sz val="12"/>
      <color theme="1"/>
      <name val="Arial"/>
      <family val="2"/>
    </font>
    <font>
      <sz val="12"/>
      <color theme="1"/>
      <name val="Arial"/>
      <family val="2"/>
    </font>
    <font>
      <b/>
      <sz val="11"/>
      <name val="Arial"/>
      <family val="2"/>
      <scheme val="minor"/>
    </font>
    <font>
      <b/>
      <sz val="16"/>
      <color theme="0"/>
      <name val="Arial"/>
      <family val="2"/>
      <scheme val="minor"/>
    </font>
    <font>
      <u/>
      <sz val="8"/>
      <color rgb="FFFF0000"/>
      <name val="Arial"/>
      <family val="2"/>
      <scheme val="minor"/>
    </font>
    <font>
      <b/>
      <sz val="11"/>
      <color theme="0" tint="-0.499984740745262"/>
      <name val="Arial"/>
      <family val="2"/>
      <scheme val="minor"/>
    </font>
    <font>
      <sz val="11"/>
      <color theme="7"/>
      <name val="Arial"/>
      <family val="2"/>
      <scheme val="minor"/>
    </font>
    <font>
      <sz val="11"/>
      <color theme="4"/>
      <name val="Arial"/>
      <family val="2"/>
      <scheme val="minor"/>
    </font>
    <font>
      <sz val="11"/>
      <color theme="1"/>
      <name val="Arial"/>
      <family val="2"/>
      <scheme val="minor"/>
    </font>
    <font>
      <b/>
      <sz val="8"/>
      <color theme="0"/>
      <name val="Arial"/>
      <family val="2"/>
    </font>
    <font>
      <sz val="10"/>
      <color rgb="FF00B0F0"/>
      <name val="Arial"/>
      <family val="2"/>
      <scheme val="minor"/>
    </font>
    <font>
      <sz val="8"/>
      <color theme="0"/>
      <name val="Arial"/>
      <family val="2"/>
      <scheme val="minor"/>
    </font>
    <font>
      <b/>
      <sz val="8"/>
      <color rgb="FFFF0000"/>
      <name val="Arial"/>
      <family val="2"/>
      <scheme val="minor"/>
    </font>
    <font>
      <b/>
      <sz val="8"/>
      <color rgb="FFFF0000"/>
      <name val="Arial"/>
      <family val="2"/>
    </font>
    <font>
      <b/>
      <sz val="9"/>
      <color theme="0"/>
      <name val="Arial"/>
      <family val="2"/>
    </font>
    <font>
      <sz val="9"/>
      <color theme="1"/>
      <name val="Arial"/>
      <family val="2"/>
      <scheme val="minor"/>
    </font>
  </fonts>
  <fills count="49">
    <fill>
      <patternFill patternType="none"/>
    </fill>
    <fill>
      <patternFill patternType="gray125"/>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6"/>
        <bgColor indexed="64"/>
      </patternFill>
    </fill>
    <fill>
      <patternFill patternType="solid">
        <fgColor theme="0"/>
        <bgColor indexed="64"/>
      </patternFill>
    </fill>
    <fill>
      <patternFill patternType="solid">
        <fgColor rgb="FFFFFF93"/>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0" tint="-0.249977111117893"/>
        <bgColor indexed="64"/>
      </patternFill>
    </fill>
    <fill>
      <patternFill patternType="solid">
        <fgColor theme="5"/>
        <bgColor indexed="64"/>
      </patternFill>
    </fill>
    <fill>
      <patternFill patternType="solid">
        <fgColor theme="0" tint="-0.14999847407452621"/>
        <bgColor indexed="64"/>
      </patternFill>
    </fill>
    <fill>
      <patternFill patternType="solid">
        <fgColor theme="8"/>
        <bgColor indexed="64"/>
      </patternFill>
    </fill>
    <fill>
      <patternFill patternType="lightUp">
        <bgColor theme="0" tint="-0.24994659260841701"/>
      </patternFill>
    </fill>
    <fill>
      <patternFill patternType="solid">
        <fgColor theme="9"/>
        <bgColor indexed="64"/>
      </patternFill>
    </fill>
    <fill>
      <patternFill patternType="solid">
        <fgColor theme="7"/>
        <bgColor indexed="64"/>
      </patternFill>
    </fill>
    <fill>
      <patternFill patternType="solid">
        <fgColor theme="4"/>
        <bgColor indexed="64"/>
      </patternFill>
    </fill>
    <fill>
      <patternFill patternType="solid">
        <fgColor theme="4" tint="0.39997558519241921"/>
        <bgColor indexed="64"/>
      </patternFill>
    </fill>
    <fill>
      <patternFill patternType="lightUp">
        <bgColor theme="0" tint="-0.249977111117893"/>
      </patternFill>
    </fill>
  </fills>
  <borders count="46">
    <border>
      <left/>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right/>
      <top style="thin">
        <color indexed="56"/>
      </top>
      <bottom style="thin">
        <color indexed="56"/>
      </bottom>
      <diagonal/>
    </border>
    <border>
      <left/>
      <right style="thin">
        <color indexed="64"/>
      </right>
      <top/>
      <bottom/>
      <diagonal/>
    </border>
    <border>
      <left/>
      <right/>
      <top style="thin">
        <color indexed="64"/>
      </top>
      <bottom style="thin">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style="medium">
        <color indexed="64"/>
      </right>
      <top style="thin">
        <color indexed="64"/>
      </top>
      <bottom/>
      <diagonal/>
    </border>
  </borders>
  <cellStyleXfs count="49">
    <xf numFmtId="0" fontId="0" fillId="0" borderId="0">
      <alignment vertical="center"/>
      <protection locked="0"/>
    </xf>
    <xf numFmtId="0" fontId="11" fillId="3" borderId="0" applyNumberFormat="0" applyBorder="0" applyAlignment="0" applyProtection="0">
      <protection locked="0"/>
    </xf>
    <xf numFmtId="0" fontId="11" fillId="4" borderId="0" applyNumberFormat="0" applyBorder="0" applyAlignment="0" applyProtection="0">
      <protection locked="0"/>
    </xf>
    <xf numFmtId="0" fontId="11" fillId="5" borderId="0" applyNumberFormat="0" applyBorder="0" applyAlignment="0" applyProtection="0">
      <protection locked="0"/>
    </xf>
    <xf numFmtId="0" fontId="11" fillId="6" borderId="0" applyNumberFormat="0" applyBorder="0" applyAlignment="0" applyProtection="0">
      <protection locked="0"/>
    </xf>
    <xf numFmtId="0" fontId="11" fillId="7" borderId="0" applyNumberFormat="0" applyBorder="0" applyAlignment="0" applyProtection="0">
      <protection locked="0"/>
    </xf>
    <xf numFmtId="0" fontId="11" fillId="8" borderId="0" applyNumberFormat="0" applyBorder="0" applyAlignment="0" applyProtection="0">
      <protection locked="0"/>
    </xf>
    <xf numFmtId="0" fontId="11" fillId="9" borderId="0" applyNumberFormat="0" applyBorder="0" applyAlignment="0" applyProtection="0">
      <protection locked="0"/>
    </xf>
    <xf numFmtId="0" fontId="11" fillId="10" borderId="0" applyNumberFormat="0" applyBorder="0" applyAlignment="0" applyProtection="0">
      <protection locked="0"/>
    </xf>
    <xf numFmtId="0" fontId="11" fillId="11" borderId="0" applyNumberFormat="0" applyBorder="0" applyAlignment="0" applyProtection="0">
      <protection locked="0"/>
    </xf>
    <xf numFmtId="0" fontId="11" fillId="12" borderId="0" applyNumberFormat="0" applyBorder="0" applyAlignment="0" applyProtection="0">
      <protection locked="0"/>
    </xf>
    <xf numFmtId="0" fontId="11" fillId="13" borderId="0" applyNumberFormat="0" applyBorder="0" applyAlignment="0" applyProtection="0">
      <protection locked="0"/>
    </xf>
    <xf numFmtId="0" fontId="11" fillId="14" borderId="0" applyNumberFormat="0" applyBorder="0" applyAlignment="0" applyProtection="0">
      <protection locked="0"/>
    </xf>
    <xf numFmtId="0" fontId="12" fillId="15" borderId="0" applyNumberFormat="0" applyBorder="0" applyAlignment="0" applyProtection="0">
      <protection locked="0"/>
    </xf>
    <xf numFmtId="0" fontId="12" fillId="16" borderId="0" applyNumberFormat="0" applyBorder="0" applyAlignment="0" applyProtection="0">
      <protection locked="0"/>
    </xf>
    <xf numFmtId="0" fontId="12" fillId="17" borderId="0" applyNumberFormat="0" applyBorder="0" applyAlignment="0" applyProtection="0">
      <protection locked="0"/>
    </xf>
    <xf numFmtId="0" fontId="12" fillId="18" borderId="0" applyNumberFormat="0" applyBorder="0" applyAlignment="0" applyProtection="0">
      <protection locked="0"/>
    </xf>
    <xf numFmtId="0" fontId="12" fillId="19" borderId="0" applyNumberFormat="0" applyBorder="0" applyAlignment="0" applyProtection="0">
      <protection locked="0"/>
    </xf>
    <xf numFmtId="0" fontId="12" fillId="20" borderId="0" applyNumberFormat="0" applyBorder="0" applyAlignment="0" applyProtection="0">
      <protection locked="0"/>
    </xf>
    <xf numFmtId="0" fontId="12" fillId="21" borderId="0" applyNumberFormat="0" applyBorder="0" applyAlignment="0" applyProtection="0">
      <protection locked="0"/>
    </xf>
    <xf numFmtId="0" fontId="12" fillId="22" borderId="0" applyNumberFormat="0" applyBorder="0" applyAlignment="0" applyProtection="0">
      <protection locked="0"/>
    </xf>
    <xf numFmtId="0" fontId="12" fillId="23" borderId="0" applyNumberFormat="0" applyBorder="0" applyAlignment="0" applyProtection="0">
      <protection locked="0"/>
    </xf>
    <xf numFmtId="0" fontId="12" fillId="24" borderId="0" applyNumberFormat="0" applyBorder="0" applyAlignment="0" applyProtection="0">
      <protection locked="0"/>
    </xf>
    <xf numFmtId="0" fontId="12" fillId="25" borderId="0" applyNumberFormat="0" applyBorder="0" applyAlignment="0" applyProtection="0">
      <protection locked="0"/>
    </xf>
    <xf numFmtId="0" fontId="12" fillId="26" borderId="0" applyNumberFormat="0" applyBorder="0" applyAlignment="0" applyProtection="0">
      <protection locked="0"/>
    </xf>
    <xf numFmtId="0" fontId="13" fillId="27" borderId="0" applyNumberFormat="0" applyBorder="0" applyAlignment="0" applyProtection="0">
      <protection locked="0"/>
    </xf>
    <xf numFmtId="0" fontId="14" fillId="28" borderId="14" applyNumberFormat="0" applyAlignment="0" applyProtection="0">
      <protection locked="0"/>
    </xf>
    <xf numFmtId="0" fontId="15" fillId="29" borderId="15" applyNumberFormat="0" applyAlignment="0" applyProtection="0">
      <protection locked="0"/>
    </xf>
    <xf numFmtId="169" fontId="10" fillId="0" borderId="0" applyFont="0" applyFill="0" applyBorder="0" applyAlignment="0" applyProtection="0">
      <protection locked="0"/>
    </xf>
    <xf numFmtId="167" fontId="10" fillId="0" borderId="0" applyFont="0" applyFill="0" applyBorder="0" applyAlignment="0" applyProtection="0">
      <protection locked="0"/>
    </xf>
    <xf numFmtId="168" fontId="10" fillId="0" borderId="0" applyFont="0" applyFill="0" applyBorder="0" applyAlignment="0" applyProtection="0">
      <protection locked="0"/>
    </xf>
    <xf numFmtId="166" fontId="10" fillId="0" borderId="0" applyFont="0" applyFill="0" applyBorder="0" applyAlignment="0" applyProtection="0">
      <protection locked="0"/>
    </xf>
    <xf numFmtId="0" fontId="16" fillId="0" borderId="0" applyNumberFormat="0" applyFill="0" applyBorder="0" applyAlignment="0" applyProtection="0">
      <protection locked="0"/>
    </xf>
    <xf numFmtId="0" fontId="17" fillId="0" borderId="0" applyNumberFormat="0" applyFill="0" applyBorder="0" applyAlignment="0" applyProtection="0">
      <alignment vertical="center"/>
      <protection locked="0"/>
    </xf>
    <xf numFmtId="0" fontId="18" fillId="30" borderId="0" applyNumberFormat="0" applyBorder="0" applyAlignment="0" applyProtection="0">
      <protection locked="0"/>
    </xf>
    <xf numFmtId="0" fontId="19" fillId="0" borderId="16" applyNumberFormat="0" applyFill="0" applyAlignment="0" applyProtection="0">
      <protection locked="0"/>
    </xf>
    <xf numFmtId="0" fontId="20" fillId="0" borderId="17" applyNumberFormat="0" applyFill="0" applyAlignment="0" applyProtection="0">
      <protection locked="0"/>
    </xf>
    <xf numFmtId="0" fontId="21" fillId="0" borderId="18" applyNumberFormat="0" applyFill="0" applyAlignment="0" applyProtection="0">
      <protection locked="0"/>
    </xf>
    <xf numFmtId="0" fontId="21" fillId="0" borderId="0" applyNumberFormat="0" applyFill="0" applyBorder="0" applyAlignment="0" applyProtection="0">
      <protection locked="0"/>
    </xf>
    <xf numFmtId="0" fontId="22" fillId="0" borderId="0" applyNumberFormat="0" applyFill="0" applyBorder="0" applyAlignment="0" applyProtection="0">
      <alignment vertical="center"/>
      <protection locked="0"/>
    </xf>
    <xf numFmtId="0" fontId="23" fillId="31" borderId="14" applyNumberFormat="0" applyAlignment="0" applyProtection="0">
      <protection locked="0"/>
    </xf>
    <xf numFmtId="0" fontId="24" fillId="0" borderId="19" applyNumberFormat="0" applyFill="0" applyAlignment="0" applyProtection="0">
      <protection locked="0"/>
    </xf>
    <xf numFmtId="0" fontId="25" fillId="32" borderId="0" applyNumberFormat="0" applyBorder="0" applyAlignment="0" applyProtection="0">
      <protection locked="0"/>
    </xf>
    <xf numFmtId="0" fontId="10" fillId="33" borderId="20" applyNumberFormat="0" applyFont="0" applyAlignment="0" applyProtection="0">
      <protection locked="0"/>
    </xf>
    <xf numFmtId="0" fontId="26" fillId="28" borderId="21" applyNumberFormat="0" applyAlignment="0" applyProtection="0">
      <protection locked="0"/>
    </xf>
    <xf numFmtId="9" fontId="10" fillId="0" borderId="0" applyFont="0" applyFill="0" applyBorder="0" applyAlignment="0" applyProtection="0">
      <protection locked="0"/>
    </xf>
    <xf numFmtId="0" fontId="27" fillId="0" borderId="0" applyNumberFormat="0" applyFill="0" applyBorder="0" applyAlignment="0" applyProtection="0">
      <protection locked="0"/>
    </xf>
    <xf numFmtId="0" fontId="28" fillId="0" borderId="22" applyNumberFormat="0" applyFill="0" applyAlignment="0" applyProtection="0">
      <protection locked="0"/>
    </xf>
    <xf numFmtId="0" fontId="29" fillId="0" borderId="0" applyNumberFormat="0" applyFill="0" applyBorder="0" applyAlignment="0" applyProtection="0">
      <protection locked="0"/>
    </xf>
  </cellStyleXfs>
  <cellXfs count="930">
    <xf numFmtId="0" fontId="0" fillId="0" borderId="0" xfId="0">
      <alignment vertical="center"/>
      <protection locked="0"/>
    </xf>
    <xf numFmtId="0" fontId="0" fillId="35" borderId="0" xfId="0" applyFont="1" applyFill="1">
      <alignment vertical="center"/>
      <protection locked="0"/>
    </xf>
    <xf numFmtId="0" fontId="0" fillId="35" borderId="0" xfId="0" applyFill="1">
      <alignment vertical="center"/>
      <protection locked="0"/>
    </xf>
    <xf numFmtId="0" fontId="0" fillId="35" borderId="0" xfId="0" applyFont="1" applyFill="1" applyAlignment="1">
      <alignment vertical="center"/>
      <protection locked="0"/>
    </xf>
    <xf numFmtId="0" fontId="0" fillId="35" borderId="1" xfId="0" applyFont="1" applyFill="1" applyBorder="1" applyAlignment="1">
      <alignment vertical="center" wrapText="1"/>
      <protection locked="0"/>
    </xf>
    <xf numFmtId="0" fontId="31" fillId="35" borderId="2" xfId="0" applyFont="1" applyFill="1" applyBorder="1" applyAlignment="1">
      <alignment vertical="center" wrapText="1"/>
      <protection locked="0"/>
    </xf>
    <xf numFmtId="0" fontId="31" fillId="35" borderId="3" xfId="0" applyFont="1" applyFill="1" applyBorder="1" applyAlignment="1">
      <alignment vertical="center" wrapText="1"/>
      <protection locked="0"/>
    </xf>
    <xf numFmtId="0" fontId="0" fillId="0" borderId="0" xfId="0" applyFont="1">
      <alignment vertical="center"/>
      <protection locked="0"/>
    </xf>
    <xf numFmtId="0" fontId="31" fillId="35" borderId="4" xfId="0" applyFont="1" applyFill="1" applyBorder="1" applyAlignment="1">
      <alignment horizontal="center" vertical="center" wrapText="1"/>
      <protection locked="0"/>
    </xf>
    <xf numFmtId="0" fontId="0" fillId="0" borderId="0" xfId="0" applyFont="1" applyFill="1" applyBorder="1">
      <alignment vertical="center"/>
      <protection locked="0"/>
    </xf>
    <xf numFmtId="0" fontId="31" fillId="35" borderId="0" xfId="0" applyFont="1" applyFill="1" applyBorder="1" applyAlignment="1">
      <alignment vertical="center" wrapText="1"/>
      <protection locked="0"/>
    </xf>
    <xf numFmtId="0" fontId="0" fillId="35" borderId="5" xfId="0" applyFont="1" applyFill="1" applyBorder="1" applyAlignment="1">
      <alignment horizontal="left" vertical="center" wrapText="1"/>
      <protection locked="0"/>
    </xf>
    <xf numFmtId="0" fontId="0" fillId="35" borderId="4" xfId="0" applyFont="1" applyFill="1" applyBorder="1" applyAlignment="1">
      <alignment vertical="center" wrapText="1"/>
      <protection locked="0"/>
    </xf>
    <xf numFmtId="0" fontId="0" fillId="35" borderId="2" xfId="0" applyFont="1" applyFill="1" applyBorder="1" applyAlignment="1">
      <alignment horizontal="left" vertical="center" wrapText="1"/>
      <protection locked="0"/>
    </xf>
    <xf numFmtId="0" fontId="9" fillId="36" borderId="4" xfId="0" applyNumberFormat="1" applyFont="1" applyFill="1" applyBorder="1" applyAlignment="1" applyProtection="1">
      <alignment horizontal="left" vertical="center" wrapText="1"/>
      <protection locked="0"/>
    </xf>
    <xf numFmtId="0" fontId="31" fillId="35" borderId="4" xfId="0" applyFont="1" applyFill="1" applyBorder="1" applyAlignment="1">
      <alignment vertical="center"/>
      <protection locked="0"/>
    </xf>
    <xf numFmtId="0" fontId="4" fillId="36" borderId="4" xfId="0" applyFont="1" applyFill="1" applyBorder="1" applyAlignment="1" applyProtection="1">
      <alignment horizontal="left" vertical="center" wrapText="1"/>
      <protection locked="0"/>
    </xf>
    <xf numFmtId="171" fontId="5" fillId="36" borderId="4" xfId="0" applyNumberFormat="1" applyFont="1" applyFill="1" applyBorder="1" applyAlignment="1" applyProtection="1">
      <alignment vertical="center" wrapText="1"/>
      <protection locked="0"/>
    </xf>
    <xf numFmtId="0" fontId="5" fillId="36" borderId="4" xfId="0" applyFont="1" applyFill="1" applyBorder="1" applyAlignment="1" applyProtection="1">
      <alignment horizontal="left" vertical="center" wrapText="1"/>
      <protection locked="0"/>
    </xf>
    <xf numFmtId="0" fontId="5" fillId="36" borderId="4" xfId="0" applyFont="1" applyFill="1" applyBorder="1" applyAlignment="1" applyProtection="1">
      <alignment vertical="center" wrapText="1"/>
      <protection locked="0"/>
    </xf>
    <xf numFmtId="172" fontId="5" fillId="36" borderId="4" xfId="0" applyNumberFormat="1" applyFont="1" applyFill="1" applyBorder="1" applyAlignment="1" applyProtection="1">
      <alignment vertical="center" wrapText="1"/>
      <protection locked="0"/>
    </xf>
    <xf numFmtId="171" fontId="5" fillId="36" borderId="4" xfId="0" applyNumberFormat="1" applyFont="1" applyFill="1" applyBorder="1" applyAlignment="1" applyProtection="1">
      <alignment horizontal="right" vertical="center" wrapText="1"/>
      <protection locked="0"/>
    </xf>
    <xf numFmtId="0" fontId="34" fillId="36" borderId="4" xfId="0" applyNumberFormat="1" applyFont="1" applyFill="1" applyBorder="1" applyAlignment="1" applyProtection="1">
      <alignment horizontal="left" vertical="center" wrapText="1"/>
      <protection locked="0"/>
    </xf>
    <xf numFmtId="0" fontId="6" fillId="36" borderId="4" xfId="0" applyFont="1" applyFill="1" applyBorder="1" applyAlignment="1" applyProtection="1">
      <alignment horizontal="left" vertical="center" wrapText="1"/>
      <protection locked="0"/>
    </xf>
    <xf numFmtId="0" fontId="31" fillId="0" borderId="3" xfId="39" applyNumberFormat="1" applyFont="1" applyFill="1" applyBorder="1" applyAlignment="1" applyProtection="1">
      <alignment vertical="center" wrapText="1"/>
    </xf>
    <xf numFmtId="0" fontId="36" fillId="37" borderId="0" xfId="0" applyFont="1" applyFill="1">
      <alignment vertical="center"/>
      <protection locked="0"/>
    </xf>
    <xf numFmtId="0" fontId="32" fillId="0" borderId="0" xfId="0" applyFont="1" applyFill="1">
      <alignment vertical="center"/>
      <protection locked="0"/>
    </xf>
    <xf numFmtId="0" fontId="5" fillId="38" borderId="4" xfId="0" applyNumberFormat="1" applyFont="1" applyFill="1" applyBorder="1" applyAlignment="1" applyProtection="1">
      <alignment horizontal="center" vertical="center" wrapText="1"/>
    </xf>
    <xf numFmtId="0" fontId="5" fillId="38" borderId="4" xfId="0" applyFont="1" applyFill="1" applyBorder="1" applyAlignment="1" applyProtection="1">
      <alignment horizontal="left" vertical="center" wrapText="1"/>
    </xf>
    <xf numFmtId="0" fontId="4" fillId="38" borderId="4" xfId="0" applyFont="1" applyFill="1" applyBorder="1" applyAlignment="1" applyProtection="1">
      <alignment horizontal="left" vertical="center" wrapText="1"/>
    </xf>
    <xf numFmtId="0" fontId="5" fillId="38" borderId="4" xfId="0" applyFont="1" applyFill="1" applyBorder="1" applyAlignment="1" applyProtection="1">
      <alignment horizontal="center" vertical="center" wrapText="1"/>
    </xf>
    <xf numFmtId="0" fontId="31" fillId="38" borderId="4" xfId="0" applyFont="1" applyFill="1" applyBorder="1" applyAlignment="1">
      <alignment horizontal="center" vertical="center"/>
      <protection locked="0"/>
    </xf>
    <xf numFmtId="171" fontId="10" fillId="38" borderId="4" xfId="33" applyNumberFormat="1" applyFont="1" applyFill="1" applyBorder="1" applyAlignment="1" applyProtection="1">
      <alignment vertical="center"/>
    </xf>
    <xf numFmtId="10" fontId="10" fillId="38" borderId="4" xfId="39" applyNumberFormat="1" applyFont="1" applyFill="1" applyBorder="1" applyAlignment="1" applyProtection="1">
      <alignment horizontal="right" vertical="center"/>
    </xf>
    <xf numFmtId="10" fontId="10" fillId="36" borderId="4" xfId="39" applyNumberFormat="1" applyFont="1" applyFill="1" applyBorder="1" applyAlignment="1" applyProtection="1">
      <alignment horizontal="right" vertical="center"/>
    </xf>
    <xf numFmtId="171" fontId="31" fillId="38" borderId="4" xfId="33" applyNumberFormat="1" applyFont="1" applyFill="1" applyBorder="1" applyAlignment="1" applyProtection="1">
      <alignment vertical="center"/>
    </xf>
    <xf numFmtId="0" fontId="31" fillId="0" borderId="0" xfId="0" applyFont="1" applyFill="1" applyBorder="1" applyAlignment="1">
      <alignment vertical="center" wrapText="1"/>
      <protection locked="0"/>
    </xf>
    <xf numFmtId="0" fontId="5" fillId="0" borderId="4" xfId="0" applyFont="1" applyBorder="1" applyAlignment="1">
      <alignment horizontal="center" vertical="center" wrapText="1"/>
      <protection locked="0"/>
    </xf>
    <xf numFmtId="171" fontId="10" fillId="38" borderId="4" xfId="33" applyNumberFormat="1" applyFont="1" applyFill="1" applyBorder="1" applyAlignment="1" applyProtection="1">
      <alignment horizontal="right" vertical="center"/>
    </xf>
    <xf numFmtId="171" fontId="31" fillId="38" borderId="4" xfId="33" applyNumberFormat="1" applyFont="1" applyFill="1" applyBorder="1" applyAlignment="1" applyProtection="1">
      <alignment horizontal="right" vertical="center"/>
    </xf>
    <xf numFmtId="171" fontId="31" fillId="38" borderId="4" xfId="33" applyNumberFormat="1" applyFont="1" applyFill="1" applyBorder="1" applyAlignment="1" applyProtection="1">
      <alignment vertical="center" wrapText="1"/>
    </xf>
    <xf numFmtId="165" fontId="31" fillId="38" borderId="4" xfId="0" applyNumberFormat="1" applyFont="1" applyFill="1" applyBorder="1" applyAlignment="1" applyProtection="1">
      <alignment vertical="center"/>
    </xf>
    <xf numFmtId="0" fontId="0" fillId="38" borderId="4" xfId="0" applyFont="1" applyFill="1" applyBorder="1" applyAlignment="1">
      <alignment vertical="center"/>
      <protection locked="0"/>
    </xf>
    <xf numFmtId="174" fontId="38" fillId="0" borderId="0" xfId="0" applyNumberFormat="1" applyFont="1" applyAlignment="1">
      <protection locked="0"/>
    </xf>
    <xf numFmtId="0" fontId="38" fillId="0" borderId="0" xfId="0" applyFont="1" applyAlignment="1">
      <protection locked="0"/>
    </xf>
    <xf numFmtId="10" fontId="39" fillId="39" borderId="4" xfId="39" applyNumberFormat="1" applyFont="1" applyFill="1" applyBorder="1" applyAlignment="1" applyProtection="1">
      <alignment horizontal="right" vertical="center" wrapText="1"/>
    </xf>
    <xf numFmtId="0" fontId="40" fillId="36" borderId="4" xfId="39" applyNumberFormat="1" applyFont="1" applyFill="1" applyBorder="1" applyAlignment="1" applyProtection="1">
      <alignment vertical="center"/>
    </xf>
    <xf numFmtId="171" fontId="0" fillId="36" borderId="4" xfId="0" applyNumberFormat="1" applyFont="1" applyFill="1" applyBorder="1" applyAlignment="1" applyProtection="1">
      <alignment vertical="center"/>
      <protection locked="0"/>
    </xf>
    <xf numFmtId="0" fontId="31" fillId="35" borderId="4" xfId="0" applyFont="1" applyFill="1" applyBorder="1" applyAlignment="1">
      <alignment horizontal="center" vertical="center" wrapText="1"/>
      <protection locked="0"/>
    </xf>
    <xf numFmtId="0" fontId="31" fillId="35" borderId="4" xfId="0" applyFont="1" applyFill="1" applyBorder="1" applyAlignment="1">
      <alignment horizontal="left" vertical="center" wrapText="1"/>
      <protection locked="0"/>
    </xf>
    <xf numFmtId="10" fontId="10" fillId="38" borderId="4" xfId="39" applyNumberFormat="1" applyFont="1" applyFill="1" applyBorder="1" applyAlignment="1" applyProtection="1">
      <alignment vertical="center" wrapText="1"/>
    </xf>
    <xf numFmtId="10" fontId="10" fillId="38" borderId="4" xfId="39" applyNumberFormat="1" applyFont="1" applyFill="1" applyBorder="1" applyAlignment="1" applyProtection="1">
      <alignment vertical="center"/>
    </xf>
    <xf numFmtId="0" fontId="6" fillId="0" borderId="4" xfId="0" applyFont="1" applyBorder="1" applyAlignment="1">
      <alignment horizontal="center" vertical="center"/>
      <protection locked="0"/>
    </xf>
    <xf numFmtId="10" fontId="10" fillId="36" borderId="4" xfId="39" applyNumberFormat="1" applyFont="1" applyFill="1" applyBorder="1" applyAlignment="1" applyProtection="1">
      <alignment vertical="center" wrapText="1"/>
    </xf>
    <xf numFmtId="10" fontId="41" fillId="36" borderId="4" xfId="39" applyNumberFormat="1" applyFont="1" applyFill="1" applyBorder="1" applyAlignment="1" applyProtection="1">
      <alignment vertical="center"/>
      <protection locked="0"/>
    </xf>
    <xf numFmtId="10" fontId="10" fillId="36" borderId="4" xfId="39" applyNumberFormat="1" applyFont="1" applyFill="1" applyBorder="1" applyAlignment="1" applyProtection="1">
      <alignment horizontal="right" vertical="center"/>
      <protection locked="0"/>
    </xf>
    <xf numFmtId="10" fontId="10" fillId="36" borderId="4" xfId="39" applyNumberFormat="1" applyFont="1" applyFill="1" applyBorder="1" applyAlignment="1" applyProtection="1">
      <alignment vertical="center"/>
    </xf>
    <xf numFmtId="172" fontId="0" fillId="36" borderId="4" xfId="0" applyNumberFormat="1" applyFont="1" applyFill="1" applyBorder="1" applyAlignment="1">
      <alignment vertical="center"/>
      <protection locked="0"/>
    </xf>
    <xf numFmtId="0" fontId="42" fillId="35" borderId="4" xfId="0" applyFont="1" applyFill="1" applyBorder="1" applyAlignment="1">
      <alignment horizontal="center" vertical="center"/>
      <protection locked="0"/>
    </xf>
    <xf numFmtId="0" fontId="31" fillId="35" borderId="2" xfId="0" applyFont="1" applyFill="1" applyBorder="1" applyAlignment="1" applyProtection="1">
      <alignment vertical="center" wrapText="1"/>
    </xf>
    <xf numFmtId="0" fontId="0" fillId="35" borderId="4" xfId="0" applyFont="1" applyFill="1" applyBorder="1" applyAlignment="1" applyProtection="1">
      <alignment vertical="center" wrapText="1"/>
    </xf>
    <xf numFmtId="0" fontId="39" fillId="35" borderId="4" xfId="0" applyFont="1" applyFill="1" applyBorder="1" applyAlignment="1" applyProtection="1">
      <alignment horizontal="center" vertical="center"/>
    </xf>
    <xf numFmtId="0" fontId="31" fillId="35" borderId="2" xfId="0" applyFont="1" applyFill="1" applyBorder="1" applyAlignment="1" applyProtection="1">
      <alignment vertical="center"/>
    </xf>
    <xf numFmtId="171" fontId="0" fillId="38" borderId="4" xfId="0" applyNumberFormat="1" applyFont="1" applyFill="1" applyBorder="1" applyAlignment="1" applyProtection="1">
      <alignment vertical="center"/>
    </xf>
    <xf numFmtId="0" fontId="31" fillId="38" borderId="9" xfId="0" applyFont="1" applyFill="1" applyBorder="1" applyAlignment="1" applyProtection="1">
      <alignment horizontal="center" vertical="center"/>
    </xf>
    <xf numFmtId="0" fontId="0" fillId="35" borderId="5" xfId="0" applyFont="1" applyFill="1" applyBorder="1" applyAlignment="1" applyProtection="1">
      <alignment horizontal="left" vertical="center" wrapText="1"/>
    </xf>
    <xf numFmtId="0" fontId="31" fillId="35" borderId="4" xfId="0" applyFont="1" applyFill="1" applyBorder="1" applyAlignment="1" applyProtection="1">
      <alignment vertical="center"/>
    </xf>
    <xf numFmtId="0" fontId="31" fillId="35" borderId="4" xfId="0" applyFont="1" applyFill="1" applyBorder="1" applyAlignment="1" applyProtection="1">
      <alignment horizontal="center" vertical="center" wrapText="1"/>
    </xf>
    <xf numFmtId="0" fontId="0" fillId="38" borderId="4" xfId="0" applyFont="1" applyFill="1" applyBorder="1" applyAlignment="1" applyProtection="1">
      <alignment horizontal="center" vertical="center"/>
    </xf>
    <xf numFmtId="0" fontId="31" fillId="41" borderId="4" xfId="0" applyFont="1" applyFill="1" applyBorder="1" applyAlignment="1" applyProtection="1">
      <alignment horizontal="center" vertical="center"/>
    </xf>
    <xf numFmtId="0" fontId="11" fillId="0" borderId="0" xfId="0" applyFont="1" applyFill="1" applyBorder="1" applyAlignment="1" applyProtection="1">
      <alignment vertical="center"/>
    </xf>
    <xf numFmtId="0" fontId="42" fillId="35" borderId="4" xfId="0" applyFont="1" applyFill="1" applyBorder="1" applyAlignment="1" applyProtection="1">
      <alignment vertical="center"/>
    </xf>
    <xf numFmtId="0" fontId="6" fillId="41" borderId="4" xfId="0" applyFont="1" applyFill="1" applyBorder="1" applyAlignment="1">
      <alignment vertical="center" wrapText="1"/>
      <protection locked="0"/>
    </xf>
    <xf numFmtId="0" fontId="29" fillId="0" borderId="4" xfId="0" applyFont="1" applyFill="1" applyBorder="1" applyAlignment="1" applyProtection="1">
      <alignment horizontal="center" vertical="top"/>
    </xf>
    <xf numFmtId="0" fontId="42" fillId="35" borderId="4" xfId="0" applyFont="1" applyFill="1" applyBorder="1" applyAlignment="1" applyProtection="1">
      <alignment horizontal="left" vertical="center"/>
    </xf>
    <xf numFmtId="0" fontId="0" fillId="0" borderId="0" xfId="0" applyFont="1" applyFill="1" applyAlignment="1">
      <alignment vertical="center"/>
      <protection locked="0"/>
    </xf>
    <xf numFmtId="0" fontId="29" fillId="0" borderId="4" xfId="0" applyFont="1" applyFill="1" applyBorder="1" applyAlignment="1" applyProtection="1">
      <alignment horizontal="center" vertical="center"/>
    </xf>
    <xf numFmtId="0" fontId="5" fillId="36" borderId="4" xfId="0" applyNumberFormat="1" applyFont="1" applyFill="1" applyBorder="1" applyAlignment="1" applyProtection="1">
      <alignment horizontal="center" vertical="center" wrapText="1"/>
      <protection locked="0"/>
    </xf>
    <xf numFmtId="1" fontId="31" fillId="38" borderId="4" xfId="0" applyNumberFormat="1" applyFont="1" applyFill="1" applyBorder="1" applyAlignment="1" applyProtection="1">
      <alignment horizontal="center" vertical="center"/>
    </xf>
    <xf numFmtId="0" fontId="43" fillId="37" borderId="0" xfId="0" applyFont="1" applyFill="1" applyAlignment="1" applyProtection="1">
      <alignment vertical="center"/>
    </xf>
    <xf numFmtId="0" fontId="5" fillId="0" borderId="0" xfId="0" applyFont="1" applyFill="1" applyBorder="1" applyAlignment="1" applyProtection="1">
      <alignment horizontal="center" vertical="center"/>
    </xf>
    <xf numFmtId="0" fontId="31" fillId="38" borderId="4" xfId="0" applyFont="1" applyFill="1" applyBorder="1" applyAlignment="1" applyProtection="1">
      <alignment horizontal="center" vertical="center"/>
    </xf>
    <xf numFmtId="0" fontId="31" fillId="35" borderId="4" xfId="0" applyFont="1" applyFill="1" applyBorder="1" applyAlignment="1">
      <alignment horizontal="center" vertical="center" wrapText="1"/>
      <protection locked="0"/>
    </xf>
    <xf numFmtId="0" fontId="31" fillId="35" borderId="4" xfId="0" applyFont="1" applyFill="1" applyBorder="1" applyAlignment="1">
      <alignment horizontal="center" vertical="center"/>
      <protection locked="0"/>
    </xf>
    <xf numFmtId="0" fontId="31" fillId="35" borderId="2" xfId="0" applyFont="1" applyFill="1" applyBorder="1" applyAlignment="1">
      <alignment vertical="center"/>
      <protection locked="0"/>
    </xf>
    <xf numFmtId="0" fontId="40" fillId="38" borderId="2" xfId="0" applyFont="1" applyFill="1" applyBorder="1" applyAlignment="1" applyProtection="1">
      <alignment vertical="center"/>
    </xf>
    <xf numFmtId="0" fontId="31" fillId="35" borderId="2" xfId="0" applyFont="1" applyFill="1" applyBorder="1" applyAlignment="1">
      <alignment horizontal="left" vertical="center" wrapText="1"/>
      <protection locked="0"/>
    </xf>
    <xf numFmtId="0" fontId="40" fillId="36" borderId="4" xfId="0" applyFont="1" applyFill="1" applyBorder="1" applyAlignment="1">
      <alignment vertical="center" wrapText="1"/>
      <protection locked="0"/>
    </xf>
    <xf numFmtId="0" fontId="40" fillId="38" borderId="4" xfId="0" applyFont="1" applyFill="1" applyBorder="1" applyAlignment="1" applyProtection="1">
      <alignment vertical="center"/>
    </xf>
    <xf numFmtId="0" fontId="0" fillId="35" borderId="4" xfId="0" applyFont="1" applyFill="1" applyBorder="1" applyAlignment="1">
      <alignment vertical="center"/>
      <protection locked="0"/>
    </xf>
    <xf numFmtId="0" fontId="0" fillId="35" borderId="4" xfId="0" applyFont="1" applyFill="1" applyBorder="1" applyAlignment="1" applyProtection="1">
      <alignment vertical="center"/>
    </xf>
    <xf numFmtId="0" fontId="44" fillId="40" borderId="0" xfId="0" applyFont="1" applyFill="1" applyAlignment="1" applyProtection="1">
      <alignment horizontal="center" vertical="center"/>
    </xf>
    <xf numFmtId="0" fontId="5" fillId="0" borderId="4" xfId="0" applyFont="1" applyFill="1" applyBorder="1" applyAlignment="1" applyProtection="1">
      <alignment vertical="center" wrapText="1"/>
    </xf>
    <xf numFmtId="0" fontId="6" fillId="0" borderId="0" xfId="0" applyFont="1" applyFill="1" applyBorder="1" applyAlignment="1" applyProtection="1">
      <alignment vertical="center"/>
    </xf>
    <xf numFmtId="0" fontId="6" fillId="0" borderId="8" xfId="0" applyFont="1" applyFill="1" applyBorder="1" applyAlignment="1" applyProtection="1">
      <alignment horizontal="center" vertical="center"/>
    </xf>
    <xf numFmtId="0" fontId="5" fillId="0" borderId="4" xfId="0" applyFont="1" applyFill="1" applyBorder="1" applyAlignment="1" applyProtection="1">
      <alignment horizontal="left" vertical="center" wrapText="1"/>
    </xf>
    <xf numFmtId="0" fontId="45" fillId="37" borderId="0" xfId="0" applyFont="1" applyFill="1" applyAlignment="1" applyProtection="1">
      <alignment vertical="center"/>
    </xf>
    <xf numFmtId="0" fontId="11" fillId="0" borderId="4" xfId="0" applyFont="1" applyFill="1" applyBorder="1" applyAlignment="1" applyProtection="1">
      <alignment vertical="center" wrapText="1"/>
    </xf>
    <xf numFmtId="0" fontId="5" fillId="0" borderId="0" xfId="0" applyFont="1" applyFill="1" applyBorder="1" applyAlignment="1" applyProtection="1">
      <alignment vertical="center"/>
    </xf>
    <xf numFmtId="0" fontId="29" fillId="0" borderId="0" xfId="0" applyFont="1" applyFill="1" applyBorder="1" applyAlignment="1" applyProtection="1">
      <alignment vertical="center"/>
    </xf>
    <xf numFmtId="0" fontId="11" fillId="2" borderId="0" xfId="0" applyFont="1" applyFill="1" applyAlignment="1" applyProtection="1">
      <alignment vertical="center"/>
    </xf>
    <xf numFmtId="0" fontId="11" fillId="35" borderId="0" xfId="0" applyFont="1" applyFill="1" applyAlignment="1" applyProtection="1">
      <alignment vertical="center"/>
    </xf>
    <xf numFmtId="0" fontId="5" fillId="0" borderId="0" xfId="0" applyFont="1" applyFill="1" applyBorder="1" applyAlignment="1" applyProtection="1">
      <alignment vertical="center" wrapText="1"/>
    </xf>
    <xf numFmtId="0" fontId="11" fillId="0" borderId="0" xfId="0" applyFont="1" applyFill="1" applyAlignment="1" applyProtection="1">
      <alignment vertical="center"/>
    </xf>
    <xf numFmtId="0" fontId="12" fillId="37" borderId="0" xfId="0" applyFont="1" applyFill="1" applyAlignment="1" applyProtection="1">
      <alignment vertical="center"/>
    </xf>
    <xf numFmtId="0" fontId="11" fillId="0" borderId="0" xfId="0" applyFont="1" applyAlignment="1" applyProtection="1">
      <alignment vertical="center"/>
    </xf>
    <xf numFmtId="0" fontId="29" fillId="36" borderId="4" xfId="0" applyFont="1" applyFill="1" applyBorder="1" applyAlignment="1" applyProtection="1">
      <alignment vertical="center"/>
      <protection locked="0"/>
    </xf>
    <xf numFmtId="0" fontId="47" fillId="34" borderId="0" xfId="0" applyFont="1" applyFill="1" applyAlignment="1" applyProtection="1">
      <alignment vertical="center"/>
    </xf>
    <xf numFmtId="0" fontId="48" fillId="34" borderId="0" xfId="0" applyFont="1" applyFill="1" applyAlignment="1" applyProtection="1">
      <alignment vertical="center"/>
    </xf>
    <xf numFmtId="0" fontId="30" fillId="34" borderId="0" xfId="0" applyFont="1" applyFill="1" applyAlignment="1" applyProtection="1">
      <alignment vertical="center"/>
    </xf>
    <xf numFmtId="0" fontId="43" fillId="34" borderId="0" xfId="0" applyFont="1" applyFill="1" applyAlignment="1" applyProtection="1">
      <alignment horizontal="left" vertical="center"/>
    </xf>
    <xf numFmtId="0" fontId="0" fillId="34" borderId="0" xfId="0" applyFill="1" applyAlignment="1" applyProtection="1">
      <alignment vertical="center"/>
    </xf>
    <xf numFmtId="0" fontId="36" fillId="37" borderId="0" xfId="0" applyFont="1" applyFill="1" applyAlignment="1" applyProtection="1">
      <alignment vertical="center"/>
    </xf>
    <xf numFmtId="0" fontId="0" fillId="0" borderId="0" xfId="0" applyFill="1" applyAlignment="1" applyProtection="1">
      <alignment vertical="center"/>
    </xf>
    <xf numFmtId="0" fontId="49" fillId="37" borderId="0" xfId="0" applyFont="1" applyFill="1" applyAlignment="1" applyProtection="1">
      <alignment vertical="center"/>
    </xf>
    <xf numFmtId="0" fontId="30" fillId="37" borderId="0" xfId="0" applyFont="1" applyFill="1" applyAlignment="1" applyProtection="1">
      <alignment vertical="center"/>
    </xf>
    <xf numFmtId="0" fontId="48" fillId="34" borderId="0" xfId="0" applyFont="1" applyFill="1" applyAlignment="1">
      <alignment vertical="center"/>
      <protection locked="0"/>
    </xf>
    <xf numFmtId="0" fontId="30" fillId="34" borderId="0" xfId="0" applyFont="1" applyFill="1" applyAlignment="1">
      <alignment vertical="center"/>
      <protection locked="0"/>
    </xf>
    <xf numFmtId="0" fontId="0" fillId="34" borderId="0" xfId="0" applyFill="1" applyAlignment="1">
      <alignment vertical="center"/>
      <protection locked="0"/>
    </xf>
    <xf numFmtId="0" fontId="48" fillId="34" borderId="0" xfId="0" applyFont="1" applyFill="1" applyAlignment="1" applyProtection="1">
      <alignment horizontal="center" vertical="center"/>
    </xf>
    <xf numFmtId="0" fontId="0" fillId="35" borderId="0" xfId="0" applyFill="1" applyAlignment="1">
      <alignment vertical="center"/>
      <protection locked="0"/>
    </xf>
    <xf numFmtId="0" fontId="0" fillId="0" borderId="0" xfId="0" applyAlignment="1">
      <alignment vertical="center"/>
      <protection locked="0"/>
    </xf>
    <xf numFmtId="0" fontId="37" fillId="0" borderId="0" xfId="0" applyFont="1" applyFill="1" applyAlignment="1">
      <alignment vertical="center"/>
      <protection locked="0"/>
    </xf>
    <xf numFmtId="0" fontId="43" fillId="37" borderId="0" xfId="0" applyFont="1" applyFill="1" applyAlignment="1">
      <alignment vertical="center"/>
      <protection locked="0"/>
    </xf>
    <xf numFmtId="0" fontId="36" fillId="37" borderId="0" xfId="0" applyFont="1" applyFill="1" applyAlignment="1">
      <alignment vertical="center"/>
      <protection locked="0"/>
    </xf>
    <xf numFmtId="0" fontId="0" fillId="0" borderId="0" xfId="0" applyFill="1" applyAlignment="1">
      <alignment vertical="center"/>
      <protection locked="0"/>
    </xf>
    <xf numFmtId="0" fontId="49" fillId="37" borderId="0" xfId="0" applyFont="1" applyFill="1" applyAlignment="1">
      <alignment vertical="center"/>
      <protection locked="0"/>
    </xf>
    <xf numFmtId="0" fontId="30" fillId="37" borderId="0" xfId="0" applyFont="1" applyFill="1" applyAlignment="1">
      <alignment vertical="center"/>
      <protection locked="0"/>
    </xf>
    <xf numFmtId="0" fontId="0" fillId="0" borderId="0" xfId="0" applyFont="1" applyAlignment="1">
      <alignment vertical="center"/>
      <protection locked="0"/>
    </xf>
    <xf numFmtId="0" fontId="54" fillId="0" borderId="0" xfId="0" applyFont="1" applyFill="1" applyAlignment="1">
      <alignment vertical="center"/>
      <protection locked="0"/>
    </xf>
    <xf numFmtId="171" fontId="0" fillId="39" borderId="4" xfId="0" applyNumberFormat="1" applyFont="1" applyFill="1" applyBorder="1" applyAlignment="1" applyProtection="1">
      <alignment vertical="center"/>
    </xf>
    <xf numFmtId="0" fontId="32" fillId="0" borderId="0" xfId="0" applyFont="1" applyFill="1" applyAlignment="1">
      <alignment vertical="center"/>
      <protection locked="0"/>
    </xf>
    <xf numFmtId="0" fontId="51" fillId="37" borderId="0" xfId="0" applyFont="1" applyFill="1" applyAlignment="1">
      <alignment vertical="center"/>
      <protection locked="0"/>
    </xf>
    <xf numFmtId="0" fontId="52" fillId="37" borderId="0" xfId="0" applyFont="1" applyFill="1" applyAlignment="1">
      <alignment horizontal="right" vertical="center"/>
      <protection locked="0"/>
    </xf>
    <xf numFmtId="0" fontId="43" fillId="37" borderId="0" xfId="0" applyFont="1" applyFill="1" applyAlignment="1">
      <alignment horizontal="right" vertical="center"/>
      <protection locked="0"/>
    </xf>
    <xf numFmtId="0" fontId="39" fillId="0" borderId="0" xfId="0" applyFont="1" applyAlignment="1">
      <alignment vertical="center"/>
      <protection locked="0"/>
    </xf>
    <xf numFmtId="171" fontId="41" fillId="38" borderId="4" xfId="33" applyNumberFormat="1" applyFont="1" applyFill="1" applyBorder="1" applyAlignment="1" applyProtection="1">
      <alignment vertical="center"/>
    </xf>
    <xf numFmtId="0" fontId="40" fillId="0" borderId="0" xfId="0" applyFont="1" applyAlignment="1">
      <alignment vertical="center"/>
      <protection locked="0"/>
    </xf>
    <xf numFmtId="0" fontId="55" fillId="37" borderId="0" xfId="0" applyFont="1" applyFill="1" applyAlignment="1">
      <alignment vertical="center"/>
      <protection locked="0"/>
    </xf>
    <xf numFmtId="0" fontId="52" fillId="37" borderId="0" xfId="0" applyFont="1" applyFill="1" applyAlignment="1">
      <alignment vertical="center"/>
      <protection locked="0"/>
    </xf>
    <xf numFmtId="0" fontId="38" fillId="35" borderId="0" xfId="0" applyFont="1" applyFill="1" applyAlignment="1">
      <alignment vertical="center"/>
      <protection locked="0"/>
    </xf>
    <xf numFmtId="0" fontId="39" fillId="35" borderId="4" xfId="0" applyFont="1" applyFill="1" applyBorder="1" applyAlignment="1">
      <alignment horizontal="center" vertical="center"/>
      <protection locked="0"/>
    </xf>
    <xf numFmtId="0" fontId="30" fillId="37" borderId="0" xfId="0" applyFont="1" applyFill="1" applyAlignment="1">
      <alignment vertical="center" wrapText="1"/>
      <protection locked="0"/>
    </xf>
    <xf numFmtId="171" fontId="0" fillId="0" borderId="0" xfId="0" applyNumberFormat="1" applyAlignment="1">
      <alignment vertical="center"/>
      <protection locked="0"/>
    </xf>
    <xf numFmtId="9" fontId="10" fillId="0" borderId="0" xfId="39" applyNumberFormat="1" applyFont="1" applyFill="1" applyBorder="1" applyAlignment="1" applyProtection="1">
      <alignment vertical="center"/>
    </xf>
    <xf numFmtId="9" fontId="10" fillId="0" borderId="0" xfId="39" applyNumberFormat="1" applyFont="1" applyFill="1" applyBorder="1" applyAlignment="1" applyProtection="1">
      <alignment vertical="center"/>
    </xf>
    <xf numFmtId="0" fontId="0" fillId="35" borderId="0" xfId="0" applyFont="1" applyFill="1" applyAlignment="1">
      <alignment vertical="center"/>
      <protection locked="0"/>
    </xf>
    <xf numFmtId="0" fontId="52" fillId="37" borderId="0" xfId="0" applyFont="1" applyFill="1" applyAlignment="1" applyProtection="1">
      <alignment vertical="center"/>
    </xf>
    <xf numFmtId="0" fontId="40" fillId="35" borderId="0" xfId="0" applyFont="1" applyFill="1" applyAlignment="1">
      <alignment vertical="center"/>
      <protection locked="0"/>
    </xf>
    <xf numFmtId="0" fontId="36" fillId="37" borderId="0" xfId="0" applyFont="1" applyFill="1" applyAlignment="1">
      <alignment vertical="center" wrapText="1"/>
      <protection locked="0"/>
    </xf>
    <xf numFmtId="0" fontId="59" fillId="35" borderId="0" xfId="0" applyFont="1" applyFill="1" applyAlignment="1">
      <alignment vertical="center"/>
      <protection locked="0"/>
    </xf>
    <xf numFmtId="171" fontId="0" fillId="36" borderId="4" xfId="0" applyNumberFormat="1" applyFont="1" applyFill="1" applyBorder="1" applyAlignment="1">
      <alignment vertical="center"/>
      <protection locked="0"/>
    </xf>
    <xf numFmtId="10" fontId="10" fillId="36" borderId="4" xfId="39" applyNumberFormat="1" applyFont="1" applyFill="1" applyBorder="1" applyAlignment="1" applyProtection="1">
      <alignment vertical="center"/>
      <protection locked="0"/>
    </xf>
    <xf numFmtId="2" fontId="10" fillId="36" borderId="4" xfId="33" applyNumberFormat="1" applyFont="1" applyFill="1" applyBorder="1" applyAlignment="1" applyProtection="1">
      <alignment vertical="center"/>
    </xf>
    <xf numFmtId="2" fontId="10" fillId="38" borderId="4" xfId="33" applyNumberFormat="1" applyFont="1" applyFill="1" applyBorder="1" applyAlignment="1" applyProtection="1">
      <alignment vertical="center"/>
    </xf>
    <xf numFmtId="0" fontId="30" fillId="0" borderId="0" xfId="0" applyFont="1" applyFill="1" applyAlignment="1">
      <alignment vertical="center"/>
      <protection locked="0"/>
    </xf>
    <xf numFmtId="0" fontId="49" fillId="37" borderId="0" xfId="0" applyFont="1" applyFill="1" applyAlignment="1">
      <alignment vertical="center" wrapText="1"/>
      <protection locked="0"/>
    </xf>
    <xf numFmtId="0" fontId="0" fillId="36" borderId="4" xfId="0" applyFont="1" applyFill="1" applyBorder="1" applyAlignment="1">
      <alignment horizontal="center" vertical="center" wrapText="1"/>
      <protection locked="0"/>
    </xf>
    <xf numFmtId="0" fontId="0" fillId="38" borderId="4" xfId="0" applyFont="1" applyFill="1" applyBorder="1" applyAlignment="1">
      <alignment vertical="center" wrapText="1"/>
      <protection locked="0"/>
    </xf>
    <xf numFmtId="0" fontId="46" fillId="41" borderId="4" xfId="0" applyFont="1" applyFill="1" applyBorder="1" applyAlignment="1" applyProtection="1">
      <alignment horizontal="center" vertical="center"/>
    </xf>
    <xf numFmtId="176" fontId="29" fillId="0" borderId="4" xfId="0" applyNumberFormat="1" applyFont="1" applyFill="1" applyBorder="1" applyAlignment="1">
      <alignment vertical="center"/>
      <protection locked="0"/>
    </xf>
    <xf numFmtId="0" fontId="29" fillId="38" borderId="4" xfId="0" applyNumberFormat="1" applyFont="1" applyFill="1" applyBorder="1" applyAlignment="1" applyProtection="1">
      <alignment horizontal="center" vertical="center"/>
    </xf>
    <xf numFmtId="0" fontId="0" fillId="0" borderId="0" xfId="0" applyFont="1" applyFill="1" applyAlignment="1">
      <alignment vertical="center"/>
      <protection locked="0"/>
    </xf>
    <xf numFmtId="0" fontId="0" fillId="35" borderId="2" xfId="0" applyFont="1" applyFill="1" applyBorder="1" applyAlignment="1">
      <alignment vertical="center"/>
      <protection locked="0"/>
    </xf>
    <xf numFmtId="171" fontId="38" fillId="38" borderId="4" xfId="33" applyNumberFormat="1" applyFont="1" applyFill="1" applyBorder="1" applyAlignment="1" applyProtection="1">
      <alignment vertical="center" wrapText="1"/>
    </xf>
    <xf numFmtId="0" fontId="0" fillId="35" borderId="3" xfId="0" applyFont="1" applyFill="1" applyBorder="1" applyAlignment="1">
      <alignment vertical="center"/>
      <protection locked="0"/>
    </xf>
    <xf numFmtId="171" fontId="50" fillId="38" borderId="4" xfId="33" applyNumberFormat="1" applyFont="1" applyFill="1" applyBorder="1" applyAlignment="1" applyProtection="1">
      <alignment vertical="center" wrapText="1"/>
    </xf>
    <xf numFmtId="0" fontId="31" fillId="35" borderId="3" xfId="0" applyFont="1" applyFill="1" applyBorder="1" applyAlignment="1">
      <alignment vertical="center"/>
      <protection locked="0"/>
    </xf>
    <xf numFmtId="0" fontId="38" fillId="35" borderId="0" xfId="0" applyFont="1" applyFill="1" applyBorder="1" applyAlignment="1">
      <alignment horizontal="center" vertical="center" wrapText="1"/>
      <protection locked="0"/>
    </xf>
    <xf numFmtId="0" fontId="0" fillId="38" borderId="4" xfId="0" applyFont="1" applyFill="1" applyBorder="1" applyAlignment="1" applyProtection="1">
      <alignment horizontal="center" vertical="center" wrapText="1"/>
    </xf>
    <xf numFmtId="0" fontId="0" fillId="38" borderId="2" xfId="0" applyFont="1" applyFill="1" applyBorder="1" applyAlignment="1">
      <alignment vertical="center" wrapText="1"/>
      <protection locked="0"/>
    </xf>
    <xf numFmtId="171" fontId="10" fillId="38" borderId="4" xfId="33" applyNumberFormat="1" applyFont="1" applyFill="1" applyBorder="1" applyAlignment="1" applyProtection="1">
      <alignment vertical="center" wrapText="1"/>
    </xf>
    <xf numFmtId="0" fontId="0" fillId="0" borderId="0" xfId="0" applyFont="1" applyBorder="1" applyAlignment="1">
      <alignment vertical="center"/>
      <protection locked="0"/>
    </xf>
    <xf numFmtId="0" fontId="60" fillId="35" borderId="0" xfId="0" applyFont="1" applyFill="1" applyAlignment="1">
      <alignment vertical="center"/>
      <protection locked="0"/>
    </xf>
    <xf numFmtId="171" fontId="0" fillId="35" borderId="4" xfId="0" applyNumberFormat="1" applyFont="1" applyFill="1" applyBorder="1" applyAlignment="1" applyProtection="1">
      <alignment vertical="center"/>
    </xf>
    <xf numFmtId="0" fontId="61" fillId="37" borderId="0" xfId="0" applyFont="1" applyFill="1" applyAlignment="1">
      <alignment vertical="center"/>
      <protection locked="0"/>
    </xf>
    <xf numFmtId="171" fontId="49" fillId="0" borderId="0" xfId="0" applyNumberFormat="1" applyFont="1" applyFill="1" applyBorder="1" applyAlignment="1" applyProtection="1">
      <alignment vertical="center"/>
    </xf>
    <xf numFmtId="0" fontId="31" fillId="38" borderId="4" xfId="0" applyFont="1" applyFill="1" applyBorder="1" applyAlignment="1">
      <alignment vertical="center"/>
      <protection locked="0"/>
    </xf>
    <xf numFmtId="0" fontId="6" fillId="0" borderId="4" xfId="0" applyFont="1" applyBorder="1" applyAlignment="1">
      <alignment horizontal="center" vertical="center" wrapText="1"/>
      <protection locked="0"/>
    </xf>
    <xf numFmtId="0" fontId="4" fillId="0" borderId="0" xfId="0" applyFont="1" applyAlignment="1">
      <alignment vertical="center" wrapText="1"/>
      <protection locked="0"/>
    </xf>
    <xf numFmtId="0" fontId="4" fillId="0" borderId="0" xfId="0" applyFont="1" applyAlignment="1">
      <alignment vertical="center"/>
      <protection locked="0"/>
    </xf>
    <xf numFmtId="1" fontId="5" fillId="0" borderId="4" xfId="0" applyNumberFormat="1" applyFont="1" applyBorder="1" applyAlignment="1">
      <alignment horizontal="center" vertical="center"/>
      <protection locked="0"/>
    </xf>
    <xf numFmtId="171" fontId="5" fillId="41" borderId="4" xfId="0" applyNumberFormat="1" applyFont="1" applyFill="1" applyBorder="1" applyAlignment="1">
      <alignment vertical="center"/>
      <protection locked="0"/>
    </xf>
    <xf numFmtId="3" fontId="5" fillId="41" borderId="4" xfId="0" applyNumberFormat="1" applyFont="1" applyFill="1" applyBorder="1" applyAlignment="1" applyProtection="1">
      <alignment vertical="center"/>
    </xf>
    <xf numFmtId="4" fontId="5" fillId="41" borderId="4" xfId="0" applyNumberFormat="1" applyFont="1" applyFill="1" applyBorder="1" applyAlignment="1" applyProtection="1">
      <alignment vertical="center"/>
    </xf>
    <xf numFmtId="0" fontId="5" fillId="41" borderId="4" xfId="0" applyFont="1" applyFill="1" applyBorder="1" applyAlignment="1" applyProtection="1">
      <alignment vertical="center"/>
    </xf>
    <xf numFmtId="10" fontId="5" fillId="41" borderId="4" xfId="0" applyNumberFormat="1" applyFont="1" applyFill="1" applyBorder="1" applyAlignment="1" applyProtection="1">
      <alignment vertical="center"/>
    </xf>
    <xf numFmtId="171" fontId="5" fillId="0" borderId="4" xfId="0" applyNumberFormat="1" applyFont="1" applyBorder="1" applyAlignment="1">
      <alignment vertical="center"/>
      <protection locked="0"/>
    </xf>
    <xf numFmtId="173" fontId="4" fillId="0" borderId="0" xfId="0" applyNumberFormat="1" applyFont="1" applyAlignment="1">
      <alignment horizontal="left" vertical="center"/>
      <protection locked="0"/>
    </xf>
    <xf numFmtId="174" fontId="4" fillId="0" borderId="0" xfId="0" applyNumberFormat="1" applyFont="1" applyAlignment="1">
      <alignment vertical="center"/>
      <protection locked="0"/>
    </xf>
    <xf numFmtId="175" fontId="4" fillId="0" borderId="0" xfId="0" applyNumberFormat="1" applyFont="1" applyAlignment="1">
      <alignment vertical="center"/>
      <protection locked="0"/>
    </xf>
    <xf numFmtId="3" fontId="4" fillId="0" borderId="0" xfId="0" applyNumberFormat="1" applyFont="1" applyAlignment="1">
      <alignment vertical="center"/>
      <protection locked="0"/>
    </xf>
    <xf numFmtId="4" fontId="4" fillId="0" borderId="0" xfId="0" applyNumberFormat="1" applyFont="1" applyAlignment="1">
      <alignment vertical="center"/>
      <protection locked="0"/>
    </xf>
    <xf numFmtId="10" fontId="4" fillId="0" borderId="0" xfId="0" applyNumberFormat="1" applyFont="1" applyAlignment="1">
      <alignment vertical="center"/>
      <protection locked="0"/>
    </xf>
    <xf numFmtId="0" fontId="38" fillId="0" borderId="0" xfId="0" applyFont="1" applyAlignment="1">
      <alignment vertical="center"/>
      <protection locked="0"/>
    </xf>
    <xf numFmtId="174" fontId="38" fillId="0" borderId="0" xfId="0" applyNumberFormat="1" applyFont="1" applyAlignment="1">
      <alignment vertical="center"/>
      <protection locked="0"/>
    </xf>
    <xf numFmtId="0" fontId="62" fillId="42" borderId="0" xfId="0" applyFont="1" applyFill="1" applyAlignment="1" applyProtection="1">
      <alignment vertical="center"/>
    </xf>
    <xf numFmtId="0" fontId="48" fillId="42" borderId="0" xfId="0" applyFont="1" applyFill="1" applyAlignment="1">
      <alignment vertical="center"/>
      <protection locked="0"/>
    </xf>
    <xf numFmtId="0" fontId="30" fillId="42" borderId="0" xfId="0" applyFont="1" applyFill="1" applyAlignment="1">
      <alignment vertical="center"/>
      <protection locked="0"/>
    </xf>
    <xf numFmtId="0" fontId="43" fillId="42" borderId="0" xfId="0" applyFont="1" applyFill="1" applyAlignment="1" applyProtection="1">
      <alignment horizontal="left" vertical="center"/>
    </xf>
    <xf numFmtId="0" fontId="0" fillId="36" borderId="10" xfId="0" applyFont="1" applyFill="1" applyBorder="1" applyAlignment="1" applyProtection="1">
      <alignment vertical="center" wrapText="1"/>
      <protection locked="0"/>
    </xf>
    <xf numFmtId="0" fontId="0" fillId="36" borderId="4" xfId="0" applyFont="1" applyFill="1" applyBorder="1" applyAlignment="1" applyProtection="1">
      <alignment vertical="center" wrapText="1"/>
      <protection locked="0"/>
    </xf>
    <xf numFmtId="0" fontId="49" fillId="40" borderId="0" xfId="0" applyFont="1" applyFill="1" applyAlignment="1">
      <alignment vertical="center"/>
      <protection locked="0"/>
    </xf>
    <xf numFmtId="0" fontId="48" fillId="40" borderId="0" xfId="0" applyFont="1" applyFill="1" applyAlignment="1">
      <alignment vertical="center"/>
      <protection locked="0"/>
    </xf>
    <xf numFmtId="0" fontId="43" fillId="40" borderId="0" xfId="0" applyFont="1" applyFill="1" applyAlignment="1">
      <alignment horizontal="left" vertical="center"/>
      <protection locked="0"/>
    </xf>
    <xf numFmtId="0" fontId="36" fillId="40" borderId="0" xfId="0" applyFont="1" applyFill="1" applyAlignment="1">
      <alignment vertical="center"/>
      <protection locked="0"/>
    </xf>
    <xf numFmtId="0" fontId="6" fillId="41" borderId="4" xfId="0" applyFont="1" applyFill="1" applyBorder="1" applyAlignment="1">
      <alignment horizontal="center" vertical="center" wrapText="1"/>
      <protection locked="0"/>
    </xf>
    <xf numFmtId="1" fontId="31" fillId="41" borderId="4" xfId="0" applyNumberFormat="1" applyFont="1" applyFill="1" applyBorder="1" applyAlignment="1" applyProtection="1">
      <alignment horizontal="center" vertical="center"/>
    </xf>
    <xf numFmtId="0" fontId="40" fillId="0" borderId="4" xfId="0" applyFont="1" applyBorder="1" applyAlignment="1">
      <alignment horizontal="center" vertical="center"/>
      <protection locked="0"/>
    </xf>
    <xf numFmtId="0" fontId="5" fillId="0" borderId="11" xfId="0" applyFont="1" applyFill="1" applyBorder="1" applyAlignment="1">
      <alignment vertical="center"/>
      <protection locked="0"/>
    </xf>
    <xf numFmtId="0" fontId="11" fillId="0" borderId="11" xfId="0" applyFont="1" applyBorder="1" applyAlignment="1">
      <alignment vertical="center"/>
      <protection locked="0"/>
    </xf>
    <xf numFmtId="0" fontId="40" fillId="0" borderId="4" xfId="0" applyFont="1" applyBorder="1" applyAlignment="1" applyProtection="1">
      <alignment vertical="center"/>
    </xf>
    <xf numFmtId="0" fontId="40" fillId="0" borderId="4" xfId="0" applyFont="1" applyBorder="1" applyAlignment="1" applyProtection="1">
      <alignment horizontal="center" vertical="center"/>
    </xf>
    <xf numFmtId="0" fontId="5" fillId="0" borderId="0" xfId="0" applyFont="1" applyFill="1" applyBorder="1" applyAlignment="1">
      <alignment vertical="center"/>
      <protection locked="0"/>
    </xf>
    <xf numFmtId="0" fontId="40" fillId="0" borderId="4" xfId="0" applyFont="1" applyBorder="1" applyAlignment="1" applyProtection="1">
      <alignment vertical="center"/>
    </xf>
    <xf numFmtId="0" fontId="11" fillId="0" borderId="10" xfId="0" applyFont="1" applyFill="1" applyBorder="1" applyAlignment="1" applyProtection="1">
      <alignment vertical="center" wrapText="1"/>
    </xf>
    <xf numFmtId="0" fontId="6" fillId="41" borderId="4" xfId="0" applyFont="1" applyFill="1" applyBorder="1" applyAlignment="1">
      <alignment horizontal="center" vertical="center" wrapText="1"/>
      <protection locked="0"/>
    </xf>
    <xf numFmtId="0" fontId="40" fillId="38" borderId="4" xfId="0" applyFont="1" applyFill="1" applyBorder="1" applyAlignment="1" applyProtection="1">
      <alignment vertical="center"/>
    </xf>
    <xf numFmtId="0" fontId="63" fillId="40" borderId="0" xfId="0" applyFont="1" applyFill="1" applyAlignment="1" applyProtection="1">
      <alignment vertical="center"/>
    </xf>
    <xf numFmtId="0" fontId="12" fillId="40" borderId="0" xfId="0" applyFont="1" applyFill="1" applyAlignment="1" applyProtection="1">
      <alignment vertical="center"/>
    </xf>
    <xf numFmtId="0" fontId="64" fillId="40" borderId="0" xfId="0" applyFont="1" applyFill="1" applyAlignment="1" applyProtection="1">
      <alignment vertical="center"/>
    </xf>
    <xf numFmtId="0" fontId="12" fillId="0" borderId="0" xfId="0" applyFont="1" applyFill="1" applyAlignment="1" applyProtection="1">
      <alignment vertical="center"/>
    </xf>
    <xf numFmtId="0" fontId="45" fillId="40" borderId="0" xfId="0" applyFont="1" applyFill="1" applyAlignment="1" applyProtection="1">
      <alignment horizontal="left" vertical="center"/>
    </xf>
    <xf numFmtId="0" fontId="29" fillId="35" borderId="4" xfId="0" applyFont="1" applyFill="1" applyBorder="1" applyAlignment="1" applyProtection="1">
      <alignment vertical="center"/>
    </xf>
    <xf numFmtId="0" fontId="65" fillId="0" borderId="4" xfId="0" applyFont="1" applyFill="1" applyBorder="1" applyAlignment="1" applyProtection="1">
      <alignment vertical="center"/>
    </xf>
    <xf numFmtId="0" fontId="65" fillId="0" borderId="0" xfId="0" applyFont="1" applyFill="1" applyBorder="1" applyAlignment="1" applyProtection="1">
      <alignment vertical="center"/>
    </xf>
    <xf numFmtId="0" fontId="39" fillId="35" borderId="12" xfId="0" applyFont="1" applyFill="1" applyBorder="1" applyAlignment="1">
      <alignment vertical="center"/>
      <protection locked="0"/>
    </xf>
    <xf numFmtId="0" fontId="33" fillId="35" borderId="4" xfId="0" applyFont="1" applyFill="1" applyBorder="1" applyAlignment="1">
      <alignment horizontal="center" vertical="center"/>
      <protection locked="0"/>
    </xf>
    <xf numFmtId="0" fontId="33" fillId="35" borderId="4" xfId="0" applyFont="1" applyFill="1" applyBorder="1" applyAlignment="1">
      <alignment horizontal="center" vertical="center" wrapText="1"/>
      <protection locked="0"/>
    </xf>
    <xf numFmtId="0" fontId="33" fillId="35" borderId="4" xfId="0" applyFont="1" applyFill="1" applyBorder="1" applyAlignment="1" applyProtection="1">
      <alignment horizontal="center" vertical="center" wrapText="1"/>
    </xf>
    <xf numFmtId="0" fontId="33" fillId="35" borderId="4" xfId="0" applyFont="1" applyFill="1" applyBorder="1" applyAlignment="1">
      <alignment horizontal="center" vertical="center" wrapText="1"/>
      <protection locked="0"/>
    </xf>
    <xf numFmtId="0" fontId="33" fillId="0" borderId="4" xfId="0" applyFont="1" applyBorder="1" applyAlignment="1">
      <alignment horizontal="center" vertical="center"/>
      <protection locked="0"/>
    </xf>
    <xf numFmtId="0" fontId="31" fillId="38" borderId="4" xfId="0" applyFont="1" applyFill="1" applyBorder="1" applyAlignment="1" applyProtection="1">
      <alignment horizontal="center" vertical="center"/>
    </xf>
    <xf numFmtId="0" fontId="31" fillId="35" borderId="4" xfId="0" applyFont="1" applyFill="1" applyBorder="1" applyAlignment="1">
      <alignment horizontal="center" vertical="center" wrapText="1"/>
      <protection locked="0"/>
    </xf>
    <xf numFmtId="0" fontId="33" fillId="35" borderId="4" xfId="0" applyFont="1" applyFill="1" applyBorder="1" applyAlignment="1">
      <alignment horizontal="center" vertical="center"/>
      <protection locked="0"/>
    </xf>
    <xf numFmtId="0" fontId="40" fillId="38" borderId="2" xfId="0" applyFont="1" applyFill="1" applyBorder="1" applyAlignment="1" applyProtection="1">
      <alignment vertical="center"/>
    </xf>
    <xf numFmtId="0" fontId="40" fillId="36" borderId="4" xfId="39" applyNumberFormat="1" applyFont="1" applyFill="1" applyBorder="1" applyAlignment="1" applyProtection="1">
      <alignment vertical="center" wrapText="1"/>
    </xf>
    <xf numFmtId="0" fontId="40" fillId="36" borderId="4" xfId="0" applyFont="1" applyFill="1" applyBorder="1" applyAlignment="1">
      <alignment vertical="center" wrapText="1"/>
      <protection locked="0"/>
    </xf>
    <xf numFmtId="0" fontId="39" fillId="35" borderId="4" xfId="0" applyFont="1" applyFill="1" applyBorder="1" applyAlignment="1" applyProtection="1">
      <alignment vertical="center"/>
    </xf>
    <xf numFmtId="0" fontId="40" fillId="36" borderId="4" xfId="39" applyNumberFormat="1" applyFont="1" applyFill="1" applyBorder="1" applyAlignment="1" applyProtection="1">
      <alignment vertical="center" wrapText="1"/>
    </xf>
    <xf numFmtId="0" fontId="42" fillId="35" borderId="4" xfId="0" applyFont="1" applyFill="1" applyBorder="1" applyProtection="1">
      <alignment vertical="center"/>
    </xf>
    <xf numFmtId="172" fontId="0" fillId="36" borderId="4" xfId="0" applyNumberFormat="1" applyFont="1" applyFill="1" applyBorder="1" applyAlignment="1" applyProtection="1">
      <alignment vertical="center"/>
    </xf>
    <xf numFmtId="0" fontId="42" fillId="35" borderId="4" xfId="0" applyFont="1" applyFill="1" applyBorder="1" applyAlignment="1" applyProtection="1">
      <alignment horizontal="center" vertical="center"/>
    </xf>
    <xf numFmtId="0" fontId="0" fillId="0" borderId="0" xfId="0" applyFont="1" applyFill="1" applyAlignment="1" applyProtection="1">
      <alignment vertical="center"/>
    </xf>
    <xf numFmtId="10" fontId="0" fillId="36" borderId="4" xfId="0" applyNumberFormat="1" applyFont="1" applyFill="1" applyBorder="1" applyAlignment="1" applyProtection="1">
      <alignment vertical="center"/>
      <protection locked="0"/>
    </xf>
    <xf numFmtId="165" fontId="29" fillId="0" borderId="4" xfId="0" applyNumberFormat="1" applyFont="1" applyFill="1" applyBorder="1" applyAlignment="1" applyProtection="1">
      <alignment vertical="center"/>
    </xf>
    <xf numFmtId="164" fontId="39" fillId="35" borderId="4" xfId="0" applyNumberFormat="1" applyFont="1" applyFill="1" applyBorder="1" applyAlignment="1" applyProtection="1">
      <alignment vertical="center"/>
    </xf>
    <xf numFmtId="0" fontId="31" fillId="35" borderId="4" xfId="0" applyFont="1" applyFill="1" applyBorder="1" applyAlignment="1" applyProtection="1">
      <alignment vertical="center" wrapText="1"/>
    </xf>
    <xf numFmtId="171" fontId="39" fillId="35" borderId="4" xfId="0" applyNumberFormat="1" applyFont="1" applyFill="1" applyBorder="1" applyAlignment="1" applyProtection="1">
      <alignment vertical="center"/>
    </xf>
    <xf numFmtId="0" fontId="0" fillId="0" borderId="4" xfId="0" applyFont="1" applyBorder="1" applyAlignment="1">
      <alignment vertical="center"/>
      <protection locked="0"/>
    </xf>
    <xf numFmtId="0" fontId="31" fillId="0" borderId="0" xfId="0" applyFont="1" applyAlignment="1">
      <alignment horizontal="center" vertical="center"/>
      <protection locked="0"/>
    </xf>
    <xf numFmtId="0" fontId="31" fillId="0" borderId="0" xfId="0" applyFont="1" applyBorder="1" applyAlignment="1">
      <alignment horizontal="center" vertical="center"/>
      <protection locked="0"/>
    </xf>
    <xf numFmtId="0" fontId="0" fillId="36" borderId="4" xfId="0" applyFont="1" applyFill="1" applyBorder="1" applyAlignment="1">
      <alignment vertical="center"/>
      <protection locked="0"/>
    </xf>
    <xf numFmtId="0" fontId="0" fillId="43" borderId="4" xfId="0" applyFont="1" applyFill="1" applyBorder="1" applyAlignment="1">
      <alignment vertical="center"/>
      <protection locked="0"/>
    </xf>
    <xf numFmtId="0" fontId="0" fillId="40" borderId="4" xfId="0" applyFont="1" applyFill="1" applyBorder="1" applyAlignment="1">
      <alignment vertical="center"/>
      <protection locked="0"/>
    </xf>
    <xf numFmtId="0" fontId="0" fillId="34" borderId="4" xfId="0" applyFont="1" applyFill="1" applyBorder="1" applyAlignment="1">
      <alignment vertical="center"/>
      <protection locked="0"/>
    </xf>
    <xf numFmtId="0" fontId="0" fillId="44" borderId="4" xfId="0" applyFont="1" applyFill="1" applyBorder="1" applyAlignment="1">
      <alignment vertical="center"/>
      <protection locked="0"/>
    </xf>
    <xf numFmtId="0" fontId="0" fillId="42" borderId="4" xfId="0" applyFont="1" applyFill="1" applyBorder="1" applyAlignment="1">
      <alignment vertical="center"/>
      <protection locked="0"/>
    </xf>
    <xf numFmtId="0" fontId="31" fillId="0" borderId="0" xfId="0" applyFont="1" applyAlignment="1" applyProtection="1">
      <alignment horizontal="center" vertical="center"/>
    </xf>
    <xf numFmtId="0" fontId="0" fillId="34" borderId="0" xfId="0" applyFill="1">
      <alignment vertical="center"/>
      <protection locked="0"/>
    </xf>
    <xf numFmtId="0" fontId="0" fillId="37" borderId="0" xfId="0" applyFill="1">
      <alignment vertical="center"/>
      <protection locked="0"/>
    </xf>
    <xf numFmtId="0" fontId="6" fillId="0" borderId="4" xfId="0" applyFont="1" applyFill="1" applyBorder="1" applyAlignment="1" applyProtection="1">
      <alignment vertical="center" wrapText="1"/>
    </xf>
    <xf numFmtId="0" fontId="6" fillId="0" borderId="2" xfId="0" applyFont="1" applyFill="1" applyBorder="1" applyAlignment="1" applyProtection="1">
      <alignment vertical="center" wrapText="1"/>
    </xf>
    <xf numFmtId="0" fontId="0" fillId="36" borderId="4" xfId="0" applyFont="1" applyFill="1" applyBorder="1" applyAlignment="1">
      <alignment horizontal="center" vertical="center"/>
      <protection locked="0"/>
    </xf>
    <xf numFmtId="0" fontId="0" fillId="36" borderId="10" xfId="0" applyFont="1" applyFill="1" applyBorder="1" applyAlignment="1">
      <alignment horizontal="center" vertical="center"/>
      <protection locked="0"/>
    </xf>
    <xf numFmtId="17" fontId="5" fillId="36" borderId="4" xfId="0" applyNumberFormat="1" applyFont="1" applyFill="1" applyBorder="1" applyAlignment="1" applyProtection="1">
      <alignment horizontal="center" vertical="center" wrapText="1"/>
      <protection locked="0"/>
    </xf>
    <xf numFmtId="0" fontId="5" fillId="36" borderId="4" xfId="0" applyFont="1" applyFill="1" applyBorder="1" applyAlignment="1" applyProtection="1">
      <alignment horizontal="center" vertical="center" wrapText="1"/>
      <protection locked="0"/>
    </xf>
    <xf numFmtId="0" fontId="41" fillId="36" borderId="4" xfId="33" applyNumberFormat="1" applyFont="1" applyFill="1" applyBorder="1" applyAlignment="1" applyProtection="1">
      <alignment vertical="center" wrapText="1"/>
    </xf>
    <xf numFmtId="0" fontId="0" fillId="36" borderId="4" xfId="0" applyNumberFormat="1" applyFont="1" applyFill="1" applyBorder="1" applyAlignment="1" applyProtection="1">
      <alignment horizontal="center" vertical="center"/>
      <protection locked="0"/>
    </xf>
    <xf numFmtId="2" fontId="10" fillId="36" borderId="4" xfId="33" applyNumberFormat="1" applyFont="1" applyFill="1" applyBorder="1" applyAlignment="1" applyProtection="1">
      <alignment horizontal="center" vertical="center"/>
    </xf>
    <xf numFmtId="0" fontId="0" fillId="0" borderId="0" xfId="0" applyFont="1" applyAlignment="1">
      <alignment vertical="center"/>
      <protection locked="0"/>
    </xf>
    <xf numFmtId="0" fontId="45" fillId="37" borderId="0" xfId="0" applyFont="1" applyFill="1" applyAlignment="1" applyProtection="1">
      <alignment horizontal="center" vertical="center"/>
    </xf>
    <xf numFmtId="0" fontId="39" fillId="0" borderId="0" xfId="0" applyFont="1">
      <alignment vertical="center"/>
      <protection locked="0"/>
    </xf>
    <xf numFmtId="0" fontId="31" fillId="0" borderId="4" xfId="0" applyFont="1" applyBorder="1">
      <alignment vertical="center"/>
      <protection locked="0"/>
    </xf>
    <xf numFmtId="0" fontId="0" fillId="36" borderId="4" xfId="39" applyNumberFormat="1" applyFont="1" applyFill="1" applyBorder="1" applyAlignment="1" applyProtection="1">
      <alignment vertical="center" wrapText="1"/>
    </xf>
    <xf numFmtId="0" fontId="4" fillId="36" borderId="4" xfId="0" applyFont="1" applyFill="1" applyBorder="1" applyAlignment="1">
      <alignment vertical="center"/>
      <protection locked="0"/>
    </xf>
    <xf numFmtId="0" fontId="4" fillId="36" borderId="8" xfId="0" applyFont="1" applyFill="1" applyBorder="1" applyAlignment="1">
      <alignment vertical="center"/>
      <protection locked="0"/>
    </xf>
    <xf numFmtId="0" fontId="22" fillId="36" borderId="4" xfId="0" applyFont="1" applyFill="1" applyBorder="1" applyAlignment="1" applyProtection="1">
      <alignment vertical="center" wrapText="1"/>
      <protection locked="0"/>
    </xf>
    <xf numFmtId="0" fontId="31" fillId="38" borderId="4" xfId="0" applyFont="1" applyFill="1" applyBorder="1" applyAlignment="1" applyProtection="1">
      <alignment horizontal="center" vertical="center"/>
    </xf>
    <xf numFmtId="0" fontId="31" fillId="35" borderId="4" xfId="0" applyFont="1" applyFill="1" applyBorder="1" applyAlignment="1">
      <alignment horizontal="center" vertical="center"/>
      <protection locked="0"/>
    </xf>
    <xf numFmtId="0" fontId="33" fillId="35" borderId="4" xfId="0" applyFont="1" applyFill="1" applyBorder="1" applyAlignment="1">
      <alignment horizontal="center" vertical="center"/>
      <protection locked="0"/>
    </xf>
    <xf numFmtId="0" fontId="40" fillId="38" borderId="2" xfId="0" applyFont="1" applyFill="1" applyBorder="1" applyAlignment="1" applyProtection="1">
      <alignment vertical="center"/>
    </xf>
    <xf numFmtId="6" fontId="0" fillId="38" borderId="4" xfId="0" applyNumberFormat="1" applyFont="1" applyFill="1" applyBorder="1" applyAlignment="1" applyProtection="1">
      <alignment vertical="center" wrapText="1"/>
    </xf>
    <xf numFmtId="6" fontId="0" fillId="38" borderId="4" xfId="0" applyNumberFormat="1" applyFont="1" applyFill="1" applyBorder="1" applyAlignment="1" applyProtection="1">
      <alignment vertical="center"/>
    </xf>
    <xf numFmtId="6" fontId="31" fillId="38" borderId="4" xfId="0" applyNumberFormat="1" applyFont="1" applyFill="1" applyBorder="1" applyAlignment="1" applyProtection="1">
      <alignment vertical="center"/>
    </xf>
    <xf numFmtId="6" fontId="31" fillId="0" borderId="4" xfId="0" applyNumberFormat="1" applyFont="1" applyBorder="1" applyProtection="1">
      <alignment vertical="center"/>
    </xf>
    <xf numFmtId="6" fontId="31" fillId="38" borderId="4" xfId="0" applyNumberFormat="1" applyFont="1" applyFill="1" applyBorder="1" applyAlignment="1" applyProtection="1">
      <alignment vertical="center" wrapText="1"/>
    </xf>
    <xf numFmtId="8" fontId="0" fillId="36" borderId="4" xfId="0" applyNumberFormat="1" applyFont="1" applyFill="1" applyBorder="1" applyAlignment="1">
      <alignment vertical="center"/>
      <protection locked="0"/>
    </xf>
    <xf numFmtId="8" fontId="0" fillId="38" borderId="4" xfId="0" applyNumberFormat="1" applyFont="1" applyFill="1" applyBorder="1" applyAlignment="1" applyProtection="1">
      <alignment vertical="center"/>
    </xf>
    <xf numFmtId="8" fontId="5" fillId="38" borderId="4" xfId="0" applyNumberFormat="1" applyFont="1" applyFill="1" applyBorder="1" applyAlignment="1" applyProtection="1">
      <alignment vertical="center" wrapText="1"/>
    </xf>
    <xf numFmtId="0" fontId="0" fillId="36" borderId="4" xfId="0" applyFill="1" applyBorder="1" applyAlignment="1">
      <alignment horizontal="center" vertical="center"/>
      <protection locked="0"/>
    </xf>
    <xf numFmtId="0" fontId="42" fillId="0" borderId="4" xfId="0" applyFont="1" applyBorder="1" applyAlignment="1" applyProtection="1">
      <alignment horizontal="center" vertical="center"/>
    </xf>
    <xf numFmtId="171" fontId="0" fillId="38" borderId="4" xfId="33" applyNumberFormat="1" applyFont="1" applyFill="1" applyBorder="1" applyAlignment="1" applyProtection="1">
      <alignment vertical="center"/>
    </xf>
    <xf numFmtId="0" fontId="31" fillId="35" borderId="4" xfId="0" applyFont="1" applyFill="1" applyBorder="1" applyAlignment="1">
      <alignment horizontal="center" vertical="center" wrapText="1"/>
      <protection locked="0"/>
    </xf>
    <xf numFmtId="0" fontId="31" fillId="35" borderId="2" xfId="0" applyFont="1" applyFill="1" applyBorder="1" applyAlignment="1">
      <alignment vertical="center"/>
      <protection locked="0"/>
    </xf>
    <xf numFmtId="0" fontId="40" fillId="38" borderId="2" xfId="0" applyFont="1" applyFill="1" applyBorder="1" applyAlignment="1" applyProtection="1">
      <alignment vertical="center"/>
    </xf>
    <xf numFmtId="0" fontId="40" fillId="36" borderId="4" xfId="0" applyFont="1" applyFill="1" applyBorder="1" applyAlignment="1">
      <alignment vertical="center" wrapText="1"/>
      <protection locked="0"/>
    </xf>
    <xf numFmtId="0" fontId="12" fillId="37" borderId="0" xfId="0" applyFont="1" applyFill="1" applyAlignment="1" applyProtection="1">
      <alignment horizontal="center" vertical="center"/>
    </xf>
    <xf numFmtId="0" fontId="42" fillId="35" borderId="4" xfId="0" applyFont="1" applyFill="1" applyBorder="1" applyAlignment="1">
      <alignment vertical="center"/>
      <protection locked="0"/>
    </xf>
    <xf numFmtId="0" fontId="42" fillId="35" borderId="4" xfId="0" applyFont="1" applyFill="1" applyBorder="1">
      <alignment vertical="center"/>
      <protection locked="0"/>
    </xf>
    <xf numFmtId="0" fontId="40" fillId="0" borderId="0" xfId="0" applyFont="1" applyFill="1" applyAlignment="1">
      <alignment vertical="center"/>
      <protection locked="0"/>
    </xf>
    <xf numFmtId="0" fontId="31" fillId="38" borderId="4" xfId="0" applyFont="1" applyFill="1" applyBorder="1" applyAlignment="1" applyProtection="1">
      <alignment horizontal="center" vertical="center"/>
    </xf>
    <xf numFmtId="0" fontId="31" fillId="35" borderId="4" xfId="0" applyFont="1" applyFill="1" applyBorder="1" applyAlignment="1">
      <alignment horizontal="center" vertical="center" wrapText="1"/>
      <protection locked="0"/>
    </xf>
    <xf numFmtId="0" fontId="31" fillId="35" borderId="4" xfId="0" applyFont="1" applyFill="1" applyBorder="1" applyAlignment="1">
      <alignment horizontal="center" vertical="center"/>
      <protection locked="0"/>
    </xf>
    <xf numFmtId="0" fontId="0" fillId="36" borderId="2" xfId="0" applyFont="1" applyFill="1" applyBorder="1" applyAlignment="1">
      <alignment horizontal="center" vertical="center"/>
      <protection locked="0"/>
    </xf>
    <xf numFmtId="0" fontId="0" fillId="36" borderId="13" xfId="0" applyFont="1" applyFill="1" applyBorder="1" applyAlignment="1">
      <alignment horizontal="center" vertical="center"/>
      <protection locked="0"/>
    </xf>
    <xf numFmtId="0" fontId="0" fillId="36" borderId="10" xfId="0" applyFont="1" applyFill="1" applyBorder="1" applyAlignment="1">
      <alignment horizontal="center" vertical="center"/>
      <protection locked="0"/>
    </xf>
    <xf numFmtId="0" fontId="31" fillId="38" borderId="4" xfId="0" applyFont="1" applyFill="1" applyBorder="1" applyAlignment="1" applyProtection="1">
      <alignment horizontal="center" vertical="center"/>
    </xf>
    <xf numFmtId="0" fontId="40" fillId="38" borderId="4" xfId="0" applyFont="1" applyFill="1" applyBorder="1" applyAlignment="1" applyProtection="1">
      <alignment vertical="center"/>
    </xf>
    <xf numFmtId="0" fontId="6" fillId="41" borderId="4" xfId="0" applyFont="1" applyFill="1" applyBorder="1" applyAlignment="1">
      <alignment horizontal="center" vertical="center" wrapText="1"/>
      <protection locked="0"/>
    </xf>
    <xf numFmtId="0" fontId="19" fillId="0" borderId="16" xfId="35" applyAlignment="1">
      <alignment vertical="center"/>
      <protection locked="0"/>
    </xf>
    <xf numFmtId="0" fontId="62" fillId="40" borderId="0" xfId="0" applyFont="1" applyFill="1" applyAlignment="1" applyProtection="1">
      <alignment vertical="center"/>
    </xf>
    <xf numFmtId="0" fontId="30" fillId="40" borderId="0" xfId="0" applyFont="1" applyFill="1" applyAlignment="1">
      <alignment vertical="center"/>
      <protection locked="0"/>
    </xf>
    <xf numFmtId="0" fontId="43" fillId="40" borderId="0" xfId="0" applyFont="1" applyFill="1" applyAlignment="1" applyProtection="1">
      <alignment horizontal="left" vertical="center"/>
    </xf>
    <xf numFmtId="0" fontId="45" fillId="40" borderId="0" xfId="0" applyFont="1" applyFill="1" applyAlignment="1" applyProtection="1">
      <alignment vertical="center"/>
    </xf>
    <xf numFmtId="179" fontId="0" fillId="38" borderId="4" xfId="45" applyNumberFormat="1" applyFont="1" applyFill="1" applyBorder="1" applyAlignment="1" applyProtection="1">
      <alignment vertical="center"/>
    </xf>
    <xf numFmtId="0" fontId="31" fillId="0" borderId="4" xfId="0" applyFont="1" applyBorder="1" applyAlignment="1">
      <alignment horizontal="center" vertical="center"/>
      <protection locked="0"/>
    </xf>
    <xf numFmtId="171" fontId="39" fillId="0" borderId="4" xfId="0" applyNumberFormat="1" applyFont="1" applyBorder="1" applyProtection="1">
      <alignment vertical="center"/>
    </xf>
    <xf numFmtId="0" fontId="31" fillId="0" borderId="0" xfId="0" applyFont="1">
      <alignment vertical="center"/>
      <protection locked="0"/>
    </xf>
    <xf numFmtId="3" fontId="38" fillId="39" borderId="4" xfId="0" applyNumberFormat="1" applyFont="1" applyFill="1" applyBorder="1" applyAlignment="1" applyProtection="1"/>
    <xf numFmtId="3" fontId="38" fillId="36" borderId="4" xfId="0" applyNumberFormat="1" applyFont="1" applyFill="1" applyBorder="1" applyAlignment="1" applyProtection="1"/>
    <xf numFmtId="3" fontId="31" fillId="0" borderId="4" xfId="0" applyNumberFormat="1" applyFont="1" applyBorder="1" applyProtection="1">
      <alignment vertical="center"/>
    </xf>
    <xf numFmtId="3" fontId="38" fillId="38" borderId="4" xfId="0" applyNumberFormat="1" applyFont="1" applyFill="1" applyBorder="1" applyAlignment="1" applyProtection="1"/>
    <xf numFmtId="0" fontId="0" fillId="0" borderId="0" xfId="0">
      <alignment vertical="center"/>
      <protection locked="0"/>
    </xf>
    <xf numFmtId="0" fontId="40" fillId="43" borderId="4" xfId="0" applyFont="1" applyFill="1" applyBorder="1" applyAlignment="1" applyProtection="1">
      <alignment vertical="center"/>
    </xf>
    <xf numFmtId="0" fontId="71" fillId="37" borderId="0" xfId="0" applyFont="1" applyFill="1" applyAlignment="1" applyProtection="1">
      <alignment horizontal="right" vertical="center"/>
    </xf>
    <xf numFmtId="14" fontId="4" fillId="36" borderId="4" xfId="0" applyNumberFormat="1" applyFont="1" applyFill="1" applyBorder="1" applyAlignment="1">
      <alignment vertical="center"/>
      <protection locked="0"/>
    </xf>
    <xf numFmtId="0" fontId="31" fillId="35" borderId="4" xfId="0" applyFont="1" applyFill="1" applyBorder="1" applyAlignment="1">
      <alignment horizontal="center" vertical="center" wrapText="1"/>
      <protection locked="0"/>
    </xf>
    <xf numFmtId="0" fontId="4" fillId="41" borderId="4" xfId="0" applyFont="1" applyFill="1" applyBorder="1" applyAlignment="1">
      <alignment vertical="center"/>
      <protection locked="0"/>
    </xf>
    <xf numFmtId="0" fontId="0" fillId="36" borderId="4" xfId="0" applyFont="1" applyFill="1" applyBorder="1" applyAlignment="1" applyProtection="1">
      <alignment horizontal="center" vertical="center" wrapText="1"/>
      <protection locked="0"/>
    </xf>
    <xf numFmtId="0" fontId="40" fillId="38" borderId="4" xfId="0" applyFont="1" applyFill="1" applyBorder="1" applyAlignment="1" applyProtection="1">
      <alignment vertical="center" wrapText="1"/>
    </xf>
    <xf numFmtId="0" fontId="0" fillId="45" borderId="4" xfId="0" applyFont="1" applyFill="1" applyBorder="1" applyAlignment="1">
      <alignment vertical="center"/>
      <protection locked="0"/>
    </xf>
    <xf numFmtId="0" fontId="0" fillId="46" borderId="4" xfId="0" applyFont="1" applyFill="1" applyBorder="1" applyAlignment="1">
      <alignment vertical="center"/>
      <protection locked="0"/>
    </xf>
    <xf numFmtId="0" fontId="47" fillId="45" borderId="0" xfId="0" applyFont="1" applyFill="1" applyAlignment="1" applyProtection="1">
      <alignment vertical="center"/>
    </xf>
    <xf numFmtId="0" fontId="30" fillId="45" borderId="0" xfId="0" applyFont="1" applyFill="1" applyAlignment="1">
      <alignment vertical="center"/>
      <protection locked="0"/>
    </xf>
    <xf numFmtId="0" fontId="48" fillId="45" borderId="0" xfId="0" applyFont="1" applyFill="1" applyAlignment="1">
      <alignment vertical="center"/>
      <protection locked="0"/>
    </xf>
    <xf numFmtId="0" fontId="30" fillId="45" borderId="0" xfId="0" applyFont="1" applyFill="1">
      <alignment vertical="center"/>
      <protection locked="0"/>
    </xf>
    <xf numFmtId="0" fontId="43" fillId="45" borderId="0" xfId="0" applyFont="1" applyFill="1" applyAlignment="1" applyProtection="1">
      <alignment horizontal="left" vertical="center"/>
    </xf>
    <xf numFmtId="0" fontId="72" fillId="45" borderId="0" xfId="0" applyFont="1" applyFill="1" applyAlignment="1" applyProtection="1">
      <alignment vertical="center"/>
    </xf>
    <xf numFmtId="0" fontId="48" fillId="45" borderId="0" xfId="0" applyFont="1" applyFill="1" applyAlignment="1" applyProtection="1">
      <alignment vertical="center"/>
    </xf>
    <xf numFmtId="0" fontId="48" fillId="45" borderId="0" xfId="0" applyFont="1" applyFill="1" applyAlignment="1">
      <alignment horizontal="left" vertical="center"/>
      <protection locked="0"/>
    </xf>
    <xf numFmtId="0" fontId="47" fillId="46" borderId="0" xfId="0" applyFont="1" applyFill="1" applyAlignment="1" applyProtection="1">
      <alignment vertical="center"/>
    </xf>
    <xf numFmtId="0" fontId="30" fillId="46" borderId="0" xfId="0" applyFont="1" applyFill="1" applyAlignment="1">
      <alignment vertical="center"/>
      <protection locked="0"/>
    </xf>
    <xf numFmtId="0" fontId="48" fillId="46" borderId="0" xfId="0" applyFont="1" applyFill="1" applyAlignment="1">
      <alignment vertical="center"/>
      <protection locked="0"/>
    </xf>
    <xf numFmtId="0" fontId="43" fillId="46" borderId="0" xfId="0" applyFont="1" applyFill="1" applyAlignment="1" applyProtection="1">
      <alignment horizontal="left" vertical="center"/>
    </xf>
    <xf numFmtId="0" fontId="43" fillId="46" borderId="0" xfId="0" applyFont="1" applyFill="1" applyAlignment="1">
      <alignment horizontal="left" vertical="center"/>
      <protection locked="0"/>
    </xf>
    <xf numFmtId="0" fontId="73" fillId="46" borderId="0" xfId="0" applyFont="1" applyFill="1" applyAlignment="1" applyProtection="1">
      <alignment vertical="center"/>
    </xf>
    <xf numFmtId="0" fontId="48" fillId="46" borderId="0" xfId="0" applyFont="1" applyFill="1" applyAlignment="1">
      <alignment horizontal="right" vertical="center"/>
      <protection locked="0"/>
    </xf>
    <xf numFmtId="0" fontId="48" fillId="46" borderId="0" xfId="0" applyFont="1" applyFill="1" applyAlignment="1" applyProtection="1">
      <alignment horizontal="center" vertical="center"/>
    </xf>
    <xf numFmtId="0" fontId="30" fillId="46" borderId="0" xfId="0" applyFont="1" applyFill="1" applyAlignment="1" applyProtection="1">
      <alignment vertical="center"/>
    </xf>
    <xf numFmtId="0" fontId="48" fillId="46" borderId="0" xfId="0" applyFont="1" applyFill="1" applyAlignment="1" applyProtection="1">
      <alignment vertical="center"/>
    </xf>
    <xf numFmtId="0" fontId="36" fillId="0" borderId="0" xfId="0" applyFont="1" applyFill="1" applyBorder="1" applyAlignment="1" applyProtection="1">
      <alignment horizontal="center" vertical="center"/>
    </xf>
    <xf numFmtId="0" fontId="49" fillId="0" borderId="12" xfId="0" applyFont="1" applyFill="1" applyBorder="1" applyAlignment="1">
      <alignment vertical="center"/>
      <protection locked="0"/>
    </xf>
    <xf numFmtId="0" fontId="38" fillId="0" borderId="0" xfId="0" applyFont="1" applyFill="1" applyBorder="1" applyAlignment="1">
      <alignment vertical="center"/>
      <protection locked="0"/>
    </xf>
    <xf numFmtId="0" fontId="50" fillId="0" borderId="0" xfId="0" applyFont="1" applyFill="1" applyBorder="1" applyAlignment="1" applyProtection="1">
      <alignment horizontal="center" vertical="center"/>
    </xf>
    <xf numFmtId="0" fontId="74" fillId="35" borderId="0" xfId="0" applyFont="1" applyFill="1" applyAlignment="1">
      <alignment vertical="center"/>
      <protection locked="0"/>
    </xf>
    <xf numFmtId="2" fontId="0" fillId="36" borderId="4" xfId="33" applyNumberFormat="1" applyFont="1" applyFill="1" applyBorder="1" applyAlignment="1" applyProtection="1">
      <alignment horizontal="center" vertical="center"/>
    </xf>
    <xf numFmtId="0" fontId="5" fillId="0" borderId="0" xfId="0" applyFont="1" applyFill="1" applyBorder="1" applyAlignment="1" applyProtection="1">
      <alignment vertical="center"/>
    </xf>
    <xf numFmtId="0" fontId="29" fillId="0" borderId="0" xfId="0" applyFont="1" applyFill="1" applyBorder="1" applyAlignment="1" applyProtection="1">
      <alignment vertical="center"/>
    </xf>
    <xf numFmtId="0" fontId="5" fillId="0" borderId="4" xfId="0" applyFont="1" applyFill="1" applyBorder="1" applyAlignment="1" applyProtection="1">
      <alignment vertical="center" wrapText="1"/>
    </xf>
    <xf numFmtId="0" fontId="5" fillId="36" borderId="4" xfId="0" applyNumberFormat="1" applyFont="1" applyFill="1" applyBorder="1" applyAlignment="1" applyProtection="1">
      <alignment horizontal="center" vertical="center" wrapText="1"/>
      <protection locked="0"/>
    </xf>
    <xf numFmtId="0" fontId="0" fillId="0" borderId="0" xfId="0" applyAlignment="1">
      <alignment vertical="center"/>
      <protection locked="0"/>
    </xf>
    <xf numFmtId="0" fontId="40" fillId="36" borderId="4" xfId="39" applyNumberFormat="1" applyFont="1" applyFill="1" applyBorder="1" applyAlignment="1" applyProtection="1">
      <alignment vertical="center"/>
    </xf>
    <xf numFmtId="0" fontId="40" fillId="36" borderId="4" xfId="39" applyNumberFormat="1" applyFont="1" applyFill="1" applyBorder="1" applyAlignment="1" applyProtection="1">
      <alignment vertical="center"/>
    </xf>
    <xf numFmtId="0" fontId="0" fillId="35" borderId="0" xfId="0" applyFont="1" applyFill="1" applyAlignment="1">
      <alignment vertical="center"/>
      <protection locked="0"/>
    </xf>
    <xf numFmtId="0" fontId="0" fillId="0" borderId="0" xfId="0">
      <alignment vertical="center"/>
      <protection locked="0"/>
    </xf>
    <xf numFmtId="171" fontId="0" fillId="36" borderId="4" xfId="0" applyNumberFormat="1" applyFont="1" applyFill="1" applyBorder="1" applyAlignment="1" applyProtection="1">
      <alignment vertical="center"/>
      <protection locked="0"/>
    </xf>
    <xf numFmtId="171" fontId="0" fillId="36" borderId="4" xfId="0" applyNumberFormat="1" applyFont="1" applyFill="1" applyBorder="1" applyAlignment="1" applyProtection="1">
      <alignment vertical="center"/>
    </xf>
    <xf numFmtId="171" fontId="39" fillId="38" borderId="4" xfId="0" applyNumberFormat="1" applyFont="1" applyFill="1" applyBorder="1" applyAlignment="1" applyProtection="1">
      <alignment vertical="center"/>
    </xf>
    <xf numFmtId="0" fontId="5" fillId="39" borderId="4" xfId="0" applyFont="1" applyFill="1" applyBorder="1" applyAlignment="1" applyProtection="1">
      <alignment horizontal="center" vertical="center"/>
    </xf>
    <xf numFmtId="180" fontId="4" fillId="36" borderId="4" xfId="0" applyNumberFormat="1" applyFont="1" applyFill="1" applyBorder="1" applyAlignment="1">
      <alignment vertical="center"/>
      <protection locked="0"/>
    </xf>
    <xf numFmtId="180" fontId="4" fillId="41" borderId="4" xfId="0" applyNumberFormat="1" applyFont="1" applyFill="1" applyBorder="1" applyAlignment="1" applyProtection="1">
      <alignment vertical="center"/>
    </xf>
    <xf numFmtId="180" fontId="0" fillId="38" borderId="4" xfId="0" applyNumberFormat="1" applyFont="1" applyFill="1" applyBorder="1" applyAlignment="1" applyProtection="1">
      <alignment vertical="center"/>
    </xf>
    <xf numFmtId="0" fontId="4" fillId="41" borderId="4" xfId="0" applyFont="1" applyFill="1" applyBorder="1" applyAlignment="1">
      <alignment horizontal="center" vertical="center"/>
      <protection locked="0"/>
    </xf>
    <xf numFmtId="0" fontId="40" fillId="36" borderId="4" xfId="0" applyFont="1" applyFill="1" applyBorder="1" applyAlignment="1" applyProtection="1">
      <alignment vertical="center" wrapText="1"/>
      <protection locked="0"/>
    </xf>
    <xf numFmtId="0" fontId="31" fillId="35" borderId="4" xfId="0" applyFont="1" applyFill="1" applyBorder="1" applyAlignment="1">
      <alignment horizontal="center" vertical="center" wrapText="1"/>
      <protection locked="0"/>
    </xf>
    <xf numFmtId="0" fontId="40" fillId="36" borderId="4" xfId="0" applyFont="1" applyFill="1" applyBorder="1" applyAlignment="1" applyProtection="1">
      <alignment horizontal="left" vertical="center" wrapText="1"/>
      <protection locked="0"/>
    </xf>
    <xf numFmtId="0" fontId="31" fillId="35" borderId="4" xfId="0" applyFont="1" applyFill="1" applyBorder="1" applyAlignment="1">
      <alignment horizontal="center" vertical="center"/>
      <protection locked="0"/>
    </xf>
    <xf numFmtId="171" fontId="39" fillId="38" borderId="24" xfId="33" applyNumberFormat="1" applyFont="1" applyFill="1" applyBorder="1" applyAlignment="1" applyProtection="1">
      <alignment vertical="center"/>
    </xf>
    <xf numFmtId="0" fontId="33" fillId="35" borderId="29" xfId="0" applyFont="1" applyFill="1" applyBorder="1" applyAlignment="1" applyProtection="1">
      <alignment horizontal="center" vertical="center" wrapText="1"/>
    </xf>
    <xf numFmtId="0" fontId="33" fillId="35" borderId="30" xfId="0" applyFont="1" applyFill="1" applyBorder="1" applyAlignment="1" applyProtection="1">
      <alignment horizontal="center" vertical="center" wrapText="1"/>
    </xf>
    <xf numFmtId="0" fontId="33" fillId="35" borderId="31" xfId="0" applyFont="1" applyFill="1" applyBorder="1" applyAlignment="1" applyProtection="1">
      <alignment horizontal="center" vertical="center" wrapText="1"/>
    </xf>
    <xf numFmtId="0" fontId="75" fillId="40" borderId="0" xfId="0" applyFont="1" applyFill="1" applyAlignment="1" applyProtection="1">
      <alignment horizontal="center" vertical="center"/>
    </xf>
    <xf numFmtId="0" fontId="64" fillId="40" borderId="0" xfId="0" applyFont="1" applyFill="1" applyAlignment="1" applyProtection="1">
      <alignment horizontal="center" vertical="center"/>
    </xf>
    <xf numFmtId="0" fontId="38" fillId="47" borderId="4" xfId="0" applyFont="1" applyFill="1" applyBorder="1" applyAlignment="1">
      <alignment vertical="center"/>
      <protection locked="0"/>
    </xf>
    <xf numFmtId="0" fontId="5" fillId="47" borderId="4" xfId="0" applyNumberFormat="1" applyFont="1" applyFill="1" applyBorder="1" applyAlignment="1" applyProtection="1">
      <alignment horizontal="center" vertical="center" wrapText="1"/>
      <protection locked="0"/>
    </xf>
    <xf numFmtId="49" fontId="5" fillId="47" borderId="4" xfId="0" applyNumberFormat="1" applyFont="1" applyFill="1" applyBorder="1" applyAlignment="1" applyProtection="1">
      <alignment horizontal="center" vertical="center" wrapText="1"/>
      <protection locked="0"/>
    </xf>
    <xf numFmtId="0" fontId="4" fillId="47" borderId="4" xfId="0" applyFont="1" applyFill="1" applyBorder="1" applyAlignment="1" applyProtection="1">
      <alignment horizontal="left" vertical="center" wrapText="1"/>
      <protection locked="0"/>
    </xf>
    <xf numFmtId="0" fontId="35" fillId="47" borderId="4" xfId="0" applyFont="1" applyFill="1" applyBorder="1" applyAlignment="1" applyProtection="1">
      <alignment horizontal="justify" vertical="center"/>
      <protection locked="0"/>
    </xf>
    <xf numFmtId="0" fontId="4" fillId="47" borderId="4" xfId="0" applyNumberFormat="1" applyFont="1" applyFill="1" applyBorder="1" applyAlignment="1" applyProtection="1">
      <alignment horizontal="left" vertical="center" wrapText="1"/>
      <protection locked="0"/>
    </xf>
    <xf numFmtId="0" fontId="0" fillId="0" borderId="0" xfId="0" applyFont="1" applyAlignment="1">
      <alignment horizontal="left" vertical="center" indent="1"/>
      <protection locked="0"/>
    </xf>
    <xf numFmtId="0" fontId="55" fillId="40" borderId="0" xfId="0" applyFont="1" applyFill="1" applyAlignment="1" applyProtection="1">
      <alignment horizontal="right" vertical="center"/>
    </xf>
    <xf numFmtId="0" fontId="75" fillId="40" borderId="0" xfId="0" applyFont="1" applyFill="1" applyAlignment="1" applyProtection="1">
      <alignment horizontal="right" vertical="center"/>
    </xf>
    <xf numFmtId="0" fontId="40" fillId="36" borderId="4" xfId="0" applyFont="1" applyFill="1" applyBorder="1" applyAlignment="1">
      <alignment vertical="center"/>
      <protection locked="0"/>
    </xf>
    <xf numFmtId="0" fontId="5" fillId="0" borderId="0" xfId="0" applyFont="1" applyFill="1" applyBorder="1" applyAlignment="1" applyProtection="1">
      <alignment horizontal="center" vertical="center" wrapText="1"/>
    </xf>
    <xf numFmtId="0" fontId="0" fillId="0" borderId="6" xfId="0" applyFont="1" applyBorder="1" applyAlignment="1" applyProtection="1">
      <alignment vertical="center"/>
    </xf>
    <xf numFmtId="0" fontId="31" fillId="35" borderId="4" xfId="0" applyFont="1" applyFill="1" applyBorder="1" applyAlignment="1">
      <alignment horizontal="center" vertical="center" wrapText="1"/>
      <protection locked="0"/>
    </xf>
    <xf numFmtId="0" fontId="49" fillId="0" borderId="0" xfId="0" applyFont="1">
      <alignment vertical="center"/>
      <protection locked="0"/>
    </xf>
    <xf numFmtId="0" fontId="6" fillId="0" borderId="4" xfId="0" applyFont="1" applyFill="1" applyBorder="1" applyAlignment="1" applyProtection="1">
      <alignment horizontal="center" vertical="center" wrapText="1"/>
    </xf>
    <xf numFmtId="0" fontId="6" fillId="0" borderId="4" xfId="0" applyFont="1" applyFill="1" applyBorder="1" applyAlignment="1" applyProtection="1">
      <alignment vertical="center" wrapText="1"/>
    </xf>
    <xf numFmtId="0" fontId="6" fillId="0" borderId="2" xfId="0" applyFont="1" applyFill="1" applyBorder="1" applyAlignment="1" applyProtection="1">
      <alignment vertical="center" wrapText="1"/>
    </xf>
    <xf numFmtId="0" fontId="41" fillId="36" borderId="4" xfId="33" applyNumberFormat="1" applyFont="1" applyFill="1" applyBorder="1" applyAlignment="1" applyProtection="1">
      <alignment vertical="center" wrapText="1"/>
    </xf>
    <xf numFmtId="0" fontId="31" fillId="38" borderId="4" xfId="0" applyFont="1" applyFill="1" applyBorder="1" applyAlignment="1" applyProtection="1">
      <alignment horizontal="center" vertical="center"/>
    </xf>
    <xf numFmtId="0" fontId="31" fillId="35" borderId="4" xfId="0" applyFont="1" applyFill="1" applyBorder="1" applyAlignment="1">
      <alignment horizontal="center" vertical="center" wrapText="1"/>
      <protection locked="0"/>
    </xf>
    <xf numFmtId="10" fontId="0" fillId="36" borderId="4" xfId="39" applyNumberFormat="1" applyFont="1" applyFill="1" applyBorder="1" applyAlignment="1" applyProtection="1">
      <alignment vertical="center"/>
      <protection locked="0"/>
    </xf>
    <xf numFmtId="0" fontId="2" fillId="0" borderId="0" xfId="0" applyFont="1" applyFill="1" applyBorder="1" applyAlignment="1" applyProtection="1">
      <alignment vertical="center"/>
    </xf>
    <xf numFmtId="0" fontId="2" fillId="2" borderId="0" xfId="0" applyFont="1" applyFill="1" applyAlignment="1" applyProtection="1">
      <alignment vertical="center"/>
    </xf>
    <xf numFmtId="0" fontId="2" fillId="2" borderId="0" xfId="0" applyFont="1" applyFill="1" applyAlignment="1" applyProtection="1">
      <alignment vertical="center" wrapText="1"/>
    </xf>
    <xf numFmtId="0" fontId="2" fillId="0" borderId="10" xfId="0" applyFont="1" applyFill="1" applyBorder="1" applyAlignment="1" applyProtection="1">
      <alignment vertical="center" wrapText="1"/>
    </xf>
    <xf numFmtId="0" fontId="4" fillId="36" borderId="8" xfId="0" applyFont="1" applyFill="1" applyBorder="1" applyAlignment="1">
      <alignment horizontal="center" vertical="center"/>
      <protection locked="0"/>
    </xf>
    <xf numFmtId="0" fontId="4" fillId="36" borderId="4" xfId="0" applyFont="1" applyFill="1" applyBorder="1" applyAlignment="1">
      <alignment horizontal="center" vertical="center"/>
      <protection locked="0"/>
    </xf>
    <xf numFmtId="0" fontId="4" fillId="36" borderId="8" xfId="0" applyFont="1" applyFill="1" applyBorder="1" applyAlignment="1" applyProtection="1">
      <alignment horizontal="center" vertical="center"/>
    </xf>
    <xf numFmtId="10" fontId="0" fillId="36" borderId="4" xfId="39" applyNumberFormat="1" applyFont="1" applyFill="1" applyBorder="1" applyAlignment="1" applyProtection="1">
      <alignment horizontal="right" vertical="center"/>
    </xf>
    <xf numFmtId="178" fontId="0" fillId="38" borderId="4" xfId="39" applyNumberFormat="1" applyFont="1" applyFill="1" applyBorder="1" applyAlignment="1" applyProtection="1">
      <alignment horizontal="right" vertical="center"/>
    </xf>
    <xf numFmtId="10" fontId="0" fillId="38" borderId="4" xfId="39" applyNumberFormat="1" applyFont="1" applyFill="1" applyBorder="1" applyAlignment="1" applyProtection="1">
      <alignment horizontal="right" vertical="center"/>
    </xf>
    <xf numFmtId="0" fontId="4" fillId="41" borderId="4" xfId="0" applyFont="1" applyFill="1" applyBorder="1" applyAlignment="1" applyProtection="1">
      <alignment vertical="center"/>
    </xf>
    <xf numFmtId="0" fontId="0" fillId="0" borderId="0" xfId="0">
      <alignment vertical="center"/>
      <protection locked="0"/>
    </xf>
    <xf numFmtId="0" fontId="0" fillId="35" borderId="0" xfId="0" applyFont="1" applyFill="1" applyAlignment="1">
      <alignment vertical="center"/>
      <protection locked="0"/>
    </xf>
    <xf numFmtId="0" fontId="31" fillId="35" borderId="0" xfId="0" applyFont="1" applyFill="1" applyBorder="1" applyAlignment="1">
      <alignment vertical="center"/>
      <protection locked="0"/>
    </xf>
    <xf numFmtId="0" fontId="31" fillId="35" borderId="3" xfId="0" applyFont="1" applyFill="1" applyBorder="1" applyAlignment="1">
      <alignment vertical="center" wrapText="1"/>
      <protection locked="0"/>
    </xf>
    <xf numFmtId="0" fontId="0" fillId="0" borderId="0" xfId="0" applyFont="1">
      <alignment vertical="center"/>
      <protection locked="0"/>
    </xf>
    <xf numFmtId="0" fontId="31" fillId="35" borderId="4" xfId="0" applyFont="1" applyFill="1" applyBorder="1" applyAlignment="1">
      <alignment vertical="center" wrapText="1"/>
      <protection locked="0"/>
    </xf>
    <xf numFmtId="0" fontId="31" fillId="35" borderId="0" xfId="0" applyFont="1" applyFill="1" applyBorder="1" applyAlignment="1">
      <alignment vertical="center" wrapText="1"/>
      <protection locked="0"/>
    </xf>
    <xf numFmtId="0" fontId="0" fillId="35" borderId="4" xfId="0" applyFont="1" applyFill="1" applyBorder="1" applyAlignment="1">
      <alignment vertical="center" wrapText="1"/>
      <protection locked="0"/>
    </xf>
    <xf numFmtId="0" fontId="31" fillId="0" borderId="3" xfId="39" applyNumberFormat="1" applyFont="1" applyFill="1" applyBorder="1" applyAlignment="1" applyProtection="1">
      <alignment vertical="center" wrapText="1"/>
    </xf>
    <xf numFmtId="10" fontId="39" fillId="39" borderId="4" xfId="39" applyNumberFormat="1" applyFont="1" applyFill="1" applyBorder="1" applyAlignment="1" applyProtection="1">
      <alignment horizontal="right" vertical="center" wrapText="1"/>
    </xf>
    <xf numFmtId="0" fontId="40" fillId="36" borderId="4" xfId="39" applyNumberFormat="1" applyFont="1" applyFill="1" applyBorder="1" applyAlignment="1" applyProtection="1">
      <alignment vertical="center"/>
    </xf>
    <xf numFmtId="171" fontId="0" fillId="36" borderId="4" xfId="0" applyNumberFormat="1" applyFont="1" applyFill="1" applyBorder="1" applyAlignment="1" applyProtection="1">
      <alignment vertical="center"/>
      <protection locked="0"/>
    </xf>
    <xf numFmtId="10" fontId="41" fillId="36" borderId="4" xfId="39" applyNumberFormat="1" applyFont="1" applyFill="1" applyBorder="1" applyAlignment="1" applyProtection="1">
      <alignment vertical="center"/>
      <protection locked="0"/>
    </xf>
    <xf numFmtId="0" fontId="0" fillId="35" borderId="4" xfId="0" applyFont="1" applyFill="1" applyBorder="1" applyAlignment="1" applyProtection="1">
      <alignment vertical="center" wrapText="1"/>
    </xf>
    <xf numFmtId="171" fontId="0" fillId="36" borderId="4" xfId="0" applyNumberFormat="1" applyFont="1" applyFill="1" applyBorder="1" applyAlignment="1" applyProtection="1">
      <alignment vertical="center"/>
    </xf>
    <xf numFmtId="0" fontId="31" fillId="38" borderId="4" xfId="0" applyFont="1" applyFill="1" applyBorder="1" applyAlignment="1" applyProtection="1">
      <alignment horizontal="center" vertical="center"/>
    </xf>
    <xf numFmtId="0" fontId="40" fillId="36" borderId="4" xfId="39" applyNumberFormat="1" applyFont="1" applyFill="1" applyBorder="1" applyAlignment="1" applyProtection="1">
      <alignment vertical="center" wrapText="1"/>
    </xf>
    <xf numFmtId="0" fontId="0" fillId="35" borderId="4" xfId="0" applyFont="1" applyFill="1" applyBorder="1" applyAlignment="1" applyProtection="1">
      <alignment vertical="center"/>
    </xf>
    <xf numFmtId="0" fontId="0" fillId="35" borderId="0" xfId="0" applyFill="1" applyAlignment="1">
      <alignment vertical="center"/>
      <protection locked="0"/>
    </xf>
    <xf numFmtId="0" fontId="0" fillId="0" borderId="0" xfId="0" applyFont="1" applyAlignment="1">
      <alignment vertical="center"/>
      <protection locked="0"/>
    </xf>
    <xf numFmtId="0" fontId="39" fillId="0" borderId="0" xfId="0" applyFont="1" applyAlignment="1">
      <alignment vertical="center"/>
      <protection locked="0"/>
    </xf>
    <xf numFmtId="171" fontId="41" fillId="38" borderId="4" xfId="33" applyNumberFormat="1" applyFont="1" applyFill="1" applyBorder="1" applyAlignment="1" applyProtection="1">
      <alignment vertical="center"/>
    </xf>
    <xf numFmtId="0" fontId="41" fillId="36" borderId="4" xfId="33" applyNumberFormat="1" applyFont="1" applyFill="1" applyBorder="1" applyAlignment="1" applyProtection="1">
      <alignment vertical="center" wrapText="1"/>
    </xf>
    <xf numFmtId="0" fontId="0" fillId="36" borderId="4" xfId="39" applyNumberFormat="1" applyFont="1" applyFill="1" applyBorder="1" applyAlignment="1" applyProtection="1">
      <alignment vertical="center" wrapText="1"/>
    </xf>
    <xf numFmtId="171" fontId="0" fillId="38" borderId="4" xfId="33" applyNumberFormat="1" applyFont="1" applyFill="1" applyBorder="1" applyAlignment="1" applyProtection="1">
      <alignment vertical="center"/>
    </xf>
    <xf numFmtId="0" fontId="19" fillId="0" borderId="16" xfId="35" applyAlignment="1">
      <alignment vertical="center"/>
      <protection locked="0"/>
    </xf>
    <xf numFmtId="0" fontId="4" fillId="41" borderId="4" xfId="0" applyFont="1" applyFill="1" applyBorder="1" applyAlignment="1">
      <alignment horizontal="center" vertical="center"/>
      <protection locked="0"/>
    </xf>
    <xf numFmtId="10" fontId="0" fillId="36" borderId="4" xfId="39" applyNumberFormat="1" applyFont="1" applyFill="1" applyBorder="1" applyAlignment="1" applyProtection="1">
      <alignment horizontal="right" vertical="center"/>
    </xf>
    <xf numFmtId="10" fontId="0" fillId="38" borderId="4" xfId="39" applyNumberFormat="1" applyFont="1" applyFill="1" applyBorder="1" applyAlignment="1" applyProtection="1">
      <alignment horizontal="right" vertical="center"/>
    </xf>
    <xf numFmtId="0" fontId="1" fillId="0" borderId="4" xfId="0" applyFont="1" applyFill="1" applyBorder="1" applyAlignment="1" applyProtection="1">
      <alignment vertical="center" wrapText="1"/>
    </xf>
    <xf numFmtId="0" fontId="31" fillId="35" borderId="4" xfId="0" applyFont="1" applyFill="1" applyBorder="1" applyAlignment="1">
      <alignment horizontal="center" vertical="center" wrapText="1"/>
      <protection locked="0"/>
    </xf>
    <xf numFmtId="0" fontId="31" fillId="35" borderId="4" xfId="0" applyFont="1" applyFill="1" applyBorder="1" applyAlignment="1">
      <alignment horizontal="center" vertical="center"/>
      <protection locked="0"/>
    </xf>
    <xf numFmtId="0" fontId="31" fillId="0" borderId="4" xfId="0" applyFont="1" applyBorder="1" applyAlignment="1">
      <alignment horizontal="center" vertical="center"/>
      <protection locked="0"/>
    </xf>
    <xf numFmtId="0" fontId="40" fillId="36" borderId="4" xfId="0" applyFont="1" applyFill="1" applyBorder="1" applyAlignment="1">
      <alignment vertical="center" wrapText="1"/>
      <protection locked="0"/>
    </xf>
    <xf numFmtId="0" fontId="6" fillId="41" borderId="4" xfId="0" applyFont="1" applyFill="1" applyBorder="1" applyAlignment="1">
      <alignment horizontal="center" vertical="center" wrapText="1"/>
      <protection locked="0"/>
    </xf>
    <xf numFmtId="0" fontId="31" fillId="35" borderId="4" xfId="0" applyFont="1" applyFill="1" applyBorder="1" applyAlignment="1">
      <alignment horizontal="center" vertical="center" wrapText="1"/>
      <protection locked="0"/>
    </xf>
    <xf numFmtId="0" fontId="31" fillId="35" borderId="4" xfId="0" applyFont="1" applyFill="1" applyBorder="1" applyAlignment="1">
      <alignment horizontal="center" vertical="center"/>
      <protection locked="0"/>
    </xf>
    <xf numFmtId="0" fontId="40" fillId="38" borderId="2" xfId="0" applyFont="1" applyFill="1" applyBorder="1" applyAlignment="1" applyProtection="1">
      <alignment vertical="center"/>
    </xf>
    <xf numFmtId="0" fontId="40" fillId="38" borderId="4" xfId="0" applyFont="1" applyFill="1" applyBorder="1" applyAlignment="1" applyProtection="1">
      <alignment vertical="center" wrapText="1"/>
    </xf>
    <xf numFmtId="0" fontId="10" fillId="36" borderId="4" xfId="39" applyNumberFormat="1" applyFont="1" applyFill="1" applyBorder="1" applyAlignment="1" applyProtection="1">
      <alignment horizontal="center" vertical="center"/>
    </xf>
    <xf numFmtId="0" fontId="39" fillId="0" borderId="4" xfId="0" applyFont="1" applyBorder="1" applyAlignment="1">
      <alignment vertical="center"/>
      <protection locked="0"/>
    </xf>
    <xf numFmtId="8" fontId="0" fillId="0" borderId="4" xfId="0" applyNumberFormat="1" applyBorder="1" applyAlignment="1" applyProtection="1">
      <alignment vertical="center"/>
    </xf>
    <xf numFmtId="0" fontId="31" fillId="38" borderId="4" xfId="0" applyFont="1" applyFill="1" applyBorder="1" applyAlignment="1" applyProtection="1">
      <alignment horizontal="center" vertical="center"/>
    </xf>
    <xf numFmtId="0" fontId="31" fillId="35" borderId="4" xfId="0" applyFont="1" applyFill="1" applyBorder="1" applyAlignment="1">
      <alignment horizontal="center" vertical="center" wrapText="1"/>
      <protection locked="0"/>
    </xf>
    <xf numFmtId="0" fontId="40" fillId="38" borderId="2" xfId="0" applyFont="1" applyFill="1" applyBorder="1" applyAlignment="1" applyProtection="1">
      <alignment vertical="center"/>
    </xf>
    <xf numFmtId="10" fontId="10" fillId="36" borderId="10" xfId="39" applyNumberFormat="1" applyFont="1" applyFill="1" applyBorder="1" applyAlignment="1" applyProtection="1">
      <alignment vertical="center" wrapText="1"/>
    </xf>
    <xf numFmtId="10" fontId="39" fillId="38" borderId="4" xfId="0" applyNumberFormat="1" applyFont="1" applyFill="1" applyBorder="1" applyProtection="1">
      <alignment vertical="center"/>
    </xf>
    <xf numFmtId="8" fontId="39" fillId="38" borderId="4" xfId="0" applyNumberFormat="1" applyFont="1" applyFill="1" applyBorder="1" applyAlignment="1" applyProtection="1">
      <alignment vertical="center"/>
    </xf>
    <xf numFmtId="171" fontId="39" fillId="0" borderId="0" xfId="0" applyNumberFormat="1" applyFont="1" applyFill="1" applyBorder="1" applyProtection="1">
      <alignment vertical="center"/>
    </xf>
    <xf numFmtId="0" fontId="6" fillId="0" borderId="4" xfId="0" applyFont="1" applyFill="1" applyBorder="1" applyAlignment="1">
      <alignment horizontal="center" vertical="top"/>
      <protection locked="0"/>
    </xf>
    <xf numFmtId="171" fontId="39" fillId="38" borderId="4" xfId="0" applyNumberFormat="1" applyFont="1" applyFill="1" applyBorder="1" applyProtection="1">
      <alignment vertical="center"/>
    </xf>
    <xf numFmtId="0" fontId="38" fillId="0" borderId="0" xfId="0" applyFont="1" applyFill="1" applyAlignment="1" applyProtection="1">
      <alignment vertical="center"/>
    </xf>
    <xf numFmtId="0" fontId="54" fillId="0" borderId="0" xfId="0" applyFont="1" applyFill="1">
      <alignment vertical="center"/>
      <protection locked="0"/>
    </xf>
    <xf numFmtId="0" fontId="38" fillId="0" borderId="4" xfId="0" applyFont="1" applyFill="1" applyBorder="1" applyAlignment="1" applyProtection="1">
      <alignment horizontal="center" vertical="center"/>
    </xf>
    <xf numFmtId="0" fontId="65" fillId="0" borderId="4" xfId="0" applyFont="1" applyFill="1" applyBorder="1" applyAlignment="1" applyProtection="1">
      <alignment horizontal="center" vertical="center"/>
    </xf>
    <xf numFmtId="0" fontId="0" fillId="38" borderId="4" xfId="0" applyNumberFormat="1" applyFont="1" applyFill="1" applyBorder="1" applyAlignment="1" applyProtection="1">
      <alignment horizontal="center" vertical="center"/>
    </xf>
    <xf numFmtId="0" fontId="42" fillId="0" borderId="4" xfId="0" applyFont="1" applyBorder="1" applyAlignment="1" applyProtection="1">
      <alignment vertical="center"/>
    </xf>
    <xf numFmtId="0" fontId="0" fillId="0" borderId="0" xfId="0" applyBorder="1" applyAlignment="1">
      <alignment horizontal="center" vertical="center"/>
      <protection locked="0"/>
    </xf>
    <xf numFmtId="0" fontId="31" fillId="0" borderId="0" xfId="0" applyFont="1" applyAlignment="1">
      <alignment vertical="center"/>
      <protection locked="0"/>
    </xf>
    <xf numFmtId="0" fontId="42" fillId="0" borderId="4" xfId="0" applyFont="1" applyFill="1" applyBorder="1" applyAlignment="1" applyProtection="1">
      <alignment horizontal="center" vertical="center"/>
    </xf>
    <xf numFmtId="0" fontId="10" fillId="36" borderId="4" xfId="33" applyNumberFormat="1" applyFont="1" applyFill="1" applyBorder="1" applyAlignment="1" applyProtection="1">
      <alignment vertical="center"/>
    </xf>
    <xf numFmtId="10" fontId="0" fillId="38" borderId="4" xfId="0" applyNumberFormat="1" applyFont="1" applyFill="1" applyBorder="1" applyAlignment="1" applyProtection="1">
      <alignment vertical="center" wrapText="1"/>
    </xf>
    <xf numFmtId="0" fontId="40" fillId="36" borderId="2" xfId="0" applyFont="1" applyFill="1" applyBorder="1" applyAlignment="1" applyProtection="1">
      <alignment vertical="center"/>
    </xf>
    <xf numFmtId="0" fontId="0" fillId="38" borderId="4" xfId="0" applyFont="1" applyFill="1" applyBorder="1" applyAlignment="1" applyProtection="1">
      <alignment vertical="center"/>
    </xf>
    <xf numFmtId="0" fontId="42" fillId="38" borderId="4" xfId="0" applyFont="1" applyFill="1" applyBorder="1" applyProtection="1">
      <alignment vertical="center"/>
    </xf>
    <xf numFmtId="0" fontId="40" fillId="36" borderId="4" xfId="0" applyFont="1" applyFill="1" applyBorder="1" applyAlignment="1" applyProtection="1">
      <alignment vertical="center" wrapText="1"/>
      <protection locked="0"/>
    </xf>
    <xf numFmtId="0" fontId="40" fillId="36" borderId="4" xfId="0" applyFont="1" applyFill="1" applyBorder="1" applyAlignment="1">
      <alignment vertical="center" wrapText="1"/>
      <protection locked="0"/>
    </xf>
    <xf numFmtId="0" fontId="31" fillId="38" borderId="4" xfId="0" applyFont="1" applyFill="1" applyBorder="1" applyAlignment="1" applyProtection="1">
      <alignment horizontal="center" vertical="center"/>
    </xf>
    <xf numFmtId="0" fontId="40" fillId="36" borderId="4" xfId="0" applyFont="1" applyFill="1" applyBorder="1" applyAlignment="1" applyProtection="1">
      <alignment vertical="center" wrapText="1"/>
      <protection locked="0"/>
    </xf>
    <xf numFmtId="0" fontId="40" fillId="36" borderId="4" xfId="0" applyFont="1" applyFill="1" applyBorder="1" applyAlignment="1">
      <alignment vertical="center"/>
      <protection locked="0"/>
    </xf>
    <xf numFmtId="0" fontId="48" fillId="46" borderId="0" xfId="0" applyFont="1" applyFill="1" applyAlignment="1" applyProtection="1">
      <alignment horizontal="center" vertical="center"/>
    </xf>
    <xf numFmtId="0" fontId="31" fillId="38" borderId="4" xfId="0" applyFont="1" applyFill="1" applyBorder="1" applyAlignment="1" applyProtection="1">
      <alignment horizontal="center" vertical="center"/>
    </xf>
    <xf numFmtId="0" fontId="48" fillId="46" borderId="0" xfId="0" applyFont="1" applyFill="1" applyAlignment="1" applyProtection="1">
      <alignment horizontal="right" vertical="center"/>
    </xf>
    <xf numFmtId="0" fontId="0" fillId="0" borderId="0" xfId="0" applyProtection="1">
      <alignment vertical="center"/>
    </xf>
    <xf numFmtId="0" fontId="0" fillId="0" borderId="0" xfId="0" applyFont="1" applyFill="1" applyProtection="1">
      <alignment vertical="center"/>
    </xf>
    <xf numFmtId="0" fontId="0" fillId="0" borderId="0" xfId="0" applyFill="1" applyProtection="1">
      <alignment vertical="center"/>
    </xf>
    <xf numFmtId="0" fontId="33" fillId="0" borderId="4" xfId="0" applyFont="1" applyBorder="1" applyAlignment="1" applyProtection="1">
      <alignment horizontal="center" vertical="center"/>
    </xf>
    <xf numFmtId="0" fontId="0" fillId="0" borderId="0" xfId="0" applyFont="1" applyProtection="1">
      <alignment vertical="center"/>
    </xf>
    <xf numFmtId="0" fontId="30" fillId="37" borderId="0" xfId="0" applyFont="1" applyFill="1" applyAlignment="1" applyProtection="1">
      <alignment vertical="center" wrapText="1"/>
    </xf>
    <xf numFmtId="0" fontId="49" fillId="0" borderId="0" xfId="0" applyFont="1" applyFill="1" applyAlignment="1" applyProtection="1">
      <alignment vertical="center"/>
    </xf>
    <xf numFmtId="0" fontId="38" fillId="35" borderId="1" xfId="0" applyFont="1" applyFill="1" applyBorder="1" applyAlignment="1" applyProtection="1">
      <alignment vertical="center" wrapText="1"/>
    </xf>
    <xf numFmtId="0" fontId="38" fillId="35" borderId="2" xfId="0" applyFont="1" applyFill="1" applyBorder="1" applyAlignment="1" applyProtection="1">
      <alignment vertical="center" wrapText="1"/>
    </xf>
    <xf numFmtId="0" fontId="31" fillId="0" borderId="0" xfId="0" applyFont="1" applyFill="1" applyProtection="1">
      <alignment vertical="center"/>
    </xf>
    <xf numFmtId="172" fontId="0" fillId="36" borderId="4" xfId="0" applyNumberFormat="1" applyFont="1" applyFill="1" applyBorder="1" applyAlignment="1" applyProtection="1">
      <alignment vertical="center"/>
      <protection locked="0"/>
    </xf>
    <xf numFmtId="8" fontId="10" fillId="36" borderId="4" xfId="39" applyNumberFormat="1" applyFont="1" applyFill="1" applyBorder="1" applyAlignment="1" applyProtection="1">
      <alignment vertical="center"/>
      <protection locked="0"/>
    </xf>
    <xf numFmtId="0" fontId="0" fillId="36" borderId="4" xfId="0" applyFont="1" applyFill="1" applyBorder="1" applyAlignment="1" applyProtection="1">
      <alignment horizontal="center" vertical="center"/>
      <protection locked="0"/>
    </xf>
    <xf numFmtId="0" fontId="40" fillId="36" borderId="4" xfId="0" applyFont="1" applyFill="1" applyBorder="1" applyAlignment="1" applyProtection="1">
      <alignment vertical="center"/>
      <protection locked="0"/>
    </xf>
    <xf numFmtId="0" fontId="15" fillId="37" borderId="0" xfId="0" applyFont="1" applyFill="1" applyAlignment="1" applyProtection="1">
      <alignment vertical="center"/>
    </xf>
    <xf numFmtId="0" fontId="31" fillId="35" borderId="4" xfId="0" applyFont="1" applyFill="1" applyBorder="1" applyAlignment="1" applyProtection="1">
      <alignment horizontal="center" vertical="center" wrapText="1"/>
    </xf>
    <xf numFmtId="0" fontId="6" fillId="41" borderId="4" xfId="0" applyFont="1" applyFill="1" applyBorder="1" applyAlignment="1">
      <alignment horizontal="center" vertical="center" wrapText="1"/>
      <protection locked="0"/>
    </xf>
    <xf numFmtId="9" fontId="4" fillId="36" borderId="4" xfId="45" applyFont="1" applyFill="1" applyBorder="1" applyAlignment="1">
      <alignment vertical="center"/>
      <protection locked="0"/>
    </xf>
    <xf numFmtId="0" fontId="0" fillId="35" borderId="4" xfId="0" applyFont="1" applyFill="1" applyBorder="1" applyAlignment="1" applyProtection="1">
      <alignment horizontal="center" vertical="center" wrapText="1"/>
    </xf>
    <xf numFmtId="9" fontId="31" fillId="38" borderId="4" xfId="45" applyFont="1" applyFill="1" applyBorder="1" applyAlignment="1" applyProtection="1">
      <alignment vertical="center"/>
    </xf>
    <xf numFmtId="0" fontId="5" fillId="47" borderId="4" xfId="0" applyFont="1" applyFill="1" applyBorder="1" applyAlignment="1" applyProtection="1">
      <alignment vertical="center" wrapText="1"/>
      <protection locked="0"/>
    </xf>
    <xf numFmtId="171" fontId="5" fillId="36" borderId="4" xfId="0" applyNumberFormat="1" applyFont="1" applyFill="1" applyBorder="1" applyAlignment="1" applyProtection="1">
      <alignment vertical="center" wrapText="1"/>
    </xf>
    <xf numFmtId="0" fontId="0" fillId="36" borderId="4" xfId="0" applyFont="1" applyFill="1" applyBorder="1" applyAlignment="1" applyProtection="1">
      <alignment horizontal="center" vertical="center"/>
    </xf>
    <xf numFmtId="0" fontId="48" fillId="46" borderId="0" xfId="0" applyFont="1" applyFill="1" applyAlignment="1" applyProtection="1">
      <alignment horizontal="center" vertical="center"/>
    </xf>
    <xf numFmtId="177" fontId="4" fillId="36" borderId="4" xfId="0" applyNumberFormat="1" applyFont="1" applyFill="1" applyBorder="1" applyAlignment="1">
      <alignment vertical="center"/>
      <protection locked="0"/>
    </xf>
    <xf numFmtId="171" fontId="42" fillId="38" borderId="4" xfId="33" applyNumberFormat="1" applyFont="1" applyFill="1" applyBorder="1" applyAlignment="1" applyProtection="1">
      <alignment vertical="center"/>
    </xf>
    <xf numFmtId="171" fontId="42" fillId="38" borderId="25" xfId="33" applyNumberFormat="1" applyFont="1" applyFill="1" applyBorder="1" applyAlignment="1" applyProtection="1">
      <alignment vertical="center"/>
    </xf>
    <xf numFmtId="171" fontId="42" fillId="38" borderId="24" xfId="33" applyNumberFormat="1" applyFont="1" applyFill="1" applyBorder="1" applyAlignment="1" applyProtection="1">
      <alignment vertical="center"/>
    </xf>
    <xf numFmtId="171" fontId="42" fillId="38" borderId="27" xfId="33" applyNumberFormat="1" applyFont="1" applyFill="1" applyBorder="1" applyAlignment="1" applyProtection="1">
      <alignment vertical="center"/>
    </xf>
    <xf numFmtId="171" fontId="42" fillId="38" borderId="28" xfId="33" applyNumberFormat="1" applyFont="1" applyFill="1" applyBorder="1" applyAlignment="1" applyProtection="1">
      <alignment vertical="center"/>
    </xf>
    <xf numFmtId="171" fontId="42" fillId="38" borderId="26" xfId="33" applyNumberFormat="1" applyFont="1" applyFill="1" applyBorder="1" applyAlignment="1" applyProtection="1">
      <alignment vertical="center"/>
    </xf>
    <xf numFmtId="6" fontId="42" fillId="35" borderId="4" xfId="0" applyNumberFormat="1" applyFont="1" applyFill="1" applyBorder="1" applyProtection="1">
      <alignment vertical="center"/>
    </xf>
    <xf numFmtId="181" fontId="0" fillId="36" borderId="4" xfId="0" applyNumberFormat="1" applyFont="1" applyFill="1" applyBorder="1" applyAlignment="1" applyProtection="1">
      <alignment vertical="center"/>
      <protection locked="0"/>
    </xf>
    <xf numFmtId="2" fontId="0" fillId="36" borderId="4" xfId="33" applyNumberFormat="1" applyFont="1" applyFill="1" applyBorder="1" applyAlignment="1" applyProtection="1">
      <alignment vertical="center"/>
    </xf>
    <xf numFmtId="0" fontId="31" fillId="35" borderId="4" xfId="0" applyFont="1" applyFill="1" applyBorder="1" applyAlignment="1">
      <alignment horizontal="center" vertical="center" wrapText="1"/>
      <protection locked="0"/>
    </xf>
    <xf numFmtId="0" fontId="40" fillId="38" borderId="2" xfId="0" applyFont="1" applyFill="1" applyBorder="1" applyAlignment="1" applyProtection="1">
      <alignment vertical="center"/>
    </xf>
    <xf numFmtId="0" fontId="0" fillId="0" borderId="0" xfId="0" applyAlignment="1" applyProtection="1"/>
    <xf numFmtId="1" fontId="10" fillId="38" borderId="4" xfId="39" applyNumberFormat="1" applyFont="1" applyFill="1" applyBorder="1" applyAlignment="1" applyProtection="1">
      <alignment horizontal="center" vertical="center"/>
    </xf>
    <xf numFmtId="0" fontId="52" fillId="37" borderId="0" xfId="0" applyFont="1" applyFill="1" applyAlignment="1" applyProtection="1">
      <alignment horizontal="center" vertical="center"/>
    </xf>
    <xf numFmtId="0" fontId="31" fillId="35" borderId="4" xfId="0" applyFont="1" applyFill="1" applyBorder="1" applyAlignment="1" applyProtection="1">
      <alignment horizontal="center" vertical="center" wrapText="1"/>
    </xf>
    <xf numFmtId="0" fontId="43" fillId="37" borderId="0" xfId="0" applyFont="1" applyFill="1" applyAlignment="1" applyProtection="1">
      <alignment horizontal="right" vertical="center"/>
    </xf>
    <xf numFmtId="0" fontId="52" fillId="37" borderId="0" xfId="0" applyFont="1" applyFill="1" applyAlignment="1" applyProtection="1">
      <alignment horizontal="right" vertical="center"/>
    </xf>
    <xf numFmtId="0" fontId="0" fillId="36" borderId="4" xfId="0" applyNumberFormat="1" applyFont="1" applyFill="1" applyBorder="1" applyAlignment="1" applyProtection="1">
      <alignment horizontal="center" vertical="center"/>
    </xf>
    <xf numFmtId="8" fontId="0" fillId="0" borderId="0" xfId="0" applyNumberFormat="1">
      <alignment vertical="center"/>
      <protection locked="0"/>
    </xf>
    <xf numFmtId="171" fontId="4" fillId="38" borderId="4" xfId="0" applyNumberFormat="1" applyFont="1" applyFill="1" applyBorder="1" applyAlignment="1" applyProtection="1">
      <alignment vertical="center"/>
    </xf>
    <xf numFmtId="10" fontId="40" fillId="0" borderId="4" xfId="45" applyNumberFormat="1" applyFont="1" applyBorder="1" applyAlignment="1" applyProtection="1">
      <alignment vertical="center"/>
    </xf>
    <xf numFmtId="0" fontId="0" fillId="35" borderId="4" xfId="0" applyFont="1" applyFill="1" applyBorder="1">
      <alignment vertical="center"/>
      <protection locked="0"/>
    </xf>
    <xf numFmtId="10" fontId="39" fillId="38" borderId="4" xfId="45" applyNumberFormat="1" applyFont="1" applyFill="1" applyBorder="1" applyAlignment="1" applyProtection="1">
      <alignment vertical="center"/>
    </xf>
    <xf numFmtId="171" fontId="42" fillId="38" borderId="4" xfId="0" applyNumberFormat="1" applyFont="1" applyFill="1" applyBorder="1" applyAlignment="1" applyProtection="1">
      <alignment vertical="center"/>
    </xf>
    <xf numFmtId="171" fontId="42" fillId="38" borderId="4" xfId="0" applyNumberFormat="1" applyFont="1" applyFill="1" applyBorder="1" applyAlignment="1" applyProtection="1">
      <alignment horizontal="center" vertical="center"/>
    </xf>
    <xf numFmtId="0" fontId="40" fillId="36" borderId="4" xfId="0" applyFont="1" applyFill="1" applyBorder="1" applyAlignment="1">
      <alignment vertical="center"/>
      <protection locked="0"/>
    </xf>
    <xf numFmtId="0" fontId="31" fillId="38" borderId="4" xfId="0" applyFont="1" applyFill="1" applyBorder="1" applyAlignment="1" applyProtection="1">
      <alignment horizontal="center" vertical="center"/>
    </xf>
    <xf numFmtId="0" fontId="40" fillId="38" borderId="2" xfId="0" applyFont="1" applyFill="1" applyBorder="1" applyAlignment="1" applyProtection="1">
      <alignment vertical="center"/>
    </xf>
    <xf numFmtId="2" fontId="0" fillId="36" borderId="4" xfId="0" applyNumberFormat="1" applyFont="1" applyFill="1" applyBorder="1" applyAlignment="1" applyProtection="1">
      <alignment vertical="center"/>
    </xf>
    <xf numFmtId="2" fontId="0" fillId="36" borderId="4" xfId="0" applyNumberFormat="1" applyFont="1" applyFill="1" applyBorder="1" applyAlignment="1">
      <alignment vertical="center"/>
      <protection locked="0"/>
    </xf>
    <xf numFmtId="10" fontId="0" fillId="36" borderId="4" xfId="0" applyNumberFormat="1" applyFont="1" applyFill="1" applyBorder="1" applyAlignment="1">
      <alignment vertical="center"/>
      <protection locked="0"/>
    </xf>
    <xf numFmtId="0" fontId="31" fillId="38" borderId="4" xfId="0" applyFont="1" applyFill="1" applyBorder="1" applyAlignment="1" applyProtection="1">
      <alignment horizontal="center" vertical="center"/>
    </xf>
    <xf numFmtId="3" fontId="10" fillId="39" borderId="4" xfId="0" applyNumberFormat="1" applyFont="1" applyFill="1" applyBorder="1" applyAlignment="1" applyProtection="1"/>
    <xf numFmtId="0" fontId="0" fillId="38" borderId="8" xfId="0" applyFont="1" applyFill="1" applyBorder="1" applyAlignment="1">
      <alignment vertical="center"/>
      <protection locked="0"/>
    </xf>
    <xf numFmtId="10" fontId="0" fillId="36" borderId="8" xfId="0" applyNumberFormat="1" applyFont="1" applyFill="1" applyBorder="1" applyAlignment="1">
      <alignment vertical="center"/>
      <protection locked="0"/>
    </xf>
    <xf numFmtId="10" fontId="42" fillId="0" borderId="4" xfId="45" applyNumberFormat="1" applyFont="1" applyBorder="1" applyAlignment="1" applyProtection="1">
      <alignment vertical="center"/>
    </xf>
    <xf numFmtId="3" fontId="10" fillId="38" borderId="4" xfId="0" applyNumberFormat="1" applyFont="1" applyFill="1" applyBorder="1" applyAlignment="1" applyProtection="1"/>
    <xf numFmtId="0" fontId="42" fillId="0" borderId="4" xfId="0" applyFont="1" applyBorder="1" applyAlignment="1">
      <alignment horizontal="center" vertical="center"/>
      <protection locked="0"/>
    </xf>
    <xf numFmtId="0" fontId="40" fillId="0" borderId="0" xfId="0" applyFont="1">
      <alignment vertical="center"/>
      <protection locked="0"/>
    </xf>
    <xf numFmtId="10" fontId="42" fillId="0" borderId="0" xfId="45" applyNumberFormat="1" applyFont="1" applyBorder="1" applyAlignment="1" applyProtection="1">
      <alignment vertical="center"/>
    </xf>
    <xf numFmtId="0" fontId="42" fillId="0" borderId="4" xfId="0" applyFont="1" applyBorder="1">
      <alignment vertical="center"/>
      <protection locked="0"/>
    </xf>
    <xf numFmtId="0" fontId="42" fillId="0" borderId="4" xfId="0" applyFont="1" applyFill="1" applyBorder="1">
      <alignment vertical="center"/>
      <protection locked="0"/>
    </xf>
    <xf numFmtId="10" fontId="42" fillId="48" borderId="4" xfId="45" applyNumberFormat="1" applyFont="1" applyFill="1" applyBorder="1" applyAlignment="1" applyProtection="1">
      <alignment vertical="center"/>
    </xf>
    <xf numFmtId="0" fontId="77" fillId="0" borderId="0" xfId="0" applyFont="1">
      <alignment vertical="center"/>
      <protection locked="0"/>
    </xf>
    <xf numFmtId="0" fontId="0" fillId="35" borderId="4" xfId="0" applyFont="1" applyFill="1" applyBorder="1">
      <alignment vertical="center"/>
      <protection locked="0"/>
    </xf>
    <xf numFmtId="0" fontId="0" fillId="0" borderId="4" xfId="0" applyFont="1" applyBorder="1" applyAlignment="1">
      <alignment vertical="center"/>
      <protection locked="0"/>
    </xf>
    <xf numFmtId="171" fontId="42" fillId="0" borderId="4" xfId="0" applyNumberFormat="1" applyFont="1" applyFill="1" applyBorder="1" applyAlignment="1" applyProtection="1"/>
    <xf numFmtId="0" fontId="78" fillId="35" borderId="4" xfId="0" applyFont="1" applyFill="1" applyBorder="1" applyAlignment="1" applyProtection="1">
      <alignment horizontal="center"/>
    </xf>
    <xf numFmtId="171" fontId="42" fillId="38" borderId="4" xfId="0" applyNumberFormat="1" applyFont="1" applyFill="1" applyBorder="1" applyProtection="1">
      <alignment vertical="center"/>
    </xf>
    <xf numFmtId="0" fontId="65" fillId="38" borderId="4" xfId="0" applyFont="1" applyFill="1" applyBorder="1" applyAlignment="1" applyProtection="1">
      <alignment horizontal="center" vertical="center"/>
    </xf>
    <xf numFmtId="0" fontId="42" fillId="38" borderId="4" xfId="0" applyFont="1" applyFill="1" applyBorder="1" applyAlignment="1" applyProtection="1">
      <alignment horizontal="left" vertical="center"/>
    </xf>
    <xf numFmtId="171" fontId="42" fillId="38" borderId="4" xfId="0" applyNumberFormat="1" applyFont="1" applyFill="1" applyBorder="1" applyAlignment="1" applyProtection="1"/>
    <xf numFmtId="0" fontId="31" fillId="38" borderId="4" xfId="0" applyFont="1" applyFill="1" applyBorder="1" applyAlignment="1" applyProtection="1">
      <alignment horizontal="center" vertical="center"/>
    </xf>
    <xf numFmtId="0" fontId="31" fillId="35" borderId="4" xfId="0" applyFont="1" applyFill="1" applyBorder="1" applyAlignment="1">
      <alignment horizontal="center" vertical="center" wrapText="1"/>
      <protection locked="0"/>
    </xf>
    <xf numFmtId="0" fontId="31" fillId="35" borderId="4" xfId="0" applyFont="1" applyFill="1" applyBorder="1" applyAlignment="1" applyProtection="1">
      <alignment horizontal="center" vertical="center" wrapText="1"/>
    </xf>
    <xf numFmtId="172" fontId="42" fillId="0" borderId="4" xfId="0" applyNumberFormat="1" applyFont="1" applyBorder="1" applyProtection="1">
      <alignment vertical="center"/>
    </xf>
    <xf numFmtId="10" fontId="0" fillId="36" borderId="4" xfId="0" applyNumberFormat="1" applyFill="1" applyBorder="1" applyProtection="1">
      <alignment vertical="center"/>
    </xf>
    <xf numFmtId="0" fontId="31" fillId="38" borderId="4" xfId="0" applyFont="1" applyFill="1" applyBorder="1" applyAlignment="1" applyProtection="1">
      <alignment horizontal="center" vertical="center"/>
    </xf>
    <xf numFmtId="0" fontId="31" fillId="35" borderId="4" xfId="0" applyFont="1" applyFill="1" applyBorder="1" applyAlignment="1">
      <alignment horizontal="center" vertical="center" wrapText="1"/>
      <protection locked="0"/>
    </xf>
    <xf numFmtId="0" fontId="42" fillId="0" borderId="4" xfId="0" applyFont="1" applyFill="1" applyBorder="1" applyAlignment="1">
      <alignment horizontal="center" vertical="center"/>
      <protection locked="0"/>
    </xf>
    <xf numFmtId="0" fontId="0" fillId="36" borderId="4" xfId="0" applyFont="1" applyFill="1" applyBorder="1" applyAlignment="1">
      <alignment vertical="center"/>
      <protection locked="0"/>
    </xf>
    <xf numFmtId="0" fontId="65" fillId="35" borderId="4" xfId="0" applyFont="1" applyFill="1" applyBorder="1" applyAlignment="1" applyProtection="1">
      <alignment horizontal="center" vertical="center"/>
    </xf>
    <xf numFmtId="4" fontId="4" fillId="36" borderId="4" xfId="0" applyNumberFormat="1" applyFont="1" applyFill="1" applyBorder="1" applyAlignment="1">
      <alignment vertical="center"/>
      <protection locked="0"/>
    </xf>
    <xf numFmtId="4" fontId="4" fillId="36" borderId="4" xfId="0" applyNumberFormat="1" applyFont="1" applyFill="1" applyBorder="1" applyAlignment="1" applyProtection="1">
      <alignment vertical="center"/>
    </xf>
    <xf numFmtId="171" fontId="5" fillId="0" borderId="7" xfId="0" applyNumberFormat="1" applyFont="1" applyBorder="1" applyAlignment="1" applyProtection="1">
      <alignment vertical="center"/>
    </xf>
    <xf numFmtId="182" fontId="29" fillId="0" borderId="4" xfId="0" applyNumberFormat="1" applyFont="1" applyBorder="1" applyAlignment="1" applyProtection="1">
      <alignment vertical="center"/>
    </xf>
    <xf numFmtId="0" fontId="5" fillId="35" borderId="4" xfId="0" applyFont="1" applyFill="1" applyBorder="1" applyAlignment="1" applyProtection="1">
      <alignment vertical="center"/>
      <protection locked="0"/>
    </xf>
    <xf numFmtId="182" fontId="46" fillId="0" borderId="4" xfId="0" applyNumberFormat="1" applyFont="1" applyBorder="1" applyAlignment="1" applyProtection="1">
      <alignment vertical="center"/>
    </xf>
    <xf numFmtId="0" fontId="5" fillId="0" borderId="4" xfId="0" applyFont="1" applyBorder="1" applyAlignment="1" applyProtection="1"/>
    <xf numFmtId="0" fontId="0" fillId="0" borderId="0" xfId="0" applyFont="1" applyAlignment="1" applyProtection="1">
      <alignment vertical="center"/>
      <protection locked="0"/>
    </xf>
    <xf numFmtId="2" fontId="0" fillId="0" borderId="0" xfId="0" applyNumberFormat="1" applyFont="1" applyAlignment="1" applyProtection="1">
      <alignment vertical="center"/>
      <protection locked="0"/>
    </xf>
    <xf numFmtId="183" fontId="29" fillId="0" borderId="4" xfId="0" applyNumberFormat="1" applyFont="1" applyBorder="1" applyAlignment="1" applyProtection="1">
      <alignment vertical="center"/>
    </xf>
    <xf numFmtId="2" fontId="0" fillId="36" borderId="4" xfId="0" applyNumberFormat="1" applyFont="1" applyFill="1" applyBorder="1" applyAlignment="1" applyProtection="1">
      <alignment vertical="center"/>
      <protection locked="0"/>
    </xf>
    <xf numFmtId="0" fontId="0" fillId="38" borderId="4" xfId="33" applyNumberFormat="1" applyFont="1" applyFill="1" applyBorder="1" applyAlignment="1" applyProtection="1">
      <alignment horizontal="center" vertical="center"/>
    </xf>
    <xf numFmtId="0" fontId="29" fillId="0" borderId="0" xfId="0" applyFont="1" applyAlignment="1" applyProtection="1">
      <alignment vertical="center"/>
      <protection locked="0"/>
    </xf>
    <xf numFmtId="0" fontId="0" fillId="35" borderId="4" xfId="0" applyFont="1" applyFill="1" applyBorder="1" applyAlignment="1" applyProtection="1">
      <alignment vertical="center"/>
      <protection locked="0"/>
    </xf>
    <xf numFmtId="0" fontId="28" fillId="35" borderId="4" xfId="0" applyFont="1" applyFill="1" applyBorder="1" applyAlignment="1" applyProtection="1">
      <alignment vertical="center"/>
    </xf>
    <xf numFmtId="171" fontId="28" fillId="38" borderId="4" xfId="0" applyNumberFormat="1" applyFont="1" applyFill="1" applyBorder="1" applyAlignment="1" applyProtection="1">
      <alignment vertical="center"/>
    </xf>
    <xf numFmtId="0" fontId="65" fillId="0" borderId="0" xfId="0" applyFont="1" applyFill="1" applyBorder="1" applyAlignment="1" applyProtection="1">
      <alignment horizontal="center" vertical="center"/>
    </xf>
    <xf numFmtId="171" fontId="4" fillId="43" borderId="4" xfId="0" applyNumberFormat="1" applyFont="1" applyFill="1" applyBorder="1" applyAlignment="1" applyProtection="1">
      <alignment vertical="center"/>
    </xf>
    <xf numFmtId="0" fontId="46" fillId="0" borderId="4" xfId="0" applyFont="1" applyFill="1" applyBorder="1" applyAlignment="1">
      <alignment horizontal="center" vertical="top"/>
      <protection locked="0"/>
    </xf>
    <xf numFmtId="0" fontId="79" fillId="0" borderId="4" xfId="0" applyFont="1" applyFill="1" applyBorder="1" applyAlignment="1">
      <alignment horizontal="center" vertical="top"/>
      <protection locked="0"/>
    </xf>
    <xf numFmtId="0" fontId="39" fillId="35" borderId="4" xfId="0" applyFont="1" applyFill="1" applyBorder="1">
      <alignment vertical="center"/>
      <protection locked="0"/>
    </xf>
    <xf numFmtId="0" fontId="0" fillId="36" borderId="4" xfId="0" applyFill="1" applyBorder="1">
      <alignment vertical="center"/>
      <protection locked="0"/>
    </xf>
    <xf numFmtId="0" fontId="4" fillId="0" borderId="4" xfId="0" applyFont="1" applyFill="1" applyBorder="1" applyAlignment="1" applyProtection="1">
      <alignment vertical="center" wrapText="1"/>
    </xf>
    <xf numFmtId="0" fontId="5" fillId="0" borderId="4" xfId="0" applyFont="1" applyFill="1" applyBorder="1" applyAlignment="1" applyProtection="1">
      <alignment horizontal="center" vertical="center" wrapText="1"/>
    </xf>
    <xf numFmtId="0" fontId="4" fillId="0" borderId="4" xfId="0" applyFont="1" applyFill="1" applyBorder="1" applyAlignment="1" applyProtection="1">
      <alignment horizontal="center" vertical="center" wrapText="1"/>
    </xf>
    <xf numFmtId="0" fontId="6" fillId="0" borderId="4" xfId="0" applyFont="1" applyFill="1" applyBorder="1" applyAlignment="1" applyProtection="1">
      <alignment horizontal="center" vertical="center"/>
    </xf>
    <xf numFmtId="180" fontId="5" fillId="36" borderId="4" xfId="0" applyNumberFormat="1" applyFont="1" applyFill="1" applyBorder="1" applyAlignment="1" applyProtection="1">
      <alignment vertical="center"/>
    </xf>
    <xf numFmtId="180" fontId="0" fillId="36" borderId="4" xfId="0" applyNumberFormat="1" applyFill="1" applyBorder="1" applyAlignment="1">
      <alignment vertical="center"/>
      <protection locked="0"/>
    </xf>
    <xf numFmtId="180" fontId="6" fillId="38" borderId="4" xfId="0" applyNumberFormat="1" applyFont="1" applyFill="1" applyBorder="1" applyAlignment="1" applyProtection="1">
      <alignment vertical="center" wrapText="1"/>
    </xf>
    <xf numFmtId="0" fontId="40" fillId="38" borderId="4" xfId="0" applyFont="1" applyFill="1" applyBorder="1" applyAlignment="1" applyProtection="1">
      <alignment vertical="center"/>
    </xf>
    <xf numFmtId="10" fontId="40" fillId="0" borderId="0" xfId="45" applyNumberFormat="1" applyFont="1" applyBorder="1" applyAlignment="1" applyProtection="1">
      <alignment vertical="center"/>
    </xf>
    <xf numFmtId="1" fontId="31" fillId="41" borderId="8" xfId="0" applyNumberFormat="1" applyFont="1" applyFill="1" applyBorder="1" applyAlignment="1" applyProtection="1">
      <alignment horizontal="center" vertical="center"/>
    </xf>
    <xf numFmtId="0" fontId="31" fillId="41" borderId="8" xfId="0" applyFont="1" applyFill="1" applyBorder="1" applyAlignment="1" applyProtection="1">
      <alignment horizontal="center" vertical="center"/>
    </xf>
    <xf numFmtId="0" fontId="41" fillId="36" borderId="4" xfId="33" applyNumberFormat="1" applyFont="1" applyFill="1" applyBorder="1" applyAlignment="1" applyProtection="1">
      <alignment vertical="center" wrapText="1"/>
    </xf>
    <xf numFmtId="0" fontId="31" fillId="38" borderId="4" xfId="0" applyFont="1" applyFill="1" applyBorder="1" applyAlignment="1" applyProtection="1">
      <alignment horizontal="center" vertical="center"/>
    </xf>
    <xf numFmtId="0" fontId="42" fillId="0" borderId="4" xfId="0" applyFont="1" applyBorder="1" applyAlignment="1" applyProtection="1">
      <alignment vertical="center"/>
    </xf>
    <xf numFmtId="0" fontId="48" fillId="46" borderId="0" xfId="0" applyFont="1" applyFill="1" applyAlignment="1" applyProtection="1">
      <alignment horizontal="center" vertical="center"/>
    </xf>
    <xf numFmtId="0" fontId="41" fillId="36" borderId="4" xfId="33" applyNumberFormat="1" applyFont="1" applyFill="1" applyBorder="1" applyAlignment="1" applyProtection="1">
      <alignment vertical="center" wrapText="1"/>
    </xf>
    <xf numFmtId="0" fontId="31" fillId="38" borderId="4" xfId="0" applyFont="1" applyFill="1" applyBorder="1" applyAlignment="1" applyProtection="1">
      <alignment horizontal="center" vertical="center"/>
    </xf>
    <xf numFmtId="0" fontId="0" fillId="0" borderId="0" xfId="0" applyFill="1">
      <alignment vertical="center"/>
      <protection locked="0"/>
    </xf>
    <xf numFmtId="0" fontId="31" fillId="0" borderId="0" xfId="0" applyFont="1" applyFill="1" applyAlignment="1">
      <alignment vertical="center"/>
      <protection locked="0"/>
    </xf>
    <xf numFmtId="0" fontId="28" fillId="0" borderId="0" xfId="0" applyFont="1" applyFill="1" applyAlignment="1" applyProtection="1">
      <alignment vertical="center"/>
    </xf>
    <xf numFmtId="171" fontId="12" fillId="0" borderId="0" xfId="0" applyNumberFormat="1" applyFont="1" applyFill="1" applyAlignment="1" applyProtection="1">
      <alignment vertical="center"/>
      <protection locked="0"/>
    </xf>
    <xf numFmtId="181" fontId="29" fillId="0" borderId="0" xfId="0" applyNumberFormat="1" applyFont="1" applyFill="1" applyAlignment="1" applyProtection="1">
      <alignment vertical="center"/>
      <protection locked="0"/>
    </xf>
    <xf numFmtId="171" fontId="29" fillId="0" borderId="0" xfId="0" applyNumberFormat="1" applyFont="1" applyFill="1" applyAlignment="1" applyProtection="1">
      <alignment vertical="center"/>
      <protection locked="0"/>
    </xf>
    <xf numFmtId="0" fontId="0" fillId="0" borderId="0" xfId="0" applyFill="1" applyAlignment="1" applyProtection="1"/>
    <xf numFmtId="0" fontId="0"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49" fillId="0" borderId="0" xfId="0" applyFont="1" applyFill="1">
      <alignment vertical="center"/>
      <protection locked="0"/>
    </xf>
    <xf numFmtId="0" fontId="2" fillId="0" borderId="0" xfId="0" applyFont="1" applyFill="1" applyAlignment="1" applyProtection="1">
      <alignment vertical="center"/>
    </xf>
    <xf numFmtId="0" fontId="11" fillId="0" borderId="0" xfId="0" applyFont="1" applyFill="1" applyAlignment="1" applyProtection="1">
      <alignment vertical="center" wrapText="1"/>
    </xf>
    <xf numFmtId="0" fontId="2" fillId="0" borderId="0" xfId="0" applyFont="1" applyFill="1" applyAlignment="1" applyProtection="1">
      <alignment vertical="center" wrapText="1"/>
    </xf>
    <xf numFmtId="0" fontId="38" fillId="0" borderId="0" xfId="0" applyFont="1" applyFill="1" applyBorder="1" applyAlignment="1" applyProtection="1">
      <alignment horizontal="center" vertical="center"/>
    </xf>
    <xf numFmtId="0" fontId="0" fillId="0" borderId="0" xfId="0" applyFont="1" applyFill="1" applyAlignment="1" applyProtection="1">
      <alignment horizontal="center" vertical="center"/>
    </xf>
    <xf numFmtId="0" fontId="31" fillId="38" borderId="4" xfId="0" applyFont="1" applyFill="1" applyBorder="1" applyAlignment="1" applyProtection="1">
      <alignment horizontal="center" vertical="center"/>
    </xf>
    <xf numFmtId="0" fontId="0" fillId="36" borderId="4" xfId="0" applyFont="1" applyFill="1" applyBorder="1" applyAlignment="1">
      <alignment vertical="center"/>
      <protection locked="0"/>
    </xf>
    <xf numFmtId="0" fontId="31" fillId="35" borderId="4" xfId="0" applyFont="1" applyFill="1" applyBorder="1" applyAlignment="1">
      <alignment horizontal="center" vertical="center"/>
      <protection locked="0"/>
    </xf>
    <xf numFmtId="0" fontId="52" fillId="37" borderId="0" xfId="0" applyFont="1" applyFill="1" applyAlignment="1" applyProtection="1">
      <alignment horizontal="center" vertical="center"/>
    </xf>
    <xf numFmtId="0" fontId="42" fillId="0" borderId="4" xfId="0" applyFont="1" applyBorder="1" applyAlignment="1" applyProtection="1">
      <alignment vertical="center"/>
    </xf>
    <xf numFmtId="0" fontId="31" fillId="35" borderId="2" xfId="0" applyFont="1" applyFill="1" applyBorder="1" applyAlignment="1">
      <alignment horizontal="left" vertical="center" wrapText="1"/>
      <protection locked="0"/>
    </xf>
    <xf numFmtId="0" fontId="0" fillId="0" borderId="0" xfId="0" applyFont="1" applyFill="1" applyAlignment="1" applyProtection="1">
      <alignment horizontal="center" vertical="center"/>
    </xf>
    <xf numFmtId="0" fontId="71" fillId="37" borderId="0" xfId="0" applyFont="1" applyFill="1" applyAlignment="1" applyProtection="1">
      <alignment vertical="center"/>
    </xf>
    <xf numFmtId="0" fontId="0" fillId="0" borderId="0" xfId="0" applyFont="1" applyFill="1" applyBorder="1" applyAlignment="1">
      <alignment vertical="center"/>
      <protection locked="0"/>
    </xf>
    <xf numFmtId="0" fontId="39" fillId="0" borderId="0" xfId="0" applyFont="1" applyFill="1" applyBorder="1" applyAlignment="1" applyProtection="1">
      <alignment vertical="center"/>
    </xf>
    <xf numFmtId="0" fontId="39" fillId="0" borderId="0" xfId="0" applyFont="1" applyFill="1" applyBorder="1" applyAlignment="1">
      <alignment vertical="center"/>
      <protection locked="0"/>
    </xf>
    <xf numFmtId="0" fontId="0" fillId="0" borderId="0" xfId="0" applyFont="1" applyFill="1">
      <alignment vertical="center"/>
      <protection locked="0"/>
    </xf>
    <xf numFmtId="0" fontId="39" fillId="0" borderId="0" xfId="0" applyFont="1" applyFill="1" applyAlignment="1">
      <alignment vertical="center"/>
      <protection locked="0"/>
    </xf>
    <xf numFmtId="0" fontId="31" fillId="0" borderId="0" xfId="0" applyFont="1" applyFill="1" applyBorder="1" applyAlignment="1">
      <alignment vertical="center"/>
      <protection locked="0"/>
    </xf>
    <xf numFmtId="0" fontId="0" fillId="0" borderId="0" xfId="0" applyFont="1" applyFill="1" applyAlignment="1">
      <alignment horizontal="left" vertical="center"/>
      <protection locked="0"/>
    </xf>
    <xf numFmtId="0" fontId="30" fillId="0" borderId="0" xfId="0" applyFont="1" applyFill="1" applyAlignment="1" applyProtection="1">
      <alignment vertical="center"/>
    </xf>
    <xf numFmtId="0" fontId="38" fillId="0" borderId="0" xfId="0" applyFont="1" applyFill="1" applyAlignment="1">
      <alignment vertical="center"/>
      <protection locked="0"/>
    </xf>
    <xf numFmtId="0" fontId="56" fillId="0" borderId="0" xfId="0" applyFont="1" applyFill="1" applyAlignment="1">
      <alignment vertical="center"/>
      <protection locked="0"/>
    </xf>
    <xf numFmtId="0" fontId="60" fillId="0" borderId="0" xfId="0" applyFont="1" applyFill="1" applyAlignment="1">
      <alignment vertical="center"/>
      <protection locked="0"/>
    </xf>
    <xf numFmtId="0" fontId="42" fillId="0" borderId="0" xfId="0" applyFont="1" applyFill="1" applyAlignment="1">
      <alignment vertical="center"/>
      <protection locked="0"/>
    </xf>
    <xf numFmtId="0" fontId="49" fillId="0" borderId="0" xfId="0" applyFont="1" applyFill="1" applyAlignment="1">
      <alignment vertical="center"/>
      <protection locked="0"/>
    </xf>
    <xf numFmtId="0" fontId="4" fillId="0" borderId="0" xfId="0" applyFont="1" applyFill="1" applyAlignment="1">
      <alignment vertical="center" wrapText="1"/>
      <protection locked="0"/>
    </xf>
    <xf numFmtId="0" fontId="4" fillId="0" borderId="0" xfId="0" applyFont="1" applyFill="1" applyAlignment="1">
      <alignment vertical="center"/>
      <protection locked="0"/>
    </xf>
    <xf numFmtId="1" fontId="31" fillId="0" borderId="0" xfId="0" applyNumberFormat="1" applyFont="1" applyFill="1" applyBorder="1" applyAlignment="1" applyProtection="1">
      <alignment horizontal="center" vertical="center"/>
    </xf>
    <xf numFmtId="171" fontId="0" fillId="0" borderId="0" xfId="0" applyNumberFormat="1" applyFont="1" applyFill="1" applyBorder="1" applyAlignment="1" applyProtection="1">
      <alignment vertical="center"/>
    </xf>
    <xf numFmtId="0" fontId="53" fillId="0" borderId="0" xfId="0" applyFont="1" applyFill="1" applyAlignment="1">
      <alignment vertical="center"/>
      <protection locked="0"/>
    </xf>
    <xf numFmtId="0" fontId="0" fillId="0" borderId="0" xfId="0" applyFill="1" applyAlignment="1">
      <alignment vertical="center" wrapText="1"/>
      <protection locked="0"/>
    </xf>
    <xf numFmtId="0" fontId="38" fillId="0" borderId="0" xfId="0" applyFont="1" applyFill="1" applyAlignment="1">
      <alignment horizontal="left" vertical="center" wrapText="1"/>
      <protection locked="0"/>
    </xf>
    <xf numFmtId="0" fontId="33" fillId="0" borderId="0" xfId="0" applyFont="1" applyFill="1" applyBorder="1" applyAlignment="1">
      <alignment vertical="center"/>
      <protection locked="0"/>
    </xf>
    <xf numFmtId="0" fontId="59" fillId="0" borderId="0" xfId="0" applyFont="1" applyFill="1" applyAlignment="1">
      <alignment vertical="center"/>
      <protection locked="0"/>
    </xf>
    <xf numFmtId="0" fontId="0" fillId="0" borderId="0" xfId="0" applyFont="1" applyFill="1" applyAlignment="1">
      <alignment horizontal="left" vertical="center" wrapText="1"/>
      <protection locked="0"/>
    </xf>
    <xf numFmtId="0" fontId="31" fillId="0" borderId="0" xfId="0" applyFont="1" applyFill="1" applyBorder="1" applyAlignment="1" applyProtection="1">
      <alignment vertical="center" wrapText="1"/>
    </xf>
    <xf numFmtId="0" fontId="55" fillId="0" borderId="0" xfId="0" applyFont="1" applyFill="1" applyAlignment="1">
      <alignment vertical="center"/>
      <protection locked="0"/>
    </xf>
    <xf numFmtId="0" fontId="59" fillId="0" borderId="0" xfId="0" applyFont="1" applyFill="1" applyAlignment="1" applyProtection="1">
      <alignment vertical="center"/>
    </xf>
    <xf numFmtId="0" fontId="33" fillId="0" borderId="0" xfId="0" applyFont="1" applyFill="1" applyBorder="1" applyAlignment="1" applyProtection="1">
      <alignment vertical="center"/>
    </xf>
    <xf numFmtId="0" fontId="31" fillId="0" borderId="7" xfId="0" applyFont="1" applyFill="1" applyBorder="1" applyAlignment="1" applyProtection="1">
      <alignment vertical="center" wrapText="1"/>
    </xf>
    <xf numFmtId="164" fontId="39" fillId="0" borderId="0" xfId="0" applyNumberFormat="1" applyFont="1" applyFill="1" applyAlignment="1" applyProtection="1">
      <alignment vertical="center"/>
    </xf>
    <xf numFmtId="0" fontId="31" fillId="0" borderId="0" xfId="0" applyFont="1" applyFill="1" applyBorder="1">
      <alignment vertical="center"/>
      <protection locked="0"/>
    </xf>
    <xf numFmtId="0" fontId="0" fillId="0" borderId="0" xfId="0" applyFill="1" applyAlignment="1" applyProtection="1">
      <alignment horizontal="center" vertical="center"/>
    </xf>
    <xf numFmtId="164" fontId="39" fillId="0" borderId="0" xfId="0" applyNumberFormat="1" applyFont="1" applyFill="1" applyBorder="1" applyProtection="1">
      <alignment vertical="center"/>
    </xf>
    <xf numFmtId="0" fontId="53" fillId="0" borderId="0" xfId="0" applyFont="1" applyFill="1" applyAlignment="1" applyProtection="1">
      <alignment vertical="center"/>
    </xf>
    <xf numFmtId="0" fontId="0" fillId="0" borderId="0" xfId="0" applyFill="1" applyAlignment="1" applyProtection="1">
      <alignment vertical="center" wrapText="1"/>
    </xf>
    <xf numFmtId="0" fontId="40" fillId="0" borderId="0" xfId="0" applyFont="1" applyFill="1" applyAlignment="1" applyProtection="1">
      <alignment vertical="center"/>
    </xf>
    <xf numFmtId="0" fontId="0" fillId="0" borderId="0" xfId="0" applyFont="1" applyFill="1" applyBorder="1" applyAlignment="1" applyProtection="1">
      <alignment vertical="center"/>
    </xf>
    <xf numFmtId="0" fontId="31" fillId="0" borderId="0" xfId="0" applyFont="1" applyFill="1" applyBorder="1" applyAlignment="1" applyProtection="1">
      <alignment horizontal="center" vertical="center"/>
    </xf>
    <xf numFmtId="169" fontId="0" fillId="0" borderId="0" xfId="0" applyNumberFormat="1" applyFont="1" applyFill="1" applyBorder="1" applyAlignment="1" applyProtection="1">
      <alignment horizontal="center"/>
    </xf>
    <xf numFmtId="0" fontId="0" fillId="0" borderId="0" xfId="0" applyFont="1" applyFill="1" applyBorder="1" applyProtection="1">
      <alignment vertical="center"/>
    </xf>
    <xf numFmtId="0" fontId="31" fillId="0" borderId="0" xfId="0" applyFont="1" applyFill="1" applyAlignment="1" applyProtection="1">
      <alignment vertical="center"/>
    </xf>
    <xf numFmtId="0" fontId="31" fillId="0" borderId="0" xfId="0" applyFont="1" applyFill="1" applyBorder="1" applyAlignment="1" applyProtection="1">
      <alignment vertical="center"/>
    </xf>
    <xf numFmtId="0" fontId="50" fillId="0" borderId="0" xfId="0" applyFont="1" applyFill="1" applyBorder="1" applyAlignment="1" applyProtection="1">
      <alignment vertical="center"/>
    </xf>
    <xf numFmtId="0" fontId="76" fillId="0" borderId="0" xfId="0" applyFont="1" applyFill="1" applyAlignment="1" applyProtection="1">
      <alignment vertical="center"/>
    </xf>
    <xf numFmtId="169" fontId="0" fillId="0" borderId="0" xfId="0" applyNumberFormat="1" applyFont="1" applyFill="1" applyBorder="1" applyAlignment="1" applyProtection="1">
      <alignment horizontal="center" vertical="center"/>
    </xf>
    <xf numFmtId="0" fontId="38" fillId="0" borderId="0" xfId="0" applyFont="1" applyFill="1" applyBorder="1" applyAlignment="1" applyProtection="1">
      <alignment vertical="center" wrapText="1"/>
    </xf>
    <xf numFmtId="3" fontId="0" fillId="0" borderId="0" xfId="0" applyNumberFormat="1" applyFill="1">
      <alignment vertical="center"/>
      <protection locked="0"/>
    </xf>
    <xf numFmtId="3" fontId="0" fillId="0" borderId="0" xfId="0" applyNumberFormat="1" applyFont="1" applyFill="1" applyAlignment="1" applyProtection="1">
      <alignment vertical="center"/>
    </xf>
    <xf numFmtId="0" fontId="53" fillId="0" borderId="0" xfId="0" applyFont="1" applyFill="1" applyBorder="1" applyAlignment="1" applyProtection="1">
      <alignment vertical="center"/>
    </xf>
    <xf numFmtId="171" fontId="39" fillId="0" borderId="0" xfId="0" applyNumberFormat="1" applyFont="1" applyFill="1" applyBorder="1" applyAlignment="1">
      <alignment vertical="center"/>
      <protection locked="0"/>
    </xf>
    <xf numFmtId="0" fontId="58" fillId="35" borderId="4" xfId="0" applyFont="1" applyFill="1" applyBorder="1" applyAlignment="1">
      <alignment horizontal="center" vertical="center" wrapText="1"/>
      <protection locked="0"/>
    </xf>
    <xf numFmtId="171" fontId="42" fillId="35" borderId="4" xfId="0" applyNumberFormat="1" applyFont="1" applyFill="1" applyBorder="1" applyAlignment="1">
      <alignment vertical="center"/>
      <protection locked="0"/>
    </xf>
    <xf numFmtId="171" fontId="42" fillId="35" borderId="4" xfId="0" applyNumberFormat="1" applyFont="1" applyFill="1" applyBorder="1" applyAlignment="1" applyProtection="1">
      <alignment vertical="center"/>
    </xf>
    <xf numFmtId="0" fontId="31" fillId="0" borderId="0" xfId="0" applyFont="1" applyFill="1" applyBorder="1" applyAlignment="1">
      <alignment horizontal="center" vertical="center" wrapText="1"/>
      <protection locked="0"/>
    </xf>
    <xf numFmtId="0" fontId="38" fillId="0" borderId="0" xfId="0" applyFont="1" applyFill="1" applyBorder="1" applyAlignment="1">
      <alignment horizontal="center" vertical="center" wrapText="1"/>
      <protection locked="0"/>
    </xf>
    <xf numFmtId="171" fontId="0" fillId="0" borderId="0" xfId="0" applyNumberFormat="1" applyFill="1">
      <alignment vertical="center"/>
      <protection locked="0"/>
    </xf>
    <xf numFmtId="170" fontId="0" fillId="0" borderId="0" xfId="0" applyNumberFormat="1" applyFont="1" applyFill="1" applyAlignment="1">
      <alignment vertical="center"/>
      <protection locked="0"/>
    </xf>
    <xf numFmtId="0" fontId="0" fillId="0" borderId="0" xfId="0" applyFont="1" applyFill="1" applyBorder="1" applyAlignment="1">
      <alignment horizontal="center" vertical="center"/>
      <protection locked="0"/>
    </xf>
    <xf numFmtId="0" fontId="0" fillId="0" borderId="0" xfId="0" applyFont="1" applyFill="1" applyBorder="1" applyAlignment="1">
      <alignment vertical="center" wrapText="1"/>
      <protection locked="0"/>
    </xf>
    <xf numFmtId="0" fontId="57" fillId="0" borderId="0" xfId="0" applyFont="1" applyFill="1" applyAlignment="1">
      <alignment vertical="center"/>
      <protection locked="0"/>
    </xf>
    <xf numFmtId="0" fontId="49" fillId="0" borderId="0" xfId="0" applyFont="1" applyFill="1" applyBorder="1" applyAlignment="1">
      <alignment vertical="center"/>
      <protection locked="0"/>
    </xf>
    <xf numFmtId="0" fontId="0" fillId="0" borderId="0" xfId="0" applyFont="1" applyFill="1" applyAlignment="1">
      <alignment vertical="top"/>
      <protection locked="0"/>
    </xf>
    <xf numFmtId="0" fontId="0" fillId="0" borderId="0" xfId="0" applyFill="1" applyAlignment="1" applyProtection="1">
      <alignment vertical="center"/>
      <protection locked="0"/>
    </xf>
    <xf numFmtId="0" fontId="0" fillId="0" borderId="0" xfId="0" applyFont="1" applyFill="1" applyAlignment="1">
      <alignment vertical="center" wrapText="1"/>
      <protection locked="0"/>
    </xf>
    <xf numFmtId="0" fontId="0" fillId="0" borderId="0" xfId="0" applyFill="1" applyAlignment="1">
      <alignment horizontal="center" vertical="center"/>
      <protection locked="0"/>
    </xf>
    <xf numFmtId="170" fontId="31" fillId="0" borderId="0" xfId="33" applyNumberFormat="1" applyFont="1" applyFill="1" applyBorder="1" applyAlignment="1" applyProtection="1">
      <alignment horizontal="center" vertical="center" wrapText="1"/>
    </xf>
    <xf numFmtId="0" fontId="31" fillId="0" borderId="0" xfId="0" applyFont="1" applyFill="1" applyAlignment="1" applyProtection="1">
      <alignment horizontal="center" vertical="center"/>
    </xf>
    <xf numFmtId="0" fontId="42" fillId="0" borderId="0" xfId="0" applyFont="1" applyFill="1" applyBorder="1" applyAlignment="1">
      <alignment vertical="center"/>
      <protection locked="0"/>
    </xf>
    <xf numFmtId="0" fontId="70" fillId="0" borderId="0" xfId="0" applyFont="1" applyFill="1" applyAlignment="1">
      <alignment horizontal="center" vertical="center"/>
      <protection locked="0"/>
    </xf>
    <xf numFmtId="0" fontId="42" fillId="0" borderId="0" xfId="0" applyFont="1" applyFill="1" applyAlignment="1">
      <alignment horizontal="center" vertical="center"/>
      <protection locked="0"/>
    </xf>
    <xf numFmtId="0" fontId="42" fillId="0" borderId="0" xfId="0" applyFont="1" applyFill="1" applyBorder="1" applyAlignment="1">
      <alignment horizontal="center" vertical="center"/>
      <protection locked="0"/>
    </xf>
    <xf numFmtId="0" fontId="31" fillId="0" borderId="0" xfId="0" applyFont="1" applyFill="1" applyBorder="1" applyAlignment="1">
      <alignment horizontal="left" vertical="center" wrapText="1"/>
      <protection locked="0"/>
    </xf>
    <xf numFmtId="10" fontId="10" fillId="0" borderId="0" xfId="39" applyNumberFormat="1" applyFont="1" applyFill="1" applyBorder="1" applyAlignment="1" applyProtection="1">
      <alignment vertical="center"/>
    </xf>
    <xf numFmtId="168" fontId="0" fillId="0" borderId="0" xfId="0" applyNumberFormat="1" applyFont="1" applyFill="1" applyBorder="1" applyAlignment="1">
      <alignment vertical="center" wrapText="1"/>
      <protection locked="0"/>
    </xf>
    <xf numFmtId="10" fontId="31" fillId="0" borderId="0" xfId="33" applyNumberFormat="1" applyFont="1" applyFill="1" applyBorder="1" applyAlignment="1" applyProtection="1">
      <alignment horizontal="center" vertical="center" wrapText="1"/>
    </xf>
    <xf numFmtId="0" fontId="0" fillId="0" borderId="6" xfId="0" applyFill="1" applyBorder="1">
      <alignment vertical="center"/>
      <protection locked="0"/>
    </xf>
    <xf numFmtId="0" fontId="0" fillId="0" borderId="0" xfId="0" applyFont="1" applyFill="1" applyAlignment="1">
      <alignment horizontal="center" vertical="center"/>
      <protection locked="0"/>
    </xf>
    <xf numFmtId="10" fontId="0" fillId="0" borderId="0" xfId="39" applyNumberFormat="1" applyFont="1" applyFill="1" applyBorder="1" applyAlignment="1" applyProtection="1">
      <alignment vertical="center"/>
    </xf>
    <xf numFmtId="1" fontId="0" fillId="0" borderId="0" xfId="0" applyNumberFormat="1" applyFont="1" applyFill="1" applyAlignment="1">
      <alignment vertical="center"/>
      <protection locked="0"/>
    </xf>
    <xf numFmtId="177" fontId="0" fillId="0" borderId="0" xfId="0" applyNumberFormat="1" applyFont="1" applyFill="1" applyAlignment="1">
      <alignment vertical="center"/>
      <protection locked="0"/>
    </xf>
    <xf numFmtId="0" fontId="31" fillId="0" borderId="0" xfId="0" applyFont="1" applyFill="1" applyAlignment="1">
      <alignment horizontal="left" vertical="center" wrapText="1"/>
      <protection locked="0"/>
    </xf>
    <xf numFmtId="171" fontId="49" fillId="0" borderId="0" xfId="0" applyNumberFormat="1" applyFont="1" applyFill="1" applyAlignment="1">
      <alignment vertical="center"/>
      <protection locked="0"/>
    </xf>
    <xf numFmtId="0" fontId="39" fillId="0" borderId="12" xfId="0" applyFont="1" applyFill="1" applyBorder="1" applyAlignment="1">
      <alignment vertical="center"/>
      <protection locked="0"/>
    </xf>
    <xf numFmtId="0" fontId="31" fillId="0" borderId="6" xfId="0" applyFont="1" applyFill="1" applyBorder="1" applyAlignment="1">
      <alignment vertical="center" wrapText="1"/>
      <protection locked="0"/>
    </xf>
    <xf numFmtId="0" fontId="31" fillId="0" borderId="4" xfId="0" applyFont="1" applyFill="1" applyBorder="1" applyAlignment="1">
      <alignment vertical="center" wrapText="1"/>
      <protection locked="0"/>
    </xf>
    <xf numFmtId="0" fontId="48" fillId="46" borderId="0" xfId="0" applyFont="1" applyFill="1" applyAlignment="1" applyProtection="1">
      <alignment horizontal="center" vertical="center"/>
    </xf>
    <xf numFmtId="0" fontId="40" fillId="38" borderId="4" xfId="0" applyFont="1" applyFill="1" applyBorder="1" applyAlignment="1" applyProtection="1">
      <alignment vertical="center"/>
    </xf>
    <xf numFmtId="0" fontId="4" fillId="38" borderId="4" xfId="0" applyNumberFormat="1" applyFont="1" applyFill="1" applyBorder="1" applyAlignment="1" applyProtection="1">
      <alignment vertical="center"/>
    </xf>
    <xf numFmtId="0" fontId="33" fillId="35" borderId="0" xfId="0" applyFont="1" applyFill="1" applyBorder="1" applyAlignment="1" applyProtection="1">
      <alignment horizontal="center" vertical="center" wrapText="1"/>
    </xf>
    <xf numFmtId="0" fontId="42" fillId="35" borderId="0" xfId="0" applyFont="1" applyFill="1" applyBorder="1" applyAlignment="1" applyProtection="1">
      <alignment horizontal="center" vertical="center"/>
    </xf>
    <xf numFmtId="6" fontId="42" fillId="35" borderId="0" xfId="0" applyNumberFormat="1" applyFont="1" applyFill="1" applyBorder="1" applyProtection="1">
      <alignment vertical="center"/>
    </xf>
    <xf numFmtId="0" fontId="31" fillId="35" borderId="4" xfId="0" applyFont="1" applyFill="1" applyBorder="1" applyAlignment="1" applyProtection="1">
      <alignment horizontal="center" vertical="center" wrapText="1"/>
    </xf>
    <xf numFmtId="0" fontId="31" fillId="38" borderId="4" xfId="0" applyFont="1" applyFill="1" applyBorder="1" applyAlignment="1" applyProtection="1">
      <alignment horizontal="center" vertical="center"/>
    </xf>
    <xf numFmtId="0" fontId="42" fillId="0" borderId="4" xfId="0" applyFont="1" applyBorder="1" applyAlignment="1" applyProtection="1">
      <alignment vertical="center"/>
    </xf>
    <xf numFmtId="0" fontId="40" fillId="38" borderId="4" xfId="0" applyFont="1" applyFill="1" applyBorder="1" applyAlignment="1" applyProtection="1">
      <alignment vertical="center"/>
    </xf>
    <xf numFmtId="0" fontId="40" fillId="36" borderId="4" xfId="0" applyFont="1" applyFill="1" applyBorder="1" applyAlignment="1" applyProtection="1">
      <alignment vertical="center"/>
      <protection locked="0"/>
    </xf>
    <xf numFmtId="0" fontId="31" fillId="38" borderId="4" xfId="0" applyFont="1" applyFill="1" applyBorder="1" applyAlignment="1" applyProtection="1">
      <alignment horizontal="center" vertical="center"/>
    </xf>
    <xf numFmtId="0" fontId="40" fillId="36" borderId="4" xfId="0" applyFont="1" applyFill="1" applyBorder="1" applyAlignment="1" applyProtection="1">
      <alignment vertical="center" wrapText="1"/>
      <protection locked="0"/>
    </xf>
    <xf numFmtId="0" fontId="42" fillId="0" borderId="4" xfId="0" applyFont="1" applyBorder="1" applyAlignment="1" applyProtection="1">
      <alignment vertical="center"/>
    </xf>
    <xf numFmtId="0" fontId="31" fillId="0" borderId="4" xfId="0" applyFont="1" applyBorder="1" applyAlignment="1">
      <alignment horizontal="center" vertical="center"/>
      <protection locked="0"/>
    </xf>
    <xf numFmtId="0" fontId="40" fillId="38" borderId="4" xfId="0" applyFont="1" applyFill="1" applyBorder="1" applyAlignment="1" applyProtection="1">
      <alignment vertical="center"/>
    </xf>
    <xf numFmtId="0" fontId="33" fillId="38" borderId="4" xfId="0" applyFont="1" applyFill="1" applyBorder="1" applyAlignment="1" applyProtection="1">
      <alignment horizontal="center" vertical="center"/>
    </xf>
    <xf numFmtId="0" fontId="39" fillId="38" borderId="4" xfId="0" applyFont="1" applyFill="1" applyBorder="1" applyAlignment="1" applyProtection="1">
      <alignment vertical="center" wrapText="1"/>
    </xf>
    <xf numFmtId="171" fontId="39" fillId="38" borderId="10" xfId="0" applyNumberFormat="1" applyFont="1" applyFill="1" applyBorder="1" applyAlignment="1" applyProtection="1">
      <alignment vertical="center"/>
    </xf>
    <xf numFmtId="0" fontId="33" fillId="35" borderId="4" xfId="0" applyFont="1" applyFill="1" applyBorder="1" applyAlignment="1" applyProtection="1">
      <alignment vertical="center" wrapText="1"/>
    </xf>
    <xf numFmtId="0" fontId="33" fillId="0" borderId="0" xfId="0" applyFont="1" applyFill="1" applyAlignment="1" applyProtection="1">
      <alignment vertical="center"/>
    </xf>
    <xf numFmtId="0" fontId="0" fillId="36" borderId="4" xfId="0" applyNumberFormat="1" applyFont="1" applyFill="1" applyBorder="1" applyAlignment="1">
      <alignment horizontal="center" vertical="center"/>
      <protection locked="0"/>
    </xf>
    <xf numFmtId="0" fontId="33" fillId="35" borderId="35" xfId="0" applyFont="1" applyFill="1" applyBorder="1" applyAlignment="1" applyProtection="1">
      <alignment horizontal="center" vertical="center" wrapText="1"/>
    </xf>
    <xf numFmtId="171" fontId="42" fillId="38" borderId="10" xfId="33" applyNumberFormat="1" applyFont="1" applyFill="1" applyBorder="1" applyAlignment="1" applyProtection="1">
      <alignment vertical="center"/>
    </xf>
    <xf numFmtId="171" fontId="42" fillId="38" borderId="38" xfId="33" applyNumberFormat="1" applyFont="1" applyFill="1" applyBorder="1" applyAlignment="1" applyProtection="1">
      <alignment vertical="center"/>
    </xf>
    <xf numFmtId="0" fontId="33" fillId="35" borderId="33" xfId="0" applyFont="1" applyFill="1" applyBorder="1" applyAlignment="1" applyProtection="1">
      <alignment horizontal="center" vertical="center" wrapText="1"/>
    </xf>
    <xf numFmtId="171" fontId="42" fillId="38" borderId="2" xfId="33" applyNumberFormat="1" applyFont="1" applyFill="1" applyBorder="1" applyAlignment="1" applyProtection="1">
      <alignment vertical="center"/>
    </xf>
    <xf numFmtId="171" fontId="42" fillId="38" borderId="36" xfId="33" applyNumberFormat="1" applyFont="1" applyFill="1" applyBorder="1" applyAlignment="1" applyProtection="1">
      <alignment vertical="center"/>
    </xf>
    <xf numFmtId="171" fontId="39" fillId="38" borderId="10" xfId="33" applyNumberFormat="1" applyFont="1" applyFill="1" applyBorder="1" applyAlignment="1" applyProtection="1">
      <alignment vertical="center"/>
    </xf>
    <xf numFmtId="0" fontId="31" fillId="38" borderId="4" xfId="0" applyFont="1" applyFill="1" applyBorder="1" applyAlignment="1" applyProtection="1">
      <alignment horizontal="center" vertical="center"/>
    </xf>
    <xf numFmtId="0" fontId="42" fillId="0" borderId="4" xfId="0" applyFont="1" applyBorder="1" applyAlignment="1" applyProtection="1">
      <alignment vertical="center"/>
    </xf>
    <xf numFmtId="0" fontId="38" fillId="0" borderId="0" xfId="0" applyFont="1" applyFill="1" applyBorder="1" applyAlignment="1" applyProtection="1">
      <alignment vertical="center"/>
    </xf>
    <xf numFmtId="9" fontId="38" fillId="0" borderId="0" xfId="0" applyNumberFormat="1" applyFont="1" applyFill="1" applyBorder="1" applyAlignment="1" applyProtection="1">
      <alignment vertical="center" wrapText="1"/>
    </xf>
    <xf numFmtId="0" fontId="48" fillId="46" borderId="0" xfId="0" applyFont="1" applyFill="1" applyAlignment="1" applyProtection="1">
      <alignment horizontal="center" vertical="center"/>
    </xf>
    <xf numFmtId="8" fontId="42" fillId="38" borderId="4" xfId="39" applyNumberFormat="1" applyFont="1" applyFill="1" applyBorder="1" applyAlignment="1" applyProtection="1">
      <alignment vertical="center"/>
    </xf>
    <xf numFmtId="8" fontId="42" fillId="0" borderId="4" xfId="0" applyNumberFormat="1" applyFont="1" applyBorder="1" applyProtection="1">
      <alignment vertical="center"/>
    </xf>
    <xf numFmtId="0" fontId="78" fillId="35" borderId="4" xfId="0" applyFont="1" applyFill="1" applyBorder="1" applyAlignment="1">
      <alignment horizontal="center" vertical="center" wrapText="1"/>
      <protection locked="0"/>
    </xf>
    <xf numFmtId="1" fontId="42" fillId="0" borderId="4" xfId="0" applyNumberFormat="1" applyFont="1" applyFill="1" applyBorder="1" applyProtection="1">
      <alignment vertical="center"/>
    </xf>
    <xf numFmtId="1" fontId="42" fillId="0" borderId="4" xfId="0" applyNumberFormat="1" applyFont="1" applyBorder="1" applyAlignment="1" applyProtection="1">
      <alignment horizontal="center" vertical="center"/>
    </xf>
    <xf numFmtId="0" fontId="5" fillId="0" borderId="4" xfId="0" applyFont="1" applyFill="1" applyBorder="1" applyAlignment="1" applyProtection="1">
      <alignment vertical="center"/>
    </xf>
    <xf numFmtId="0" fontId="5" fillId="47" borderId="9" xfId="0" applyNumberFormat="1" applyFont="1" applyFill="1" applyBorder="1" applyAlignment="1" applyProtection="1">
      <alignment horizontal="center" vertical="center" wrapText="1"/>
      <protection locked="0"/>
    </xf>
    <xf numFmtId="0" fontId="0" fillId="36" borderId="2" xfId="0" applyFont="1" applyFill="1" applyBorder="1" applyAlignment="1">
      <alignment horizontal="center" vertical="center"/>
      <protection locked="0"/>
    </xf>
    <xf numFmtId="0" fontId="0" fillId="36" borderId="13" xfId="0" applyFont="1" applyFill="1" applyBorder="1" applyAlignment="1">
      <alignment horizontal="center" vertical="center"/>
      <protection locked="0"/>
    </xf>
    <xf numFmtId="0" fontId="0" fillId="36" borderId="10" xfId="0" applyFont="1" applyFill="1" applyBorder="1" applyAlignment="1">
      <alignment horizontal="center" vertical="center"/>
      <protection locked="0"/>
    </xf>
    <xf numFmtId="0" fontId="45" fillId="37" borderId="0" xfId="0" applyFont="1" applyFill="1" applyAlignment="1" applyProtection="1">
      <alignment horizontal="center" vertical="center"/>
    </xf>
    <xf numFmtId="0" fontId="30" fillId="40" borderId="4" xfId="39" applyFont="1" applyFill="1" applyBorder="1" applyAlignment="1">
      <alignment vertical="center"/>
      <protection locked="0"/>
    </xf>
    <xf numFmtId="0" fontId="30" fillId="0" borderId="4" xfId="39" applyFont="1" applyBorder="1" applyAlignment="1">
      <alignment vertical="center"/>
      <protection locked="0"/>
    </xf>
    <xf numFmtId="0" fontId="30" fillId="34" borderId="4" xfId="39" applyFont="1" applyFill="1" applyBorder="1" applyAlignment="1">
      <alignment vertical="center"/>
      <protection locked="0"/>
    </xf>
    <xf numFmtId="0" fontId="30" fillId="45" borderId="4" xfId="39" applyFont="1" applyFill="1" applyBorder="1" applyAlignment="1">
      <alignment vertical="center"/>
      <protection locked="0"/>
    </xf>
    <xf numFmtId="0" fontId="30" fillId="46" borderId="4" xfId="39" applyFont="1" applyFill="1" applyBorder="1" applyAlignment="1">
      <alignment vertical="center"/>
      <protection locked="0"/>
    </xf>
    <xf numFmtId="0" fontId="0" fillId="0" borderId="0" xfId="0" applyFont="1" applyAlignment="1" applyProtection="1">
      <alignment horizontal="center" vertical="center"/>
    </xf>
    <xf numFmtId="0" fontId="30" fillId="42" borderId="4" xfId="39" applyFont="1" applyFill="1" applyBorder="1" applyAlignment="1">
      <alignment vertical="center"/>
      <protection locked="0"/>
    </xf>
    <xf numFmtId="0" fontId="5" fillId="0" borderId="2" xfId="0" applyFont="1" applyFill="1" applyBorder="1" applyAlignment="1" applyProtection="1">
      <alignment horizontal="left" vertical="center" wrapText="1"/>
    </xf>
    <xf numFmtId="0" fontId="2" fillId="0" borderId="10" xfId="0" applyFont="1" applyFill="1" applyBorder="1" applyAlignment="1" applyProtection="1">
      <alignment horizontal="left" vertical="center" wrapText="1"/>
    </xf>
    <xf numFmtId="0" fontId="11" fillId="0" borderId="10" xfId="0" applyFont="1" applyFill="1" applyBorder="1" applyAlignment="1" applyProtection="1">
      <alignment horizontal="left" vertical="center" wrapText="1"/>
    </xf>
    <xf numFmtId="0" fontId="66" fillId="41" borderId="2" xfId="0" applyFont="1" applyFill="1" applyBorder="1" applyAlignment="1" applyProtection="1">
      <alignment vertical="center"/>
    </xf>
    <xf numFmtId="0" fontId="67" fillId="0" borderId="13" xfId="0" applyFont="1" applyBorder="1" applyAlignment="1" applyProtection="1">
      <alignment vertical="center"/>
    </xf>
    <xf numFmtId="0" fontId="67" fillId="0" borderId="10" xfId="0" applyFont="1" applyBorder="1" applyAlignment="1" applyProtection="1">
      <alignment vertical="center"/>
    </xf>
    <xf numFmtId="0" fontId="45" fillId="37" borderId="4" xfId="0" applyFont="1" applyFill="1" applyBorder="1" applyAlignment="1" applyProtection="1">
      <alignment horizontal="center" vertical="center"/>
    </xf>
    <xf numFmtId="0" fontId="49" fillId="35" borderId="0" xfId="0" applyFont="1" applyFill="1" applyAlignment="1" applyProtection="1">
      <alignment horizontal="center" vertical="center"/>
    </xf>
    <xf numFmtId="0" fontId="0" fillId="0" borderId="4" xfId="0" applyBorder="1" applyProtection="1">
      <alignment vertical="center"/>
    </xf>
    <xf numFmtId="0" fontId="5" fillId="0" borderId="6" xfId="0" applyFont="1" applyFill="1" applyBorder="1" applyAlignment="1" applyProtection="1">
      <alignment vertical="center" wrapText="1"/>
    </xf>
    <xf numFmtId="0" fontId="11" fillId="0" borderId="7" xfId="0" applyFont="1" applyFill="1" applyBorder="1" applyAlignment="1" applyProtection="1">
      <alignment vertical="center" wrapText="1"/>
    </xf>
    <xf numFmtId="0" fontId="12" fillId="0" borderId="0" xfId="0" applyFont="1" applyFill="1" applyBorder="1" applyAlignment="1" applyProtection="1">
      <alignment horizontal="center" vertical="center"/>
    </xf>
    <xf numFmtId="0" fontId="6" fillId="0" borderId="4" xfId="0" applyFont="1" applyFill="1" applyBorder="1" applyAlignment="1" applyProtection="1">
      <alignment vertical="center" wrapText="1"/>
    </xf>
    <xf numFmtId="0" fontId="49" fillId="34" borderId="4" xfId="0" applyFont="1" applyFill="1" applyBorder="1" applyAlignment="1">
      <alignment vertical="center"/>
      <protection locked="0"/>
    </xf>
    <xf numFmtId="0" fontId="4" fillId="36" borderId="2" xfId="0" applyFont="1" applyFill="1" applyBorder="1" applyAlignment="1" applyProtection="1">
      <alignment vertical="center" wrapText="1"/>
      <protection locked="0"/>
    </xf>
    <xf numFmtId="0" fontId="4" fillId="36" borderId="10" xfId="0" applyFont="1" applyFill="1" applyBorder="1" applyAlignment="1" applyProtection="1">
      <alignment vertical="center" wrapText="1"/>
      <protection locked="0"/>
    </xf>
    <xf numFmtId="0" fontId="5" fillId="0" borderId="10" xfId="0" applyFont="1" applyFill="1" applyBorder="1" applyAlignment="1" applyProtection="1">
      <alignment horizontal="left" vertical="center" wrapText="1"/>
    </xf>
    <xf numFmtId="0" fontId="6" fillId="0" borderId="2" xfId="0" applyFont="1" applyFill="1" applyBorder="1" applyAlignment="1" applyProtection="1">
      <alignment horizontal="center" vertical="center" wrapText="1"/>
    </xf>
    <xf numFmtId="0" fontId="68" fillId="0" borderId="13" xfId="0" applyFont="1" applyBorder="1" applyAlignment="1" applyProtection="1">
      <alignment horizontal="center" vertical="center" wrapText="1"/>
    </xf>
    <xf numFmtId="0" fontId="68" fillId="0" borderId="10" xfId="0" applyFont="1" applyBorder="1" applyAlignment="1" applyProtection="1">
      <alignment horizontal="center" vertical="center" wrapText="1"/>
    </xf>
    <xf numFmtId="0" fontId="31" fillId="35" borderId="4" xfId="0" applyFont="1" applyFill="1" applyBorder="1">
      <alignment vertical="center"/>
      <protection locked="0"/>
    </xf>
    <xf numFmtId="0" fontId="0" fillId="35" borderId="4" xfId="0" applyFont="1" applyFill="1" applyBorder="1">
      <alignment vertical="center"/>
      <protection locked="0"/>
    </xf>
    <xf numFmtId="0" fontId="80" fillId="37" borderId="4" xfId="0" applyFont="1" applyFill="1" applyBorder="1" applyAlignment="1" applyProtection="1">
      <alignment horizontal="center" vertical="center"/>
    </xf>
    <xf numFmtId="0" fontId="5" fillId="36" borderId="2" xfId="0" applyFont="1" applyFill="1" applyBorder="1" applyAlignment="1" applyProtection="1">
      <alignment vertical="center" wrapText="1"/>
      <protection locked="0"/>
    </xf>
    <xf numFmtId="0" fontId="11" fillId="36" borderId="10" xfId="0" applyFont="1" applyFill="1" applyBorder="1" applyAlignment="1" applyProtection="1">
      <alignment vertical="center" wrapText="1"/>
      <protection locked="0"/>
    </xf>
    <xf numFmtId="0" fontId="6" fillId="0" borderId="2" xfId="0" applyFont="1" applyFill="1" applyBorder="1" applyAlignment="1" applyProtection="1">
      <alignment horizontal="center" vertical="center"/>
    </xf>
    <xf numFmtId="0" fontId="6" fillId="0" borderId="10" xfId="0" applyFont="1" applyFill="1" applyBorder="1" applyAlignment="1" applyProtection="1">
      <alignment horizontal="center" vertical="center"/>
    </xf>
    <xf numFmtId="0" fontId="6" fillId="0" borderId="4" xfId="0" applyFont="1" applyFill="1" applyBorder="1" applyAlignment="1" applyProtection="1">
      <alignment horizontal="center" vertical="center" wrapText="1"/>
    </xf>
    <xf numFmtId="0" fontId="0" fillId="0" borderId="4" xfId="0" applyBorder="1" applyAlignment="1" applyProtection="1">
      <alignment horizontal="center" vertical="center" wrapText="1"/>
    </xf>
    <xf numFmtId="0" fontId="66" fillId="41" borderId="13" xfId="0" applyFont="1" applyFill="1" applyBorder="1" applyAlignment="1" applyProtection="1">
      <alignment vertical="center"/>
    </xf>
    <xf numFmtId="0" fontId="66" fillId="41" borderId="10" xfId="0" applyFont="1" applyFill="1" applyBorder="1" applyAlignment="1" applyProtection="1">
      <alignment vertical="center"/>
    </xf>
    <xf numFmtId="0" fontId="0" fillId="36" borderId="4" xfId="0" applyFill="1" applyBorder="1" applyAlignment="1">
      <alignment vertical="center"/>
      <protection locked="0"/>
    </xf>
    <xf numFmtId="0" fontId="0" fillId="0" borderId="0" xfId="0" applyFont="1" applyFill="1" applyAlignment="1" applyProtection="1">
      <alignment horizontal="center" vertical="center"/>
    </xf>
    <xf numFmtId="0" fontId="0" fillId="0" borderId="10" xfId="0" applyBorder="1" applyAlignment="1">
      <alignment vertical="center" wrapText="1"/>
      <protection locked="0"/>
    </xf>
    <xf numFmtId="0" fontId="5" fillId="36" borderId="4" xfId="0" applyFont="1" applyFill="1" applyBorder="1" applyAlignment="1" applyProtection="1">
      <alignment vertical="center"/>
    </xf>
    <xf numFmtId="0" fontId="0" fillId="0" borderId="4" xfId="0" applyBorder="1" applyAlignment="1">
      <alignment horizontal="center" vertical="center"/>
      <protection locked="0"/>
    </xf>
    <xf numFmtId="0" fontId="38" fillId="0" borderId="0" xfId="0" applyFont="1" applyFill="1" applyAlignment="1" applyProtection="1">
      <alignment horizontal="center" vertical="center"/>
    </xf>
    <xf numFmtId="0" fontId="38" fillId="0" borderId="0" xfId="0" applyFont="1" applyFill="1" applyBorder="1" applyAlignment="1" applyProtection="1">
      <alignment horizontal="center" vertical="center"/>
    </xf>
    <xf numFmtId="0" fontId="41" fillId="36" borderId="4" xfId="33" applyNumberFormat="1" applyFont="1" applyFill="1" applyBorder="1" applyAlignment="1" applyProtection="1">
      <alignment vertical="center" wrapText="1"/>
    </xf>
    <xf numFmtId="0" fontId="0" fillId="36" borderId="4" xfId="0" applyFont="1" applyFill="1" applyBorder="1" applyAlignment="1">
      <alignment vertical="center" wrapText="1"/>
      <protection locked="0"/>
    </xf>
    <xf numFmtId="0" fontId="31" fillId="38" borderId="4" xfId="0" applyFont="1" applyFill="1" applyBorder="1" applyAlignment="1" applyProtection="1">
      <alignment horizontal="center" vertical="center"/>
    </xf>
    <xf numFmtId="0" fontId="48" fillId="34" borderId="0" xfId="0" applyFont="1" applyFill="1" applyAlignment="1">
      <alignment horizontal="center" vertical="center"/>
      <protection locked="0"/>
    </xf>
    <xf numFmtId="0" fontId="41" fillId="36" borderId="2" xfId="33" applyNumberFormat="1" applyFont="1" applyFill="1" applyBorder="1" applyAlignment="1" applyProtection="1">
      <alignment vertical="center" wrapText="1"/>
    </xf>
    <xf numFmtId="0" fontId="0" fillId="36" borderId="13" xfId="0" applyFont="1" applyFill="1" applyBorder="1" applyAlignment="1">
      <alignment vertical="center" wrapText="1"/>
      <protection locked="0"/>
    </xf>
    <xf numFmtId="0" fontId="0" fillId="36" borderId="10" xfId="0" applyFont="1" applyFill="1" applyBorder="1" applyAlignment="1">
      <alignment vertical="center" wrapText="1"/>
      <protection locked="0"/>
    </xf>
    <xf numFmtId="0" fontId="0" fillId="36" borderId="4" xfId="0" applyFill="1" applyBorder="1" applyAlignment="1">
      <alignment vertical="center" wrapText="1"/>
      <protection locked="0"/>
    </xf>
    <xf numFmtId="0" fontId="48" fillId="34" borderId="0" xfId="0" applyFont="1" applyFill="1" applyAlignment="1" applyProtection="1">
      <alignment horizontal="center" vertical="center"/>
    </xf>
    <xf numFmtId="0" fontId="52" fillId="37" borderId="0" xfId="0" applyFont="1" applyFill="1" applyAlignment="1" applyProtection="1">
      <alignment horizontal="center" vertical="center"/>
    </xf>
    <xf numFmtId="0" fontId="40" fillId="36" borderId="4" xfId="39" applyNumberFormat="1" applyFont="1" applyFill="1" applyBorder="1" applyAlignment="1" applyProtection="1">
      <alignment vertical="center" wrapText="1"/>
      <protection locked="0"/>
    </xf>
    <xf numFmtId="0" fontId="40" fillId="0" borderId="4" xfId="0" applyFont="1" applyBorder="1" applyAlignment="1" applyProtection="1">
      <alignment vertical="center" wrapText="1"/>
      <protection locked="0"/>
    </xf>
    <xf numFmtId="0" fontId="31" fillId="35" borderId="2" xfId="0" applyFont="1" applyFill="1" applyBorder="1" applyAlignment="1">
      <alignment horizontal="center" vertical="center"/>
      <protection locked="0"/>
    </xf>
    <xf numFmtId="0" fontId="31" fillId="35" borderId="10" xfId="0" applyFont="1" applyFill="1" applyBorder="1" applyAlignment="1">
      <alignment horizontal="center" vertical="center"/>
      <protection locked="0"/>
    </xf>
    <xf numFmtId="0" fontId="0" fillId="36" borderId="4" xfId="0" applyFont="1" applyFill="1" applyBorder="1" applyAlignment="1">
      <alignment vertical="center"/>
      <protection locked="0"/>
    </xf>
    <xf numFmtId="0" fontId="31" fillId="35" borderId="4" xfId="0" applyFont="1" applyFill="1" applyBorder="1" applyAlignment="1">
      <alignment horizontal="center" vertical="center" wrapText="1"/>
      <protection locked="0"/>
    </xf>
    <xf numFmtId="0" fontId="0" fillId="35" borderId="4" xfId="0" applyFont="1" applyFill="1" applyBorder="1" applyAlignment="1">
      <alignment horizontal="center" vertical="center" wrapText="1"/>
      <protection locked="0"/>
    </xf>
    <xf numFmtId="0" fontId="0" fillId="0" borderId="4" xfId="0" applyFont="1" applyBorder="1" applyAlignment="1">
      <alignment vertical="center"/>
      <protection locked="0"/>
    </xf>
    <xf numFmtId="0" fontId="31" fillId="35" borderId="2" xfId="0" applyFont="1" applyFill="1" applyBorder="1" applyAlignment="1">
      <alignment horizontal="center" vertical="center" wrapText="1"/>
      <protection locked="0"/>
    </xf>
    <xf numFmtId="0" fontId="31" fillId="35" borderId="13" xfId="0" applyFont="1" applyFill="1" applyBorder="1" applyAlignment="1">
      <alignment horizontal="center" vertical="center" wrapText="1"/>
      <protection locked="0"/>
    </xf>
    <xf numFmtId="0" fontId="31" fillId="35" borderId="10" xfId="0" applyFont="1" applyFill="1" applyBorder="1" applyAlignment="1">
      <alignment horizontal="center" vertical="center" wrapText="1"/>
      <protection locked="0"/>
    </xf>
    <xf numFmtId="0" fontId="40" fillId="36" borderId="2" xfId="0" applyFont="1" applyFill="1" applyBorder="1" applyAlignment="1" applyProtection="1">
      <alignment vertical="center" wrapText="1"/>
      <protection locked="0"/>
    </xf>
    <xf numFmtId="0" fontId="40" fillId="36" borderId="13" xfId="0" applyFont="1" applyFill="1" applyBorder="1" applyAlignment="1" applyProtection="1">
      <alignment vertical="center" wrapText="1"/>
      <protection locked="0"/>
    </xf>
    <xf numFmtId="0" fontId="40" fillId="36" borderId="10" xfId="0" applyFont="1" applyFill="1" applyBorder="1" applyAlignment="1" applyProtection="1">
      <alignment vertical="center" wrapText="1"/>
      <protection locked="0"/>
    </xf>
    <xf numFmtId="0" fontId="31" fillId="35" borderId="4" xfId="0" applyFont="1" applyFill="1" applyBorder="1" applyAlignment="1">
      <alignment horizontal="center" vertical="center"/>
      <protection locked="0"/>
    </xf>
    <xf numFmtId="0" fontId="40" fillId="36" borderId="4" xfId="0" applyFont="1" applyFill="1" applyBorder="1" applyAlignment="1" applyProtection="1">
      <alignment vertical="center" wrapText="1"/>
      <protection locked="0"/>
    </xf>
    <xf numFmtId="0" fontId="69" fillId="45" borderId="0" xfId="0" applyFont="1" applyFill="1" applyAlignment="1" applyProtection="1">
      <alignment horizontal="center" vertical="center"/>
    </xf>
    <xf numFmtId="0" fontId="43" fillId="37" borderId="0" xfId="0" applyFont="1" applyFill="1" applyAlignment="1" applyProtection="1">
      <alignment horizontal="right" vertical="center"/>
    </xf>
    <xf numFmtId="0" fontId="52" fillId="37" borderId="0" xfId="0" applyFont="1" applyFill="1" applyAlignment="1" applyProtection="1">
      <alignment horizontal="right" vertical="center"/>
    </xf>
    <xf numFmtId="0" fontId="0" fillId="35" borderId="13" xfId="0" applyFont="1" applyFill="1" applyBorder="1" applyAlignment="1">
      <alignment horizontal="center" vertical="center" wrapText="1"/>
      <protection locked="0"/>
    </xf>
    <xf numFmtId="0" fontId="0" fillId="35" borderId="10" xfId="0" applyFont="1" applyFill="1" applyBorder="1" applyAlignment="1">
      <alignment horizontal="center" vertical="center" wrapText="1"/>
      <protection locked="0"/>
    </xf>
    <xf numFmtId="0" fontId="0" fillId="0" borderId="0" xfId="0" applyFill="1" applyAlignment="1" applyProtection="1">
      <alignment horizontal="center" vertical="center"/>
    </xf>
    <xf numFmtId="0" fontId="42" fillId="0" borderId="4" xfId="0" applyFont="1" applyBorder="1" applyAlignment="1" applyProtection="1">
      <alignment vertical="center"/>
    </xf>
    <xf numFmtId="171" fontId="40" fillId="36" borderId="4" xfId="0" applyNumberFormat="1" applyFont="1" applyFill="1" applyBorder="1" applyAlignment="1">
      <alignment vertical="center"/>
      <protection locked="0"/>
    </xf>
    <xf numFmtId="0" fontId="40" fillId="36" borderId="4" xfId="0" applyFont="1" applyFill="1" applyBorder="1" applyAlignment="1">
      <alignment vertical="center"/>
      <protection locked="0"/>
    </xf>
    <xf numFmtId="0" fontId="40" fillId="36" borderId="2" xfId="0" applyFont="1" applyFill="1" applyBorder="1" applyAlignment="1">
      <alignment vertical="center" wrapText="1"/>
      <protection locked="0"/>
    </xf>
    <xf numFmtId="0" fontId="40" fillId="36" borderId="13" xfId="0" applyFont="1" applyFill="1" applyBorder="1" applyAlignment="1">
      <alignment vertical="center" wrapText="1"/>
      <protection locked="0"/>
    </xf>
    <xf numFmtId="0" fontId="40" fillId="36" borderId="10" xfId="0" applyFont="1" applyFill="1" applyBorder="1" applyAlignment="1">
      <alignment vertical="center" wrapText="1"/>
      <protection locked="0"/>
    </xf>
    <xf numFmtId="0" fontId="0" fillId="0" borderId="4" xfId="0" applyBorder="1" applyAlignment="1">
      <alignment vertical="center" wrapText="1"/>
      <protection locked="0"/>
    </xf>
    <xf numFmtId="0" fontId="4" fillId="36" borderId="4" xfId="0" applyFont="1" applyFill="1" applyBorder="1" applyAlignment="1" applyProtection="1">
      <alignment vertical="center" wrapText="1"/>
      <protection locked="0"/>
    </xf>
    <xf numFmtId="0" fontId="33" fillId="35" borderId="2" xfId="0" applyFont="1" applyFill="1" applyBorder="1" applyAlignment="1">
      <alignment horizontal="center" vertical="center"/>
      <protection locked="0"/>
    </xf>
    <xf numFmtId="0" fontId="33" fillId="35" borderId="13" xfId="0" applyFont="1" applyFill="1" applyBorder="1" applyAlignment="1">
      <alignment horizontal="center" vertical="center"/>
      <protection locked="0"/>
    </xf>
    <xf numFmtId="0" fontId="33" fillId="35" borderId="10" xfId="0" applyFont="1" applyFill="1" applyBorder="1" applyAlignment="1">
      <alignment horizontal="center" vertical="center"/>
      <protection locked="0"/>
    </xf>
    <xf numFmtId="0" fontId="33" fillId="35" borderId="4" xfId="0" applyFont="1" applyFill="1" applyBorder="1" applyAlignment="1" applyProtection="1">
      <alignment horizontal="center" vertical="center"/>
    </xf>
    <xf numFmtId="0" fontId="33" fillId="35" borderId="4" xfId="0" applyFont="1" applyFill="1" applyBorder="1" applyAlignment="1">
      <alignment horizontal="center" vertical="center"/>
      <protection locked="0"/>
    </xf>
    <xf numFmtId="0" fontId="50" fillId="35" borderId="2" xfId="0" applyFont="1" applyFill="1" applyBorder="1" applyAlignment="1">
      <alignment horizontal="center" vertical="center" wrapText="1"/>
      <protection locked="0"/>
    </xf>
    <xf numFmtId="0" fontId="59" fillId="0" borderId="13" xfId="0" applyFont="1" applyBorder="1" applyAlignment="1">
      <alignment horizontal="center" vertical="center" wrapText="1"/>
      <protection locked="0"/>
    </xf>
    <xf numFmtId="0" fontId="59" fillId="0" borderId="10" xfId="0" applyFont="1" applyBorder="1" applyAlignment="1">
      <alignment horizontal="center" vertical="center" wrapText="1"/>
      <protection locked="0"/>
    </xf>
    <xf numFmtId="0" fontId="40" fillId="38" borderId="2" xfId="0" applyFont="1" applyFill="1" applyBorder="1" applyAlignment="1" applyProtection="1">
      <alignment vertical="center"/>
    </xf>
    <xf numFmtId="0" fontId="0" fillId="0" borderId="13" xfId="0" applyFont="1" applyBorder="1" applyAlignment="1" applyProtection="1">
      <alignment vertical="center"/>
    </xf>
    <xf numFmtId="0" fontId="0" fillId="0" borderId="10" xfId="0" applyFont="1" applyBorder="1" applyAlignment="1" applyProtection="1">
      <alignment vertical="center"/>
    </xf>
    <xf numFmtId="0" fontId="31" fillId="0" borderId="6" xfId="0" applyFont="1" applyFill="1" applyBorder="1" applyAlignment="1" applyProtection="1">
      <alignment horizontal="center" vertical="center"/>
    </xf>
    <xf numFmtId="0" fontId="0" fillId="0" borderId="13" xfId="0" applyBorder="1" applyAlignment="1">
      <alignment horizontal="center" vertical="center" wrapText="1"/>
      <protection locked="0"/>
    </xf>
    <xf numFmtId="0" fontId="0" fillId="0" borderId="10" xfId="0" applyBorder="1" applyAlignment="1">
      <alignment horizontal="center" vertical="center" wrapText="1"/>
      <protection locked="0"/>
    </xf>
    <xf numFmtId="0" fontId="48" fillId="46" borderId="0" xfId="0" applyFont="1" applyFill="1" applyAlignment="1" applyProtection="1">
      <alignment horizontal="center" vertical="center"/>
    </xf>
    <xf numFmtId="0" fontId="40" fillId="36" borderId="4" xfId="39" applyNumberFormat="1" applyFont="1" applyFill="1" applyBorder="1" applyAlignment="1" applyProtection="1">
      <alignment vertical="center" wrapText="1"/>
    </xf>
    <xf numFmtId="0" fontId="42" fillId="0" borderId="9" xfId="0" applyFont="1" applyBorder="1" applyAlignment="1">
      <alignment horizontal="center" vertical="center" wrapText="1"/>
      <protection locked="0"/>
    </xf>
    <xf numFmtId="0" fontId="42" fillId="0" borderId="8" xfId="0" applyFont="1" applyBorder="1" applyAlignment="1">
      <alignment horizontal="center" vertical="center" wrapText="1"/>
      <protection locked="0"/>
    </xf>
    <xf numFmtId="0" fontId="40" fillId="38" borderId="2" xfId="0" applyFont="1" applyFill="1" applyBorder="1" applyAlignment="1" applyProtection="1">
      <alignment vertical="center" wrapText="1"/>
    </xf>
    <xf numFmtId="0" fontId="40" fillId="38" borderId="13" xfId="0" applyFont="1" applyFill="1" applyBorder="1" applyAlignment="1" applyProtection="1">
      <alignment vertical="center" wrapText="1"/>
    </xf>
    <xf numFmtId="0" fontId="40" fillId="38" borderId="10" xfId="0" applyFont="1" applyFill="1" applyBorder="1" applyAlignment="1" applyProtection="1">
      <alignment vertical="center" wrapText="1"/>
    </xf>
    <xf numFmtId="0" fontId="40" fillId="0" borderId="13" xfId="0" applyFont="1" applyBorder="1" applyAlignment="1">
      <alignment vertical="center" wrapText="1"/>
      <protection locked="0"/>
    </xf>
    <xf numFmtId="0" fontId="40" fillId="0" borderId="10" xfId="0" applyFont="1" applyBorder="1" applyAlignment="1">
      <alignment vertical="center" wrapText="1"/>
      <protection locked="0"/>
    </xf>
    <xf numFmtId="0" fontId="31" fillId="0" borderId="0" xfId="0" applyFont="1" applyFill="1" applyAlignment="1" applyProtection="1">
      <alignment horizontal="center" vertical="center"/>
    </xf>
    <xf numFmtId="0" fontId="48" fillId="45" borderId="0" xfId="0" applyFont="1" applyFill="1" applyAlignment="1" applyProtection="1">
      <alignment horizontal="center" vertical="center"/>
    </xf>
    <xf numFmtId="0" fontId="31" fillId="0" borderId="4" xfId="0" applyFont="1" applyBorder="1" applyAlignment="1">
      <alignment horizontal="center" vertical="center"/>
      <protection locked="0"/>
    </xf>
    <xf numFmtId="0" fontId="40" fillId="38" borderId="4" xfId="0" applyFont="1" applyFill="1" applyBorder="1" applyAlignment="1" applyProtection="1">
      <alignment vertical="center"/>
    </xf>
    <xf numFmtId="0" fontId="0" fillId="0" borderId="4" xfId="0" applyBorder="1" applyAlignment="1" applyProtection="1">
      <alignment vertical="center"/>
    </xf>
    <xf numFmtId="0" fontId="31" fillId="35" borderId="2" xfId="0" applyFont="1" applyFill="1" applyBorder="1" applyAlignment="1">
      <alignment horizontal="left" vertical="center" wrapText="1"/>
      <protection locked="0"/>
    </xf>
    <xf numFmtId="0" fontId="0" fillId="0" borderId="13" xfId="0" applyBorder="1" applyAlignment="1">
      <alignment vertical="center"/>
      <protection locked="0"/>
    </xf>
    <xf numFmtId="0" fontId="0" fillId="0" borderId="10" xfId="0" applyBorder="1" applyAlignment="1">
      <alignment vertical="center"/>
      <protection locked="0"/>
    </xf>
    <xf numFmtId="0" fontId="40" fillId="38" borderId="2" xfId="0" applyFont="1" applyFill="1" applyBorder="1" applyAlignment="1" applyProtection="1">
      <alignment horizontal="left" vertical="center"/>
    </xf>
    <xf numFmtId="0" fontId="0" fillId="0" borderId="13" xfId="0" applyBorder="1" applyAlignment="1" applyProtection="1">
      <alignment horizontal="left" vertical="center"/>
    </xf>
    <xf numFmtId="0" fontId="0" fillId="0" borderId="10" xfId="0" applyBorder="1" applyAlignment="1" applyProtection="1">
      <alignment horizontal="left" vertical="center"/>
    </xf>
    <xf numFmtId="0" fontId="40" fillId="38" borderId="4" xfId="0" applyFont="1" applyFill="1" applyBorder="1" applyAlignment="1" applyProtection="1">
      <alignment vertical="center" wrapText="1"/>
    </xf>
    <xf numFmtId="171" fontId="40" fillId="36" borderId="4" xfId="0" applyNumberFormat="1" applyFont="1" applyFill="1" applyBorder="1" applyAlignment="1" applyProtection="1">
      <alignment vertical="center"/>
      <protection locked="0"/>
    </xf>
    <xf numFmtId="0" fontId="40" fillId="36" borderId="4" xfId="0" applyFont="1" applyFill="1" applyBorder="1" applyAlignment="1" applyProtection="1">
      <alignment vertical="center"/>
      <protection locked="0"/>
    </xf>
    <xf numFmtId="0" fontId="33" fillId="35" borderId="39" xfId="0" applyFont="1" applyFill="1" applyBorder="1" applyAlignment="1" applyProtection="1">
      <alignment horizontal="center" vertical="center"/>
    </xf>
    <xf numFmtId="0" fontId="33" fillId="35" borderId="34" xfId="0" applyFont="1" applyFill="1" applyBorder="1" applyAlignment="1" applyProtection="1">
      <alignment horizontal="center" vertical="center"/>
    </xf>
    <xf numFmtId="0" fontId="33" fillId="35" borderId="40" xfId="0" applyFont="1" applyFill="1" applyBorder="1" applyAlignment="1" applyProtection="1">
      <alignment horizontal="center" vertical="center"/>
    </xf>
    <xf numFmtId="0" fontId="33" fillId="35" borderId="41" xfId="0" applyFont="1" applyFill="1" applyBorder="1" applyAlignment="1" applyProtection="1">
      <alignment horizontal="center" vertical="center"/>
    </xf>
    <xf numFmtId="0" fontId="33" fillId="35" borderId="37" xfId="0" applyFont="1" applyFill="1" applyBorder="1" applyAlignment="1" applyProtection="1">
      <alignment horizontal="center" vertical="center"/>
    </xf>
    <xf numFmtId="0" fontId="33" fillId="35" borderId="38" xfId="0" applyFont="1" applyFill="1" applyBorder="1" applyAlignment="1" applyProtection="1">
      <alignment horizontal="center" vertical="center"/>
    </xf>
    <xf numFmtId="0" fontId="33" fillId="35" borderId="36" xfId="0" applyFont="1" applyFill="1" applyBorder="1" applyAlignment="1" applyProtection="1">
      <alignment horizontal="center" vertical="center"/>
    </xf>
    <xf numFmtId="0" fontId="33" fillId="35" borderId="42" xfId="0" applyFont="1" applyFill="1" applyBorder="1" applyAlignment="1" applyProtection="1">
      <alignment horizontal="center" vertical="center"/>
    </xf>
    <xf numFmtId="0" fontId="31" fillId="35" borderId="4" xfId="0" applyFont="1" applyFill="1" applyBorder="1" applyAlignment="1" applyProtection="1">
      <alignment horizontal="center" vertical="center" wrapText="1"/>
    </xf>
    <xf numFmtId="0" fontId="0" fillId="0" borderId="4" xfId="0" applyBorder="1" applyAlignment="1" applyProtection="1">
      <alignment vertical="center" wrapText="1"/>
    </xf>
    <xf numFmtId="0" fontId="0" fillId="0" borderId="4" xfId="0" applyBorder="1" applyAlignment="1" applyProtection="1">
      <alignment vertical="center" wrapText="1"/>
      <protection locked="0"/>
    </xf>
    <xf numFmtId="0" fontId="0" fillId="0" borderId="10" xfId="0" applyBorder="1" applyAlignment="1" applyProtection="1">
      <alignment vertical="center" wrapText="1"/>
      <protection locked="0"/>
    </xf>
    <xf numFmtId="0" fontId="33" fillId="35" borderId="29" xfId="0" applyFont="1" applyFill="1" applyBorder="1" applyAlignment="1" applyProtection="1">
      <alignment horizontal="center" vertical="center"/>
    </xf>
    <xf numFmtId="0" fontId="33" fillId="35" borderId="30" xfId="0" applyFont="1" applyFill="1" applyBorder="1" applyAlignment="1" applyProtection="1">
      <alignment horizontal="center" vertical="center"/>
    </xf>
    <xf numFmtId="0" fontId="33" fillId="35" borderId="31" xfId="0" applyFont="1" applyFill="1" applyBorder="1" applyAlignment="1" applyProtection="1">
      <alignment horizontal="center" vertical="center"/>
    </xf>
    <xf numFmtId="0" fontId="33" fillId="35" borderId="43" xfId="0" applyFont="1" applyFill="1" applyBorder="1" applyAlignment="1" applyProtection="1">
      <alignment horizontal="center" vertical="center"/>
    </xf>
    <xf numFmtId="0" fontId="33" fillId="35" borderId="32" xfId="0" applyFont="1" applyFill="1" applyBorder="1" applyAlignment="1" applyProtection="1">
      <alignment horizontal="center" vertical="center"/>
    </xf>
    <xf numFmtId="0" fontId="33" fillId="35" borderId="23" xfId="0" applyFont="1" applyFill="1" applyBorder="1" applyAlignment="1" applyProtection="1">
      <alignment horizontal="center" vertical="center"/>
    </xf>
    <xf numFmtId="0" fontId="33" fillId="35" borderId="1" xfId="0" applyFont="1" applyFill="1" applyBorder="1" applyAlignment="1" applyProtection="1">
      <alignment horizontal="center" vertical="center"/>
    </xf>
    <xf numFmtId="0" fontId="33" fillId="35" borderId="9" xfId="0" applyFont="1" applyFill="1" applyBorder="1" applyAlignment="1" applyProtection="1">
      <alignment horizontal="center" vertical="center"/>
    </xf>
    <xf numFmtId="0" fontId="33" fillId="35" borderId="45" xfId="0" applyFont="1" applyFill="1" applyBorder="1" applyAlignment="1" applyProtection="1">
      <alignment horizontal="center" vertical="center"/>
    </xf>
    <xf numFmtId="0" fontId="33" fillId="35" borderId="44" xfId="0" applyFont="1" applyFill="1" applyBorder="1" applyAlignment="1" applyProtection="1">
      <alignment horizontal="center" vertical="center"/>
    </xf>
    <xf numFmtId="0" fontId="40" fillId="36" borderId="4" xfId="0" applyNumberFormat="1" applyFont="1" applyFill="1" applyBorder="1" applyAlignment="1" applyProtection="1">
      <alignment vertical="center"/>
      <protection locked="0"/>
    </xf>
    <xf numFmtId="0" fontId="40" fillId="0" borderId="4" xfId="0" applyFont="1" applyBorder="1" applyAlignment="1">
      <alignment vertical="center"/>
      <protection locked="0"/>
    </xf>
    <xf numFmtId="171" fontId="0" fillId="36" borderId="2" xfId="0" applyNumberFormat="1" applyFont="1" applyFill="1" applyBorder="1" applyAlignment="1" applyProtection="1">
      <alignment vertical="center"/>
      <protection locked="0"/>
    </xf>
    <xf numFmtId="0" fontId="0" fillId="36" borderId="4" xfId="0" applyFill="1" applyBorder="1">
      <alignment vertical="center"/>
      <protection locked="0"/>
    </xf>
    <xf numFmtId="0" fontId="81" fillId="38" borderId="2" xfId="0" applyFont="1" applyFill="1" applyBorder="1" applyAlignment="1">
      <alignment vertical="center"/>
      <protection locked="0"/>
    </xf>
    <xf numFmtId="0" fontId="81" fillId="38" borderId="13" xfId="0" applyFont="1" applyFill="1" applyBorder="1" applyAlignment="1">
      <alignment vertical="center"/>
      <protection locked="0"/>
    </xf>
    <xf numFmtId="0" fontId="81" fillId="38" borderId="10" xfId="0" applyFont="1" applyFill="1" applyBorder="1" applyAlignment="1">
      <alignment vertical="center"/>
      <protection locked="0"/>
    </xf>
    <xf numFmtId="0" fontId="81" fillId="38" borderId="4" xfId="0" applyFont="1" applyFill="1" applyBorder="1" applyAlignment="1">
      <alignment vertical="center"/>
      <protection locked="0"/>
    </xf>
    <xf numFmtId="0" fontId="0" fillId="0" borderId="0" xfId="0" applyAlignment="1" applyProtection="1">
      <alignment horizontal="center" vertical="center"/>
    </xf>
    <xf numFmtId="0" fontId="0" fillId="38" borderId="2" xfId="0" applyFont="1" applyFill="1" applyBorder="1" applyAlignment="1">
      <alignment vertical="center"/>
      <protection locked="0"/>
    </xf>
    <xf numFmtId="0" fontId="0" fillId="38" borderId="4" xfId="0" applyFont="1" applyFill="1" applyBorder="1" applyAlignment="1">
      <alignment horizontal="center" vertical="center"/>
      <protection locked="0"/>
    </xf>
    <xf numFmtId="0" fontId="40" fillId="0" borderId="4" xfId="0" applyFont="1" applyBorder="1" applyAlignment="1" applyProtection="1">
      <alignment vertical="center"/>
    </xf>
    <xf numFmtId="0" fontId="6" fillId="41" borderId="4" xfId="0" applyFont="1" applyFill="1" applyBorder="1" applyAlignment="1">
      <alignment horizontal="center" vertical="center" wrapText="1"/>
      <protection locked="0"/>
    </xf>
    <xf numFmtId="0" fontId="6" fillId="41" borderId="4" xfId="0" applyFont="1" applyFill="1" applyBorder="1" applyAlignment="1">
      <alignment horizontal="center" vertical="center"/>
      <protection locked="0"/>
    </xf>
    <xf numFmtId="0" fontId="0" fillId="0" borderId="4" xfId="0" applyBorder="1" applyAlignment="1">
      <alignment vertical="center"/>
      <protection locked="0"/>
    </xf>
    <xf numFmtId="0" fontId="0" fillId="0" borderId="4" xfId="0" applyBorder="1" applyAlignment="1">
      <alignment horizontal="center" vertical="center" wrapText="1"/>
      <protection locked="0"/>
    </xf>
    <xf numFmtId="0" fontId="6" fillId="41" borderId="2" xfId="0" applyFont="1" applyFill="1" applyBorder="1" applyAlignment="1">
      <alignment horizontal="center" vertical="center" wrapText="1"/>
      <protection locked="0"/>
    </xf>
    <xf numFmtId="0" fontId="6" fillId="41" borderId="13" xfId="0" applyFont="1" applyFill="1" applyBorder="1" applyAlignment="1">
      <alignment horizontal="center" vertical="center" wrapText="1"/>
      <protection locked="0"/>
    </xf>
    <xf numFmtId="0" fontId="6" fillId="41" borderId="10" xfId="0" applyFont="1" applyFill="1" applyBorder="1" applyAlignment="1">
      <alignment horizontal="center" vertical="center" wrapText="1"/>
      <protection locked="0"/>
    </xf>
  </cellXfs>
  <cellStyles count="49">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Comma" xfId="28" builtinId="3" customBuiltin="1"/>
    <cellStyle name="Comma [0]" xfId="29" builtinId="6" customBuiltin="1"/>
    <cellStyle name="Currency" xfId="30" builtinId="4" customBuiltin="1"/>
    <cellStyle name="Currency [0]" xfId="31" builtinId="7" customBuiltin="1"/>
    <cellStyle name="Explanatory Text" xfId="32" builtinId="53" customBuiltin="1"/>
    <cellStyle name="Followed Hyperlink" xfId="33" builtinId="9"/>
    <cellStyle name="Good" xfId="34" builtinId="26" customBuiltin="1"/>
    <cellStyle name="Heading 1" xfId="35" builtinId="16" customBuiltin="1"/>
    <cellStyle name="Heading 2" xfId="36" builtinId="17" customBuiltin="1"/>
    <cellStyle name="Heading 3" xfId="37" builtinId="18" customBuiltin="1"/>
    <cellStyle name="Heading 4" xfId="38" builtinId="19" customBuiltin="1"/>
    <cellStyle name="Hyperlink" xfId="39" builtinId="8"/>
    <cellStyle name="Input" xfId="40" builtinId="20" customBuiltin="1"/>
    <cellStyle name="Linked Cell" xfId="41" builtinId="24" customBuiltin="1"/>
    <cellStyle name="Neutral" xfId="42" builtinId="28" customBuiltin="1"/>
    <cellStyle name="Normal" xfId="0" builtinId="0" customBuiltin="1"/>
    <cellStyle name="Note" xfId="43" builtinId="10" customBuiltin="1"/>
    <cellStyle name="Output" xfId="44" builtinId="21" customBuiltin="1"/>
    <cellStyle name="Percent" xfId="45" builtinId="5" customBuiltin="1"/>
    <cellStyle name="Title" xfId="46" builtinId="15" customBuiltin="1"/>
    <cellStyle name="Total" xfId="47" builtinId="25" customBuiltin="1"/>
    <cellStyle name="Warning Text" xfId="48" builtinId="11" customBuiltin="1"/>
  </cellStyles>
  <dxfs count="612">
    <dxf>
      <font>
        <color theme="0"/>
      </font>
      <fill>
        <patternFill>
          <bgColor theme="4"/>
        </patternFill>
      </fill>
      <border>
        <left style="thin">
          <color auto="1"/>
        </left>
        <right style="thin">
          <color auto="1"/>
        </right>
        <top style="thin">
          <color auto="1"/>
        </top>
        <bottom style="thin">
          <color auto="1"/>
        </bottom>
        <vertical/>
        <horizontal/>
      </border>
    </dxf>
    <dxf>
      <font>
        <color theme="0"/>
      </font>
      <fill>
        <patternFill>
          <bgColor theme="4"/>
        </patternFill>
      </fill>
      <border>
        <left style="thin">
          <color auto="1"/>
        </left>
        <right style="thin">
          <color auto="1"/>
        </right>
        <top style="thin">
          <color auto="1"/>
        </top>
        <bottom style="thin">
          <color auto="1"/>
        </bottom>
        <vertical/>
        <horizontal/>
      </border>
    </dxf>
    <dxf>
      <font>
        <color theme="0"/>
      </font>
      <fill>
        <patternFill>
          <bgColor theme="4"/>
        </patternFill>
      </fill>
      <border>
        <left style="thin">
          <color auto="1"/>
        </left>
        <right style="thin">
          <color auto="1"/>
        </right>
        <top style="thin">
          <color auto="1"/>
        </top>
        <bottom style="thin">
          <color auto="1"/>
        </bottom>
        <vertical/>
        <horizontal/>
      </border>
    </dxf>
    <dxf>
      <font>
        <color theme="0"/>
      </font>
      <fill>
        <patternFill>
          <bgColor theme="4"/>
        </patternFill>
      </fill>
      <border>
        <left style="thin">
          <color auto="1"/>
        </left>
        <right style="thin">
          <color auto="1"/>
        </right>
        <top style="thin">
          <color auto="1"/>
        </top>
        <bottom style="thin">
          <color auto="1"/>
        </bottom>
        <vertical/>
        <horizontal/>
      </border>
    </dxf>
    <dxf>
      <font>
        <color theme="0"/>
      </font>
      <fill>
        <patternFill>
          <bgColor theme="4"/>
        </patternFill>
      </fill>
      <border>
        <left style="thin">
          <color auto="1"/>
        </left>
        <right style="thin">
          <color auto="1"/>
        </right>
        <top style="thin">
          <color auto="1"/>
        </top>
        <bottom style="thin">
          <color auto="1"/>
        </bottom>
        <vertical/>
        <horizontal/>
      </border>
    </dxf>
    <dxf>
      <font>
        <color theme="0"/>
      </font>
      <fill>
        <patternFill>
          <bgColor theme="4"/>
        </patternFill>
      </fill>
      <border>
        <left style="thin">
          <color auto="1"/>
        </left>
        <right style="thin">
          <color auto="1"/>
        </right>
        <top style="thin">
          <color auto="1"/>
        </top>
        <bottom style="thin">
          <color auto="1"/>
        </bottom>
        <vertical/>
        <horizontal/>
      </border>
    </dxf>
    <dxf>
      <font>
        <color theme="0"/>
      </font>
      <fill>
        <patternFill>
          <bgColor theme="4"/>
        </patternFill>
      </fill>
      <border>
        <left style="thin">
          <color auto="1"/>
        </left>
        <right style="thin">
          <color auto="1"/>
        </right>
        <top style="thin">
          <color auto="1"/>
        </top>
        <bottom style="thin">
          <color auto="1"/>
        </bottom>
        <vertical/>
        <horizontal/>
      </border>
    </dxf>
    <dxf>
      <font>
        <color theme="0"/>
      </font>
      <fill>
        <patternFill>
          <bgColor theme="4"/>
        </patternFill>
      </fill>
      <border>
        <left style="thin">
          <color auto="1"/>
        </left>
        <right style="thin">
          <color auto="1"/>
        </right>
        <top style="thin">
          <color auto="1"/>
        </top>
        <bottom style="thin">
          <color auto="1"/>
        </bottom>
        <vertical/>
        <horizontal/>
      </border>
    </dxf>
    <dxf>
      <font>
        <color theme="0"/>
      </font>
      <fill>
        <patternFill>
          <bgColor theme="4"/>
        </patternFill>
      </fill>
      <border>
        <left style="thin">
          <color auto="1"/>
        </left>
        <right style="thin">
          <color auto="1"/>
        </right>
        <top style="thin">
          <color auto="1"/>
        </top>
        <bottom style="thin">
          <color auto="1"/>
        </bottom>
        <vertical/>
        <horizontal/>
      </border>
    </dxf>
    <dxf>
      <font>
        <color theme="0"/>
      </font>
      <fill>
        <patternFill>
          <bgColor theme="4"/>
        </patternFill>
      </fill>
      <border>
        <left style="thin">
          <color auto="1"/>
        </left>
        <right style="thin">
          <color auto="1"/>
        </right>
        <top style="thin">
          <color auto="1"/>
        </top>
        <bottom style="thin">
          <color auto="1"/>
        </bottom>
        <vertical/>
        <horizontal/>
      </border>
    </dxf>
    <dxf>
      <font>
        <color theme="0"/>
      </font>
      <fill>
        <patternFill>
          <bgColor theme="4"/>
        </patternFill>
      </fill>
      <border>
        <left style="thin">
          <color auto="1"/>
        </left>
        <right style="thin">
          <color auto="1"/>
        </right>
        <top style="thin">
          <color auto="1"/>
        </top>
        <bottom style="thin">
          <color auto="1"/>
        </bottom>
        <vertical/>
        <horizontal/>
      </border>
    </dxf>
    <dxf>
      <font>
        <color theme="0"/>
      </font>
      <fill>
        <patternFill>
          <bgColor theme="4"/>
        </patternFill>
      </fill>
      <border>
        <left style="thin">
          <color auto="1"/>
        </left>
        <right style="thin">
          <color auto="1"/>
        </right>
        <top style="thin">
          <color auto="1"/>
        </top>
        <bottom style="thin">
          <color auto="1"/>
        </bottom>
        <vertical/>
        <horizontal/>
      </border>
    </dxf>
    <dxf>
      <font>
        <color theme="0"/>
      </font>
      <fill>
        <patternFill>
          <bgColor theme="4"/>
        </patternFill>
      </fill>
      <border>
        <left style="thin">
          <color auto="1"/>
        </left>
        <right style="thin">
          <color auto="1"/>
        </right>
        <top style="thin">
          <color auto="1"/>
        </top>
        <bottom style="thin">
          <color auto="1"/>
        </bottom>
        <vertical/>
        <horizontal/>
      </border>
    </dxf>
    <dxf>
      <font>
        <color theme="0"/>
      </font>
      <fill>
        <patternFill>
          <bgColor theme="4"/>
        </patternFill>
      </fill>
      <border>
        <left style="thin">
          <color auto="1"/>
        </left>
        <right style="thin">
          <color auto="1"/>
        </right>
        <top style="thin">
          <color auto="1"/>
        </top>
        <bottom style="thin">
          <color auto="1"/>
        </bottom>
        <vertical/>
        <horizontal/>
      </border>
    </dxf>
    <dxf>
      <font>
        <color theme="0"/>
      </font>
      <fill>
        <patternFill>
          <bgColor theme="4"/>
        </patternFill>
      </fill>
      <border>
        <left style="thin">
          <color auto="1"/>
        </left>
        <right style="thin">
          <color auto="1"/>
        </right>
        <top style="thin">
          <color auto="1"/>
        </top>
        <bottom style="thin">
          <color auto="1"/>
        </bottom>
        <vertical/>
        <horizontal/>
      </border>
    </dxf>
    <dxf>
      <font>
        <color theme="0"/>
      </font>
      <fill>
        <patternFill>
          <bgColor theme="4"/>
        </patternFill>
      </fill>
      <border>
        <left style="thin">
          <color auto="1"/>
        </left>
        <right style="thin">
          <color auto="1"/>
        </right>
        <top style="thin">
          <color auto="1"/>
        </top>
        <bottom style="thin">
          <color auto="1"/>
        </bottom>
        <vertical/>
        <horizontal/>
      </border>
    </dxf>
    <dxf>
      <font>
        <color theme="0"/>
      </font>
      <fill>
        <patternFill>
          <bgColor theme="4"/>
        </patternFill>
      </fill>
      <border>
        <left style="thin">
          <color auto="1"/>
        </left>
        <right style="thin">
          <color auto="1"/>
        </right>
        <top style="thin">
          <color auto="1"/>
        </top>
        <bottom style="thin">
          <color auto="1"/>
        </bottom>
        <vertical/>
        <horizontal/>
      </border>
    </dxf>
    <dxf>
      <font>
        <color theme="0"/>
      </font>
      <fill>
        <patternFill>
          <bgColor theme="4"/>
        </patternFill>
      </fill>
      <border>
        <left style="thin">
          <color auto="1"/>
        </left>
        <right style="thin">
          <color auto="1"/>
        </right>
        <top style="thin">
          <color auto="1"/>
        </top>
        <bottom style="thin">
          <color auto="1"/>
        </bottom>
        <vertical/>
        <horizontal/>
      </border>
    </dxf>
    <dxf>
      <font>
        <color theme="0"/>
      </font>
      <fill>
        <patternFill>
          <bgColor theme="4"/>
        </patternFill>
      </fill>
      <border>
        <left style="thin">
          <color auto="1"/>
        </left>
        <right style="thin">
          <color auto="1"/>
        </right>
        <top style="thin">
          <color auto="1"/>
        </top>
        <bottom style="thin">
          <color auto="1"/>
        </bottom>
        <vertical/>
        <horizontal/>
      </border>
    </dxf>
    <dxf>
      <font>
        <color theme="0"/>
      </font>
      <fill>
        <patternFill>
          <bgColor theme="4"/>
        </patternFill>
      </fill>
      <border>
        <left style="thin">
          <color auto="1"/>
        </left>
        <right style="thin">
          <color auto="1"/>
        </right>
        <top style="thin">
          <color auto="1"/>
        </top>
        <bottom style="thin">
          <color auto="1"/>
        </bottom>
        <vertical/>
        <horizontal/>
      </border>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ont>
        <color theme="0"/>
      </font>
      <fill>
        <patternFill>
          <bgColor theme="4"/>
        </patternFill>
      </fill>
      <border>
        <left style="thin">
          <color indexed="64"/>
        </left>
        <right style="thin">
          <color indexed="64"/>
        </right>
        <top style="thin">
          <color indexed="64"/>
        </top>
        <bottom style="thin">
          <color indexed="64"/>
        </bottom>
      </border>
    </dxf>
    <dxf>
      <font>
        <color theme="0"/>
      </font>
      <fill>
        <patternFill>
          <bgColor theme="4"/>
        </patternFill>
      </fill>
      <border>
        <left style="thin">
          <color indexed="64"/>
        </left>
        <right style="thin">
          <color indexed="64"/>
        </right>
        <top style="thin">
          <color indexed="64"/>
        </top>
        <bottom style="thin">
          <color indexed="64"/>
        </bottom>
      </border>
    </dxf>
    <dxf>
      <font>
        <color theme="0"/>
      </font>
      <fill>
        <patternFill>
          <bgColor theme="4"/>
        </patternFill>
      </fill>
      <border>
        <left style="thin">
          <color indexed="64"/>
        </left>
        <right style="thin">
          <color indexed="64"/>
        </right>
        <top style="thin">
          <color indexed="64"/>
        </top>
        <bottom style="thin">
          <color indexed="64"/>
        </bottom>
      </border>
    </dxf>
    <dxf>
      <font>
        <color theme="0"/>
      </font>
      <fill>
        <patternFill>
          <bgColor theme="4"/>
        </patternFill>
      </fill>
      <border>
        <left style="thin">
          <color indexed="64"/>
        </left>
        <right style="thin">
          <color indexed="64"/>
        </right>
        <top style="thin">
          <color indexed="64"/>
        </top>
        <bottom style="thin">
          <color indexed="64"/>
        </bottom>
      </border>
    </dxf>
    <dxf>
      <font>
        <color theme="0"/>
      </font>
      <fill>
        <patternFill>
          <bgColor theme="4"/>
        </patternFill>
      </fill>
      <border>
        <left style="thin">
          <color indexed="64"/>
        </left>
        <right style="thin">
          <color indexed="64"/>
        </right>
        <top style="thin">
          <color indexed="64"/>
        </top>
        <bottom style="thin">
          <color indexed="64"/>
        </bottom>
      </border>
    </dxf>
    <dxf>
      <font>
        <color theme="0"/>
      </font>
      <fill>
        <patternFill>
          <bgColor theme="4"/>
        </patternFill>
      </fill>
      <border>
        <left style="thin">
          <color indexed="64"/>
        </left>
        <right style="thin">
          <color indexed="64"/>
        </right>
        <top style="thin">
          <color indexed="64"/>
        </top>
        <bottom style="thin">
          <color indexed="64"/>
        </bottom>
      </border>
    </dxf>
    <dxf>
      <font>
        <color theme="0"/>
      </font>
      <fill>
        <patternFill>
          <bgColor theme="4"/>
        </patternFill>
      </fill>
      <border>
        <left style="thin">
          <color indexed="64"/>
        </left>
        <right style="thin">
          <color indexed="64"/>
        </right>
        <top style="thin">
          <color indexed="64"/>
        </top>
        <bottom style="thin">
          <color indexed="64"/>
        </bottom>
      </border>
    </dxf>
    <dxf>
      <font>
        <color theme="0"/>
      </font>
      <fill>
        <patternFill>
          <bgColor theme="4"/>
        </patternFill>
      </fill>
      <border>
        <left style="thin">
          <color indexed="64"/>
        </left>
        <right style="thin">
          <color indexed="64"/>
        </right>
        <top style="thin">
          <color indexed="64"/>
        </top>
        <bottom style="thin">
          <color indexed="64"/>
        </bottom>
      </border>
    </dxf>
    <dxf>
      <font>
        <color theme="0"/>
      </font>
      <fill>
        <patternFill>
          <bgColor theme="4"/>
        </patternFill>
      </fill>
      <border>
        <left style="thin">
          <color indexed="64"/>
        </left>
        <right style="thin">
          <color indexed="64"/>
        </right>
        <top style="thin">
          <color indexed="64"/>
        </top>
        <bottom style="thin">
          <color indexed="64"/>
        </bottom>
      </border>
    </dxf>
    <dxf>
      <font>
        <color theme="0"/>
      </font>
      <fill>
        <patternFill>
          <bgColor theme="4"/>
        </patternFill>
      </fill>
      <border>
        <left style="thin">
          <color indexed="64"/>
        </left>
        <right style="thin">
          <color indexed="64"/>
        </right>
        <top style="thin">
          <color indexed="64"/>
        </top>
        <bottom style="thin">
          <color indexed="64"/>
        </bottom>
      </border>
    </dxf>
    <dxf>
      <font>
        <color theme="0"/>
      </font>
      <fill>
        <patternFill>
          <bgColor theme="4"/>
        </patternFill>
      </fill>
      <border>
        <left style="thin">
          <color indexed="64"/>
        </left>
        <right style="thin">
          <color indexed="64"/>
        </right>
        <top style="thin">
          <color indexed="64"/>
        </top>
        <bottom style="thin">
          <color indexed="64"/>
        </bottom>
      </border>
    </dxf>
    <dxf>
      <font>
        <color theme="0"/>
      </font>
      <fill>
        <patternFill>
          <bgColor theme="4"/>
        </patternFill>
      </fill>
      <border>
        <left style="thin">
          <color indexed="64"/>
        </left>
        <right style="thin">
          <color indexed="64"/>
        </right>
        <top style="thin">
          <color indexed="64"/>
        </top>
        <bottom style="thin">
          <color indexed="64"/>
        </bottom>
      </border>
    </dxf>
    <dxf>
      <font>
        <color theme="0"/>
      </font>
      <fill>
        <patternFill>
          <bgColor theme="4"/>
        </patternFill>
      </fill>
      <border>
        <left style="thin">
          <color indexed="64"/>
        </left>
        <right style="thin">
          <color indexed="64"/>
        </right>
        <top style="thin">
          <color indexed="64"/>
        </top>
        <bottom style="thin">
          <color indexed="64"/>
        </bottom>
      </border>
    </dxf>
    <dxf>
      <font>
        <color theme="0"/>
      </font>
      <fill>
        <patternFill>
          <bgColor theme="4"/>
        </patternFill>
      </fill>
      <border>
        <left style="thin">
          <color indexed="64"/>
        </left>
        <right style="thin">
          <color indexed="64"/>
        </right>
        <top style="thin">
          <color indexed="64"/>
        </top>
        <bottom style="thin">
          <color indexed="64"/>
        </bottom>
      </border>
    </dxf>
    <dxf>
      <font>
        <color theme="0"/>
      </font>
      <fill>
        <patternFill>
          <bgColor theme="4"/>
        </patternFill>
      </fill>
      <border>
        <left style="thin">
          <color indexed="64"/>
        </left>
        <right style="thin">
          <color indexed="64"/>
        </right>
        <top style="thin">
          <color indexed="64"/>
        </top>
        <bottom style="thin">
          <color indexed="64"/>
        </bottom>
      </border>
    </dxf>
    <dxf>
      <font>
        <color theme="0"/>
      </font>
      <fill>
        <patternFill>
          <bgColor theme="4"/>
        </patternFill>
      </fill>
      <border>
        <left style="thin">
          <color indexed="64"/>
        </left>
        <right style="thin">
          <color indexed="64"/>
        </right>
        <top style="thin">
          <color indexed="64"/>
        </top>
        <bottom style="thin">
          <color indexed="64"/>
        </bottom>
      </border>
    </dxf>
    <dxf>
      <font>
        <color theme="0"/>
      </font>
      <fill>
        <patternFill>
          <bgColor theme="4"/>
        </patternFill>
      </fill>
      <border>
        <left style="thin">
          <color indexed="64"/>
        </left>
        <right style="thin">
          <color indexed="64"/>
        </right>
        <top style="thin">
          <color indexed="64"/>
        </top>
        <bottom style="thin">
          <color indexed="64"/>
        </bottom>
      </border>
    </dxf>
    <dxf>
      <font>
        <color theme="0"/>
      </font>
      <fill>
        <patternFill>
          <bgColor theme="4"/>
        </patternFill>
      </fill>
      <border>
        <left style="thin">
          <color indexed="64"/>
        </left>
        <right style="thin">
          <color indexed="64"/>
        </right>
        <top style="thin">
          <color indexed="64"/>
        </top>
        <bottom style="thin">
          <color indexed="64"/>
        </bottom>
      </border>
    </dxf>
    <dxf>
      <font>
        <color theme="0"/>
      </font>
      <fill>
        <patternFill>
          <bgColor theme="4"/>
        </patternFill>
      </fill>
      <border>
        <left style="thin">
          <color indexed="64"/>
        </left>
        <right style="thin">
          <color indexed="64"/>
        </right>
        <top style="thin">
          <color indexed="64"/>
        </top>
        <bottom style="thin">
          <color indexed="64"/>
        </bottom>
      </border>
    </dxf>
    <dxf>
      <fill>
        <patternFill patternType="lightUp">
          <bgColor theme="0" tint="-0.24994659260841701"/>
        </patternFill>
      </fill>
    </dxf>
    <dxf>
      <border>
        <left style="thin">
          <color indexed="64"/>
        </left>
        <right style="thin">
          <color indexed="64"/>
        </right>
        <top style="thin">
          <color indexed="64"/>
        </top>
      </border>
    </dxf>
    <dxf>
      <font>
        <color theme="0"/>
      </font>
      <fill>
        <patternFill>
          <bgColor theme="4"/>
        </patternFill>
      </fill>
      <border>
        <left style="thin">
          <color indexed="64"/>
        </left>
        <right style="thin">
          <color indexed="64"/>
        </right>
        <top style="thin">
          <color indexed="64"/>
        </top>
        <bottom style="thin">
          <color indexed="64"/>
        </bottom>
      </border>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ont>
        <color theme="0"/>
      </font>
      <fill>
        <patternFill>
          <bgColor theme="4"/>
        </patternFill>
      </fill>
      <border>
        <left style="thin">
          <color indexed="64"/>
        </left>
        <right style="thin">
          <color indexed="64"/>
        </right>
        <top style="thin">
          <color indexed="64"/>
        </top>
        <bottom style="thin">
          <color indexed="64"/>
        </bottom>
      </border>
    </dxf>
    <dxf>
      <font>
        <color theme="0"/>
      </font>
      <fill>
        <patternFill>
          <bgColor theme="4"/>
        </patternFill>
      </fill>
      <border>
        <left style="thin">
          <color indexed="64"/>
        </left>
        <right style="thin">
          <color indexed="64"/>
        </right>
        <top style="thin">
          <color indexed="64"/>
        </top>
        <bottom style="thin">
          <color indexed="64"/>
        </bottom>
      </border>
    </dxf>
    <dxf>
      <font>
        <color theme="0"/>
      </font>
      <fill>
        <patternFill>
          <bgColor theme="4"/>
        </patternFill>
      </fill>
      <border>
        <left style="thin">
          <color indexed="64"/>
        </left>
        <right style="thin">
          <color indexed="64"/>
        </right>
        <top style="thin">
          <color indexed="64"/>
        </top>
        <bottom style="thin">
          <color indexed="64"/>
        </bottom>
      </border>
    </dxf>
    <dxf>
      <font>
        <color theme="0"/>
      </font>
      <fill>
        <patternFill>
          <bgColor theme="4"/>
        </patternFill>
      </fill>
      <border>
        <left style="thin">
          <color indexed="64"/>
        </left>
        <right style="thin">
          <color indexed="64"/>
        </right>
        <top style="thin">
          <color indexed="64"/>
        </top>
        <bottom style="thin">
          <color indexed="64"/>
        </bottom>
      </border>
    </dxf>
    <dxf>
      <font>
        <color theme="0"/>
      </font>
      <fill>
        <patternFill>
          <bgColor theme="4"/>
        </patternFill>
      </fill>
      <border>
        <left style="thin">
          <color indexed="64"/>
        </left>
        <right style="thin">
          <color indexed="64"/>
        </right>
        <top style="thin">
          <color indexed="64"/>
        </top>
        <bottom style="thin">
          <color indexed="64"/>
        </bottom>
      </border>
    </dxf>
    <dxf>
      <font>
        <color theme="0"/>
      </font>
      <fill>
        <patternFill>
          <bgColor theme="4"/>
        </patternFill>
      </fill>
      <border>
        <left style="thin">
          <color indexed="64"/>
        </left>
        <right style="thin">
          <color indexed="64"/>
        </right>
        <top style="thin">
          <color indexed="64"/>
        </top>
        <bottom style="thin">
          <color indexed="64"/>
        </bottom>
      </border>
    </dxf>
    <dxf>
      <font>
        <color theme="0"/>
      </font>
      <fill>
        <patternFill>
          <bgColor theme="4"/>
        </patternFill>
      </fill>
      <border>
        <left style="thin">
          <color indexed="64"/>
        </left>
        <right style="thin">
          <color indexed="64"/>
        </right>
        <top style="thin">
          <color indexed="64"/>
        </top>
        <bottom style="thin">
          <color indexed="64"/>
        </bottom>
      </border>
    </dxf>
    <dxf>
      <font>
        <color theme="0"/>
      </font>
      <fill>
        <patternFill>
          <bgColor theme="4"/>
        </patternFill>
      </fill>
      <border>
        <left style="thin">
          <color indexed="64"/>
        </left>
        <right style="thin">
          <color indexed="64"/>
        </right>
        <top style="thin">
          <color indexed="64"/>
        </top>
        <bottom style="thin">
          <color indexed="64"/>
        </bottom>
      </border>
    </dxf>
    <dxf>
      <font>
        <color theme="0"/>
      </font>
      <fill>
        <patternFill>
          <bgColor theme="4"/>
        </patternFill>
      </fill>
      <border>
        <left style="thin">
          <color indexed="64"/>
        </left>
        <right style="thin">
          <color indexed="64"/>
        </right>
        <top style="thin">
          <color indexed="64"/>
        </top>
        <bottom style="thin">
          <color indexed="64"/>
        </bottom>
      </border>
    </dxf>
    <dxf>
      <font>
        <color theme="0"/>
      </font>
      <fill>
        <patternFill>
          <bgColor theme="4"/>
        </patternFill>
      </fill>
      <border>
        <left style="thin">
          <color indexed="64"/>
        </left>
        <right style="thin">
          <color indexed="64"/>
        </right>
        <top style="thin">
          <color indexed="64"/>
        </top>
        <bottom style="thin">
          <color indexed="64"/>
        </bottom>
      </border>
    </dxf>
    <dxf>
      <font>
        <color theme="0"/>
      </font>
      <fill>
        <patternFill>
          <bgColor theme="4"/>
        </patternFill>
      </fill>
      <border>
        <left style="thin">
          <color indexed="64"/>
        </left>
        <right style="thin">
          <color indexed="64"/>
        </right>
        <top style="thin">
          <color indexed="64"/>
        </top>
        <bottom style="thin">
          <color indexed="64"/>
        </bottom>
      </border>
    </dxf>
    <dxf>
      <font>
        <color theme="0"/>
      </font>
      <fill>
        <patternFill>
          <bgColor theme="4"/>
        </patternFill>
      </fill>
      <border>
        <left style="thin">
          <color indexed="64"/>
        </left>
        <right style="thin">
          <color indexed="64"/>
        </right>
        <top style="thin">
          <color indexed="64"/>
        </top>
        <bottom style="thin">
          <color indexed="64"/>
        </bottom>
      </border>
    </dxf>
    <dxf>
      <font>
        <color theme="0"/>
      </font>
      <fill>
        <patternFill>
          <bgColor theme="4"/>
        </patternFill>
      </fill>
      <border>
        <left style="thin">
          <color indexed="64"/>
        </left>
        <right style="thin">
          <color indexed="64"/>
        </right>
        <top style="thin">
          <color indexed="64"/>
        </top>
        <bottom style="thin">
          <color indexed="64"/>
        </bottom>
      </border>
    </dxf>
    <dxf>
      <font>
        <color theme="0"/>
      </font>
      <fill>
        <patternFill>
          <bgColor theme="4"/>
        </patternFill>
      </fill>
      <border>
        <left style="thin">
          <color indexed="64"/>
        </left>
        <right style="thin">
          <color indexed="64"/>
        </right>
        <top style="thin">
          <color indexed="64"/>
        </top>
        <bottom style="thin">
          <color indexed="64"/>
        </bottom>
      </border>
    </dxf>
    <dxf>
      <font>
        <color theme="0"/>
      </font>
      <fill>
        <patternFill>
          <bgColor theme="4"/>
        </patternFill>
      </fill>
      <border>
        <left style="thin">
          <color indexed="64"/>
        </left>
        <right style="thin">
          <color indexed="64"/>
        </right>
        <top style="thin">
          <color indexed="64"/>
        </top>
        <bottom style="thin">
          <color indexed="64"/>
        </bottom>
      </border>
    </dxf>
    <dxf>
      <font>
        <color theme="0"/>
      </font>
      <fill>
        <patternFill>
          <bgColor theme="4"/>
        </patternFill>
      </fill>
      <border>
        <left style="thin">
          <color indexed="64"/>
        </left>
        <right style="thin">
          <color indexed="64"/>
        </right>
        <top style="thin">
          <color indexed="64"/>
        </top>
        <bottom style="thin">
          <color indexed="64"/>
        </bottom>
      </border>
    </dxf>
    <dxf>
      <font>
        <color theme="0"/>
      </font>
      <fill>
        <patternFill>
          <bgColor theme="4"/>
        </patternFill>
      </fill>
      <border>
        <left style="thin">
          <color indexed="64"/>
        </left>
        <right style="thin">
          <color indexed="64"/>
        </right>
        <top style="thin">
          <color indexed="64"/>
        </top>
        <bottom style="thin">
          <color indexed="64"/>
        </bottom>
      </border>
    </dxf>
    <dxf>
      <font>
        <color theme="0"/>
      </font>
      <fill>
        <patternFill>
          <bgColor theme="4"/>
        </patternFill>
      </fill>
      <border>
        <left style="thin">
          <color indexed="64"/>
        </left>
        <right style="thin">
          <color indexed="64"/>
        </right>
        <top style="thin">
          <color indexed="64"/>
        </top>
        <bottom style="thin">
          <color indexed="64"/>
        </bottom>
      </border>
    </dxf>
    <dxf>
      <font>
        <color theme="0"/>
      </font>
      <fill>
        <patternFill>
          <bgColor theme="4"/>
        </patternFill>
      </fill>
      <border>
        <left style="thin">
          <color indexed="64"/>
        </left>
        <right style="thin">
          <color indexed="64"/>
        </right>
        <top style="thin">
          <color indexed="64"/>
        </top>
        <bottom style="thin">
          <color indexed="64"/>
        </bottom>
      </border>
    </dxf>
    <dxf>
      <fill>
        <patternFill patternType="lightUp">
          <bgColor theme="0" tint="-0.24994659260841701"/>
        </patternFill>
      </fill>
    </dxf>
    <dxf>
      <border>
        <left style="thin">
          <color indexed="64"/>
        </left>
        <right style="thin">
          <color indexed="64"/>
        </right>
        <top style="thin">
          <color indexed="64"/>
        </top>
      </border>
    </dxf>
    <dxf>
      <font>
        <color theme="0"/>
      </font>
      <fill>
        <patternFill>
          <bgColor theme="4"/>
        </patternFill>
      </fill>
      <border>
        <left style="thin">
          <color indexed="64"/>
        </left>
        <right style="thin">
          <color indexed="64"/>
        </right>
        <top style="thin">
          <color indexed="64"/>
        </top>
        <bottom style="thin">
          <color indexed="64"/>
        </bottom>
      </border>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ont>
        <color theme="0"/>
      </font>
      <fill>
        <patternFill>
          <bgColor rgb="FFFF0000"/>
        </patternFill>
      </fill>
      <border>
        <left style="thin">
          <color auto="1"/>
        </left>
        <right style="thin">
          <color auto="1"/>
        </right>
        <top style="thin">
          <color auto="1"/>
        </top>
        <bottom style="thin">
          <color auto="1"/>
        </bottom>
        <vertical/>
        <horizontal/>
      </border>
    </dxf>
    <dxf>
      <fill>
        <patternFill>
          <bgColor rgb="FFFFC000"/>
        </patternFill>
      </fill>
      <border>
        <left style="thin">
          <color auto="1"/>
        </left>
        <right style="thin">
          <color auto="1"/>
        </right>
        <top style="thin">
          <color auto="1"/>
        </top>
        <bottom style="thin">
          <color auto="1"/>
        </bottom>
        <vertical/>
        <horizontal/>
      </border>
    </dxf>
    <dxf>
      <fill>
        <patternFill patternType="lightUp">
          <bgColor theme="0" tint="-0.24994659260841701"/>
        </patternFill>
      </fill>
    </dxf>
    <dxf>
      <fill>
        <patternFill patternType="lightUp">
          <bgColor theme="0" tint="-0.24994659260841701"/>
        </patternFill>
      </fill>
    </dxf>
    <dxf>
      <font>
        <color theme="0"/>
      </font>
      <fill>
        <patternFill>
          <bgColor rgb="FFFF0000"/>
        </patternFill>
      </fill>
      <border>
        <left style="thin">
          <color auto="1"/>
        </left>
        <right style="thin">
          <color auto="1"/>
        </right>
        <top style="thin">
          <color auto="1"/>
        </top>
        <bottom style="thin">
          <color auto="1"/>
        </bottom>
        <vertical/>
        <horizontal/>
      </border>
    </dxf>
    <dxf>
      <fill>
        <patternFill patternType="lightUp">
          <bgColor theme="0" tint="-0.24994659260841701"/>
        </patternFill>
      </fill>
    </dxf>
    <dxf>
      <fill>
        <patternFill patternType="lightUp">
          <bgColor theme="0" tint="-0.24994659260841701"/>
        </patternFill>
      </fill>
    </dxf>
    <dxf>
      <font>
        <color theme="0"/>
      </font>
      <fill>
        <patternFill>
          <bgColor theme="4"/>
        </patternFill>
      </fill>
      <border>
        <left style="thin">
          <color indexed="64"/>
        </left>
        <right style="thin">
          <color indexed="64"/>
        </right>
        <top style="thin">
          <color indexed="64"/>
        </top>
        <bottom style="thin">
          <color indexed="64"/>
        </bottom>
      </border>
    </dxf>
    <dxf>
      <font>
        <color theme="0"/>
      </font>
      <fill>
        <patternFill>
          <bgColor theme="4"/>
        </patternFill>
      </fill>
      <border>
        <left style="thin">
          <color indexed="64"/>
        </left>
        <right style="thin">
          <color indexed="64"/>
        </right>
        <top style="thin">
          <color indexed="64"/>
        </top>
        <bottom style="thin">
          <color indexed="64"/>
        </bottom>
      </border>
    </dxf>
    <dxf>
      <font>
        <color theme="0"/>
      </font>
      <fill>
        <patternFill>
          <bgColor theme="4"/>
        </patternFill>
      </fill>
      <border>
        <left style="thin">
          <color indexed="64"/>
        </left>
        <right style="thin">
          <color indexed="64"/>
        </right>
        <top style="thin">
          <color indexed="64"/>
        </top>
        <bottom style="thin">
          <color indexed="64"/>
        </bottom>
      </border>
    </dxf>
    <dxf>
      <font>
        <color theme="0"/>
      </font>
      <fill>
        <patternFill>
          <bgColor theme="4"/>
        </patternFill>
      </fill>
      <border>
        <left style="thin">
          <color indexed="64"/>
        </left>
        <right style="thin">
          <color indexed="64"/>
        </right>
        <top style="thin">
          <color indexed="64"/>
        </top>
        <bottom style="thin">
          <color indexed="64"/>
        </bottom>
      </border>
    </dxf>
    <dxf>
      <font>
        <color theme="0"/>
      </font>
      <fill>
        <patternFill>
          <bgColor theme="4"/>
        </patternFill>
      </fill>
      <border>
        <left style="thin">
          <color indexed="64"/>
        </left>
        <right style="thin">
          <color indexed="64"/>
        </right>
        <top style="thin">
          <color indexed="64"/>
        </top>
        <bottom style="thin">
          <color indexed="64"/>
        </bottom>
      </border>
    </dxf>
    <dxf>
      <font>
        <color theme="0"/>
      </font>
      <fill>
        <patternFill>
          <bgColor theme="4"/>
        </patternFill>
      </fill>
      <border>
        <left style="thin">
          <color indexed="64"/>
        </left>
        <right style="thin">
          <color indexed="64"/>
        </right>
        <top style="thin">
          <color indexed="64"/>
        </top>
        <bottom style="thin">
          <color indexed="64"/>
        </bottom>
      </border>
    </dxf>
    <dxf>
      <font>
        <color theme="0"/>
      </font>
      <fill>
        <patternFill>
          <bgColor theme="4"/>
        </patternFill>
      </fill>
      <border>
        <left style="thin">
          <color indexed="64"/>
        </left>
        <right style="thin">
          <color indexed="64"/>
        </right>
        <top style="thin">
          <color indexed="64"/>
        </top>
        <bottom style="thin">
          <color indexed="64"/>
        </bottom>
      </border>
    </dxf>
    <dxf>
      <font>
        <color theme="0"/>
      </font>
      <fill>
        <patternFill>
          <bgColor theme="4"/>
        </patternFill>
      </fill>
      <border>
        <left style="thin">
          <color indexed="64"/>
        </left>
        <right style="thin">
          <color indexed="64"/>
        </right>
        <top style="thin">
          <color indexed="64"/>
        </top>
        <bottom style="thin">
          <color indexed="64"/>
        </bottom>
      </border>
    </dxf>
    <dxf>
      <font>
        <color theme="0"/>
      </font>
      <fill>
        <patternFill>
          <bgColor theme="4"/>
        </patternFill>
      </fill>
      <border>
        <left style="thin">
          <color indexed="64"/>
        </left>
        <right style="thin">
          <color indexed="64"/>
        </right>
        <top style="thin">
          <color indexed="64"/>
        </top>
        <bottom style="thin">
          <color indexed="64"/>
        </bottom>
      </border>
    </dxf>
    <dxf>
      <font>
        <color theme="0"/>
      </font>
      <fill>
        <patternFill>
          <bgColor theme="4"/>
        </patternFill>
      </fill>
      <border>
        <left style="thin">
          <color indexed="64"/>
        </left>
        <right style="thin">
          <color indexed="64"/>
        </right>
        <top style="thin">
          <color indexed="64"/>
        </top>
        <bottom style="thin">
          <color indexed="64"/>
        </bottom>
      </border>
    </dxf>
    <dxf>
      <font>
        <color theme="0"/>
      </font>
      <fill>
        <patternFill>
          <bgColor theme="4"/>
        </patternFill>
      </fill>
      <border>
        <left style="thin">
          <color indexed="64"/>
        </left>
        <right style="thin">
          <color indexed="64"/>
        </right>
        <top style="thin">
          <color indexed="64"/>
        </top>
        <bottom style="thin">
          <color indexed="64"/>
        </bottom>
      </border>
    </dxf>
    <dxf>
      <font>
        <color theme="0"/>
      </font>
      <fill>
        <patternFill>
          <bgColor theme="4"/>
        </patternFill>
      </fill>
      <border>
        <left style="thin">
          <color indexed="64"/>
        </left>
        <right style="thin">
          <color indexed="64"/>
        </right>
        <top style="thin">
          <color indexed="64"/>
        </top>
        <bottom style="thin">
          <color indexed="64"/>
        </bottom>
      </border>
    </dxf>
    <dxf>
      <font>
        <color theme="0"/>
      </font>
      <fill>
        <patternFill>
          <bgColor theme="4"/>
        </patternFill>
      </fill>
      <border>
        <left style="thin">
          <color indexed="64"/>
        </left>
        <right style="thin">
          <color indexed="64"/>
        </right>
        <top style="thin">
          <color indexed="64"/>
        </top>
        <bottom style="thin">
          <color indexed="64"/>
        </bottom>
      </border>
    </dxf>
    <dxf>
      <font>
        <color theme="0"/>
      </font>
      <fill>
        <patternFill>
          <bgColor theme="4"/>
        </patternFill>
      </fill>
      <border>
        <left style="thin">
          <color indexed="64"/>
        </left>
        <right style="thin">
          <color indexed="64"/>
        </right>
        <top style="thin">
          <color indexed="64"/>
        </top>
        <bottom style="thin">
          <color indexed="64"/>
        </bottom>
      </border>
    </dxf>
    <dxf>
      <font>
        <color theme="0"/>
      </font>
      <fill>
        <patternFill>
          <bgColor theme="4"/>
        </patternFill>
      </fill>
      <border>
        <left style="thin">
          <color indexed="64"/>
        </left>
        <right style="thin">
          <color indexed="64"/>
        </right>
        <top style="thin">
          <color indexed="64"/>
        </top>
        <bottom style="thin">
          <color indexed="64"/>
        </bottom>
      </border>
    </dxf>
    <dxf>
      <font>
        <color theme="0"/>
      </font>
      <fill>
        <patternFill>
          <bgColor theme="4"/>
        </patternFill>
      </fill>
      <border>
        <left style="thin">
          <color indexed="64"/>
        </left>
        <right style="thin">
          <color indexed="64"/>
        </right>
        <top style="thin">
          <color indexed="64"/>
        </top>
        <bottom style="thin">
          <color indexed="64"/>
        </bottom>
      </border>
    </dxf>
    <dxf>
      <font>
        <color theme="0"/>
      </font>
      <fill>
        <patternFill>
          <bgColor theme="4"/>
        </patternFill>
      </fill>
      <border>
        <left style="thin">
          <color indexed="64"/>
        </left>
        <right style="thin">
          <color indexed="64"/>
        </right>
        <top style="thin">
          <color indexed="64"/>
        </top>
        <bottom style="thin">
          <color indexed="64"/>
        </bottom>
      </border>
    </dxf>
    <dxf>
      <font>
        <color theme="0"/>
      </font>
      <fill>
        <patternFill>
          <bgColor theme="4"/>
        </patternFill>
      </fill>
      <border>
        <left style="thin">
          <color indexed="64"/>
        </left>
        <right style="thin">
          <color indexed="64"/>
        </right>
        <top style="thin">
          <color indexed="64"/>
        </top>
        <bottom style="thin">
          <color indexed="64"/>
        </bottom>
      </border>
    </dxf>
    <dxf>
      <font>
        <color theme="0"/>
      </font>
      <fill>
        <patternFill>
          <bgColor theme="4"/>
        </patternFill>
      </fill>
      <border>
        <left style="thin">
          <color indexed="64"/>
        </left>
        <right style="thin">
          <color indexed="64"/>
        </right>
        <top style="thin">
          <color indexed="64"/>
        </top>
        <bottom style="thin">
          <color indexed="64"/>
        </bottom>
      </border>
    </dxf>
    <dxf>
      <fill>
        <patternFill patternType="lightUp">
          <bgColor theme="0" tint="-0.24994659260841701"/>
        </patternFill>
      </fill>
    </dxf>
    <dxf>
      <border>
        <left style="thin">
          <color indexed="64"/>
        </left>
        <right style="thin">
          <color indexed="64"/>
        </right>
        <top style="thin">
          <color indexed="64"/>
        </top>
      </border>
    </dxf>
    <dxf>
      <font>
        <color theme="0"/>
      </font>
      <fill>
        <patternFill>
          <bgColor theme="4"/>
        </patternFill>
      </fill>
      <border>
        <left style="thin">
          <color indexed="64"/>
        </left>
        <right style="thin">
          <color indexed="64"/>
        </right>
        <top style="thin">
          <color indexed="64"/>
        </top>
        <bottom style="thin">
          <color indexed="64"/>
        </bottom>
      </border>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ont>
        <color theme="0"/>
      </font>
      <fill>
        <patternFill>
          <bgColor theme="4"/>
        </patternFill>
      </fill>
      <border>
        <left style="thin">
          <color indexed="64"/>
        </left>
        <right style="thin">
          <color indexed="64"/>
        </right>
        <top style="thin">
          <color indexed="64"/>
        </top>
        <bottom style="thin">
          <color indexed="64"/>
        </bottom>
      </border>
    </dxf>
    <dxf>
      <font>
        <color theme="0"/>
      </font>
      <fill>
        <patternFill>
          <bgColor theme="4"/>
        </patternFill>
      </fill>
      <border>
        <left style="thin">
          <color indexed="64"/>
        </left>
        <right style="thin">
          <color indexed="64"/>
        </right>
        <top style="thin">
          <color indexed="64"/>
        </top>
        <bottom style="thin">
          <color indexed="64"/>
        </bottom>
      </border>
    </dxf>
    <dxf>
      <font>
        <color theme="0"/>
      </font>
      <fill>
        <patternFill>
          <bgColor theme="4"/>
        </patternFill>
      </fill>
      <border>
        <left style="thin">
          <color indexed="64"/>
        </left>
        <right style="thin">
          <color indexed="64"/>
        </right>
        <top style="thin">
          <color indexed="64"/>
        </top>
        <bottom style="thin">
          <color indexed="64"/>
        </bottom>
      </border>
    </dxf>
    <dxf>
      <font>
        <color theme="0"/>
      </font>
      <fill>
        <patternFill>
          <bgColor theme="4"/>
        </patternFill>
      </fill>
      <border>
        <left style="thin">
          <color indexed="64"/>
        </left>
        <right style="thin">
          <color indexed="64"/>
        </right>
        <top style="thin">
          <color indexed="64"/>
        </top>
        <bottom style="thin">
          <color indexed="64"/>
        </bottom>
      </border>
    </dxf>
    <dxf>
      <font>
        <color theme="0"/>
      </font>
      <fill>
        <patternFill>
          <bgColor theme="4"/>
        </patternFill>
      </fill>
      <border>
        <left style="thin">
          <color indexed="64"/>
        </left>
        <right style="thin">
          <color indexed="64"/>
        </right>
        <top style="thin">
          <color indexed="64"/>
        </top>
        <bottom style="thin">
          <color indexed="64"/>
        </bottom>
      </border>
    </dxf>
    <dxf>
      <font>
        <color theme="0"/>
      </font>
      <fill>
        <patternFill>
          <bgColor theme="4"/>
        </patternFill>
      </fill>
      <border>
        <left style="thin">
          <color indexed="64"/>
        </left>
        <right style="thin">
          <color indexed="64"/>
        </right>
        <top style="thin">
          <color indexed="64"/>
        </top>
        <bottom style="thin">
          <color indexed="64"/>
        </bottom>
      </border>
    </dxf>
    <dxf>
      <font>
        <color theme="0"/>
      </font>
      <fill>
        <patternFill>
          <bgColor theme="4"/>
        </patternFill>
      </fill>
      <border>
        <left style="thin">
          <color indexed="64"/>
        </left>
        <right style="thin">
          <color indexed="64"/>
        </right>
        <top style="thin">
          <color indexed="64"/>
        </top>
        <bottom style="thin">
          <color indexed="64"/>
        </bottom>
      </border>
    </dxf>
    <dxf>
      <font>
        <color theme="0"/>
      </font>
      <fill>
        <patternFill>
          <bgColor theme="4"/>
        </patternFill>
      </fill>
      <border>
        <left style="thin">
          <color indexed="64"/>
        </left>
        <right style="thin">
          <color indexed="64"/>
        </right>
        <top style="thin">
          <color indexed="64"/>
        </top>
        <bottom style="thin">
          <color indexed="64"/>
        </bottom>
      </border>
    </dxf>
    <dxf>
      <font>
        <color theme="0"/>
      </font>
      <fill>
        <patternFill>
          <bgColor theme="4"/>
        </patternFill>
      </fill>
      <border>
        <left style="thin">
          <color indexed="64"/>
        </left>
        <right style="thin">
          <color indexed="64"/>
        </right>
        <top style="thin">
          <color indexed="64"/>
        </top>
        <bottom style="thin">
          <color indexed="64"/>
        </bottom>
      </border>
    </dxf>
    <dxf>
      <font>
        <color theme="0"/>
      </font>
      <fill>
        <patternFill>
          <bgColor theme="4"/>
        </patternFill>
      </fill>
      <border>
        <left style="thin">
          <color indexed="64"/>
        </left>
        <right style="thin">
          <color indexed="64"/>
        </right>
        <top style="thin">
          <color indexed="64"/>
        </top>
        <bottom style="thin">
          <color indexed="64"/>
        </bottom>
      </border>
    </dxf>
    <dxf>
      <font>
        <color theme="0"/>
      </font>
      <fill>
        <patternFill>
          <bgColor theme="4"/>
        </patternFill>
      </fill>
      <border>
        <left style="thin">
          <color indexed="64"/>
        </left>
        <right style="thin">
          <color indexed="64"/>
        </right>
        <top style="thin">
          <color indexed="64"/>
        </top>
        <bottom style="thin">
          <color indexed="64"/>
        </bottom>
      </border>
    </dxf>
    <dxf>
      <font>
        <color theme="0"/>
      </font>
      <fill>
        <patternFill>
          <bgColor theme="4"/>
        </patternFill>
      </fill>
      <border>
        <left style="thin">
          <color indexed="64"/>
        </left>
        <right style="thin">
          <color indexed="64"/>
        </right>
        <top style="thin">
          <color indexed="64"/>
        </top>
        <bottom style="thin">
          <color indexed="64"/>
        </bottom>
      </border>
    </dxf>
    <dxf>
      <font>
        <color theme="0"/>
      </font>
      <fill>
        <patternFill>
          <bgColor theme="4"/>
        </patternFill>
      </fill>
      <border>
        <left style="thin">
          <color indexed="64"/>
        </left>
        <right style="thin">
          <color indexed="64"/>
        </right>
        <top style="thin">
          <color indexed="64"/>
        </top>
        <bottom style="thin">
          <color indexed="64"/>
        </bottom>
      </border>
    </dxf>
    <dxf>
      <font>
        <color theme="0"/>
      </font>
      <fill>
        <patternFill>
          <bgColor theme="4"/>
        </patternFill>
      </fill>
      <border>
        <left style="thin">
          <color indexed="64"/>
        </left>
        <right style="thin">
          <color indexed="64"/>
        </right>
        <top style="thin">
          <color indexed="64"/>
        </top>
        <bottom style="thin">
          <color indexed="64"/>
        </bottom>
      </border>
    </dxf>
    <dxf>
      <font>
        <color theme="0"/>
      </font>
      <fill>
        <patternFill>
          <bgColor theme="4"/>
        </patternFill>
      </fill>
      <border>
        <left style="thin">
          <color indexed="64"/>
        </left>
        <right style="thin">
          <color indexed="64"/>
        </right>
        <top style="thin">
          <color indexed="64"/>
        </top>
        <bottom style="thin">
          <color indexed="64"/>
        </bottom>
      </border>
    </dxf>
    <dxf>
      <font>
        <color theme="0"/>
      </font>
      <fill>
        <patternFill>
          <bgColor theme="4"/>
        </patternFill>
      </fill>
      <border>
        <left style="thin">
          <color indexed="64"/>
        </left>
        <right style="thin">
          <color indexed="64"/>
        </right>
        <top style="thin">
          <color indexed="64"/>
        </top>
        <bottom style="thin">
          <color indexed="64"/>
        </bottom>
      </border>
    </dxf>
    <dxf>
      <font>
        <color theme="0"/>
      </font>
      <fill>
        <patternFill>
          <bgColor theme="4"/>
        </patternFill>
      </fill>
      <border>
        <left style="thin">
          <color indexed="64"/>
        </left>
        <right style="thin">
          <color indexed="64"/>
        </right>
        <top style="thin">
          <color indexed="64"/>
        </top>
        <bottom style="thin">
          <color indexed="64"/>
        </bottom>
      </border>
    </dxf>
    <dxf>
      <font>
        <color theme="0"/>
      </font>
      <fill>
        <patternFill>
          <bgColor theme="4"/>
        </patternFill>
      </fill>
      <border>
        <left style="thin">
          <color indexed="64"/>
        </left>
        <right style="thin">
          <color indexed="64"/>
        </right>
        <top style="thin">
          <color indexed="64"/>
        </top>
        <bottom style="thin">
          <color indexed="64"/>
        </bottom>
      </border>
    </dxf>
    <dxf>
      <font>
        <color theme="0"/>
      </font>
      <fill>
        <patternFill>
          <bgColor theme="4"/>
        </patternFill>
      </fill>
      <border>
        <left style="thin">
          <color indexed="64"/>
        </left>
        <right style="thin">
          <color indexed="64"/>
        </right>
        <top style="thin">
          <color indexed="64"/>
        </top>
        <bottom style="thin">
          <color indexed="64"/>
        </bottom>
      </border>
    </dxf>
    <dxf>
      <font>
        <color theme="0"/>
      </font>
      <fill>
        <patternFill>
          <bgColor theme="4"/>
        </patternFill>
      </fill>
      <border>
        <left style="thin">
          <color indexed="64"/>
        </left>
        <right style="thin">
          <color indexed="64"/>
        </right>
        <top style="thin">
          <color indexed="64"/>
        </top>
        <bottom style="thin">
          <color indexed="64"/>
        </bottom>
      </border>
    </dxf>
    <dxf>
      <fill>
        <patternFill patternType="lightUp">
          <bgColor theme="0" tint="-0.24994659260841701"/>
        </patternFill>
      </fill>
    </dxf>
    <dxf>
      <border>
        <left style="thin">
          <color indexed="64"/>
        </left>
        <right style="thin">
          <color indexed="64"/>
        </right>
        <top style="thin">
          <color indexed="64"/>
        </top>
      </border>
    </dxf>
    <dxf>
      <fill>
        <patternFill patternType="lightUp">
          <bgColor theme="0" tint="-0.24994659260841701"/>
        </patternFill>
      </fill>
    </dxf>
    <dxf>
      <fill>
        <patternFill patternType="lightUp">
          <bgColor theme="0" tint="-0.24994659260841701"/>
        </patternFill>
      </fill>
    </dxf>
    <dxf>
      <font>
        <color theme="0"/>
      </font>
      <fill>
        <patternFill>
          <bgColor rgb="FFFF0000"/>
        </patternFill>
      </fill>
      <border>
        <left style="thin">
          <color auto="1"/>
        </left>
        <right style="thin">
          <color auto="1"/>
        </right>
        <top style="thin">
          <color auto="1"/>
        </top>
        <bottom style="thin">
          <color auto="1"/>
        </bottom>
        <vertical/>
        <horizontal/>
      </border>
    </dxf>
    <dxf>
      <font>
        <color theme="0"/>
      </font>
      <fill>
        <patternFill>
          <bgColor theme="4"/>
        </patternFill>
      </fill>
      <border>
        <left style="thin">
          <color auto="1"/>
        </left>
        <right style="thin">
          <color auto="1"/>
        </right>
        <top style="thin">
          <color auto="1"/>
        </top>
        <bottom style="thin">
          <color auto="1"/>
        </bottom>
        <vertical/>
        <horizontal/>
      </border>
    </dxf>
    <dxf>
      <font>
        <color theme="0"/>
      </font>
      <fill>
        <patternFill>
          <bgColor rgb="FFFF0000"/>
        </patternFill>
      </fill>
      <border>
        <left style="thin">
          <color auto="1"/>
        </left>
        <right style="thin">
          <color auto="1"/>
        </right>
        <top style="thin">
          <color auto="1"/>
        </top>
        <bottom style="thin">
          <color auto="1"/>
        </bottom>
        <vertical/>
        <horizontal/>
      </border>
    </dxf>
    <dxf>
      <fill>
        <patternFill patternType="lightUp">
          <bgColor theme="0" tint="-0.24994659260841701"/>
        </patternFill>
      </fill>
    </dxf>
    <dxf>
      <fill>
        <patternFill>
          <bgColor rgb="FFFFC7CE"/>
        </patternFill>
      </fill>
    </dxf>
    <dxf>
      <fill>
        <patternFill>
          <bgColor rgb="FFFFC7CE"/>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ont>
        <b val="0"/>
        <i val="0"/>
        <strike val="0"/>
        <color theme="0"/>
      </font>
      <fill>
        <patternFill>
          <bgColor rgb="FFFF0000"/>
        </patternFill>
      </fill>
      <border>
        <left style="thin">
          <color auto="1"/>
        </left>
        <right style="thin">
          <color auto="1"/>
        </right>
        <top style="thin">
          <color auto="1"/>
        </top>
        <bottom style="thin">
          <color auto="1"/>
        </bottom>
        <vertical/>
        <horizontal/>
      </border>
    </dxf>
    <dxf>
      <font>
        <color theme="0"/>
      </font>
      <fill>
        <patternFill>
          <bgColor theme="4"/>
        </patternFill>
      </fill>
      <border>
        <left style="thin">
          <color auto="1"/>
        </left>
        <right style="thin">
          <color auto="1"/>
        </right>
        <top style="thin">
          <color auto="1"/>
        </top>
        <bottom style="thin">
          <color auto="1"/>
        </bottom>
        <vertical/>
        <horizontal/>
      </border>
    </dxf>
    <dxf>
      <font>
        <color theme="0"/>
      </font>
      <fill>
        <patternFill>
          <bgColor theme="4"/>
        </patternFill>
      </fill>
      <border>
        <left style="thin">
          <color auto="1"/>
        </left>
        <right style="thin">
          <color auto="1"/>
        </right>
        <top style="thin">
          <color auto="1"/>
        </top>
        <bottom style="thin">
          <color auto="1"/>
        </bottom>
        <vertical/>
        <horizontal/>
      </border>
    </dxf>
    <dxf>
      <font>
        <b val="0"/>
        <i val="0"/>
        <strike val="0"/>
        <color theme="0"/>
      </font>
      <fill>
        <patternFill>
          <bgColor rgb="FFFF0000"/>
        </patternFill>
      </fill>
      <border>
        <left style="thin">
          <color auto="1"/>
        </left>
        <right style="thin">
          <color auto="1"/>
        </right>
        <top style="thin">
          <color auto="1"/>
        </top>
        <bottom style="thin">
          <color auto="1"/>
        </bottom>
        <vertical/>
        <horizontal/>
      </border>
    </dxf>
    <dxf>
      <font>
        <color theme="0"/>
      </font>
      <fill>
        <patternFill>
          <bgColor theme="4"/>
        </patternFill>
      </fill>
      <border>
        <left style="thin">
          <color auto="1"/>
        </left>
        <right style="thin">
          <color auto="1"/>
        </right>
        <top style="thin">
          <color auto="1"/>
        </top>
        <bottom style="thin">
          <color auto="1"/>
        </bottom>
        <vertical/>
        <horizontal/>
      </border>
    </dxf>
    <dxf>
      <font>
        <color theme="0"/>
      </font>
      <fill>
        <patternFill>
          <bgColor theme="4"/>
        </patternFill>
      </fill>
      <border>
        <left style="thin">
          <color auto="1"/>
        </left>
        <right style="thin">
          <color auto="1"/>
        </right>
        <top style="thin">
          <color auto="1"/>
        </top>
        <bottom style="thin">
          <color auto="1"/>
        </bottom>
        <vertical/>
        <horizontal/>
      </border>
    </dxf>
    <dxf>
      <font>
        <b val="0"/>
        <i val="0"/>
        <strike val="0"/>
        <color theme="0"/>
      </font>
      <fill>
        <patternFill>
          <bgColor rgb="FFFF0000"/>
        </patternFill>
      </fill>
      <border>
        <left style="thin">
          <color auto="1"/>
        </left>
        <right style="thin">
          <color auto="1"/>
        </right>
        <top style="thin">
          <color auto="1"/>
        </top>
        <bottom style="thin">
          <color auto="1"/>
        </bottom>
        <vertical/>
        <horizontal/>
      </border>
    </dxf>
    <dxf>
      <font>
        <color theme="0"/>
      </font>
      <fill>
        <patternFill>
          <bgColor theme="4"/>
        </patternFill>
      </fill>
      <border>
        <left style="thin">
          <color auto="1"/>
        </left>
        <right style="thin">
          <color auto="1"/>
        </right>
        <top style="thin">
          <color auto="1"/>
        </top>
        <bottom style="thin">
          <color auto="1"/>
        </bottom>
        <vertical/>
        <horizontal/>
      </border>
    </dxf>
    <dxf>
      <font>
        <color theme="0"/>
      </font>
      <fill>
        <patternFill>
          <bgColor theme="4"/>
        </patternFill>
      </fill>
      <border>
        <left style="thin">
          <color auto="1"/>
        </left>
        <right style="thin">
          <color auto="1"/>
        </right>
        <top style="thin">
          <color auto="1"/>
        </top>
        <bottom style="thin">
          <color auto="1"/>
        </bottom>
        <vertical/>
        <horizontal/>
      </border>
    </dxf>
    <dxf>
      <font>
        <b val="0"/>
        <i val="0"/>
        <strike val="0"/>
        <color theme="0"/>
      </font>
      <fill>
        <patternFill>
          <bgColor rgb="FFFF0000"/>
        </patternFill>
      </fill>
      <border>
        <left style="thin">
          <color auto="1"/>
        </left>
        <right style="thin">
          <color auto="1"/>
        </right>
        <top style="thin">
          <color auto="1"/>
        </top>
        <bottom style="thin">
          <color auto="1"/>
        </bottom>
        <vertical/>
        <horizontal/>
      </border>
    </dxf>
    <dxf>
      <font>
        <color theme="0"/>
      </font>
      <fill>
        <patternFill>
          <bgColor theme="4"/>
        </patternFill>
      </fill>
      <border>
        <left style="thin">
          <color auto="1"/>
        </left>
        <right style="thin">
          <color auto="1"/>
        </right>
        <top style="thin">
          <color auto="1"/>
        </top>
        <bottom style="thin">
          <color auto="1"/>
        </bottom>
        <vertical/>
        <horizontal/>
      </border>
    </dxf>
    <dxf>
      <font>
        <color theme="0"/>
      </font>
      <fill>
        <patternFill>
          <bgColor theme="4"/>
        </patternFill>
      </fill>
      <border>
        <left style="thin">
          <color auto="1"/>
        </left>
        <right style="thin">
          <color auto="1"/>
        </right>
        <top style="thin">
          <color auto="1"/>
        </top>
        <bottom style="thin">
          <color auto="1"/>
        </bottom>
        <vertical/>
        <horizontal/>
      </border>
    </dxf>
    <dxf>
      <font>
        <b val="0"/>
        <i val="0"/>
        <strike val="0"/>
        <color theme="0"/>
      </font>
      <fill>
        <patternFill>
          <bgColor rgb="FFFF0000"/>
        </patternFill>
      </fill>
      <border>
        <left style="thin">
          <color auto="1"/>
        </left>
        <right style="thin">
          <color auto="1"/>
        </right>
        <top style="thin">
          <color auto="1"/>
        </top>
        <bottom style="thin">
          <color auto="1"/>
        </bottom>
        <vertical/>
        <horizontal/>
      </border>
    </dxf>
    <dxf>
      <font>
        <color theme="0"/>
      </font>
      <fill>
        <patternFill>
          <bgColor theme="4"/>
        </patternFill>
      </fill>
      <border>
        <left style="thin">
          <color auto="1"/>
        </left>
        <right style="thin">
          <color auto="1"/>
        </right>
        <top style="thin">
          <color auto="1"/>
        </top>
        <bottom style="thin">
          <color auto="1"/>
        </bottom>
        <vertical/>
        <horizontal/>
      </border>
    </dxf>
    <dxf>
      <font>
        <color theme="0"/>
      </font>
      <fill>
        <patternFill>
          <bgColor theme="4"/>
        </patternFill>
      </fill>
      <border>
        <left style="thin">
          <color auto="1"/>
        </left>
        <right style="thin">
          <color auto="1"/>
        </right>
        <top style="thin">
          <color auto="1"/>
        </top>
        <bottom style="thin">
          <color auto="1"/>
        </bottom>
        <vertical/>
        <horizontal/>
      </border>
    </dxf>
    <dxf>
      <font>
        <b val="0"/>
        <i val="0"/>
        <strike val="0"/>
        <color theme="0"/>
      </font>
      <fill>
        <patternFill>
          <bgColor rgb="FFFF0000"/>
        </patternFill>
      </fill>
      <border>
        <left style="thin">
          <color auto="1"/>
        </left>
        <right style="thin">
          <color auto="1"/>
        </right>
        <top style="thin">
          <color auto="1"/>
        </top>
        <bottom style="thin">
          <color auto="1"/>
        </bottom>
        <vertical/>
        <horizontal/>
      </border>
    </dxf>
    <dxf>
      <font>
        <color theme="0"/>
      </font>
      <fill>
        <patternFill>
          <bgColor theme="4"/>
        </patternFill>
      </fill>
      <border>
        <left style="thin">
          <color auto="1"/>
        </left>
        <right style="thin">
          <color auto="1"/>
        </right>
        <top style="thin">
          <color auto="1"/>
        </top>
        <bottom style="thin">
          <color auto="1"/>
        </bottom>
        <vertical/>
        <horizontal/>
      </border>
    </dxf>
    <dxf>
      <font>
        <color theme="0"/>
      </font>
      <fill>
        <patternFill>
          <bgColor theme="4"/>
        </patternFill>
      </fill>
      <border>
        <left style="thin">
          <color auto="1"/>
        </left>
        <right style="thin">
          <color auto="1"/>
        </right>
        <top style="thin">
          <color auto="1"/>
        </top>
        <bottom style="thin">
          <color auto="1"/>
        </bottom>
        <vertical/>
        <horizontal/>
      </border>
    </dxf>
    <dxf>
      <font>
        <b val="0"/>
        <i val="0"/>
        <strike val="0"/>
        <color theme="0"/>
      </font>
      <fill>
        <patternFill>
          <bgColor rgb="FFFF0000"/>
        </patternFill>
      </fill>
      <border>
        <left style="thin">
          <color auto="1"/>
        </left>
        <right style="thin">
          <color auto="1"/>
        </right>
        <top style="thin">
          <color auto="1"/>
        </top>
        <bottom style="thin">
          <color auto="1"/>
        </bottom>
        <vertical/>
        <horizontal/>
      </border>
    </dxf>
    <dxf>
      <font>
        <color theme="0"/>
      </font>
      <fill>
        <patternFill>
          <bgColor theme="4"/>
        </patternFill>
      </fill>
      <border>
        <left style="thin">
          <color auto="1"/>
        </left>
        <right style="thin">
          <color auto="1"/>
        </right>
        <top style="thin">
          <color auto="1"/>
        </top>
        <bottom style="thin">
          <color auto="1"/>
        </bottom>
        <vertical/>
        <horizontal/>
      </border>
    </dxf>
    <dxf>
      <font>
        <color theme="0"/>
      </font>
      <fill>
        <patternFill>
          <bgColor theme="4"/>
        </patternFill>
      </fill>
      <border>
        <left style="thin">
          <color auto="1"/>
        </left>
        <right style="thin">
          <color auto="1"/>
        </right>
        <top style="thin">
          <color auto="1"/>
        </top>
        <bottom style="thin">
          <color auto="1"/>
        </bottom>
        <vertical/>
        <horizontal/>
      </border>
    </dxf>
    <dxf>
      <font>
        <b val="0"/>
        <i val="0"/>
        <strike val="0"/>
        <color theme="0"/>
      </font>
      <fill>
        <patternFill>
          <bgColor rgb="FFFF0000"/>
        </patternFill>
      </fill>
      <border>
        <left style="thin">
          <color auto="1"/>
        </left>
        <right style="thin">
          <color auto="1"/>
        </right>
        <top style="thin">
          <color auto="1"/>
        </top>
        <bottom style="thin">
          <color auto="1"/>
        </bottom>
        <vertical/>
        <horizontal/>
      </border>
    </dxf>
    <dxf>
      <font>
        <color theme="0"/>
      </font>
      <fill>
        <patternFill>
          <bgColor theme="4"/>
        </patternFill>
      </fill>
      <border>
        <left style="thin">
          <color auto="1"/>
        </left>
        <right style="thin">
          <color auto="1"/>
        </right>
        <top style="thin">
          <color auto="1"/>
        </top>
        <bottom style="thin">
          <color auto="1"/>
        </bottom>
        <vertical/>
        <horizontal/>
      </border>
    </dxf>
    <dxf>
      <font>
        <color theme="0"/>
      </font>
      <fill>
        <patternFill>
          <bgColor theme="4"/>
        </patternFill>
      </fill>
      <border>
        <left style="thin">
          <color auto="1"/>
        </left>
        <right style="thin">
          <color auto="1"/>
        </right>
        <top style="thin">
          <color auto="1"/>
        </top>
        <bottom style="thin">
          <color auto="1"/>
        </bottom>
        <vertical/>
        <horizontal/>
      </border>
    </dxf>
    <dxf>
      <font>
        <b val="0"/>
        <i val="0"/>
        <strike val="0"/>
        <color theme="0"/>
      </font>
      <fill>
        <patternFill>
          <bgColor rgb="FFFF0000"/>
        </patternFill>
      </fill>
      <border>
        <left style="thin">
          <color auto="1"/>
        </left>
        <right style="thin">
          <color auto="1"/>
        </right>
        <top style="thin">
          <color auto="1"/>
        </top>
        <bottom style="thin">
          <color auto="1"/>
        </bottom>
        <vertical/>
        <horizontal/>
      </border>
    </dxf>
    <dxf>
      <font>
        <color theme="0"/>
      </font>
      <fill>
        <patternFill>
          <bgColor theme="4"/>
        </patternFill>
      </fill>
      <border>
        <left style="thin">
          <color auto="1"/>
        </left>
        <right style="thin">
          <color auto="1"/>
        </right>
        <top style="thin">
          <color auto="1"/>
        </top>
        <bottom style="thin">
          <color auto="1"/>
        </bottom>
        <vertical/>
        <horizontal/>
      </border>
    </dxf>
    <dxf>
      <font>
        <color theme="0"/>
      </font>
      <fill>
        <patternFill>
          <bgColor theme="4"/>
        </patternFill>
      </fill>
      <border>
        <left style="thin">
          <color auto="1"/>
        </left>
        <right style="thin">
          <color auto="1"/>
        </right>
        <top style="thin">
          <color auto="1"/>
        </top>
        <bottom style="thin">
          <color auto="1"/>
        </bottom>
        <vertical/>
        <horizontal/>
      </border>
    </dxf>
    <dxf>
      <font>
        <b val="0"/>
        <i val="0"/>
        <strike val="0"/>
        <color theme="0"/>
      </font>
      <fill>
        <patternFill>
          <bgColor rgb="FFFF0000"/>
        </patternFill>
      </fill>
      <border>
        <left style="thin">
          <color auto="1"/>
        </left>
        <right style="thin">
          <color auto="1"/>
        </right>
        <top style="thin">
          <color auto="1"/>
        </top>
        <bottom style="thin">
          <color auto="1"/>
        </bottom>
        <vertical/>
        <horizontal/>
      </border>
    </dxf>
    <dxf>
      <font>
        <color theme="0"/>
      </font>
      <fill>
        <patternFill>
          <bgColor theme="4"/>
        </patternFill>
      </fill>
      <border>
        <left style="thin">
          <color auto="1"/>
        </left>
        <right style="thin">
          <color auto="1"/>
        </right>
        <top style="thin">
          <color auto="1"/>
        </top>
        <bottom style="thin">
          <color auto="1"/>
        </bottom>
        <vertical/>
        <horizontal/>
      </border>
    </dxf>
    <dxf>
      <font>
        <color theme="0"/>
      </font>
      <fill>
        <patternFill>
          <bgColor theme="4"/>
        </patternFill>
      </fill>
      <border>
        <left style="thin">
          <color auto="1"/>
        </left>
        <right style="thin">
          <color auto="1"/>
        </right>
        <top style="thin">
          <color auto="1"/>
        </top>
        <bottom style="thin">
          <color auto="1"/>
        </bottom>
        <vertical/>
        <horizontal/>
      </border>
    </dxf>
    <dxf>
      <font>
        <b val="0"/>
        <i val="0"/>
        <strike val="0"/>
        <color theme="0"/>
      </font>
      <fill>
        <patternFill>
          <bgColor rgb="FFFF0000"/>
        </patternFill>
      </fill>
      <border>
        <left style="thin">
          <color auto="1"/>
        </left>
        <right style="thin">
          <color auto="1"/>
        </right>
        <top style="thin">
          <color auto="1"/>
        </top>
        <bottom style="thin">
          <color auto="1"/>
        </bottom>
        <vertical/>
        <horizontal/>
      </border>
    </dxf>
    <dxf>
      <font>
        <color theme="0"/>
      </font>
      <fill>
        <patternFill>
          <bgColor theme="4"/>
        </patternFill>
      </fill>
      <border>
        <left style="thin">
          <color auto="1"/>
        </left>
        <right style="thin">
          <color auto="1"/>
        </right>
        <top style="thin">
          <color auto="1"/>
        </top>
        <bottom style="thin">
          <color auto="1"/>
        </bottom>
        <vertical/>
        <horizontal/>
      </border>
    </dxf>
    <dxf>
      <font>
        <color theme="0"/>
      </font>
      <fill>
        <patternFill>
          <bgColor theme="4"/>
        </patternFill>
      </fill>
      <border>
        <left style="thin">
          <color auto="1"/>
        </left>
        <right style="thin">
          <color auto="1"/>
        </right>
        <top style="thin">
          <color auto="1"/>
        </top>
        <bottom style="thin">
          <color auto="1"/>
        </bottom>
        <vertical/>
        <horizontal/>
      </border>
    </dxf>
    <dxf>
      <font>
        <b val="0"/>
        <i val="0"/>
        <strike val="0"/>
        <color theme="0"/>
      </font>
      <fill>
        <patternFill>
          <bgColor rgb="FFFF0000"/>
        </patternFill>
      </fill>
      <border>
        <left style="thin">
          <color auto="1"/>
        </left>
        <right style="thin">
          <color auto="1"/>
        </right>
        <top style="thin">
          <color auto="1"/>
        </top>
        <bottom style="thin">
          <color auto="1"/>
        </bottom>
        <vertical/>
        <horizontal/>
      </border>
    </dxf>
    <dxf>
      <font>
        <color theme="0"/>
      </font>
      <fill>
        <patternFill>
          <bgColor theme="4"/>
        </patternFill>
      </fill>
      <border>
        <left style="thin">
          <color auto="1"/>
        </left>
        <right style="thin">
          <color auto="1"/>
        </right>
        <top style="thin">
          <color auto="1"/>
        </top>
        <bottom style="thin">
          <color auto="1"/>
        </bottom>
        <vertical/>
        <horizontal/>
      </border>
    </dxf>
    <dxf>
      <font>
        <color theme="0"/>
      </font>
      <fill>
        <patternFill>
          <bgColor theme="4"/>
        </patternFill>
      </fill>
      <border>
        <left style="thin">
          <color auto="1"/>
        </left>
        <right style="thin">
          <color auto="1"/>
        </right>
        <top style="thin">
          <color auto="1"/>
        </top>
        <bottom style="thin">
          <color auto="1"/>
        </bottom>
        <vertical/>
        <horizontal/>
      </border>
    </dxf>
    <dxf>
      <font>
        <b val="0"/>
        <i val="0"/>
        <strike val="0"/>
        <color theme="0"/>
      </font>
      <fill>
        <patternFill>
          <bgColor rgb="FFFF0000"/>
        </patternFill>
      </fill>
      <border>
        <left style="thin">
          <color auto="1"/>
        </left>
        <right style="thin">
          <color auto="1"/>
        </right>
        <top style="thin">
          <color auto="1"/>
        </top>
        <bottom style="thin">
          <color auto="1"/>
        </bottom>
        <vertical/>
        <horizontal/>
      </border>
    </dxf>
    <dxf>
      <font>
        <color theme="0"/>
      </font>
      <fill>
        <patternFill>
          <bgColor theme="4"/>
        </patternFill>
      </fill>
      <border>
        <left style="thin">
          <color auto="1"/>
        </left>
        <right style="thin">
          <color auto="1"/>
        </right>
        <top style="thin">
          <color auto="1"/>
        </top>
        <bottom style="thin">
          <color auto="1"/>
        </bottom>
        <vertical/>
        <horizontal/>
      </border>
    </dxf>
    <dxf>
      <font>
        <color theme="0"/>
      </font>
      <fill>
        <patternFill>
          <bgColor theme="4"/>
        </patternFill>
      </fill>
      <border>
        <left style="thin">
          <color auto="1"/>
        </left>
        <right style="thin">
          <color auto="1"/>
        </right>
        <top style="thin">
          <color auto="1"/>
        </top>
        <bottom style="thin">
          <color auto="1"/>
        </bottom>
        <vertical/>
        <horizontal/>
      </border>
    </dxf>
    <dxf>
      <font>
        <b val="0"/>
        <i val="0"/>
        <strike val="0"/>
        <color theme="0"/>
      </font>
      <fill>
        <patternFill>
          <bgColor rgb="FFFF0000"/>
        </patternFill>
      </fill>
      <border>
        <left style="thin">
          <color auto="1"/>
        </left>
        <right style="thin">
          <color auto="1"/>
        </right>
        <top style="thin">
          <color auto="1"/>
        </top>
        <bottom style="thin">
          <color auto="1"/>
        </bottom>
        <vertical/>
        <horizontal/>
      </border>
    </dxf>
    <dxf>
      <font>
        <color theme="0"/>
      </font>
      <fill>
        <patternFill>
          <bgColor theme="4"/>
        </patternFill>
      </fill>
      <border>
        <left style="thin">
          <color auto="1"/>
        </left>
        <right style="thin">
          <color auto="1"/>
        </right>
        <top style="thin">
          <color auto="1"/>
        </top>
        <bottom style="thin">
          <color auto="1"/>
        </bottom>
        <vertical/>
        <horizontal/>
      </border>
    </dxf>
    <dxf>
      <font>
        <color theme="0"/>
      </font>
      <fill>
        <patternFill>
          <bgColor theme="4"/>
        </patternFill>
      </fill>
      <border>
        <left style="thin">
          <color auto="1"/>
        </left>
        <right style="thin">
          <color auto="1"/>
        </right>
        <top style="thin">
          <color auto="1"/>
        </top>
        <bottom style="thin">
          <color auto="1"/>
        </bottom>
        <vertical/>
        <horizontal/>
      </border>
    </dxf>
    <dxf>
      <font>
        <b val="0"/>
        <i val="0"/>
        <strike val="0"/>
        <color theme="0"/>
      </font>
      <fill>
        <patternFill>
          <bgColor rgb="FFFF0000"/>
        </patternFill>
      </fill>
      <border>
        <left style="thin">
          <color auto="1"/>
        </left>
        <right style="thin">
          <color auto="1"/>
        </right>
        <top style="thin">
          <color auto="1"/>
        </top>
        <bottom style="thin">
          <color auto="1"/>
        </bottom>
        <vertical/>
        <horizontal/>
      </border>
    </dxf>
    <dxf>
      <font>
        <color theme="0"/>
      </font>
      <fill>
        <patternFill>
          <bgColor theme="4"/>
        </patternFill>
      </fill>
      <border>
        <left style="thin">
          <color auto="1"/>
        </left>
        <right style="thin">
          <color auto="1"/>
        </right>
        <top style="thin">
          <color auto="1"/>
        </top>
        <bottom style="thin">
          <color auto="1"/>
        </bottom>
        <vertical/>
        <horizontal/>
      </border>
    </dxf>
    <dxf>
      <font>
        <color theme="0"/>
      </font>
      <fill>
        <patternFill>
          <bgColor theme="4"/>
        </patternFill>
      </fill>
      <border>
        <left style="thin">
          <color auto="1"/>
        </left>
        <right style="thin">
          <color auto="1"/>
        </right>
        <top style="thin">
          <color auto="1"/>
        </top>
        <bottom style="thin">
          <color auto="1"/>
        </bottom>
        <vertical/>
        <horizontal/>
      </border>
    </dxf>
    <dxf>
      <font>
        <b val="0"/>
        <i val="0"/>
        <strike val="0"/>
        <color theme="0"/>
      </font>
      <fill>
        <patternFill>
          <bgColor rgb="FFFF0000"/>
        </patternFill>
      </fill>
      <border>
        <left style="thin">
          <color auto="1"/>
        </left>
        <right style="thin">
          <color auto="1"/>
        </right>
        <top style="thin">
          <color auto="1"/>
        </top>
        <bottom style="thin">
          <color auto="1"/>
        </bottom>
        <vertical/>
        <horizontal/>
      </border>
    </dxf>
    <dxf>
      <font>
        <color theme="0"/>
      </font>
      <fill>
        <patternFill>
          <bgColor theme="4"/>
        </patternFill>
      </fill>
      <border>
        <left style="thin">
          <color auto="1"/>
        </left>
        <right style="thin">
          <color auto="1"/>
        </right>
        <top style="thin">
          <color auto="1"/>
        </top>
        <bottom style="thin">
          <color auto="1"/>
        </bottom>
        <vertical/>
        <horizontal/>
      </border>
    </dxf>
    <dxf>
      <font>
        <color theme="0"/>
      </font>
      <fill>
        <patternFill>
          <bgColor theme="4"/>
        </patternFill>
      </fill>
      <border>
        <left style="thin">
          <color auto="1"/>
        </left>
        <right style="thin">
          <color auto="1"/>
        </right>
        <top style="thin">
          <color auto="1"/>
        </top>
        <bottom style="thin">
          <color auto="1"/>
        </bottom>
        <vertical/>
        <horizontal/>
      </border>
    </dxf>
    <dxf>
      <font>
        <b val="0"/>
        <i val="0"/>
        <strike val="0"/>
        <color theme="0"/>
      </font>
      <fill>
        <patternFill>
          <bgColor rgb="FFFF0000"/>
        </patternFill>
      </fill>
      <border>
        <left style="thin">
          <color auto="1"/>
        </left>
        <right style="thin">
          <color auto="1"/>
        </right>
        <top style="thin">
          <color auto="1"/>
        </top>
        <bottom style="thin">
          <color auto="1"/>
        </bottom>
        <vertical/>
        <horizontal/>
      </border>
    </dxf>
    <dxf>
      <font>
        <color theme="0"/>
      </font>
      <fill>
        <patternFill>
          <bgColor theme="4"/>
        </patternFill>
      </fill>
      <border>
        <left style="thin">
          <color auto="1"/>
        </left>
        <right style="thin">
          <color auto="1"/>
        </right>
        <top style="thin">
          <color auto="1"/>
        </top>
        <bottom style="thin">
          <color auto="1"/>
        </bottom>
        <vertical/>
        <horizontal/>
      </border>
    </dxf>
    <dxf>
      <font>
        <color theme="0"/>
      </font>
      <fill>
        <patternFill>
          <bgColor theme="4"/>
        </patternFill>
      </fill>
      <border>
        <left style="thin">
          <color auto="1"/>
        </left>
        <right style="thin">
          <color auto="1"/>
        </right>
        <top style="thin">
          <color auto="1"/>
        </top>
        <bottom style="thin">
          <color auto="1"/>
        </bottom>
        <vertical/>
        <horizontal/>
      </border>
    </dxf>
    <dxf>
      <font>
        <b val="0"/>
        <i val="0"/>
        <strike val="0"/>
        <color theme="0"/>
      </font>
      <fill>
        <patternFill>
          <bgColor rgb="FFFF0000"/>
        </patternFill>
      </fill>
      <border>
        <left style="thin">
          <color auto="1"/>
        </left>
        <right style="thin">
          <color auto="1"/>
        </right>
        <top style="thin">
          <color auto="1"/>
        </top>
        <bottom style="thin">
          <color auto="1"/>
        </bottom>
        <vertical/>
        <horizontal/>
      </border>
    </dxf>
    <dxf>
      <font>
        <color theme="0"/>
      </font>
      <fill>
        <patternFill>
          <bgColor theme="4"/>
        </patternFill>
      </fill>
      <border>
        <left style="thin">
          <color auto="1"/>
        </left>
        <right style="thin">
          <color auto="1"/>
        </right>
        <top style="thin">
          <color auto="1"/>
        </top>
        <bottom style="thin">
          <color auto="1"/>
        </bottom>
        <vertical/>
        <horizontal/>
      </border>
    </dxf>
    <dxf>
      <font>
        <color theme="0"/>
      </font>
      <fill>
        <patternFill>
          <bgColor theme="4"/>
        </patternFill>
      </fill>
      <border>
        <left style="thin">
          <color auto="1"/>
        </left>
        <right style="thin">
          <color auto="1"/>
        </right>
        <top style="thin">
          <color auto="1"/>
        </top>
        <bottom style="thin">
          <color auto="1"/>
        </bottom>
        <vertical/>
        <horizontal/>
      </border>
    </dxf>
    <dxf>
      <font>
        <b val="0"/>
        <i val="0"/>
        <strike val="0"/>
        <color theme="0"/>
      </font>
      <fill>
        <patternFill>
          <bgColor rgb="FFFF0000"/>
        </patternFill>
      </fill>
      <border>
        <left style="thin">
          <color auto="1"/>
        </left>
        <right style="thin">
          <color auto="1"/>
        </right>
        <top style="thin">
          <color auto="1"/>
        </top>
        <bottom style="thin">
          <color auto="1"/>
        </bottom>
        <vertical/>
        <horizontal/>
      </border>
    </dxf>
    <dxf>
      <font>
        <color theme="0"/>
      </font>
      <fill>
        <patternFill>
          <bgColor theme="4"/>
        </patternFill>
      </fill>
      <border>
        <left style="thin">
          <color auto="1"/>
        </left>
        <right style="thin">
          <color auto="1"/>
        </right>
        <top style="thin">
          <color auto="1"/>
        </top>
        <bottom style="thin">
          <color auto="1"/>
        </bottom>
        <vertical/>
        <horizontal/>
      </border>
    </dxf>
    <dxf>
      <font>
        <color theme="0"/>
      </font>
      <fill>
        <patternFill>
          <bgColor theme="4"/>
        </patternFill>
      </fill>
      <border>
        <left style="thin">
          <color auto="1"/>
        </left>
        <right style="thin">
          <color auto="1"/>
        </right>
        <top style="thin">
          <color auto="1"/>
        </top>
        <bottom style="thin">
          <color auto="1"/>
        </bottom>
        <vertical/>
        <horizontal/>
      </border>
    </dxf>
    <dxf>
      <font>
        <b val="0"/>
        <i val="0"/>
        <strike val="0"/>
        <color theme="0"/>
      </font>
      <fill>
        <patternFill>
          <bgColor rgb="FFFF0000"/>
        </patternFill>
      </fill>
      <border>
        <left style="thin">
          <color auto="1"/>
        </left>
        <right style="thin">
          <color auto="1"/>
        </right>
        <top style="thin">
          <color auto="1"/>
        </top>
        <bottom style="thin">
          <color auto="1"/>
        </bottom>
        <vertical/>
        <horizontal/>
      </border>
    </dxf>
    <dxf>
      <font>
        <color theme="0"/>
      </font>
      <fill>
        <patternFill>
          <bgColor theme="4"/>
        </patternFill>
      </fill>
      <border>
        <left style="thin">
          <color auto="1"/>
        </left>
        <right style="thin">
          <color auto="1"/>
        </right>
        <top style="thin">
          <color auto="1"/>
        </top>
        <bottom style="thin">
          <color auto="1"/>
        </bottom>
        <vertical/>
        <horizontal/>
      </border>
    </dxf>
    <dxf>
      <font>
        <color theme="0"/>
      </font>
      <fill>
        <patternFill>
          <bgColor theme="4"/>
        </patternFill>
      </fill>
      <border>
        <left style="thin">
          <color auto="1"/>
        </left>
        <right style="thin">
          <color auto="1"/>
        </right>
        <top style="thin">
          <color auto="1"/>
        </top>
        <bottom style="thin">
          <color auto="1"/>
        </bottom>
        <vertical/>
        <horizontal/>
      </border>
    </dxf>
    <dxf>
      <font>
        <b val="0"/>
        <i val="0"/>
        <strike val="0"/>
        <color theme="0"/>
      </font>
      <fill>
        <patternFill>
          <bgColor rgb="FFFF0000"/>
        </patternFill>
      </fill>
      <border>
        <left style="thin">
          <color auto="1"/>
        </left>
        <right style="thin">
          <color auto="1"/>
        </right>
        <top style="thin">
          <color auto="1"/>
        </top>
        <bottom style="thin">
          <color auto="1"/>
        </bottom>
        <vertical/>
        <horizontal/>
      </border>
    </dxf>
    <dxf>
      <font>
        <color theme="0"/>
      </font>
      <fill>
        <patternFill>
          <bgColor theme="4"/>
        </patternFill>
      </fill>
      <border>
        <left style="thin">
          <color auto="1"/>
        </left>
        <right style="thin">
          <color auto="1"/>
        </right>
        <top style="thin">
          <color auto="1"/>
        </top>
        <bottom style="thin">
          <color auto="1"/>
        </bottom>
        <vertical/>
        <horizontal/>
      </border>
    </dxf>
    <dxf>
      <font>
        <color theme="0"/>
      </font>
      <fill>
        <patternFill>
          <bgColor theme="4"/>
        </patternFill>
      </fill>
      <border>
        <left style="thin">
          <color auto="1"/>
        </left>
        <right style="thin">
          <color auto="1"/>
        </right>
        <top style="thin">
          <color auto="1"/>
        </top>
        <bottom style="thin">
          <color auto="1"/>
        </bottom>
        <vertical/>
        <horizontal/>
      </border>
    </dxf>
    <dxf>
      <font>
        <b val="0"/>
        <i val="0"/>
        <strike val="0"/>
        <color theme="0"/>
      </font>
      <fill>
        <patternFill>
          <bgColor rgb="FFFF0000"/>
        </patternFill>
      </fill>
      <border>
        <left style="thin">
          <color auto="1"/>
        </left>
        <right style="thin">
          <color auto="1"/>
        </right>
        <top style="thin">
          <color auto="1"/>
        </top>
        <bottom style="thin">
          <color auto="1"/>
        </bottom>
        <vertical/>
        <horizontal/>
      </border>
    </dxf>
    <dxf>
      <font>
        <color theme="0"/>
      </font>
      <fill>
        <patternFill>
          <bgColor theme="4"/>
        </patternFill>
      </fill>
      <border>
        <left style="thin">
          <color auto="1"/>
        </left>
        <right style="thin">
          <color auto="1"/>
        </right>
        <top style="thin">
          <color auto="1"/>
        </top>
        <bottom style="thin">
          <color auto="1"/>
        </bottom>
        <vertical/>
        <horizontal/>
      </border>
    </dxf>
    <dxf>
      <font>
        <color theme="0"/>
      </font>
      <fill>
        <patternFill>
          <bgColor theme="4"/>
        </patternFill>
      </fill>
      <border>
        <left style="thin">
          <color auto="1"/>
        </left>
        <right style="thin">
          <color auto="1"/>
        </right>
        <top style="thin">
          <color auto="1"/>
        </top>
        <bottom style="thin">
          <color auto="1"/>
        </bottom>
        <vertical/>
        <horizontal/>
      </border>
    </dxf>
    <dxf>
      <font>
        <b val="0"/>
        <i val="0"/>
        <strike val="0"/>
        <color theme="0"/>
      </font>
      <fill>
        <patternFill>
          <bgColor rgb="FFFF0000"/>
        </patternFill>
      </fill>
      <border>
        <left style="thin">
          <color auto="1"/>
        </left>
        <right style="thin">
          <color auto="1"/>
        </right>
        <top style="thin">
          <color auto="1"/>
        </top>
        <bottom style="thin">
          <color auto="1"/>
        </bottom>
        <vertical/>
        <horizontal/>
      </border>
    </dxf>
    <dxf>
      <font>
        <color theme="0"/>
      </font>
      <fill>
        <patternFill>
          <bgColor theme="4"/>
        </patternFill>
      </fill>
      <border>
        <left style="thin">
          <color auto="1"/>
        </left>
        <right style="thin">
          <color auto="1"/>
        </right>
        <top style="thin">
          <color auto="1"/>
        </top>
        <bottom style="thin">
          <color auto="1"/>
        </bottom>
        <vertical/>
        <horizontal/>
      </border>
    </dxf>
    <dxf>
      <font>
        <color theme="0"/>
      </font>
      <fill>
        <patternFill>
          <bgColor theme="4"/>
        </patternFill>
      </fill>
      <border>
        <left style="thin">
          <color auto="1"/>
        </left>
        <right style="thin">
          <color auto="1"/>
        </right>
        <top style="thin">
          <color auto="1"/>
        </top>
        <bottom style="thin">
          <color auto="1"/>
        </bottom>
        <vertical/>
        <horizontal/>
      </border>
    </dxf>
    <dxf>
      <font>
        <b val="0"/>
        <i val="0"/>
        <strike val="0"/>
        <color theme="0"/>
      </font>
      <fill>
        <patternFill>
          <bgColor rgb="FFFF0000"/>
        </patternFill>
      </fill>
      <border>
        <left style="thin">
          <color auto="1"/>
        </left>
        <right style="thin">
          <color auto="1"/>
        </right>
        <top style="thin">
          <color auto="1"/>
        </top>
        <bottom style="thin">
          <color auto="1"/>
        </bottom>
        <vertical/>
        <horizontal/>
      </border>
    </dxf>
    <dxf>
      <font>
        <color theme="0"/>
      </font>
      <fill>
        <patternFill>
          <bgColor theme="4"/>
        </patternFill>
      </fill>
      <border>
        <left style="thin">
          <color auto="1"/>
        </left>
        <right style="thin">
          <color auto="1"/>
        </right>
        <top style="thin">
          <color auto="1"/>
        </top>
        <bottom style="thin">
          <color auto="1"/>
        </bottom>
        <vertical/>
        <horizontal/>
      </border>
    </dxf>
    <dxf>
      <font>
        <color theme="0"/>
      </font>
      <fill>
        <patternFill>
          <bgColor theme="4"/>
        </patternFill>
      </fill>
      <border>
        <left style="thin">
          <color auto="1"/>
        </left>
        <right style="thin">
          <color auto="1"/>
        </right>
        <top style="thin">
          <color auto="1"/>
        </top>
        <bottom style="thin">
          <color auto="1"/>
        </bottom>
        <vertical/>
        <horizontal/>
      </border>
    </dxf>
    <dxf>
      <font>
        <b val="0"/>
        <i val="0"/>
        <strike val="0"/>
        <color theme="0"/>
      </font>
      <fill>
        <patternFill>
          <bgColor rgb="FFFF0000"/>
        </patternFill>
      </fill>
      <border>
        <left style="thin">
          <color auto="1"/>
        </left>
        <right style="thin">
          <color auto="1"/>
        </right>
        <top style="thin">
          <color auto="1"/>
        </top>
        <bottom style="thin">
          <color auto="1"/>
        </bottom>
        <vertical/>
        <horizontal/>
      </border>
    </dxf>
    <dxf>
      <font>
        <color theme="0"/>
      </font>
      <fill>
        <patternFill>
          <bgColor theme="4"/>
        </patternFill>
      </fill>
      <border>
        <left style="thin">
          <color auto="1"/>
        </left>
        <right style="thin">
          <color auto="1"/>
        </right>
        <top style="thin">
          <color auto="1"/>
        </top>
        <bottom style="thin">
          <color auto="1"/>
        </bottom>
        <vertical/>
        <horizontal/>
      </border>
    </dxf>
    <dxf>
      <font>
        <color theme="0"/>
      </font>
      <fill>
        <patternFill>
          <bgColor theme="4"/>
        </patternFill>
      </fill>
      <border>
        <left style="thin">
          <color auto="1"/>
        </left>
        <right style="thin">
          <color auto="1"/>
        </right>
        <top style="thin">
          <color auto="1"/>
        </top>
        <bottom style="thin">
          <color auto="1"/>
        </bottom>
        <vertical/>
        <horizontal/>
      </border>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ont>
        <strike val="0"/>
        <color theme="0"/>
      </font>
      <fill>
        <patternFill>
          <bgColor rgb="FFFF0000"/>
        </patternFill>
      </fill>
      <border>
        <left style="thin">
          <color auto="1"/>
        </left>
        <right style="thin">
          <color auto="1"/>
        </right>
        <top style="thin">
          <color auto="1"/>
        </top>
        <bottom style="thin">
          <color auto="1"/>
        </bottom>
        <vertical/>
        <horizontal/>
      </border>
    </dxf>
    <dxf>
      <font>
        <strike val="0"/>
        <color theme="0"/>
      </font>
      <fill>
        <patternFill>
          <bgColor rgb="FFFF0000"/>
        </patternFill>
      </fill>
      <border>
        <left style="thin">
          <color auto="1"/>
        </left>
        <right style="thin">
          <color auto="1"/>
        </right>
        <top style="thin">
          <color auto="1"/>
        </top>
        <bottom style="thin">
          <color auto="1"/>
        </bottom>
        <vertical/>
        <horizontal/>
      </border>
    </dxf>
    <dxf>
      <font>
        <strike val="0"/>
        <color theme="0"/>
      </font>
      <fill>
        <patternFill>
          <bgColor rgb="FFFF0000"/>
        </patternFill>
      </fill>
      <border>
        <left style="thin">
          <color auto="1"/>
        </left>
        <right style="thin">
          <color auto="1"/>
        </right>
        <top style="thin">
          <color auto="1"/>
        </top>
        <bottom style="thin">
          <color auto="1"/>
        </bottom>
        <vertical/>
        <horizontal/>
      </border>
    </dxf>
    <dxf>
      <font>
        <strike val="0"/>
        <color theme="0"/>
      </font>
      <fill>
        <patternFill>
          <bgColor rgb="FFFF0000"/>
        </patternFill>
      </fill>
      <border>
        <left style="thin">
          <color auto="1"/>
        </left>
        <right style="thin">
          <color auto="1"/>
        </right>
        <top style="thin">
          <color auto="1"/>
        </top>
        <bottom style="thin">
          <color auto="1"/>
        </bottom>
        <vertical/>
        <horizontal/>
      </border>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ont>
        <strike val="0"/>
        <color theme="0"/>
      </font>
      <fill>
        <patternFill>
          <bgColor rgb="FFFF0000"/>
        </patternFill>
      </fill>
      <border>
        <left style="thin">
          <color auto="1"/>
        </left>
        <right style="thin">
          <color auto="1"/>
        </right>
        <top style="thin">
          <color auto="1"/>
        </top>
        <bottom style="thin">
          <color auto="1"/>
        </bottom>
        <vertical/>
        <horizontal/>
      </border>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ont>
        <color theme="0"/>
      </font>
      <fill>
        <patternFill>
          <bgColor rgb="FFFF0000"/>
        </patternFill>
      </fill>
      <border>
        <left style="thin">
          <color auto="1"/>
        </left>
        <right style="thin">
          <color auto="1"/>
        </right>
        <top style="thin">
          <color auto="1"/>
        </top>
        <bottom style="thin">
          <color auto="1"/>
        </bottom>
        <vertical/>
        <horizontal/>
      </border>
    </dxf>
    <dxf>
      <font>
        <color theme="0"/>
      </font>
      <fill>
        <patternFill>
          <bgColor rgb="FFFF0000"/>
        </patternFill>
      </fill>
      <border>
        <left style="thin">
          <color auto="1"/>
        </left>
        <right style="thin">
          <color auto="1"/>
        </right>
        <top style="thin">
          <color auto="1"/>
        </top>
        <bottom style="thin">
          <color auto="1"/>
        </bottom>
        <vertical/>
        <horizontal/>
      </border>
    </dxf>
    <dxf>
      <font>
        <color theme="0"/>
      </font>
      <fill>
        <patternFill>
          <bgColor rgb="FFFF0000"/>
        </patternFill>
      </fill>
      <border>
        <left style="thin">
          <color auto="1"/>
        </left>
        <right style="thin">
          <color auto="1"/>
        </right>
        <top style="thin">
          <color auto="1"/>
        </top>
        <bottom style="thin">
          <color auto="1"/>
        </bottom>
        <vertical/>
        <horizontal/>
      </border>
    </dxf>
    <dxf>
      <font>
        <color theme="0"/>
      </font>
      <fill>
        <patternFill>
          <bgColor rgb="FFFF0000"/>
        </patternFill>
      </fill>
      <border>
        <left style="thin">
          <color auto="1"/>
        </left>
        <right style="thin">
          <color auto="1"/>
        </right>
        <top style="thin">
          <color auto="1"/>
        </top>
        <bottom style="thin">
          <color auto="1"/>
        </bottom>
        <vertical/>
        <horizontal/>
      </border>
    </dxf>
    <dxf>
      <font>
        <color theme="0"/>
      </font>
      <fill>
        <patternFill>
          <bgColor rgb="FFFF0000"/>
        </patternFill>
      </fill>
      <border>
        <left style="thin">
          <color auto="1"/>
        </left>
        <right style="thin">
          <color auto="1"/>
        </right>
        <top style="thin">
          <color auto="1"/>
        </top>
        <bottom style="thin">
          <color auto="1"/>
        </bottom>
        <vertical/>
        <horizontal/>
      </border>
    </dxf>
    <dxf>
      <font>
        <color theme="0"/>
      </font>
      <fill>
        <patternFill>
          <bgColor rgb="FFFF0000"/>
        </patternFill>
      </fill>
      <border>
        <left style="thin">
          <color auto="1"/>
        </left>
        <right style="thin">
          <color auto="1"/>
        </right>
        <top style="thin">
          <color auto="1"/>
        </top>
        <bottom style="thin">
          <color auto="1"/>
        </bottom>
        <vertical/>
        <horizontal/>
      </border>
    </dxf>
    <dxf>
      <font>
        <color theme="0"/>
      </font>
      <fill>
        <patternFill>
          <bgColor rgb="FFFF0000"/>
        </patternFill>
      </fill>
      <border>
        <left style="thin">
          <color auto="1"/>
        </left>
        <right style="thin">
          <color auto="1"/>
        </right>
        <top style="thin">
          <color auto="1"/>
        </top>
        <bottom style="thin">
          <color auto="1"/>
        </bottom>
        <vertical/>
        <horizontal/>
      </border>
    </dxf>
    <dxf>
      <font>
        <color theme="0"/>
      </font>
      <fill>
        <patternFill>
          <bgColor rgb="FFFF0000"/>
        </patternFill>
      </fill>
      <border>
        <left style="thin">
          <color auto="1"/>
        </left>
        <right style="thin">
          <color auto="1"/>
        </right>
        <top style="thin">
          <color auto="1"/>
        </top>
        <bottom style="thin">
          <color auto="1"/>
        </bottom>
        <vertical/>
        <horizontal/>
      </border>
    </dxf>
    <dxf>
      <font>
        <color theme="0"/>
      </font>
      <fill>
        <patternFill>
          <bgColor rgb="FFFF0000"/>
        </patternFill>
      </fill>
      <border>
        <left style="thin">
          <color auto="1"/>
        </left>
        <right style="thin">
          <color auto="1"/>
        </right>
        <top style="thin">
          <color auto="1"/>
        </top>
        <bottom style="thin">
          <color auto="1"/>
        </bottom>
        <vertical/>
        <horizontal/>
      </border>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ont>
        <color theme="0"/>
      </font>
      <fill>
        <patternFill>
          <bgColor rgb="FFFF0000"/>
        </patternFill>
      </fill>
      <border>
        <left style="thin">
          <color auto="1"/>
        </left>
        <right style="thin">
          <color auto="1"/>
        </right>
        <top style="thin">
          <color auto="1"/>
        </top>
        <bottom style="thin">
          <color auto="1"/>
        </bottom>
        <vertical/>
        <horizontal/>
      </border>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ont>
        <color theme="0"/>
      </font>
      <fill>
        <patternFill>
          <bgColor rgb="FFFF0000"/>
        </patternFill>
      </fill>
      <border>
        <left style="thin">
          <color auto="1"/>
        </left>
        <right style="thin">
          <color auto="1"/>
        </right>
        <top style="thin">
          <color auto="1"/>
        </top>
        <bottom style="thin">
          <color auto="1"/>
        </bottom>
        <vertical/>
        <horizontal/>
      </border>
    </dxf>
    <dxf>
      <font>
        <color theme="0"/>
      </font>
      <fill>
        <patternFill>
          <bgColor rgb="FFFF0000"/>
        </patternFill>
      </fill>
      <border>
        <left style="thin">
          <color auto="1"/>
        </left>
        <right style="thin">
          <color auto="1"/>
        </right>
        <top style="thin">
          <color auto="1"/>
        </top>
        <bottom style="thin">
          <color auto="1"/>
        </bottom>
        <vertical/>
        <horizontal/>
      </border>
    </dxf>
    <dxf>
      <font>
        <color theme="0"/>
      </font>
      <fill>
        <patternFill>
          <bgColor rgb="FFFF0000"/>
        </patternFill>
      </fill>
      <border>
        <left style="thin">
          <color auto="1"/>
        </left>
        <right style="thin">
          <color auto="1"/>
        </right>
        <top style="thin">
          <color auto="1"/>
        </top>
        <bottom style="thin">
          <color auto="1"/>
        </bottom>
        <vertical/>
        <horizontal/>
      </border>
    </dxf>
    <dxf>
      <font>
        <color theme="0"/>
      </font>
      <fill>
        <patternFill>
          <bgColor rgb="FFFF0000"/>
        </patternFill>
      </fill>
      <border>
        <left style="thin">
          <color auto="1"/>
        </left>
        <right style="thin">
          <color auto="1"/>
        </right>
        <top style="thin">
          <color auto="1"/>
        </top>
        <bottom style="thin">
          <color auto="1"/>
        </bottom>
        <vertical/>
        <horizontal/>
      </border>
    </dxf>
    <dxf>
      <font>
        <color theme="0"/>
      </font>
      <fill>
        <patternFill>
          <bgColor rgb="FFFF0000"/>
        </patternFill>
      </fill>
      <border>
        <left style="thin">
          <color auto="1"/>
        </left>
        <right style="thin">
          <color auto="1"/>
        </right>
        <top style="thin">
          <color auto="1"/>
        </top>
        <bottom style="thin">
          <color auto="1"/>
        </bottom>
        <vertical/>
        <horizontal/>
      </border>
    </dxf>
    <dxf>
      <font>
        <color theme="0"/>
      </font>
      <fill>
        <patternFill>
          <bgColor rgb="FFFF0000"/>
        </patternFill>
      </fill>
      <border>
        <left style="thin">
          <color auto="1"/>
        </left>
        <right style="thin">
          <color auto="1"/>
        </right>
        <top style="thin">
          <color auto="1"/>
        </top>
        <bottom style="thin">
          <color auto="1"/>
        </bottom>
        <vertical/>
        <horizontal/>
      </border>
    </dxf>
    <dxf>
      <font>
        <color theme="0"/>
      </font>
      <fill>
        <patternFill>
          <bgColor rgb="FFFF0000"/>
        </patternFill>
      </fill>
      <border>
        <left style="thin">
          <color auto="1"/>
        </left>
        <right style="thin">
          <color auto="1"/>
        </right>
        <top style="thin">
          <color auto="1"/>
        </top>
        <bottom style="thin">
          <color auto="1"/>
        </bottom>
        <vertical/>
        <horizontal/>
      </border>
    </dxf>
    <dxf>
      <font>
        <color theme="0"/>
      </font>
      <fill>
        <patternFill>
          <bgColor rgb="FFFF0000"/>
        </patternFill>
      </fill>
      <border>
        <left style="thin">
          <color auto="1"/>
        </left>
        <right style="thin">
          <color auto="1"/>
        </right>
        <top style="thin">
          <color auto="1"/>
        </top>
        <bottom style="thin">
          <color auto="1"/>
        </bottom>
        <vertical/>
        <horizontal/>
      </border>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ont>
        <color theme="0"/>
      </font>
      <fill>
        <patternFill>
          <bgColor rgb="FFFF0000"/>
        </patternFill>
      </fill>
      <border>
        <left style="thin">
          <color auto="1"/>
        </left>
        <right style="thin">
          <color auto="1"/>
        </right>
        <top style="thin">
          <color auto="1"/>
        </top>
        <bottom style="thin">
          <color auto="1"/>
        </bottom>
        <vertical/>
        <horizontal/>
      </border>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ont>
        <color theme="0"/>
      </font>
      <fill>
        <patternFill>
          <bgColor rgb="FFFF0000"/>
        </patternFill>
      </fill>
      <border>
        <left style="thin">
          <color auto="1"/>
        </left>
        <right style="thin">
          <color auto="1"/>
        </right>
        <top style="thin">
          <color auto="1"/>
        </top>
        <bottom style="thin">
          <color auto="1"/>
        </bottom>
        <vertical/>
        <horizontal/>
      </border>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bgColor rgb="FFFFC000"/>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ont>
        <b val="0"/>
        <i val="0"/>
        <strike val="0"/>
        <color theme="0"/>
      </font>
      <fill>
        <patternFill>
          <bgColor rgb="FFFF0000"/>
        </patternFill>
      </fill>
      <border>
        <left style="thin">
          <color indexed="64"/>
        </left>
        <right style="thin">
          <color indexed="64"/>
        </right>
        <top style="thin">
          <color indexed="64"/>
        </top>
        <bottom style="thin">
          <color indexed="64"/>
        </bottom>
      </border>
    </dxf>
    <dxf>
      <font>
        <color theme="0"/>
      </font>
      <fill>
        <patternFill>
          <bgColor theme="4"/>
        </patternFill>
      </fill>
      <border>
        <left style="thin">
          <color auto="1"/>
        </left>
        <right style="thin">
          <color auto="1"/>
        </right>
        <top style="thin">
          <color auto="1"/>
        </top>
        <bottom style="thin">
          <color auto="1"/>
        </bottom>
        <vertical/>
        <horizontal/>
      </border>
    </dxf>
    <dxf>
      <font>
        <color theme="0"/>
      </font>
      <fill>
        <patternFill>
          <bgColor theme="4"/>
        </patternFill>
      </fill>
      <border>
        <left style="thin">
          <color auto="1"/>
        </left>
        <right style="thin">
          <color auto="1"/>
        </right>
        <top style="thin">
          <color auto="1"/>
        </top>
        <bottom style="thin">
          <color auto="1"/>
        </bottom>
        <vertical/>
        <horizontal/>
      </border>
    </dxf>
    <dxf>
      <font>
        <b val="0"/>
        <i val="0"/>
        <strike val="0"/>
        <color theme="0"/>
      </font>
      <fill>
        <patternFill>
          <bgColor rgb="FFFF0000"/>
        </patternFill>
      </fill>
      <border>
        <left style="thin">
          <color indexed="64"/>
        </left>
        <right style="thin">
          <color indexed="64"/>
        </right>
        <top style="thin">
          <color indexed="64"/>
        </top>
        <bottom style="thin">
          <color indexed="64"/>
        </bottom>
      </border>
    </dxf>
    <dxf>
      <font>
        <color theme="0"/>
      </font>
      <fill>
        <patternFill>
          <bgColor theme="4"/>
        </patternFill>
      </fill>
      <border>
        <left style="thin">
          <color auto="1"/>
        </left>
        <right style="thin">
          <color auto="1"/>
        </right>
        <top style="thin">
          <color auto="1"/>
        </top>
        <bottom style="thin">
          <color auto="1"/>
        </bottom>
        <vertical/>
        <horizontal/>
      </border>
    </dxf>
    <dxf>
      <font>
        <strike val="0"/>
      </font>
      <fill>
        <patternFill patternType="lightUp">
          <bgColor theme="0" tint="-0.24994659260841701"/>
        </patternFill>
      </fill>
    </dxf>
    <dxf>
      <font>
        <strike val="0"/>
      </font>
      <fill>
        <patternFill patternType="lightUp">
          <bgColor theme="0" tint="-0.24994659260841701"/>
        </patternFill>
      </fill>
    </dxf>
    <dxf>
      <font>
        <strike val="0"/>
      </font>
      <fill>
        <patternFill patternType="lightUp">
          <bgColor theme="0" tint="-0.24994659260841701"/>
        </patternFill>
      </fill>
    </dxf>
    <dxf>
      <font>
        <strike val="0"/>
      </font>
      <fill>
        <patternFill patternType="lightUp">
          <bgColor theme="0" tint="-0.24994659260841701"/>
        </patternFill>
      </fill>
    </dxf>
    <dxf>
      <font>
        <strike val="0"/>
      </font>
      <fill>
        <patternFill patternType="lightUp">
          <bgColor theme="0" tint="-0.24994659260841701"/>
        </patternFill>
      </fill>
    </dxf>
    <dxf>
      <font>
        <strike val="0"/>
      </font>
      <fill>
        <patternFill patternType="lightUp">
          <bgColor theme="0" tint="-0.24994659260841701"/>
        </patternFill>
      </fill>
    </dxf>
    <dxf>
      <font>
        <strike val="0"/>
      </font>
      <fill>
        <patternFill patternType="lightUp">
          <bgColor theme="0" tint="-0.24994659260841701"/>
        </patternFill>
      </fill>
    </dxf>
    <dxf>
      <font>
        <strike val="0"/>
      </font>
      <fill>
        <patternFill patternType="lightUp">
          <bgColor theme="0" tint="-0.24994659260841701"/>
        </patternFill>
      </fill>
    </dxf>
    <dxf>
      <font>
        <strike val="0"/>
      </font>
      <fill>
        <patternFill patternType="lightUp">
          <bgColor theme="0" tint="-0.24994659260841701"/>
        </patternFill>
      </fill>
    </dxf>
    <dxf>
      <font>
        <strike val="0"/>
      </font>
      <fill>
        <patternFill patternType="lightUp">
          <bgColor theme="0" tint="-0.24994659260841701"/>
        </patternFill>
      </fill>
    </dxf>
    <dxf>
      <font>
        <strike val="0"/>
      </font>
      <fill>
        <patternFill patternType="lightUp">
          <bgColor theme="0" tint="-0.24994659260841701"/>
        </patternFill>
      </fill>
    </dxf>
    <dxf>
      <font>
        <strike val="0"/>
      </font>
      <fill>
        <patternFill patternType="lightUp">
          <bgColor theme="0" tint="-0.24994659260841701"/>
        </patternFill>
      </fill>
    </dxf>
    <dxf>
      <font>
        <strike val="0"/>
      </font>
      <fill>
        <patternFill patternType="lightUp">
          <bgColor theme="0" tint="-0.24994659260841701"/>
        </patternFill>
      </fill>
    </dxf>
    <dxf>
      <font>
        <strike val="0"/>
      </font>
      <fill>
        <patternFill patternType="lightUp">
          <bgColor theme="0" tint="-0.24994659260841701"/>
        </patternFill>
      </fill>
    </dxf>
    <dxf>
      <font>
        <strike val="0"/>
      </font>
      <fill>
        <patternFill patternType="lightUp">
          <bgColor theme="0" tint="-0.24994659260841701"/>
        </patternFill>
      </fill>
    </dxf>
    <dxf>
      <font>
        <strike val="0"/>
      </font>
      <fill>
        <patternFill patternType="lightUp">
          <bgColor theme="0" tint="-0.24994659260841701"/>
        </patternFill>
      </fill>
    </dxf>
    <dxf>
      <font>
        <strike val="0"/>
      </font>
      <fill>
        <patternFill patternType="lightUp">
          <bgColor theme="0" tint="-0.24994659260841701"/>
        </patternFill>
      </fill>
    </dxf>
    <dxf>
      <font>
        <strike val="0"/>
      </font>
      <fill>
        <patternFill patternType="lightUp">
          <bgColor theme="0" tint="-0.24994659260841701"/>
        </patternFill>
      </fill>
    </dxf>
    <dxf>
      <font>
        <strike val="0"/>
      </font>
      <fill>
        <patternFill patternType="lightUp">
          <bgColor theme="0" tint="-0.24994659260841701"/>
        </patternFill>
      </fill>
    </dxf>
    <dxf>
      <font>
        <strike val="0"/>
      </font>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patternType="lightUp">
          <bgColor theme="0" tint="-0.24994659260841701"/>
        </patternFill>
      </fill>
    </dxf>
    <dxf>
      <fill>
        <patternFill>
          <bgColor theme="0" tint="-0.24994659260841701"/>
        </patternFill>
      </fill>
    </dxf>
    <dxf>
      <font>
        <strike val="0"/>
      </font>
      <fill>
        <patternFill>
          <bgColor rgb="FFFF0000"/>
        </patternFill>
      </fill>
      <border>
        <left style="thin">
          <color auto="1"/>
        </left>
        <right style="thin">
          <color auto="1"/>
        </right>
        <top style="thin">
          <color auto="1"/>
        </top>
        <bottom style="thin">
          <color auto="1"/>
        </bottom>
        <vertical/>
        <horizontal/>
      </border>
    </dxf>
    <dxf>
      <fill>
        <patternFill>
          <bgColor rgb="FFFFC000"/>
        </patternFill>
      </fill>
    </dxf>
    <dxf>
      <fill>
        <patternFill>
          <bgColor rgb="FFFFC000"/>
        </patternFill>
      </fill>
    </dxf>
    <dxf>
      <fill>
        <patternFill>
          <bgColor rgb="FFFFC000"/>
        </patternFill>
      </fill>
    </dxf>
    <dxf>
      <fill>
        <patternFill>
          <bgColor rgb="FFFFC000"/>
        </patternFill>
      </fill>
    </dxf>
    <dxf>
      <fill>
        <patternFill patternType="lightUp">
          <bgColor theme="0" tint="-0.24994659260841701"/>
        </patternFill>
      </fill>
    </dxf>
    <dxf>
      <fill>
        <patternFill>
          <bgColor rgb="FFFFC000"/>
        </patternFill>
      </fill>
    </dxf>
    <dxf>
      <fill>
        <patternFill patternType="lightUp">
          <bgColor theme="0" tint="-0.24994659260841701"/>
        </patternFill>
      </fill>
    </dxf>
    <dxf>
      <font>
        <b val="0"/>
        <i val="0"/>
        <strike val="0"/>
        <color theme="0"/>
      </font>
      <fill>
        <patternFill>
          <bgColor theme="4"/>
        </patternFill>
      </fill>
      <border>
        <left style="thin">
          <color indexed="64"/>
        </left>
        <right style="thin">
          <color indexed="64"/>
        </right>
        <top style="thin">
          <color indexed="64"/>
        </top>
        <bottom style="thin">
          <color indexed="64"/>
        </bottom>
      </border>
    </dxf>
    <dxf>
      <font>
        <b val="0"/>
        <i val="0"/>
        <strike val="0"/>
        <color theme="0"/>
      </font>
      <fill>
        <patternFill>
          <bgColor theme="4"/>
        </patternFill>
      </fill>
      <border>
        <left style="thin">
          <color indexed="64"/>
        </left>
        <right style="thin">
          <color indexed="64"/>
        </right>
        <top style="thin">
          <color indexed="64"/>
        </top>
        <bottom style="thin">
          <color indexed="64"/>
        </bottom>
      </border>
    </dxf>
    <dxf>
      <font>
        <b val="0"/>
        <i val="0"/>
        <strike val="0"/>
        <color theme="0"/>
      </font>
      <fill>
        <patternFill>
          <bgColor theme="4"/>
        </patternFill>
      </fill>
      <border>
        <left style="thin">
          <color indexed="64"/>
        </left>
        <right style="thin">
          <color indexed="64"/>
        </right>
        <top style="thin">
          <color indexed="64"/>
        </top>
        <bottom style="thin">
          <color indexed="64"/>
        </bottom>
      </border>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bgColor theme="0" tint="-0.24994659260841701"/>
        </patternFill>
      </fill>
    </dxf>
    <dxf>
      <fill>
        <patternFill>
          <bgColor rgb="FFFFC000"/>
        </patternFill>
      </fill>
    </dxf>
    <dxf>
      <font>
        <b val="0"/>
        <i val="0"/>
        <strike val="0"/>
        <color theme="0"/>
      </font>
      <fill>
        <patternFill>
          <bgColor theme="4"/>
        </patternFill>
      </fill>
      <border>
        <left style="thin">
          <color indexed="64"/>
        </left>
        <right style="thin">
          <color indexed="64"/>
        </right>
        <top style="thin">
          <color indexed="64"/>
        </top>
        <bottom style="thin">
          <color indexed="64"/>
        </bottom>
      </border>
    </dxf>
    <dxf>
      <fill>
        <patternFill patternType="lightUp">
          <bgColor theme="0" tint="-0.24994659260841701"/>
        </patternFill>
      </fill>
    </dxf>
    <dxf>
      <fill>
        <patternFill patternType="lightUp">
          <bgColor theme="0" tint="-0.24994659260841701"/>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patternType="lightUp">
          <bgColor theme="0" tint="-0.24994659260841701"/>
        </patternFill>
      </fill>
    </dxf>
    <dxf>
      <fill>
        <patternFill>
          <bgColor rgb="FFFFC000"/>
        </patternFill>
      </fill>
    </dxf>
    <dxf>
      <fill>
        <patternFill>
          <bgColor rgb="FF92D050"/>
        </patternFill>
      </fill>
    </dxf>
    <dxf>
      <fill>
        <patternFill>
          <bgColor rgb="FF00B0F0"/>
        </patternFill>
      </fill>
    </dxf>
    <dxf>
      <fill>
        <patternFill>
          <bgColor theme="0" tint="-0.24994659260841701"/>
        </patternFill>
      </fill>
    </dxf>
    <dxf>
      <font>
        <strike val="0"/>
        <color theme="0"/>
      </font>
      <fill>
        <patternFill patternType="solid">
          <fgColor indexed="64"/>
          <bgColor rgb="FFFF0000"/>
        </patternFill>
      </fill>
    </dxf>
    <dxf>
      <fill>
        <patternFill>
          <bgColor rgb="FF92D050"/>
        </patternFill>
      </fill>
    </dxf>
    <dxf>
      <fill>
        <patternFill>
          <bgColor rgb="FF00B0F0"/>
        </patternFill>
      </fill>
    </dxf>
    <dxf>
      <fill>
        <patternFill patternType="solid">
          <fgColor indexed="64"/>
          <bgColor rgb="FFFFC000"/>
        </patternFill>
      </fill>
    </dxf>
    <dxf>
      <fill>
        <patternFill patternType="lightUp">
          <bgColor theme="0" tint="-0.24994659260841701"/>
        </patternFill>
      </fill>
    </dxf>
    <dxf>
      <fill>
        <patternFill>
          <bgColor rgb="FFFFC000"/>
        </patternFill>
      </fill>
    </dxf>
    <dxf>
      <fill>
        <patternFill>
          <bgColor rgb="FFFFC000"/>
        </patternFill>
      </fill>
    </dxf>
    <dxf>
      <font>
        <strike val="0"/>
        <color theme="0"/>
      </font>
      <fill>
        <patternFill>
          <bgColor theme="4"/>
        </patternFill>
      </fill>
      <border>
        <left style="thin">
          <color auto="1"/>
        </left>
        <right style="thin">
          <color auto="1"/>
        </right>
        <top style="thin">
          <color auto="1"/>
        </top>
        <bottom style="thin">
          <color auto="1"/>
        </bottom>
        <vertical/>
        <horizontal/>
      </border>
    </dxf>
    <dxf>
      <font>
        <strike val="0"/>
        <color theme="0"/>
      </font>
      <fill>
        <patternFill>
          <bgColor theme="4"/>
        </patternFill>
      </fill>
      <border>
        <left style="thin">
          <color auto="1"/>
        </left>
        <right style="thin">
          <color auto="1"/>
        </right>
        <top style="thin">
          <color auto="1"/>
        </top>
        <bottom style="thin">
          <color auto="1"/>
        </bottom>
        <vertical/>
        <horizontal/>
      </border>
    </dxf>
    <dxf>
      <font>
        <strike val="0"/>
        <color theme="0"/>
      </font>
      <fill>
        <patternFill>
          <bgColor theme="4"/>
        </patternFill>
      </fill>
      <border>
        <left style="thin">
          <color auto="1"/>
        </left>
        <right style="thin">
          <color auto="1"/>
        </right>
        <top style="thin">
          <color auto="1"/>
        </top>
        <bottom style="thin">
          <color auto="1"/>
        </bottom>
        <vertical/>
        <horizontal/>
      </border>
    </dxf>
    <dxf>
      <fill>
        <patternFill patternType="lightUp">
          <bgColor theme="0" tint="-0.24994659260841701"/>
        </patternFill>
      </fill>
    </dxf>
  </dxfs>
  <tableStyles count="0" defaultTableStyle="TableStyleMedium9" defaultPivotStyle="PivotStyleLight16"/>
  <colors>
    <mruColors>
      <color rgb="FFFFFF93"/>
      <color rgb="FFFFA7B1"/>
      <color rgb="FFFFC7CE"/>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14</xdr:col>
      <xdr:colOff>533400</xdr:colOff>
      <xdr:row>5</xdr:row>
      <xdr:rowOff>123825</xdr:rowOff>
    </xdr:from>
    <xdr:to>
      <xdr:col>16</xdr:col>
      <xdr:colOff>0</xdr:colOff>
      <xdr:row>11</xdr:row>
      <xdr:rowOff>19050</xdr:rowOff>
    </xdr:to>
    <xdr:pic>
      <xdr:nvPicPr>
        <xdr:cNvPr id="1027" name="Picture 2" descr="This is an image of the Australian Government Department of Health logo."/>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972800" y="1181100"/>
          <a:ext cx="35623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Deloitt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5"/>
  </sheetPr>
  <dimension ref="A1:Q63"/>
  <sheetViews>
    <sheetView showGridLines="0" tabSelected="1" zoomScaleNormal="100" workbookViewId="0">
      <pane ySplit="3" topLeftCell="A4" activePane="bottomLeft" state="frozen"/>
      <selection pane="bottomLeft"/>
    </sheetView>
  </sheetViews>
  <sheetFormatPr defaultRowHeight="12.75" customHeight="1" x14ac:dyDescent="0.2"/>
  <cols>
    <col min="1" max="1" width="3.7109375" customWidth="1"/>
    <col min="2" max="3" width="3.7109375" style="416" hidden="1" customWidth="1"/>
    <col min="4" max="4" width="30.7109375" customWidth="1"/>
    <col min="5" max="5" width="15.7109375" customWidth="1"/>
    <col min="6" max="6" width="3.7109375" customWidth="1"/>
    <col min="7" max="8" width="12.7109375" customWidth="1"/>
    <col min="9" max="9" width="15.7109375" customWidth="1"/>
    <col min="10" max="10" width="3.7109375" customWidth="1"/>
    <col min="11" max="13" width="20.7109375" customWidth="1"/>
    <col min="14" max="14" width="3.7109375" customWidth="1"/>
    <col min="15" max="16" width="30.7109375" customWidth="1"/>
    <col min="17" max="17" width="12.7109375" customWidth="1"/>
  </cols>
  <sheetData>
    <row r="1" spans="1:17" ht="23.25" x14ac:dyDescent="0.2">
      <c r="A1" s="218"/>
      <c r="B1" s="218"/>
      <c r="C1" s="218"/>
      <c r="D1" s="220" t="s">
        <v>32</v>
      </c>
      <c r="E1" s="218"/>
      <c r="F1" s="218"/>
      <c r="G1" s="218"/>
      <c r="H1" s="218"/>
      <c r="I1" s="218"/>
      <c r="J1" s="218"/>
      <c r="K1" s="218"/>
      <c r="L1" s="218"/>
      <c r="M1" s="218"/>
      <c r="N1" s="218"/>
      <c r="O1" s="218"/>
      <c r="P1" s="383" t="str">
        <f>References!H2</f>
        <v>Release 3</v>
      </c>
      <c r="Q1" s="128"/>
    </row>
    <row r="2" spans="1:17" ht="15.75" x14ac:dyDescent="0.2">
      <c r="A2" s="219"/>
      <c r="B2" s="219"/>
      <c r="C2" s="219"/>
      <c r="D2" s="222" t="str">
        <f>CONCATENATE("Name of medicine: ", MedicineBrand)</f>
        <v xml:space="preserve">Name of medicine: </v>
      </c>
      <c r="E2" s="219"/>
      <c r="F2" s="219"/>
      <c r="G2" s="219"/>
      <c r="H2" s="219"/>
      <c r="I2" s="219"/>
      <c r="J2" s="219"/>
      <c r="K2" s="219"/>
      <c r="L2" s="219"/>
      <c r="M2" s="219"/>
      <c r="N2" s="219"/>
      <c r="O2" s="219"/>
      <c r="P2" s="382" t="str">
        <f>References!H3</f>
        <v>Version 10.81 - 1/8/2021</v>
      </c>
      <c r="Q2" s="128"/>
    </row>
    <row r="3" spans="1:17" ht="15.75" x14ac:dyDescent="0.2">
      <c r="A3" s="219"/>
      <c r="B3" s="219"/>
      <c r="C3" s="219"/>
      <c r="D3" s="222" t="str">
        <f>CONCATENATE("Indication: ", Indication)</f>
        <v xml:space="preserve">Indication: </v>
      </c>
      <c r="E3" s="219"/>
      <c r="F3" s="219"/>
      <c r="G3" s="219"/>
      <c r="H3" s="219"/>
      <c r="I3" s="219"/>
      <c r="J3" s="219"/>
      <c r="K3" s="219"/>
      <c r="L3" s="219"/>
      <c r="M3" s="219"/>
      <c r="N3" s="219"/>
      <c r="O3" s="219"/>
      <c r="P3" s="219"/>
      <c r="Q3" s="128"/>
    </row>
    <row r="4" spans="1:17" s="420" customFormat="1" x14ac:dyDescent="0.2">
      <c r="A4" s="435"/>
      <c r="B4" s="435"/>
      <c r="C4" s="435"/>
      <c r="D4" s="435"/>
      <c r="E4" s="435"/>
      <c r="F4" s="435"/>
      <c r="G4" s="435"/>
      <c r="H4" s="435"/>
      <c r="I4" s="435"/>
      <c r="J4" s="435"/>
      <c r="K4" s="435"/>
      <c r="L4" s="435"/>
      <c r="M4" s="435"/>
      <c r="N4" s="435"/>
      <c r="O4" s="435"/>
      <c r="P4" s="435"/>
      <c r="Q4" s="435"/>
    </row>
    <row r="5" spans="1:17" ht="15.75" x14ac:dyDescent="0.2">
      <c r="A5" s="128"/>
      <c r="B5" s="435"/>
      <c r="C5" s="435"/>
      <c r="D5" s="96" t="s">
        <v>2</v>
      </c>
      <c r="E5" s="104"/>
      <c r="F5" s="104"/>
      <c r="G5" s="104"/>
      <c r="H5" s="104"/>
      <c r="I5" s="104"/>
      <c r="J5" s="104"/>
      <c r="K5" s="104"/>
      <c r="L5" s="104"/>
      <c r="M5" s="104"/>
      <c r="N5" s="104"/>
      <c r="O5" s="104"/>
      <c r="P5" s="104"/>
      <c r="Q5" s="128"/>
    </row>
    <row r="6" spans="1:17" x14ac:dyDescent="0.2">
      <c r="A6" s="128"/>
      <c r="B6" s="435"/>
      <c r="C6" s="435"/>
      <c r="D6" s="128"/>
      <c r="E6" s="128"/>
      <c r="F6" s="270"/>
      <c r="G6" s="128"/>
      <c r="H6" s="128"/>
      <c r="I6" s="128"/>
      <c r="J6" s="128"/>
      <c r="K6" s="128"/>
      <c r="L6" s="128"/>
      <c r="M6" s="128"/>
      <c r="N6" s="128"/>
      <c r="O6" s="128"/>
      <c r="P6" s="128"/>
      <c r="Q6" s="128"/>
    </row>
    <row r="7" spans="1:17" x14ac:dyDescent="0.2">
      <c r="A7" s="128"/>
      <c r="B7" s="435"/>
      <c r="C7" s="435"/>
      <c r="D7" t="s">
        <v>432</v>
      </c>
      <c r="F7" s="365"/>
      <c r="N7" s="128"/>
      <c r="O7" s="128"/>
      <c r="P7" s="128"/>
      <c r="Q7" s="128"/>
    </row>
    <row r="8" spans="1:17" ht="13.5" customHeight="1" x14ac:dyDescent="0.2">
      <c r="A8" s="128"/>
      <c r="B8" s="435"/>
      <c r="C8" s="435"/>
      <c r="D8" t="s">
        <v>433</v>
      </c>
      <c r="F8" s="365"/>
      <c r="N8" s="128"/>
      <c r="O8" s="128"/>
      <c r="P8" s="128"/>
      <c r="Q8" s="128"/>
    </row>
    <row r="9" spans="1:17" ht="13.5" customHeight="1" x14ac:dyDescent="0.2">
      <c r="A9" s="128"/>
      <c r="B9" s="435"/>
      <c r="C9" s="435"/>
      <c r="D9" t="s">
        <v>434</v>
      </c>
      <c r="F9" s="365"/>
      <c r="N9" s="128"/>
      <c r="O9" s="128"/>
      <c r="P9" s="128"/>
      <c r="Q9" s="128"/>
    </row>
    <row r="10" spans="1:17" ht="13.5" customHeight="1" x14ac:dyDescent="0.2">
      <c r="A10" s="128"/>
      <c r="B10" s="435"/>
      <c r="C10" s="435"/>
      <c r="D10" s="270"/>
      <c r="E10" s="128"/>
      <c r="F10" s="270"/>
      <c r="G10" s="128"/>
      <c r="H10" s="128"/>
      <c r="I10" s="128"/>
      <c r="J10" s="128"/>
      <c r="K10" s="128"/>
      <c r="L10" s="128"/>
      <c r="M10" s="128"/>
      <c r="N10" s="128"/>
      <c r="O10" s="128"/>
      <c r="P10" s="128"/>
      <c r="Q10" s="128"/>
    </row>
    <row r="11" spans="1:17" ht="12.75" customHeight="1" x14ac:dyDescent="0.2">
      <c r="A11" s="128"/>
      <c r="B11" s="435"/>
      <c r="C11" s="435"/>
      <c r="D11" s="272" t="s">
        <v>288</v>
      </c>
      <c r="F11" s="365"/>
      <c r="N11" s="128"/>
      <c r="O11" s="128"/>
      <c r="P11" s="128"/>
      <c r="Q11" s="128"/>
    </row>
    <row r="12" spans="1:17" x14ac:dyDescent="0.2">
      <c r="A12" s="128"/>
      <c r="B12" s="435"/>
      <c r="C12" s="435"/>
      <c r="D12" s="128"/>
      <c r="E12" s="128"/>
      <c r="F12" s="270"/>
      <c r="G12" s="128"/>
      <c r="H12" s="128"/>
      <c r="I12" s="128"/>
      <c r="J12" s="128"/>
      <c r="K12" s="128"/>
      <c r="L12" s="128"/>
      <c r="M12" s="128"/>
      <c r="N12" s="128"/>
      <c r="O12" s="128"/>
      <c r="P12" s="128"/>
      <c r="Q12" s="128"/>
    </row>
    <row r="13" spans="1:17" ht="15.75" customHeight="1" x14ac:dyDescent="0.2">
      <c r="A13" s="128"/>
      <c r="B13" s="435"/>
      <c r="C13" s="435"/>
      <c r="D13" s="96" t="s">
        <v>12</v>
      </c>
      <c r="E13" s="104"/>
      <c r="F13" s="297"/>
      <c r="G13" s="96" t="s">
        <v>322</v>
      </c>
      <c r="H13" s="96" t="s">
        <v>323</v>
      </c>
      <c r="I13" s="271" t="s">
        <v>362</v>
      </c>
      <c r="J13" s="96"/>
      <c r="K13" s="766" t="s">
        <v>320</v>
      </c>
      <c r="L13" s="766"/>
      <c r="M13" s="766"/>
      <c r="N13" s="96"/>
      <c r="O13" s="766" t="s">
        <v>259</v>
      </c>
      <c r="P13" s="766"/>
      <c r="Q13" s="128"/>
    </row>
    <row r="14" spans="1:17" x14ac:dyDescent="0.2">
      <c r="A14" s="128"/>
      <c r="B14" s="435"/>
      <c r="C14" s="435"/>
      <c r="D14" s="128"/>
      <c r="E14" s="128"/>
      <c r="F14" s="270"/>
      <c r="G14" s="128"/>
      <c r="H14" s="128"/>
      <c r="I14" s="128"/>
      <c r="J14" s="128"/>
      <c r="K14" s="128"/>
      <c r="L14" s="128"/>
      <c r="M14" s="128"/>
      <c r="N14" s="128"/>
      <c r="O14" s="128"/>
      <c r="P14" s="128"/>
      <c r="Q14" s="128"/>
    </row>
    <row r="15" spans="1:17" ht="15" x14ac:dyDescent="0.2">
      <c r="A15" s="128"/>
      <c r="B15" s="475">
        <v>2</v>
      </c>
      <c r="C15" s="475">
        <f>'1. Overview'!A1</f>
        <v>0</v>
      </c>
      <c r="D15" s="767" t="s">
        <v>80</v>
      </c>
      <c r="E15" s="768"/>
      <c r="G15" s="351">
        <f t="shared" ref="G15:G34" si="0">B15</f>
        <v>2</v>
      </c>
      <c r="H15" s="351">
        <f t="shared" ref="H15:H34" si="1">C15</f>
        <v>0</v>
      </c>
      <c r="I15" s="353"/>
      <c r="J15" s="352"/>
      <c r="K15" s="763"/>
      <c r="L15" s="764"/>
      <c r="M15" s="765"/>
      <c r="N15" s="128"/>
      <c r="O15" s="250" t="s">
        <v>260</v>
      </c>
      <c r="P15" s="128"/>
      <c r="Q15" s="128"/>
    </row>
    <row r="16" spans="1:17" ht="15" x14ac:dyDescent="0.2">
      <c r="A16" s="128"/>
      <c r="B16" s="475">
        <f>PxIncident*2</f>
        <v>0</v>
      </c>
      <c r="C16" s="475">
        <f>'2a. Patients - incident'!A1</f>
        <v>0</v>
      </c>
      <c r="D16" s="769" t="s">
        <v>899</v>
      </c>
      <c r="E16" s="768"/>
      <c r="G16" s="351">
        <f t="shared" ref="G16:H19" si="2">B16</f>
        <v>0</v>
      </c>
      <c r="H16" s="351">
        <f t="shared" si="2"/>
        <v>0</v>
      </c>
      <c r="K16" s="763"/>
      <c r="L16" s="764"/>
      <c r="M16" s="765"/>
      <c r="N16" s="128"/>
      <c r="O16" s="254"/>
      <c r="P16" s="390" t="s">
        <v>526</v>
      </c>
      <c r="Q16" s="128"/>
    </row>
    <row r="17" spans="1:17" ht="15" x14ac:dyDescent="0.2">
      <c r="A17" s="128"/>
      <c r="B17" s="475">
        <f>PxPrevalent*2</f>
        <v>0</v>
      </c>
      <c r="C17" s="475">
        <f>'2b. Patients - prevalent'!A1</f>
        <v>0</v>
      </c>
      <c r="D17" s="769" t="s">
        <v>900</v>
      </c>
      <c r="E17" s="768"/>
      <c r="G17" s="351">
        <f t="shared" si="2"/>
        <v>0</v>
      </c>
      <c r="H17" s="351">
        <f t="shared" si="2"/>
        <v>0</v>
      </c>
      <c r="I17" s="353"/>
      <c r="J17" s="352"/>
      <c r="K17" s="763"/>
      <c r="L17" s="764"/>
      <c r="M17" s="765"/>
      <c r="N17" s="128"/>
      <c r="O17" s="255"/>
      <c r="P17" s="390" t="s">
        <v>528</v>
      </c>
      <c r="Q17" s="128"/>
    </row>
    <row r="18" spans="1:17" ht="15" x14ac:dyDescent="0.2">
      <c r="A18" s="128"/>
      <c r="B18" s="475">
        <f>PxGrandfathered*2</f>
        <v>0</v>
      </c>
      <c r="C18" s="475">
        <f>'2c. Patients - GF'!A1</f>
        <v>0</v>
      </c>
      <c r="D18" s="769" t="s">
        <v>901</v>
      </c>
      <c r="E18" s="768"/>
      <c r="G18" s="351">
        <f t="shared" si="2"/>
        <v>0</v>
      </c>
      <c r="H18" s="351">
        <f t="shared" si="2"/>
        <v>0</v>
      </c>
      <c r="I18" s="353"/>
      <c r="J18" s="352"/>
      <c r="K18" s="763"/>
      <c r="L18" s="764"/>
      <c r="M18" s="765"/>
      <c r="N18" s="128"/>
      <c r="O18" s="331"/>
      <c r="P18" s="390" t="s">
        <v>247</v>
      </c>
      <c r="Q18" s="128"/>
    </row>
    <row r="19" spans="1:17" ht="15" x14ac:dyDescent="0.2">
      <c r="A19" s="128"/>
      <c r="B19" s="475">
        <f>IF(OR(B16=2,B17=2,B18=2),2,0)</f>
        <v>0</v>
      </c>
      <c r="C19" s="475">
        <f ca="1">'2d. Patients - DTG'!A1</f>
        <v>0</v>
      </c>
      <c r="D19" s="769" t="s">
        <v>1253</v>
      </c>
      <c r="E19" s="768"/>
      <c r="G19" s="351">
        <f t="shared" si="2"/>
        <v>0</v>
      </c>
      <c r="H19" s="351">
        <f t="shared" ca="1" si="2"/>
        <v>0</v>
      </c>
      <c r="I19" s="353"/>
      <c r="J19" s="352"/>
      <c r="K19" s="763"/>
      <c r="L19" s="764"/>
      <c r="M19" s="765"/>
      <c r="N19" s="128"/>
      <c r="O19" s="332"/>
      <c r="P19" s="390" t="s">
        <v>527</v>
      </c>
      <c r="Q19" s="128"/>
    </row>
    <row r="20" spans="1:17" ht="15" x14ac:dyDescent="0.2">
      <c r="A20" s="128"/>
      <c r="B20" s="475">
        <f>IF(OR(ScriptSourceCode=2,ScriptSourceCode=3),2,1)</f>
        <v>1</v>
      </c>
      <c r="C20" s="475">
        <f>'2e. Scripts - market'!A1</f>
        <v>0</v>
      </c>
      <c r="D20" s="770" t="s">
        <v>1252</v>
      </c>
      <c r="E20" s="768"/>
      <c r="G20" s="351">
        <f t="shared" si="0"/>
        <v>1</v>
      </c>
      <c r="H20" s="351">
        <f t="shared" si="1"/>
        <v>0</v>
      </c>
      <c r="I20" s="354" t="str">
        <f>IF(B20=1,"Copayment only","")</f>
        <v>Copayment only</v>
      </c>
      <c r="J20" s="352"/>
      <c r="K20" s="763"/>
      <c r="L20" s="764"/>
      <c r="M20" s="765"/>
      <c r="N20" s="128"/>
      <c r="O20" s="257"/>
      <c r="P20" s="390" t="s">
        <v>5</v>
      </c>
      <c r="Q20" s="128"/>
    </row>
    <row r="21" spans="1:17" ht="15" x14ac:dyDescent="0.2">
      <c r="A21" s="128"/>
      <c r="B21" s="475">
        <v>2</v>
      </c>
      <c r="C21" s="475">
        <f>'3a. Scripts - proposed'!A1</f>
        <v>0</v>
      </c>
      <c r="D21" s="770" t="s">
        <v>902</v>
      </c>
      <c r="E21" s="768"/>
      <c r="G21" s="351">
        <f t="shared" si="0"/>
        <v>2</v>
      </c>
      <c r="H21" s="351">
        <f t="shared" si="1"/>
        <v>0</v>
      </c>
      <c r="I21" s="353"/>
      <c r="J21" s="352"/>
      <c r="K21" s="763"/>
      <c r="L21" s="764"/>
      <c r="M21" s="765"/>
      <c r="N21" s="128"/>
      <c r="O21" s="256"/>
      <c r="P21" s="390" t="s">
        <v>6</v>
      </c>
      <c r="Q21" s="128"/>
    </row>
    <row r="22" spans="1:17" ht="15" x14ac:dyDescent="0.2">
      <c r="A22" s="128"/>
      <c r="B22" s="475">
        <v>2</v>
      </c>
      <c r="C22" s="475">
        <f>'3b. Impact - proposed (pub)'!A1</f>
        <v>0</v>
      </c>
      <c r="D22" s="771" t="s">
        <v>903</v>
      </c>
      <c r="E22" s="768"/>
      <c r="G22" s="351">
        <f t="shared" si="0"/>
        <v>2</v>
      </c>
      <c r="H22" s="351">
        <f t="shared" si="1"/>
        <v>0</v>
      </c>
      <c r="I22" s="353"/>
      <c r="J22" s="352"/>
      <c r="K22" s="763"/>
      <c r="L22" s="764"/>
      <c r="M22" s="765"/>
      <c r="N22" s="128"/>
      <c r="O22" s="128"/>
      <c r="P22" s="128"/>
      <c r="Q22" s="128"/>
    </row>
    <row r="23" spans="1:17" ht="15" x14ac:dyDescent="0.2">
      <c r="A23" s="128"/>
      <c r="B23" s="475">
        <f>IF(SPANewFlag=1,2,0)</f>
        <v>0</v>
      </c>
      <c r="C23" s="475">
        <f>'3c. Impact - proposed (eff)'!A1</f>
        <v>0</v>
      </c>
      <c r="D23" s="771" t="s">
        <v>904</v>
      </c>
      <c r="E23" s="768"/>
      <c r="G23" s="351">
        <f t="shared" si="0"/>
        <v>0</v>
      </c>
      <c r="H23" s="351">
        <f t="shared" si="1"/>
        <v>0</v>
      </c>
      <c r="I23" s="353"/>
      <c r="J23" s="352"/>
      <c r="K23" s="763"/>
      <c r="L23" s="764"/>
      <c r="M23" s="765"/>
      <c r="N23" s="128"/>
      <c r="O23" s="270"/>
      <c r="P23" s="270"/>
      <c r="Q23" s="128"/>
    </row>
    <row r="24" spans="1:17" ht="15" x14ac:dyDescent="0.2">
      <c r="A24" s="128"/>
      <c r="B24" s="475">
        <f>IF('4a. Scripts - affected'!E39&lt;&gt;0,2,0)</f>
        <v>0</v>
      </c>
      <c r="C24" s="475">
        <f>'4a. Scripts - affected'!A1</f>
        <v>0</v>
      </c>
      <c r="D24" s="770" t="s">
        <v>905</v>
      </c>
      <c r="E24" s="768"/>
      <c r="G24" s="351">
        <f t="shared" si="0"/>
        <v>0</v>
      </c>
      <c r="H24" s="351">
        <f t="shared" si="1"/>
        <v>0</v>
      </c>
      <c r="I24" s="353"/>
      <c r="J24" s="352"/>
      <c r="K24" s="763"/>
      <c r="L24" s="764"/>
      <c r="M24" s="765"/>
      <c r="N24" s="128"/>
      <c r="O24" s="270"/>
      <c r="P24" s="270"/>
      <c r="Q24" s="128"/>
    </row>
    <row r="25" spans="1:17" ht="15" x14ac:dyDescent="0.2">
      <c r="A25" s="128"/>
      <c r="B25" s="475">
        <f>IF(SUM('4b. Impact - affected (pub)'!D17:I17)&lt;&gt;0,2,0)</f>
        <v>0</v>
      </c>
      <c r="C25" s="475">
        <f>'4b. Impact - affected (pub)'!A1</f>
        <v>0</v>
      </c>
      <c r="D25" s="771" t="s">
        <v>906</v>
      </c>
      <c r="E25" s="768"/>
      <c r="G25" s="351">
        <f t="shared" si="0"/>
        <v>0</v>
      </c>
      <c r="H25" s="351">
        <f t="shared" si="1"/>
        <v>0</v>
      </c>
      <c r="I25" s="353"/>
      <c r="J25" s="352"/>
      <c r="K25" s="763"/>
      <c r="L25" s="764"/>
      <c r="M25" s="765"/>
      <c r="N25" s="128"/>
      <c r="O25" s="270"/>
      <c r="P25" s="270"/>
      <c r="Q25" s="128"/>
    </row>
    <row r="26" spans="1:17" ht="15" x14ac:dyDescent="0.2">
      <c r="A26" s="128"/>
      <c r="B26" s="475">
        <f>IF(SPAChangeFlag=1,2,0)</f>
        <v>0</v>
      </c>
      <c r="C26" s="475">
        <f>'4c. Impact - affected (eff)'!A1</f>
        <v>0</v>
      </c>
      <c r="D26" s="771" t="s">
        <v>907</v>
      </c>
      <c r="E26" s="768"/>
      <c r="G26" s="351">
        <f t="shared" si="0"/>
        <v>0</v>
      </c>
      <c r="H26" s="351">
        <f t="shared" si="1"/>
        <v>0</v>
      </c>
      <c r="I26" s="353"/>
      <c r="J26" s="352"/>
      <c r="K26" s="763"/>
      <c r="L26" s="764"/>
      <c r="M26" s="765"/>
      <c r="N26" s="128"/>
      <c r="O26" s="128"/>
      <c r="P26" s="128"/>
      <c r="Q26" s="128"/>
    </row>
    <row r="27" spans="1:17" ht="15" x14ac:dyDescent="0.2">
      <c r="A27" s="128"/>
      <c r="B27" s="475">
        <v>2</v>
      </c>
      <c r="C27" s="475">
        <v>2</v>
      </c>
      <c r="D27" s="771" t="s">
        <v>908</v>
      </c>
      <c r="E27" s="768"/>
      <c r="G27" s="351">
        <f t="shared" si="0"/>
        <v>2</v>
      </c>
      <c r="H27" s="351">
        <f t="shared" si="1"/>
        <v>2</v>
      </c>
      <c r="I27" s="353"/>
      <c r="J27" s="352"/>
      <c r="K27" s="763"/>
      <c r="L27" s="764"/>
      <c r="M27" s="765"/>
      <c r="N27" s="128"/>
      <c r="O27" s="128"/>
      <c r="P27" s="128"/>
      <c r="Q27" s="128"/>
    </row>
    <row r="28" spans="1:17" ht="15" x14ac:dyDescent="0.2">
      <c r="A28" s="128"/>
      <c r="B28" s="475">
        <v>1</v>
      </c>
      <c r="C28" s="475">
        <f>'6. Net changes - SA'!A1</f>
        <v>0</v>
      </c>
      <c r="D28" s="771" t="s">
        <v>909</v>
      </c>
      <c r="E28" s="768"/>
      <c r="G28" s="351">
        <f t="shared" si="0"/>
        <v>1</v>
      </c>
      <c r="H28" s="351">
        <f t="shared" si="1"/>
        <v>0</v>
      </c>
      <c r="I28" s="353"/>
      <c r="J28" s="352"/>
      <c r="K28" s="763"/>
      <c r="L28" s="764"/>
      <c r="M28" s="765"/>
      <c r="N28" s="128"/>
      <c r="O28" s="128"/>
      <c r="P28" s="128"/>
      <c r="Q28" s="128"/>
    </row>
    <row r="29" spans="1:17" ht="15" x14ac:dyDescent="0.2">
      <c r="A29" s="128"/>
      <c r="B29" s="475">
        <v>1</v>
      </c>
      <c r="C29" s="475">
        <f>'7. Net changes - MBS'!A1</f>
        <v>0</v>
      </c>
      <c r="D29" s="771" t="s">
        <v>910</v>
      </c>
      <c r="E29" s="768"/>
      <c r="G29" s="351">
        <f t="shared" si="0"/>
        <v>1</v>
      </c>
      <c r="H29" s="351">
        <f t="shared" si="1"/>
        <v>0</v>
      </c>
      <c r="I29" s="353"/>
      <c r="J29" s="352"/>
      <c r="K29" s="763"/>
      <c r="L29" s="764"/>
      <c r="M29" s="765"/>
      <c r="N29" s="128"/>
      <c r="O29" s="128"/>
      <c r="P29" s="128"/>
      <c r="Q29" s="128"/>
    </row>
    <row r="30" spans="1:17" ht="15" x14ac:dyDescent="0.2">
      <c r="A30" s="128"/>
      <c r="B30" s="475">
        <v>1</v>
      </c>
      <c r="C30" s="475">
        <f>'8. ABS population'!A1</f>
        <v>0</v>
      </c>
      <c r="D30" s="769" t="s">
        <v>911</v>
      </c>
      <c r="E30" s="768"/>
      <c r="G30" s="351">
        <f t="shared" si="0"/>
        <v>1</v>
      </c>
      <c r="H30" s="351">
        <f t="shared" si="1"/>
        <v>0</v>
      </c>
      <c r="I30" s="353"/>
      <c r="J30" s="352"/>
      <c r="K30" s="763"/>
      <c r="L30" s="764"/>
      <c r="M30" s="765"/>
      <c r="N30" s="128"/>
      <c r="O30" s="251" t="s">
        <v>4</v>
      </c>
      <c r="Q30" s="128"/>
    </row>
    <row r="31" spans="1:17" ht="15" x14ac:dyDescent="0.2">
      <c r="A31" s="128"/>
      <c r="B31" s="475">
        <v>1</v>
      </c>
      <c r="C31" s="475">
        <f>'9. AIHW population'!A1</f>
        <v>0</v>
      </c>
      <c r="D31" s="769" t="s">
        <v>912</v>
      </c>
      <c r="E31" s="768"/>
      <c r="G31" s="351">
        <f t="shared" si="0"/>
        <v>1</v>
      </c>
      <c r="H31" s="351">
        <f t="shared" si="1"/>
        <v>0</v>
      </c>
      <c r="I31" s="353"/>
      <c r="J31" s="352"/>
      <c r="K31" s="763"/>
      <c r="L31" s="764"/>
      <c r="M31" s="765"/>
      <c r="N31" s="128"/>
      <c r="O31" s="384"/>
      <c r="P31" s="390" t="s">
        <v>633</v>
      </c>
      <c r="Q31" s="128"/>
    </row>
    <row r="32" spans="1:17" ht="15" x14ac:dyDescent="0.2">
      <c r="A32" s="128"/>
      <c r="B32" s="475">
        <v>1</v>
      </c>
      <c r="C32" s="475">
        <f>'10. Registry population'!A1</f>
        <v>0</v>
      </c>
      <c r="D32" s="769" t="s">
        <v>913</v>
      </c>
      <c r="E32" s="768"/>
      <c r="G32" s="351">
        <f t="shared" si="0"/>
        <v>1</v>
      </c>
      <c r="H32" s="351">
        <f t="shared" si="1"/>
        <v>0</v>
      </c>
      <c r="I32" s="353"/>
      <c r="J32" s="352"/>
      <c r="K32" s="763"/>
      <c r="L32" s="764"/>
      <c r="M32" s="765"/>
      <c r="N32" s="128"/>
      <c r="O32" s="252"/>
      <c r="P32" s="390" t="s">
        <v>817</v>
      </c>
      <c r="Q32" s="128"/>
    </row>
    <row r="33" spans="1:17" ht="15" x14ac:dyDescent="0.2">
      <c r="A33" s="270"/>
      <c r="B33" s="475">
        <v>1</v>
      </c>
      <c r="C33" s="475">
        <f>'11. Persistent population'!A1</f>
        <v>0</v>
      </c>
      <c r="D33" s="769" t="s">
        <v>1034</v>
      </c>
      <c r="E33" s="768"/>
      <c r="G33" s="351">
        <f t="shared" si="0"/>
        <v>1</v>
      </c>
      <c r="H33" s="351">
        <f t="shared" si="1"/>
        <v>0</v>
      </c>
      <c r="I33" s="353"/>
      <c r="J33" s="352"/>
      <c r="K33" s="304"/>
      <c r="L33" s="305"/>
      <c r="M33" s="306"/>
      <c r="N33" s="270"/>
      <c r="O33" s="42"/>
      <c r="P33" s="390" t="s">
        <v>11</v>
      </c>
      <c r="Q33" s="270"/>
    </row>
    <row r="34" spans="1:17" ht="15" x14ac:dyDescent="0.2">
      <c r="A34" s="128"/>
      <c r="B34" s="475">
        <v>1</v>
      </c>
      <c r="C34" s="475">
        <f>'12. Copies of data -&gt;'!A1</f>
        <v>0</v>
      </c>
      <c r="D34" s="773" t="s">
        <v>481</v>
      </c>
      <c r="E34" s="768"/>
      <c r="G34" s="351">
        <f t="shared" si="0"/>
        <v>1</v>
      </c>
      <c r="H34" s="351">
        <f t="shared" si="1"/>
        <v>0</v>
      </c>
      <c r="I34" s="353"/>
      <c r="J34" s="352"/>
      <c r="K34" s="763"/>
      <c r="L34" s="764"/>
      <c r="M34" s="765"/>
      <c r="N34" s="128"/>
      <c r="O34" s="253"/>
      <c r="P34" s="390" t="s">
        <v>221</v>
      </c>
      <c r="Q34" s="128"/>
    </row>
    <row r="35" spans="1:17" x14ac:dyDescent="0.2">
      <c r="A35" s="128"/>
      <c r="B35" s="435"/>
      <c r="C35" s="435"/>
      <c r="D35" s="128"/>
      <c r="E35" s="128"/>
      <c r="F35" s="270"/>
      <c r="G35" s="128"/>
      <c r="H35" s="128"/>
      <c r="I35" s="128"/>
      <c r="J35" s="128"/>
      <c r="K35" s="128"/>
      <c r="L35" s="128"/>
      <c r="M35" s="128"/>
      <c r="N35" s="128"/>
      <c r="O35" s="128"/>
      <c r="P35" s="128"/>
      <c r="Q35" s="128"/>
    </row>
    <row r="36" spans="1:17" x14ac:dyDescent="0.2">
      <c r="A36" s="128"/>
      <c r="B36" s="435"/>
      <c r="C36" s="435"/>
      <c r="D36" s="128"/>
      <c r="E36" s="128"/>
      <c r="F36" s="270"/>
      <c r="G36" s="128"/>
      <c r="H36" s="128"/>
      <c r="I36" s="128"/>
      <c r="J36" s="128"/>
      <c r="K36" s="128"/>
      <c r="L36" s="128"/>
      <c r="M36" s="128"/>
      <c r="N36" s="128"/>
      <c r="O36" s="128"/>
      <c r="P36" s="128"/>
      <c r="Q36" s="128"/>
    </row>
    <row r="37" spans="1:17" ht="15.75" x14ac:dyDescent="0.2">
      <c r="A37" s="128"/>
      <c r="B37" s="435"/>
      <c r="C37" s="435"/>
      <c r="D37" s="96" t="s">
        <v>203</v>
      </c>
      <c r="E37" s="104"/>
      <c r="F37" s="104"/>
      <c r="G37" s="104"/>
      <c r="H37" s="104"/>
      <c r="I37" s="104"/>
      <c r="J37" s="104"/>
      <c r="K37" s="104"/>
      <c r="L37" s="104"/>
      <c r="M37" s="104"/>
      <c r="N37" s="104"/>
      <c r="O37" s="104"/>
      <c r="P37" s="104"/>
      <c r="Q37" s="128"/>
    </row>
    <row r="38" spans="1:17" x14ac:dyDescent="0.2">
      <c r="A38" s="128"/>
      <c r="B38" s="435"/>
      <c r="C38" s="435"/>
      <c r="D38" s="128"/>
      <c r="E38" s="128"/>
      <c r="F38" s="270"/>
      <c r="G38" s="128"/>
      <c r="H38" s="128"/>
      <c r="I38" s="128"/>
      <c r="J38" s="128"/>
      <c r="K38" s="128"/>
      <c r="L38" s="128"/>
      <c r="M38" s="128"/>
      <c r="N38" s="128"/>
      <c r="O38" s="128"/>
      <c r="P38" s="128"/>
      <c r="Q38" s="128"/>
    </row>
    <row r="39" spans="1:17" x14ac:dyDescent="0.2">
      <c r="A39" s="128"/>
      <c r="B39" s="435"/>
      <c r="C39" s="291">
        <f>IFERROR(VLOOKUP(E39,PxPopSourceCode,2,FALSE),0)</f>
        <v>0</v>
      </c>
      <c r="D39" s="249" t="s">
        <v>204</v>
      </c>
      <c r="E39" s="263"/>
      <c r="F39" s="270"/>
      <c r="G39" s="128"/>
      <c r="H39" s="128"/>
      <c r="I39" s="128"/>
      <c r="J39" s="128"/>
      <c r="K39" s="128"/>
      <c r="L39" s="128"/>
      <c r="M39" s="128"/>
      <c r="N39" s="128"/>
      <c r="O39" s="128"/>
      <c r="P39" s="128"/>
      <c r="Q39" s="128"/>
    </row>
    <row r="40" spans="1:17" x14ac:dyDescent="0.2">
      <c r="A40" s="128"/>
      <c r="B40" s="435"/>
      <c r="C40" s="128"/>
      <c r="D40" s="128"/>
      <c r="E40" s="128"/>
      <c r="F40" s="270"/>
      <c r="G40" s="128"/>
      <c r="H40" s="128"/>
      <c r="I40" s="128"/>
      <c r="J40" s="128"/>
      <c r="K40" s="128"/>
      <c r="L40" s="128"/>
      <c r="M40" s="128"/>
      <c r="N40" s="128"/>
      <c r="O40" s="128"/>
      <c r="P40" s="128"/>
      <c r="Q40" s="128"/>
    </row>
    <row r="41" spans="1:17" x14ac:dyDescent="0.2">
      <c r="A41" s="128"/>
      <c r="B41" s="435"/>
      <c r="C41" s="128"/>
      <c r="D41" s="395"/>
      <c r="E41" s="258" t="str">
        <f>IF(AND(ScriptSourceCode&lt;&gt;1,ScriptSourceCode&lt;&gt;3),MsgNotRequired,"")</f>
        <v>** NOT REQUIRED **</v>
      </c>
      <c r="F41" s="270"/>
      <c r="O41" s="128"/>
      <c r="P41" s="128"/>
      <c r="Q41" s="128"/>
    </row>
    <row r="42" spans="1:17" x14ac:dyDescent="0.2">
      <c r="A42" s="128"/>
      <c r="B42" s="435"/>
      <c r="C42" s="291">
        <f>IF(E42="Yes",IF(AND(ScriptSourceCode&lt;&gt;1,ScriptSourceCode&lt;&gt;3),0,1),0)</f>
        <v>0</v>
      </c>
      <c r="D42" s="249" t="s">
        <v>200</v>
      </c>
      <c r="E42" s="263"/>
      <c r="G42" s="772" t="str">
        <f>IF(AND(PxIncident=1,PxPrevalent=1),MsgNote &amp; VLOOKUP("IncPrev",WarningMessages,2,FALSE),"")</f>
        <v/>
      </c>
      <c r="H42" s="772"/>
      <c r="I42" s="772"/>
      <c r="J42" s="772"/>
      <c r="K42" s="772"/>
      <c r="L42" s="772"/>
      <c r="M42" s="772"/>
      <c r="N42" s="772"/>
      <c r="O42" s="128"/>
      <c r="P42" s="128"/>
      <c r="Q42" s="128"/>
    </row>
    <row r="43" spans="1:17" x14ac:dyDescent="0.2">
      <c r="A43" s="128"/>
      <c r="B43" s="435"/>
      <c r="C43" s="291">
        <f>IF(E43="Yes",IF(AND(ScriptSourceCode&lt;&gt;1,ScriptSourceCode&lt;&gt;3),0,1),0)</f>
        <v>0</v>
      </c>
      <c r="D43" s="249" t="s">
        <v>201</v>
      </c>
      <c r="E43" s="263"/>
      <c r="N43" s="128"/>
      <c r="O43" s="128"/>
      <c r="P43" s="128"/>
      <c r="Q43" s="128"/>
    </row>
    <row r="44" spans="1:17" x14ac:dyDescent="0.2">
      <c r="A44" s="128"/>
      <c r="B44" s="435"/>
      <c r="C44" s="291">
        <f>IF(E44="Yes",IF(AND(ScriptSourceCode&lt;&gt;1,ScriptSourceCode&lt;&gt;3),0,1),0)</f>
        <v>0</v>
      </c>
      <c r="D44" s="249" t="s">
        <v>924</v>
      </c>
      <c r="E44" s="263"/>
      <c r="G44" s="772" t="str">
        <f>IF(AND(PxPrevalent=1,PxGrandfathered=1),MsgNote &amp; VLOOKUP("PrevGF",WarningMessages,2,FALSE),"")</f>
        <v/>
      </c>
      <c r="H44" s="772"/>
      <c r="I44" s="772"/>
      <c r="J44" s="772"/>
      <c r="K44" s="772"/>
      <c r="L44" s="772"/>
      <c r="M44" s="772"/>
      <c r="N44" s="772"/>
      <c r="O44" s="128"/>
      <c r="P44" s="128"/>
      <c r="Q44" s="128"/>
    </row>
    <row r="45" spans="1:17" x14ac:dyDescent="0.2">
      <c r="A45" s="128"/>
      <c r="B45" s="435"/>
      <c r="C45" s="128"/>
      <c r="D45" s="128"/>
      <c r="E45" s="128"/>
      <c r="F45" s="270"/>
      <c r="N45" s="128"/>
      <c r="O45" s="128"/>
      <c r="P45" s="128"/>
      <c r="Q45" s="128"/>
    </row>
    <row r="46" spans="1:17" x14ac:dyDescent="0.2">
      <c r="A46" s="128"/>
      <c r="B46" s="435"/>
      <c r="C46" s="128"/>
      <c r="D46" s="249" t="s">
        <v>925</v>
      </c>
      <c r="E46" s="68" t="str">
        <f>IF(OR(ScriptSourceCode=2,ScriptSourceCode=3),"Normal","Copayment only")</f>
        <v>Copayment only</v>
      </c>
      <c r="F46" s="270"/>
      <c r="G46" s="128"/>
      <c r="H46" s="128"/>
      <c r="I46" s="128"/>
      <c r="J46" s="128"/>
      <c r="K46" s="128"/>
      <c r="L46" s="128"/>
      <c r="M46" s="128"/>
      <c r="N46" s="128"/>
      <c r="O46" s="128"/>
      <c r="P46" s="128"/>
      <c r="Q46" s="128"/>
    </row>
    <row r="47" spans="1:17" x14ac:dyDescent="0.2">
      <c r="A47" s="128"/>
      <c r="B47" s="435"/>
      <c r="C47" s="128"/>
      <c r="D47" s="128"/>
      <c r="E47" s="128"/>
      <c r="N47" s="128"/>
      <c r="O47" s="128"/>
      <c r="P47" s="128"/>
      <c r="Q47" s="128"/>
    </row>
    <row r="48" spans="1:17" s="416" customFormat="1" x14ac:dyDescent="0.2">
      <c r="A48" s="435"/>
      <c r="B48" s="435"/>
      <c r="C48" s="291" t="str">
        <f>IFERROR(VLOOKUP(E48,ScriptSplitCode,2,FALSE),"")</f>
        <v/>
      </c>
      <c r="D48" s="559" t="s">
        <v>1044</v>
      </c>
      <c r="E48" s="263"/>
      <c r="N48" s="435"/>
      <c r="O48" s="435"/>
      <c r="P48" s="435"/>
      <c r="Q48" s="435"/>
    </row>
    <row r="49" spans="1:17" s="416" customFormat="1" x14ac:dyDescent="0.2">
      <c r="A49" s="435"/>
      <c r="B49" s="435"/>
      <c r="C49" s="435"/>
      <c r="D49" s="435"/>
      <c r="E49" s="435"/>
      <c r="N49" s="435"/>
      <c r="O49" s="435"/>
      <c r="P49" s="435"/>
      <c r="Q49" s="435"/>
    </row>
    <row r="50" spans="1:17" ht="14.25" customHeight="1" x14ac:dyDescent="0.2">
      <c r="A50" s="128"/>
      <c r="B50" s="435"/>
      <c r="C50" s="291" t="str">
        <f>IFERROR(VLOOKUP(E50,MarketImpactCode,2,FALSE),"")</f>
        <v/>
      </c>
      <c r="D50" s="249" t="s">
        <v>836</v>
      </c>
      <c r="E50" s="263"/>
      <c r="G50" s="772" t="str">
        <f>IF(MarketImpact&lt;&gt;"",MsgNote &amp; VLOOKUP(MarketImpact,NewAdjunct,2,FALSE),"")</f>
        <v/>
      </c>
      <c r="H50" s="772"/>
      <c r="I50" s="772"/>
      <c r="J50" s="772"/>
      <c r="K50" s="772"/>
      <c r="L50" s="772"/>
      <c r="M50" s="772"/>
      <c r="N50" s="772"/>
      <c r="O50" s="128"/>
      <c r="P50" s="128"/>
      <c r="Q50" s="128"/>
    </row>
    <row r="51" spans="1:17" x14ac:dyDescent="0.2">
      <c r="A51" s="128"/>
      <c r="B51" s="435"/>
      <c r="C51" s="128"/>
      <c r="D51" s="128"/>
      <c r="E51" s="128"/>
      <c r="F51" s="270"/>
      <c r="G51" s="128"/>
      <c r="H51" s="128"/>
      <c r="I51" s="128"/>
      <c r="J51" s="128"/>
      <c r="K51" s="128"/>
      <c r="L51" s="128"/>
      <c r="M51" s="128"/>
      <c r="N51" s="128"/>
      <c r="O51" s="128"/>
      <c r="P51" s="128"/>
      <c r="Q51" s="128"/>
    </row>
    <row r="52" spans="1:17" x14ac:dyDescent="0.2">
      <c r="A52" s="128"/>
      <c r="B52" s="435"/>
      <c r="C52" s="291">
        <f>IF(E52="Yes",1,0)</f>
        <v>0</v>
      </c>
      <c r="D52" s="249" t="s">
        <v>835</v>
      </c>
      <c r="E52" s="264"/>
      <c r="F52" s="270"/>
      <c r="G52" s="128"/>
      <c r="H52" s="128"/>
      <c r="I52" s="128"/>
      <c r="J52" s="128"/>
      <c r="K52" s="128"/>
      <c r="L52" s="128"/>
      <c r="M52" s="128"/>
      <c r="N52" s="128"/>
      <c r="O52" s="128"/>
      <c r="P52" s="128"/>
      <c r="Q52" s="128"/>
    </row>
    <row r="53" spans="1:17" x14ac:dyDescent="0.2">
      <c r="A53" s="128"/>
      <c r="B53" s="435"/>
      <c r="C53" s="435"/>
      <c r="D53" s="128"/>
      <c r="E53" s="128"/>
      <c r="F53" s="270"/>
      <c r="G53" s="128"/>
      <c r="H53" s="128"/>
      <c r="I53" s="128"/>
      <c r="J53" s="128"/>
      <c r="K53" s="128"/>
      <c r="L53" s="128"/>
      <c r="M53" s="128"/>
      <c r="N53" s="128"/>
      <c r="O53" s="128"/>
      <c r="P53" s="128"/>
      <c r="Q53" s="128"/>
    </row>
    <row r="54" spans="1:17" x14ac:dyDescent="0.2">
      <c r="A54" s="128"/>
      <c r="B54" s="435"/>
      <c r="C54" s="435"/>
      <c r="D54" s="128"/>
      <c r="E54" s="128"/>
      <c r="F54" s="270"/>
      <c r="G54" s="128"/>
      <c r="H54" s="128"/>
      <c r="I54" s="128"/>
      <c r="J54" s="128"/>
      <c r="K54" s="128"/>
      <c r="L54" s="128"/>
      <c r="M54" s="128"/>
      <c r="N54" s="128"/>
      <c r="O54" s="128"/>
      <c r="P54" s="128"/>
      <c r="Q54" s="128"/>
    </row>
    <row r="55" spans="1:17" ht="15.75" x14ac:dyDescent="0.2">
      <c r="A55" s="128"/>
      <c r="B55" s="435"/>
      <c r="C55" s="435"/>
      <c r="D55" s="96" t="s">
        <v>3</v>
      </c>
      <c r="E55" s="104"/>
      <c r="F55" s="104"/>
      <c r="G55" s="104"/>
      <c r="H55" s="104"/>
      <c r="I55" s="104"/>
      <c r="J55" s="104"/>
      <c r="K55" s="104"/>
      <c r="L55" s="104"/>
      <c r="M55" s="104"/>
      <c r="N55" s="104"/>
      <c r="O55" s="104"/>
      <c r="P55" s="104"/>
      <c r="Q55" s="128"/>
    </row>
    <row r="56" spans="1:17" ht="15" customHeight="1" x14ac:dyDescent="0.2">
      <c r="A56" s="128"/>
      <c r="B56" s="435"/>
      <c r="C56" s="435"/>
      <c r="D56" s="128"/>
      <c r="E56" s="128"/>
      <c r="F56" s="270"/>
      <c r="G56" s="128"/>
      <c r="H56" s="128"/>
      <c r="I56" s="128"/>
      <c r="J56" s="128"/>
      <c r="K56" s="128"/>
      <c r="L56" s="128"/>
      <c r="M56" s="128"/>
      <c r="N56" s="128"/>
      <c r="O56" s="128"/>
      <c r="P56" s="128"/>
      <c r="Q56" s="128"/>
    </row>
    <row r="57" spans="1:17" x14ac:dyDescent="0.2">
      <c r="A57" s="128"/>
      <c r="B57" s="435"/>
      <c r="C57" s="435"/>
      <c r="D57" s="128" t="s">
        <v>926</v>
      </c>
      <c r="E57" s="128"/>
      <c r="F57" s="270"/>
      <c r="G57" s="128"/>
      <c r="H57" s="128"/>
      <c r="I57" s="128"/>
      <c r="J57" s="128"/>
      <c r="K57" s="128"/>
      <c r="L57" s="128"/>
      <c r="M57" s="128"/>
      <c r="N57" s="128"/>
      <c r="O57" s="128"/>
      <c r="P57" s="128"/>
      <c r="Q57" s="128"/>
    </row>
    <row r="58" spans="1:17" ht="12.75" customHeight="1" x14ac:dyDescent="0.2">
      <c r="A58" s="128"/>
      <c r="B58" s="435"/>
      <c r="C58" s="435"/>
      <c r="D58" s="128" t="s">
        <v>30</v>
      </c>
      <c r="E58" s="128"/>
      <c r="F58" s="270"/>
      <c r="G58" s="128"/>
      <c r="H58" s="128"/>
      <c r="I58" s="128"/>
      <c r="J58" s="128"/>
      <c r="K58" s="128"/>
      <c r="L58" s="128"/>
      <c r="M58" s="128"/>
      <c r="N58" s="128"/>
      <c r="O58" s="128"/>
      <c r="P58" s="128"/>
      <c r="Q58" s="128"/>
    </row>
    <row r="59" spans="1:17" ht="12.75" customHeight="1" x14ac:dyDescent="0.2">
      <c r="A59" s="128"/>
      <c r="B59" s="435"/>
      <c r="C59" s="435"/>
      <c r="D59" s="128" t="s">
        <v>29</v>
      </c>
      <c r="E59" s="128"/>
      <c r="F59" s="270"/>
      <c r="G59" s="128"/>
      <c r="H59" s="128"/>
      <c r="I59" s="128"/>
      <c r="J59" s="128"/>
      <c r="K59" s="128"/>
      <c r="L59" s="128"/>
      <c r="M59" s="128"/>
      <c r="N59" s="128"/>
      <c r="O59" s="128"/>
      <c r="P59" s="128"/>
      <c r="Q59" s="128"/>
    </row>
    <row r="60" spans="1:17" x14ac:dyDescent="0.2">
      <c r="A60" s="128"/>
      <c r="B60" s="435"/>
      <c r="C60" s="435"/>
      <c r="D60" s="128" t="s">
        <v>637</v>
      </c>
      <c r="E60" s="128"/>
      <c r="F60" s="270"/>
      <c r="G60" s="128"/>
      <c r="H60" s="128"/>
      <c r="I60" s="128"/>
      <c r="J60" s="128"/>
      <c r="K60" s="128"/>
      <c r="L60" s="128"/>
      <c r="M60" s="128"/>
      <c r="N60" s="128"/>
      <c r="O60" s="128"/>
      <c r="P60" s="128"/>
      <c r="Q60" s="128"/>
    </row>
    <row r="61" spans="1:17" x14ac:dyDescent="0.2">
      <c r="A61" s="128"/>
      <c r="B61" s="435"/>
      <c r="C61" s="435"/>
      <c r="D61" s="128" t="s">
        <v>202</v>
      </c>
      <c r="E61" s="128"/>
      <c r="F61" s="270"/>
      <c r="G61" s="128"/>
      <c r="H61" s="128"/>
      <c r="I61" s="128"/>
      <c r="J61" s="128"/>
      <c r="K61" s="128"/>
      <c r="L61" s="128"/>
      <c r="M61" s="128"/>
      <c r="N61" s="128"/>
      <c r="O61" s="128"/>
      <c r="P61" s="128"/>
      <c r="Q61" s="128"/>
    </row>
    <row r="63" spans="1:17" s="420" customFormat="1" ht="12.75" customHeight="1" x14ac:dyDescent="0.2">
      <c r="D63" s="503"/>
      <c r="E63" s="104"/>
      <c r="F63" s="104"/>
      <c r="G63" s="104"/>
      <c r="H63" s="104"/>
      <c r="I63" s="104"/>
      <c r="J63" s="104"/>
      <c r="K63" s="104"/>
      <c r="L63" s="104"/>
      <c r="M63" s="104"/>
      <c r="N63" s="104"/>
      <c r="O63" s="104"/>
      <c r="P63" s="104"/>
    </row>
  </sheetData>
  <mergeCells count="44">
    <mergeCell ref="G50:N50"/>
    <mergeCell ref="G42:N42"/>
    <mergeCell ref="G44:N44"/>
    <mergeCell ref="K34:M34"/>
    <mergeCell ref="D30:E30"/>
    <mergeCell ref="D31:E31"/>
    <mergeCell ref="D32:E32"/>
    <mergeCell ref="D33:E33"/>
    <mergeCell ref="D34:E34"/>
    <mergeCell ref="D25:E25"/>
    <mergeCell ref="D26:E26"/>
    <mergeCell ref="D27:E27"/>
    <mergeCell ref="D28:E28"/>
    <mergeCell ref="D29:E29"/>
    <mergeCell ref="D20:E20"/>
    <mergeCell ref="D21:E21"/>
    <mergeCell ref="D22:E22"/>
    <mergeCell ref="D23:E23"/>
    <mergeCell ref="D24:E24"/>
    <mergeCell ref="D15:E15"/>
    <mergeCell ref="D19:E19"/>
    <mergeCell ref="D16:E16"/>
    <mergeCell ref="D17:E17"/>
    <mergeCell ref="D18:E18"/>
    <mergeCell ref="K13:M13"/>
    <mergeCell ref="O13:P13"/>
    <mergeCell ref="K15:M15"/>
    <mergeCell ref="K16:M16"/>
    <mergeCell ref="K17:M17"/>
    <mergeCell ref="K24:M24"/>
    <mergeCell ref="K25:M25"/>
    <mergeCell ref="K26:M26"/>
    <mergeCell ref="K27:M27"/>
    <mergeCell ref="K18:M18"/>
    <mergeCell ref="K19:M19"/>
    <mergeCell ref="K20:M20"/>
    <mergeCell ref="K21:M21"/>
    <mergeCell ref="K22:M22"/>
    <mergeCell ref="K23:M23"/>
    <mergeCell ref="K28:M28"/>
    <mergeCell ref="K29:M29"/>
    <mergeCell ref="K30:M30"/>
    <mergeCell ref="K31:M31"/>
    <mergeCell ref="K32:M32"/>
  </mergeCells>
  <conditionalFormatting sqref="E42:E44">
    <cfRule type="expression" dxfId="611" priority="548">
      <formula>$E$41&lt;&gt;""</formula>
    </cfRule>
  </conditionalFormatting>
  <conditionalFormatting sqref="G42:N42">
    <cfRule type="notContainsBlanks" dxfId="610" priority="3">
      <formula>LEN(TRIM(G42))&gt;0</formula>
    </cfRule>
  </conditionalFormatting>
  <conditionalFormatting sqref="G44:N44">
    <cfRule type="notContainsBlanks" dxfId="609" priority="2">
      <formula>LEN(TRIM(G44))&gt;0</formula>
    </cfRule>
  </conditionalFormatting>
  <conditionalFormatting sqref="G50:N50">
    <cfRule type="notContainsBlanks" dxfId="608" priority="1">
      <formula>LEN(TRIM(G50))&gt;0</formula>
    </cfRule>
  </conditionalFormatting>
  <conditionalFormatting sqref="G15:H34">
    <cfRule type="iconSet" priority="812">
      <iconSet iconSet="3Symbols" showValue="0">
        <cfvo type="percent" val="0"/>
        <cfvo type="percent" val="33"/>
        <cfvo type="percent" val="67"/>
      </iconSet>
    </cfRule>
  </conditionalFormatting>
  <dataValidations count="4">
    <dataValidation type="list" allowBlank="1" showInputMessage="1" showErrorMessage="1" sqref="E52 E42:E44">
      <formula1>Switch</formula1>
    </dataValidation>
    <dataValidation type="list" allowBlank="1" showInputMessage="1" showErrorMessage="1" sqref="E39">
      <formula1>PxPopSource</formula1>
    </dataValidation>
    <dataValidation type="list" allowBlank="1" showInputMessage="1" showErrorMessage="1" sqref="E50">
      <formula1>MarketImpactType</formula1>
    </dataValidation>
    <dataValidation type="list" allowBlank="1" showInputMessage="1" showErrorMessage="1" sqref="E48">
      <formula1>ScriptSplitType</formula1>
    </dataValidation>
  </dataValidations>
  <hyperlinks>
    <hyperlink ref="D16" location="'2a. Patients - incident'!A1" display="2a. Patients - incident"/>
    <hyperlink ref="D22" location="'3b. Impact - new (PUB)'!A1" display="3b. Impact on new medicine (PUBLISHED PRICE)"/>
    <hyperlink ref="D25" location="'4b. Impact - changed (PUB)'!A1" display="4b. Impact on changed medicines (PUBLISHED PRICE)"/>
    <hyperlink ref="D28" location="'6. Net changes - DHS'!A1" display="6. Net changes - Department of Human Services (DHS)"/>
    <hyperlink ref="D29" location="'7. Net changes - MBS'!A1" display="7. Net changes - Medicare Benefits Schedule (MBS)"/>
    <hyperlink ref="D34" location="'12. Copies of data -&gt;'!A1" display="12. Copies of data"/>
    <hyperlink ref="D20" location="'2d. Scripts - market'!A1" display="2d. Scripts for market share-based model"/>
    <hyperlink ref="D23" location="'3c. Impact - new (EFF)'!A1" display="3c. Impact on new medicine (EFFECTIVE PRICE)"/>
    <hyperlink ref="D15" location="'1. Overview'!A1" display="1. Overview"/>
    <hyperlink ref="D26" location="'4c. Impact - changed (EFF)'!A1" display="4c. Impact on changed medicines (EFFECTIVE PRICE)"/>
    <hyperlink ref="D21" location="'3a. Scripts - new'!A1" display="3a. Volume of new medicine"/>
    <hyperlink ref="D24" location="'4a. Scripts - changed'!A1" display="4a. Volumes of changed medicines"/>
    <hyperlink ref="D27" location="'5. Impact - net'!A1" display="5. Net financial impact"/>
    <hyperlink ref="D30" location="'8. ABS population'!A1" display="8. ABS Data"/>
    <hyperlink ref="D31" location="'9. AIHW population'!A1" display="9. AIHW Data"/>
    <hyperlink ref="D32" location="'10. Registry population'!A1" display="10. General Population"/>
    <hyperlink ref="D19" location="'2. Patients'!A1" display="2. Patients - summary"/>
    <hyperlink ref="D17" location="'2b. Patients - prevalent'!A1" display="2b. Patients - prevalent"/>
    <hyperlink ref="D18" location="'2c. Patients - GF'!A1" display="2c. Patients - grand-fathered"/>
    <hyperlink ref="D33" location="'11. Prevalent population'!A1" display="11. Prevalent Population"/>
    <hyperlink ref="D33:E33" location="'11. Persistent population'!A1" display="11. Persistent population"/>
    <hyperlink ref="D15:E15" location="'1. Overview'!A1" display="1. Overview"/>
    <hyperlink ref="D19:E19" location="'2d. Patients - DTG'!A1" display="2d. Patients - duration of treatment groups"/>
    <hyperlink ref="D16:E16" location="'2a. Patients - incident'!A1" display="2a. Patients - incident"/>
    <hyperlink ref="D17:E17" location="'2b. Patients - prevalent'!A1" display="2b. Patients - prevalent"/>
    <hyperlink ref="D18:E18" location="'2c. Patients - GF'!A1" display="2c. Patients - grandfathered"/>
    <hyperlink ref="D20:E20" location="'2e. Scripts - market'!A1" display="2e. Scripts - market"/>
    <hyperlink ref="D21:E21" location="'3a. Scripts - proposed'!A1" display="3a. Scripts - proposed"/>
    <hyperlink ref="D22:E22" location="'3b. Impact - proposed (pub)'!A1" display="3b. Impact - proposed (Published price)"/>
    <hyperlink ref="D23:E23" location="'3c. Impact - proposed (eff)'!A1" display="3c. Impact - proposed (Effective price)"/>
    <hyperlink ref="D24:E24" location="'4a. Scripts - affected'!A1" display="4a. Scripts - affected"/>
    <hyperlink ref="D25:E25" location="'4b. Impact - affected (pub)'!A1" display="4b. Impact - affected (Published price)"/>
    <hyperlink ref="D26:E26" location="'4c. Impact - affected (eff)'!A1" display="4c. Impact - affected (Effective price)"/>
    <hyperlink ref="D27:E27" location="'5. Impact - net'!A1" display="5. Impact - net"/>
    <hyperlink ref="D28:E28" location="'6. Net changes - SA'!A1" display="6. Net changes - SA"/>
    <hyperlink ref="D29:E29" location="'7. Net changes - MBS'!A1" display="7. Net changes - MBS "/>
    <hyperlink ref="D30:E30" location="'8. ABS population'!A1" display="8. ABS population"/>
    <hyperlink ref="D31:E31" location="'9. AIHW population'!A1" display="9. AIHW population"/>
    <hyperlink ref="D32:E32" location="'10. Registry population'!A1" display="10. Registry population"/>
    <hyperlink ref="D34:E34" location="'12. Copies of data -&gt;'!A1" display="12. Copies of data"/>
  </hyperlink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4"/>
    <pageSetUpPr fitToPage="1"/>
  </sheetPr>
  <dimension ref="A1:T299"/>
  <sheetViews>
    <sheetView showGridLines="0" zoomScaleNormal="100" workbookViewId="0">
      <pane ySplit="3" topLeftCell="A4" activePane="bottomLeft" state="frozen"/>
      <selection activeCell="B7" sqref="B7:G7"/>
      <selection pane="bottomLeft"/>
    </sheetView>
  </sheetViews>
  <sheetFormatPr defaultRowHeight="12.75" customHeight="1" outlineLevelRow="1" x14ac:dyDescent="0.2"/>
  <cols>
    <col min="1" max="1" width="3.7109375" customWidth="1"/>
    <col min="2" max="2" width="3.7109375" hidden="1" customWidth="1"/>
    <col min="3" max="3" width="20.7109375" customWidth="1"/>
    <col min="4" max="13" width="15.7109375" customWidth="1"/>
    <col min="14" max="14" width="15.7109375" style="416" customWidth="1"/>
    <col min="15" max="15" width="3.7109375" hidden="1" customWidth="1"/>
    <col min="16" max="16" width="3.7109375" style="416" hidden="1" customWidth="1"/>
    <col min="17" max="20" width="10.7109375" hidden="1" customWidth="1"/>
  </cols>
  <sheetData>
    <row r="1" spans="1:14" ht="23.25" x14ac:dyDescent="0.2">
      <c r="A1" s="346">
        <f>IF((SUM(D24:I24)&lt;&gt;0),2,0)</f>
        <v>0</v>
      </c>
      <c r="B1" s="342"/>
      <c r="C1" s="343" t="s">
        <v>937</v>
      </c>
      <c r="D1" s="343"/>
      <c r="E1" s="343"/>
      <c r="F1" s="342"/>
      <c r="G1" s="342"/>
      <c r="H1" s="342"/>
      <c r="I1" s="342"/>
      <c r="J1" s="342"/>
      <c r="K1" s="342"/>
      <c r="L1" s="866" t="str">
        <f>IF(SPANewFlag=0,MsgNotRequired,IF(A1=0,MsgNotUsed,""))</f>
        <v>** NOT REQUIRED **</v>
      </c>
      <c r="M1" s="866"/>
      <c r="N1" s="866"/>
    </row>
    <row r="2" spans="1:14" ht="15.75" x14ac:dyDescent="0.2">
      <c r="A2" s="342"/>
      <c r="B2" s="342"/>
      <c r="C2" s="344" t="str">
        <f>CONCATENATE("Name of medicine: ", MedicineBrand)</f>
        <v xml:space="preserve">Name of medicine: </v>
      </c>
      <c r="D2" s="345"/>
      <c r="E2" s="345"/>
      <c r="F2" s="342"/>
      <c r="G2" s="342"/>
      <c r="H2" s="342"/>
      <c r="I2" s="342"/>
      <c r="J2" s="342"/>
      <c r="K2" s="342"/>
      <c r="L2" s="342"/>
      <c r="M2" s="342"/>
      <c r="N2" s="342"/>
    </row>
    <row r="3" spans="1:14" ht="15.75" x14ac:dyDescent="0.2">
      <c r="A3" s="342"/>
      <c r="B3" s="342"/>
      <c r="C3" s="344" t="str">
        <f>CONCATENATE("Indication: ",Indication)</f>
        <v xml:space="preserve">Indication: </v>
      </c>
      <c r="D3" s="345"/>
      <c r="E3" s="345"/>
      <c r="F3" s="342"/>
      <c r="G3" s="342"/>
      <c r="H3" s="342"/>
      <c r="I3" s="342"/>
      <c r="J3" s="342"/>
      <c r="K3" s="342"/>
      <c r="L3" s="342"/>
      <c r="M3" s="342"/>
      <c r="N3" s="342"/>
    </row>
    <row r="4" spans="1:14" s="420" customFormat="1" x14ac:dyDescent="0.2">
      <c r="A4" s="650"/>
      <c r="B4" s="650"/>
      <c r="C4" s="662"/>
      <c r="D4" s="662"/>
      <c r="E4" s="662"/>
      <c r="F4" s="650"/>
      <c r="G4" s="650"/>
      <c r="H4" s="650"/>
      <c r="I4" s="650"/>
      <c r="J4" s="650"/>
      <c r="K4" s="650"/>
      <c r="L4" s="650"/>
      <c r="M4" s="650"/>
      <c r="N4" s="650"/>
    </row>
    <row r="5" spans="1:14" ht="15.75" x14ac:dyDescent="0.2">
      <c r="A5" s="122"/>
      <c r="B5" s="122"/>
      <c r="C5" s="123" t="s">
        <v>2</v>
      </c>
      <c r="D5" s="123"/>
      <c r="E5" s="123"/>
      <c r="F5" s="142"/>
      <c r="G5" s="127"/>
      <c r="H5" s="127"/>
      <c r="I5" s="127"/>
      <c r="J5" s="127"/>
      <c r="K5" s="127"/>
      <c r="L5" s="127"/>
      <c r="M5" s="127"/>
      <c r="N5" s="127"/>
    </row>
    <row r="6" spans="1:14" ht="14.25" x14ac:dyDescent="0.2">
      <c r="A6" s="125"/>
      <c r="B6" s="125"/>
      <c r="C6" s="647"/>
      <c r="D6" s="647"/>
      <c r="E6" s="647"/>
      <c r="F6" s="656"/>
      <c r="G6" s="125"/>
      <c r="H6" s="125"/>
      <c r="I6" s="125"/>
      <c r="J6" s="125"/>
      <c r="K6" s="125"/>
      <c r="L6" s="125"/>
      <c r="M6" s="125"/>
      <c r="N6" s="125"/>
    </row>
    <row r="7" spans="1:14" x14ac:dyDescent="0.2">
      <c r="A7" s="125"/>
      <c r="B7" s="125"/>
      <c r="C7" s="162" t="s">
        <v>827</v>
      </c>
      <c r="D7" s="162"/>
      <c r="E7" s="162"/>
      <c r="F7" s="700"/>
      <c r="G7" s="700"/>
      <c r="H7" s="700"/>
      <c r="I7" s="700"/>
      <c r="J7" s="700"/>
      <c r="K7" s="700"/>
      <c r="L7" s="700"/>
      <c r="M7" s="700"/>
      <c r="N7" s="700"/>
    </row>
    <row r="8" spans="1:14" x14ac:dyDescent="0.2">
      <c r="A8" s="125"/>
      <c r="B8" s="125"/>
      <c r="C8" s="644"/>
      <c r="D8" s="644"/>
      <c r="E8" s="644"/>
      <c r="F8" s="660"/>
      <c r="G8" s="660"/>
      <c r="H8" s="660"/>
      <c r="I8" s="660"/>
      <c r="J8" s="660"/>
      <c r="K8" s="660"/>
      <c r="L8" s="660"/>
      <c r="M8" s="660"/>
      <c r="N8" s="660"/>
    </row>
    <row r="9" spans="1:14" x14ac:dyDescent="0.2">
      <c r="A9" s="125"/>
      <c r="B9" s="125"/>
      <c r="C9" s="162"/>
      <c r="D9" s="162"/>
      <c r="E9" s="162"/>
      <c r="F9" s="162"/>
      <c r="G9" s="162"/>
      <c r="H9" s="162"/>
      <c r="I9" s="162"/>
      <c r="J9" s="162"/>
      <c r="K9" s="162"/>
      <c r="L9" s="162"/>
      <c r="M9" s="162"/>
      <c r="N9" s="162"/>
    </row>
    <row r="10" spans="1:14" ht="15.75" x14ac:dyDescent="0.2">
      <c r="A10" s="125"/>
      <c r="B10" s="125"/>
      <c r="C10" s="123" t="s">
        <v>869</v>
      </c>
      <c r="D10" s="123"/>
      <c r="E10" s="123"/>
      <c r="F10" s="142"/>
      <c r="G10" s="127"/>
      <c r="H10" s="127"/>
      <c r="I10" s="127"/>
      <c r="J10" s="127"/>
      <c r="K10" s="127"/>
      <c r="L10" s="127"/>
      <c r="M10" s="127"/>
      <c r="N10" s="127"/>
    </row>
    <row r="11" spans="1:14" ht="15.75" x14ac:dyDescent="0.2">
      <c r="A11" s="125"/>
      <c r="B11" s="125"/>
      <c r="C11" s="655"/>
      <c r="D11" s="655"/>
      <c r="E11" s="655"/>
      <c r="F11" s="656"/>
      <c r="G11" s="125"/>
      <c r="H11" s="125"/>
      <c r="I11" s="125"/>
      <c r="J11" s="125"/>
      <c r="K11" s="125"/>
      <c r="L11" s="125"/>
      <c r="M11" s="125"/>
      <c r="N11" s="125"/>
    </row>
    <row r="12" spans="1:14" x14ac:dyDescent="0.2">
      <c r="A12" s="125"/>
      <c r="B12" s="125"/>
      <c r="C12" s="646" t="s">
        <v>828</v>
      </c>
      <c r="D12" s="646"/>
      <c r="E12" s="646"/>
      <c r="F12" s="646"/>
      <c r="G12" s="646"/>
      <c r="H12" s="646"/>
      <c r="I12" s="646"/>
      <c r="J12" s="646"/>
      <c r="K12" s="646"/>
      <c r="L12" s="646"/>
      <c r="M12" s="646"/>
      <c r="N12" s="646"/>
    </row>
    <row r="13" spans="1:14" x14ac:dyDescent="0.2">
      <c r="A13" s="125"/>
      <c r="B13" s="125"/>
      <c r="C13" s="657"/>
      <c r="D13" s="657"/>
      <c r="E13" s="657"/>
      <c r="F13" s="125"/>
      <c r="G13" s="125"/>
      <c r="H13" s="125"/>
      <c r="I13" s="125"/>
      <c r="J13" s="125"/>
      <c r="K13" s="125"/>
      <c r="L13" s="125"/>
      <c r="M13" s="657"/>
      <c r="N13" s="657"/>
    </row>
    <row r="14" spans="1:14" ht="15.75" x14ac:dyDescent="0.2">
      <c r="A14" s="125"/>
      <c r="B14" s="125"/>
      <c r="C14" s="655" t="s">
        <v>101</v>
      </c>
      <c r="D14" s="81">
        <f>FirstYear</f>
        <v>2021</v>
      </c>
      <c r="E14" s="81">
        <f>D14+1</f>
        <v>2022</v>
      </c>
      <c r="F14" s="81">
        <f>E14+1</f>
        <v>2023</v>
      </c>
      <c r="G14" s="81">
        <f>F14+1</f>
        <v>2024</v>
      </c>
      <c r="H14" s="81">
        <f>G14+1</f>
        <v>2025</v>
      </c>
      <c r="I14" s="81">
        <f>H14+1</f>
        <v>2026</v>
      </c>
      <c r="J14" s="125"/>
      <c r="K14" s="125"/>
      <c r="L14" s="125"/>
      <c r="M14" s="125"/>
      <c r="N14" s="125"/>
    </row>
    <row r="15" spans="1:14" x14ac:dyDescent="0.2">
      <c r="A15" s="125"/>
      <c r="B15" s="125"/>
      <c r="C15" s="84" t="s">
        <v>86</v>
      </c>
      <c r="D15" s="283">
        <f>D31+D43+D55+D67+D79+D91+D103+D115+D127+D139+D151+D163+D175+D187+D199+D211+D223+D235+D247+D259</f>
        <v>0</v>
      </c>
      <c r="E15" s="283">
        <f t="shared" ref="E15:I16" si="0">E31+E43+E55+E67+E79+E91+E103+E115+E127+E139+E151+E163+E175+E187+E199+E211+E223+E235+E247+E259</f>
        <v>0</v>
      </c>
      <c r="F15" s="283">
        <f t="shared" si="0"/>
        <v>0</v>
      </c>
      <c r="G15" s="283">
        <f t="shared" si="0"/>
        <v>0</v>
      </c>
      <c r="H15" s="283">
        <f t="shared" si="0"/>
        <v>0</v>
      </c>
      <c r="I15" s="283">
        <f t="shared" si="0"/>
        <v>0</v>
      </c>
      <c r="J15" s="125"/>
      <c r="K15" s="125"/>
      <c r="L15" s="125"/>
      <c r="M15" s="125"/>
      <c r="N15" s="125"/>
    </row>
    <row r="16" spans="1:14" x14ac:dyDescent="0.2">
      <c r="A16" s="125"/>
      <c r="B16" s="125"/>
      <c r="C16" s="5" t="s">
        <v>111</v>
      </c>
      <c r="D16" s="283">
        <f>D32+D44+D56+D68+D80+D92+D104+D116+D128+D140+D152+D164+D176+D188+D200+D212+D224+D236+D248+D260</f>
        <v>0</v>
      </c>
      <c r="E16" s="283">
        <f t="shared" si="0"/>
        <v>0</v>
      </c>
      <c r="F16" s="283">
        <f t="shared" si="0"/>
        <v>0</v>
      </c>
      <c r="G16" s="283">
        <f t="shared" si="0"/>
        <v>0</v>
      </c>
      <c r="H16" s="283">
        <f t="shared" si="0"/>
        <v>0</v>
      </c>
      <c r="I16" s="283">
        <f t="shared" si="0"/>
        <v>0</v>
      </c>
      <c r="J16" s="125"/>
      <c r="K16" s="125"/>
      <c r="L16" s="125"/>
      <c r="M16" s="125"/>
      <c r="N16" s="125"/>
    </row>
    <row r="17" spans="1:14" x14ac:dyDescent="0.2">
      <c r="A17" s="125"/>
      <c r="B17" s="125"/>
      <c r="C17" s="5" t="s">
        <v>88</v>
      </c>
      <c r="D17" s="284">
        <f t="shared" ref="D17:I17" si="1">D15+D16</f>
        <v>0</v>
      </c>
      <c r="E17" s="284">
        <f t="shared" si="1"/>
        <v>0</v>
      </c>
      <c r="F17" s="284">
        <f t="shared" si="1"/>
        <v>0</v>
      </c>
      <c r="G17" s="284">
        <f t="shared" si="1"/>
        <v>0</v>
      </c>
      <c r="H17" s="284">
        <f t="shared" si="1"/>
        <v>0</v>
      </c>
      <c r="I17" s="284">
        <f t="shared" si="1"/>
        <v>0</v>
      </c>
      <c r="J17" s="125"/>
      <c r="K17" s="125"/>
      <c r="L17" s="125"/>
      <c r="M17" s="125"/>
      <c r="N17" s="125"/>
    </row>
    <row r="18" spans="1:14" x14ac:dyDescent="0.2">
      <c r="A18" s="125"/>
      <c r="B18" s="125"/>
      <c r="C18" s="658"/>
      <c r="D18" s="658"/>
      <c r="E18" s="658"/>
      <c r="F18" s="36"/>
      <c r="G18" s="36"/>
      <c r="H18" s="36"/>
      <c r="I18" s="36"/>
      <c r="J18" s="36"/>
      <c r="K18" s="36"/>
      <c r="L18" s="36"/>
      <c r="M18" s="125"/>
      <c r="N18" s="125"/>
    </row>
    <row r="19" spans="1:14" ht="15.75" x14ac:dyDescent="0.2">
      <c r="A19" s="125"/>
      <c r="B19" s="125"/>
      <c r="C19" s="655" t="s">
        <v>102</v>
      </c>
      <c r="D19" s="81">
        <f>FirstYear</f>
        <v>2021</v>
      </c>
      <c r="E19" s="81">
        <f>D19+1</f>
        <v>2022</v>
      </c>
      <c r="F19" s="81">
        <f>E19+1</f>
        <v>2023</v>
      </c>
      <c r="G19" s="81">
        <f>F19+1</f>
        <v>2024</v>
      </c>
      <c r="H19" s="81">
        <f>G19+1</f>
        <v>2025</v>
      </c>
      <c r="I19" s="81">
        <f>H19+1</f>
        <v>2026</v>
      </c>
      <c r="J19" s="125"/>
      <c r="K19" s="125"/>
      <c r="L19" s="125"/>
      <c r="M19" s="125"/>
      <c r="N19" s="125"/>
    </row>
    <row r="20" spans="1:14" x14ac:dyDescent="0.2">
      <c r="A20" s="125"/>
      <c r="B20" s="125"/>
      <c r="C20" s="84" t="s">
        <v>87</v>
      </c>
      <c r="D20" s="282">
        <f>D36+D48+D60+D72+D84+D96+D108+D120+D132+D144+D156+D168+D180+D192+D204+D216+D228+D240+D252+D264</f>
        <v>0</v>
      </c>
      <c r="E20" s="282">
        <f t="shared" ref="E20:I21" si="2">E36+E48+E60+E72+E84+E96+E108+E120+E132+E144+E156+E168+E180+E192+E204+E216+E228+E240+E252+E264</f>
        <v>0</v>
      </c>
      <c r="F20" s="282">
        <f t="shared" si="2"/>
        <v>0</v>
      </c>
      <c r="G20" s="282">
        <f t="shared" si="2"/>
        <v>0</v>
      </c>
      <c r="H20" s="282">
        <f t="shared" si="2"/>
        <v>0</v>
      </c>
      <c r="I20" s="282">
        <f t="shared" si="2"/>
        <v>0</v>
      </c>
      <c r="J20" s="125"/>
      <c r="K20" s="125"/>
      <c r="L20" s="125"/>
      <c r="M20" s="125"/>
      <c r="N20" s="125"/>
    </row>
    <row r="21" spans="1:14" x14ac:dyDescent="0.2">
      <c r="A21" s="125"/>
      <c r="B21" s="125"/>
      <c r="C21" s="5" t="s">
        <v>111</v>
      </c>
      <c r="D21" s="282">
        <f>D37+D49+D61+D73+D85+D97+D109+D121+D133+D145+D157+D169+D181+D193+D205+D217+D229+D241+D253+D265</f>
        <v>0</v>
      </c>
      <c r="E21" s="282">
        <f t="shared" si="2"/>
        <v>0</v>
      </c>
      <c r="F21" s="282">
        <f t="shared" si="2"/>
        <v>0</v>
      </c>
      <c r="G21" s="282">
        <f t="shared" si="2"/>
        <v>0</v>
      </c>
      <c r="H21" s="282">
        <f t="shared" si="2"/>
        <v>0</v>
      </c>
      <c r="I21" s="282">
        <f t="shared" si="2"/>
        <v>0</v>
      </c>
      <c r="J21" s="125"/>
      <c r="K21" s="125"/>
      <c r="L21" s="125"/>
      <c r="M21" s="125"/>
      <c r="N21" s="125"/>
    </row>
    <row r="22" spans="1:14" x14ac:dyDescent="0.2">
      <c r="A22" s="125"/>
      <c r="B22" s="125"/>
      <c r="C22" s="5" t="s">
        <v>89</v>
      </c>
      <c r="D22" s="286">
        <f t="shared" ref="D22:I22" si="3">D20+D21</f>
        <v>0</v>
      </c>
      <c r="E22" s="286">
        <f t="shared" si="3"/>
        <v>0</v>
      </c>
      <c r="F22" s="286">
        <f t="shared" si="3"/>
        <v>0</v>
      </c>
      <c r="G22" s="286">
        <f t="shared" si="3"/>
        <v>0</v>
      </c>
      <c r="H22" s="286">
        <f t="shared" si="3"/>
        <v>0</v>
      </c>
      <c r="I22" s="286">
        <f t="shared" si="3"/>
        <v>0</v>
      </c>
      <c r="J22" s="125"/>
      <c r="K22" s="125"/>
      <c r="L22" s="125"/>
      <c r="M22" s="125"/>
      <c r="N22" s="125"/>
    </row>
    <row r="23" spans="1:14" x14ac:dyDescent="0.2">
      <c r="A23" s="125"/>
      <c r="B23" s="125"/>
      <c r="C23" s="658"/>
      <c r="D23" s="658"/>
      <c r="E23" s="658"/>
      <c r="F23" s="36"/>
      <c r="G23" s="36"/>
      <c r="H23" s="36"/>
      <c r="I23" s="36"/>
      <c r="J23" s="36"/>
      <c r="K23" s="36"/>
      <c r="L23" s="36"/>
      <c r="M23" s="125"/>
      <c r="N23" s="125"/>
    </row>
    <row r="24" spans="1:14" x14ac:dyDescent="0.2">
      <c r="A24" s="125"/>
      <c r="B24" s="125"/>
      <c r="C24" s="273" t="s">
        <v>845</v>
      </c>
      <c r="D24" s="285">
        <f t="shared" ref="D24:I24" si="4">D22+D17</f>
        <v>0</v>
      </c>
      <c r="E24" s="285">
        <f t="shared" si="4"/>
        <v>0</v>
      </c>
      <c r="F24" s="285">
        <f t="shared" si="4"/>
        <v>0</v>
      </c>
      <c r="G24" s="285">
        <f t="shared" si="4"/>
        <v>0</v>
      </c>
      <c r="H24" s="285">
        <f t="shared" si="4"/>
        <v>0</v>
      </c>
      <c r="I24" s="285">
        <f t="shared" si="4"/>
        <v>0</v>
      </c>
      <c r="J24" s="36"/>
      <c r="K24" s="36"/>
      <c r="L24" s="36"/>
      <c r="M24" s="125"/>
      <c r="N24" s="125"/>
    </row>
    <row r="25" spans="1:14" x14ac:dyDescent="0.2">
      <c r="A25" s="125"/>
      <c r="B25" s="125"/>
      <c r="C25" s="658"/>
      <c r="D25" s="658"/>
      <c r="E25" s="658"/>
      <c r="F25" s="36"/>
      <c r="G25" s="36"/>
      <c r="H25" s="36"/>
      <c r="I25" s="36"/>
      <c r="J25" s="36"/>
      <c r="K25" s="36"/>
      <c r="L25" s="36"/>
      <c r="M25" s="125"/>
      <c r="N25" s="125"/>
    </row>
    <row r="26" spans="1:14" ht="15.75" x14ac:dyDescent="0.2">
      <c r="A26" s="125"/>
      <c r="B26" s="125"/>
      <c r="C26" s="123" t="s">
        <v>870</v>
      </c>
      <c r="D26" s="123"/>
      <c r="E26" s="123"/>
      <c r="F26" s="132"/>
      <c r="G26" s="132"/>
      <c r="H26" s="132"/>
      <c r="I26" s="132"/>
      <c r="J26" s="132"/>
      <c r="K26" s="132"/>
      <c r="L26" s="132"/>
      <c r="M26" s="127"/>
      <c r="N26" s="127"/>
    </row>
    <row r="27" spans="1:14" x14ac:dyDescent="0.2">
      <c r="A27" s="125"/>
      <c r="B27" s="125"/>
      <c r="C27" s="658"/>
      <c r="D27" s="658"/>
      <c r="E27" s="658"/>
      <c r="F27" s="36"/>
      <c r="G27" s="36"/>
      <c r="H27" s="36"/>
      <c r="I27" s="36"/>
      <c r="J27" s="36"/>
      <c r="K27" s="36"/>
      <c r="L27" s="36"/>
      <c r="M27" s="36"/>
      <c r="N27" s="36"/>
    </row>
    <row r="28" spans="1:14" ht="15" x14ac:dyDescent="0.2">
      <c r="A28" s="125"/>
      <c r="B28" s="298">
        <v>1</v>
      </c>
      <c r="C28" s="147" t="str">
        <f>IF(SPANewFlag&lt;&gt;0,INDEX(PBSScriptsNew,B28,1),MsgNotUsed)</f>
        <v>** NOT USED **</v>
      </c>
      <c r="D28" s="139"/>
      <c r="E28" s="139"/>
      <c r="F28" s="139"/>
      <c r="G28" s="139"/>
      <c r="H28" s="139"/>
      <c r="I28" s="139"/>
      <c r="J28" s="133"/>
      <c r="K28" s="132"/>
      <c r="L28" s="821" t="str">
        <f>IF(C28&lt;&gt;MsgNotUsed,"Co-payment group " &amp; INDEX(DPMQCoPayNewEff,B28,2),"")</f>
        <v/>
      </c>
      <c r="M28" s="821"/>
      <c r="N28" s="527"/>
    </row>
    <row r="29" spans="1:14" hidden="1" outlineLevel="1" x14ac:dyDescent="0.2">
      <c r="A29" s="125"/>
      <c r="B29" s="242">
        <f>INDEX(SANew,B28,5)</f>
        <v>0</v>
      </c>
      <c r="C29" s="658"/>
      <c r="D29" s="697">
        <v>2</v>
      </c>
      <c r="E29" s="697">
        <v>3</v>
      </c>
      <c r="F29" s="650">
        <v>4</v>
      </c>
      <c r="G29" s="650">
        <v>5</v>
      </c>
      <c r="H29" s="650">
        <v>6</v>
      </c>
      <c r="I29" s="650">
        <v>7</v>
      </c>
      <c r="J29" s="125"/>
      <c r="K29" s="36"/>
      <c r="L29" s="36"/>
      <c r="M29" s="36"/>
      <c r="N29" s="36"/>
    </row>
    <row r="30" spans="1:14" hidden="1" outlineLevel="1" x14ac:dyDescent="0.2">
      <c r="A30" s="125"/>
      <c r="B30" s="148"/>
      <c r="C30" s="125"/>
      <c r="D30" s="81">
        <f>FirstYear</f>
        <v>2021</v>
      </c>
      <c r="E30" s="81">
        <f>D30+1</f>
        <v>2022</v>
      </c>
      <c r="F30" s="81">
        <f>E30+1</f>
        <v>2023</v>
      </c>
      <c r="G30" s="81">
        <f>F30+1</f>
        <v>2024</v>
      </c>
      <c r="H30" s="81">
        <f>G30+1</f>
        <v>2025</v>
      </c>
      <c r="I30" s="81">
        <f>H30+1</f>
        <v>2026</v>
      </c>
      <c r="J30" s="125"/>
      <c r="K30" s="125"/>
      <c r="L30" s="125"/>
      <c r="M30" s="125"/>
      <c r="N30" s="125"/>
    </row>
    <row r="31" spans="1:14" hidden="1" outlineLevel="1" x14ac:dyDescent="0.2">
      <c r="A31" s="125"/>
      <c r="B31" s="298">
        <v>1</v>
      </c>
      <c r="C31" s="84" t="s">
        <v>86</v>
      </c>
      <c r="D31" s="282">
        <f t="shared" ref="D31:I31" si="5">INDEX(PBSScriptsNew,$B28,D29)*INDEX(DPMQCoPayNewEff,$B28,$B31)</f>
        <v>0</v>
      </c>
      <c r="E31" s="282">
        <f t="shared" si="5"/>
        <v>0</v>
      </c>
      <c r="F31" s="282">
        <f t="shared" si="5"/>
        <v>0</v>
      </c>
      <c r="G31" s="282">
        <f t="shared" si="5"/>
        <v>0</v>
      </c>
      <c r="H31" s="282">
        <f t="shared" si="5"/>
        <v>0</v>
      </c>
      <c r="I31" s="282">
        <f t="shared" si="5"/>
        <v>0</v>
      </c>
      <c r="J31" s="125"/>
      <c r="K31" s="125"/>
      <c r="L31" s="125"/>
      <c r="M31" s="125"/>
      <c r="N31" s="125"/>
    </row>
    <row r="32" spans="1:14" hidden="1" outlineLevel="1" x14ac:dyDescent="0.2">
      <c r="A32" s="125"/>
      <c r="B32" s="298">
        <v>3</v>
      </c>
      <c r="C32" s="5" t="s">
        <v>111</v>
      </c>
      <c r="D32" s="282">
        <f t="shared" ref="D32:I32" si="6">INDEX(PBSScriptsNew,$B28,D29)*(INDEX(DPMQCoPayNewEff,$B28,$B32)/INDEX(CoPayCountNew,$B28))</f>
        <v>0</v>
      </c>
      <c r="E32" s="282">
        <f t="shared" si="6"/>
        <v>0</v>
      </c>
      <c r="F32" s="282">
        <f t="shared" si="6"/>
        <v>0</v>
      </c>
      <c r="G32" s="282">
        <f t="shared" si="6"/>
        <v>0</v>
      </c>
      <c r="H32" s="282">
        <f t="shared" si="6"/>
        <v>0</v>
      </c>
      <c r="I32" s="282">
        <f t="shared" si="6"/>
        <v>0</v>
      </c>
      <c r="J32" s="125"/>
      <c r="K32" s="811" t="str">
        <f>IF(B29&lt;&gt;0,MsgNote&amp;IF(B29="Yes",INDEX(CoPayMethod,1),INDEX(CoPayMethod,2)),"")</f>
        <v/>
      </c>
      <c r="L32" s="811"/>
      <c r="M32" s="811"/>
      <c r="N32" s="628"/>
    </row>
    <row r="33" spans="1:14" hidden="1" outlineLevel="1" x14ac:dyDescent="0.2">
      <c r="A33" s="125"/>
      <c r="B33" s="300"/>
      <c r="C33" s="5" t="s">
        <v>88</v>
      </c>
      <c r="D33" s="282">
        <f t="shared" ref="D33:I33" si="7">D31+D32</f>
        <v>0</v>
      </c>
      <c r="E33" s="282">
        <f t="shared" si="7"/>
        <v>0</v>
      </c>
      <c r="F33" s="282">
        <f t="shared" si="7"/>
        <v>0</v>
      </c>
      <c r="G33" s="282">
        <f t="shared" si="7"/>
        <v>0</v>
      </c>
      <c r="H33" s="282">
        <f t="shared" si="7"/>
        <v>0</v>
      </c>
      <c r="I33" s="282">
        <f t="shared" si="7"/>
        <v>0</v>
      </c>
      <c r="J33" s="125"/>
      <c r="K33" s="125"/>
      <c r="L33" s="125"/>
      <c r="M33" s="125"/>
      <c r="N33" s="125"/>
    </row>
    <row r="34" spans="1:14" hidden="1" outlineLevel="1" x14ac:dyDescent="0.2">
      <c r="A34" s="125"/>
      <c r="B34" s="300"/>
      <c r="C34" s="125"/>
      <c r="D34" s="125"/>
      <c r="E34" s="125"/>
      <c r="F34" s="125"/>
      <c r="G34" s="125"/>
      <c r="H34" s="125"/>
      <c r="I34" s="125"/>
      <c r="J34" s="125"/>
      <c r="K34" s="125"/>
      <c r="L34" s="125"/>
      <c r="M34" s="125"/>
      <c r="N34" s="125"/>
    </row>
    <row r="35" spans="1:14" ht="15.75" hidden="1" outlineLevel="1" x14ac:dyDescent="0.2">
      <c r="A35" s="125"/>
      <c r="B35" s="300"/>
      <c r="C35" s="655"/>
      <c r="D35" s="81">
        <f>FirstYear</f>
        <v>2021</v>
      </c>
      <c r="E35" s="81">
        <f>D35+1</f>
        <v>2022</v>
      </c>
      <c r="F35" s="81">
        <f>E35+1</f>
        <v>2023</v>
      </c>
      <c r="G35" s="81">
        <f>F35+1</f>
        <v>2024</v>
      </c>
      <c r="H35" s="81">
        <f>G35+1</f>
        <v>2025</v>
      </c>
      <c r="I35" s="81">
        <f>H35+1</f>
        <v>2026</v>
      </c>
      <c r="J35" s="125"/>
      <c r="K35" s="125"/>
      <c r="L35" s="125"/>
      <c r="M35" s="125"/>
      <c r="N35" s="125"/>
    </row>
    <row r="36" spans="1:14" hidden="1" outlineLevel="1" x14ac:dyDescent="0.2">
      <c r="A36" s="125"/>
      <c r="B36" s="298">
        <v>1</v>
      </c>
      <c r="C36" s="84" t="s">
        <v>87</v>
      </c>
      <c r="D36" s="282">
        <f t="shared" ref="D36:I36" si="8">INDEX(RPBSScriptsNew,$B28,D29)*INDEX(DPMQCoPayNewEff,$B28,$B36)</f>
        <v>0</v>
      </c>
      <c r="E36" s="282">
        <f t="shared" si="8"/>
        <v>0</v>
      </c>
      <c r="F36" s="282">
        <f t="shared" si="8"/>
        <v>0</v>
      </c>
      <c r="G36" s="282">
        <f t="shared" si="8"/>
        <v>0</v>
      </c>
      <c r="H36" s="282">
        <f t="shared" si="8"/>
        <v>0</v>
      </c>
      <c r="I36" s="282">
        <f t="shared" si="8"/>
        <v>0</v>
      </c>
      <c r="J36" s="125"/>
      <c r="K36" s="125"/>
      <c r="L36" s="125"/>
      <c r="M36" s="125"/>
      <c r="N36" s="125"/>
    </row>
    <row r="37" spans="1:14" hidden="1" outlineLevel="1" x14ac:dyDescent="0.2">
      <c r="A37" s="125"/>
      <c r="B37" s="298">
        <v>4</v>
      </c>
      <c r="C37" s="5" t="s">
        <v>111</v>
      </c>
      <c r="D37" s="282">
        <f t="shared" ref="D37:I37" si="9">INDEX(RPBSScriptsNew,$B28,D29)*(INDEX(DPMQCoPayNewEff,$B28,$B37)/INDEX(CoPayCountNew,$B28))</f>
        <v>0</v>
      </c>
      <c r="E37" s="282">
        <f t="shared" si="9"/>
        <v>0</v>
      </c>
      <c r="F37" s="282">
        <f t="shared" si="9"/>
        <v>0</v>
      </c>
      <c r="G37" s="282">
        <f t="shared" si="9"/>
        <v>0</v>
      </c>
      <c r="H37" s="282">
        <f t="shared" si="9"/>
        <v>0</v>
      </c>
      <c r="I37" s="282">
        <f t="shared" si="9"/>
        <v>0</v>
      </c>
      <c r="J37" s="125"/>
      <c r="K37" s="125"/>
      <c r="L37" s="125"/>
      <c r="M37" s="125"/>
      <c r="N37" s="125"/>
    </row>
    <row r="38" spans="1:14" hidden="1" outlineLevel="1" x14ac:dyDescent="0.2">
      <c r="A38" s="125"/>
      <c r="B38" s="300"/>
      <c r="C38" s="5" t="s">
        <v>89</v>
      </c>
      <c r="D38" s="282">
        <f t="shared" ref="D38:I38" si="10">D36+D37</f>
        <v>0</v>
      </c>
      <c r="E38" s="282">
        <f t="shared" si="10"/>
        <v>0</v>
      </c>
      <c r="F38" s="282">
        <f t="shared" si="10"/>
        <v>0</v>
      </c>
      <c r="G38" s="282">
        <f t="shared" si="10"/>
        <v>0</v>
      </c>
      <c r="H38" s="282">
        <f t="shared" si="10"/>
        <v>0</v>
      </c>
      <c r="I38" s="282">
        <f t="shared" si="10"/>
        <v>0</v>
      </c>
      <c r="J38" s="125"/>
      <c r="K38" s="125"/>
      <c r="L38" s="125"/>
      <c r="M38" s="125"/>
      <c r="N38" s="125"/>
    </row>
    <row r="39" spans="1:14" collapsed="1" x14ac:dyDescent="0.2">
      <c r="A39" s="125"/>
      <c r="B39" s="300"/>
      <c r="C39" s="658"/>
      <c r="D39" s="658"/>
      <c r="E39" s="658"/>
      <c r="F39" s="36"/>
      <c r="G39" s="36"/>
      <c r="H39" s="36"/>
      <c r="I39" s="36"/>
      <c r="J39" s="36"/>
      <c r="K39" s="36"/>
      <c r="L39" s="36"/>
      <c r="M39" s="36"/>
      <c r="N39" s="36"/>
    </row>
    <row r="40" spans="1:14" ht="15" x14ac:dyDescent="0.2">
      <c r="A40" s="125"/>
      <c r="B40" s="298">
        <v>2</v>
      </c>
      <c r="C40" s="147" t="str">
        <f>IF(SPANewFlag&lt;&gt;0,INDEX(PBSScriptsNew,B40,1),MsgNotUsed)</f>
        <v>** NOT USED **</v>
      </c>
      <c r="D40" s="139"/>
      <c r="E40" s="139"/>
      <c r="F40" s="139"/>
      <c r="G40" s="139"/>
      <c r="H40" s="139"/>
      <c r="I40" s="139"/>
      <c r="J40" s="133"/>
      <c r="K40" s="132"/>
      <c r="L40" s="821" t="str">
        <f>IF(C40&lt;&gt;MsgNotUsed,"Co-payment group " &amp; INDEX(DPMQCoPayNewEff,B40,2),"")</f>
        <v/>
      </c>
      <c r="M40" s="821"/>
      <c r="N40" s="633"/>
    </row>
    <row r="41" spans="1:14" hidden="1" outlineLevel="1" x14ac:dyDescent="0.2">
      <c r="A41" s="125"/>
      <c r="B41" s="242">
        <f>INDEX(SANew,B40,5)</f>
        <v>0</v>
      </c>
      <c r="C41" s="658"/>
      <c r="D41" s="697">
        <v>2</v>
      </c>
      <c r="E41" s="697">
        <v>3</v>
      </c>
      <c r="F41" s="650">
        <v>4</v>
      </c>
      <c r="G41" s="650">
        <v>5</v>
      </c>
      <c r="H41" s="650">
        <v>6</v>
      </c>
      <c r="I41" s="650">
        <v>7</v>
      </c>
      <c r="J41" s="125"/>
      <c r="K41" s="36"/>
      <c r="L41" s="36"/>
      <c r="M41" s="36"/>
      <c r="N41" s="36"/>
    </row>
    <row r="42" spans="1:14" hidden="1" outlineLevel="1" x14ac:dyDescent="0.2">
      <c r="A42" s="125"/>
      <c r="B42" s="148"/>
      <c r="C42" s="125"/>
      <c r="D42" s="630">
        <f>FirstYear</f>
        <v>2021</v>
      </c>
      <c r="E42" s="630">
        <f>D42+1</f>
        <v>2022</v>
      </c>
      <c r="F42" s="630">
        <f>E42+1</f>
        <v>2023</v>
      </c>
      <c r="G42" s="630">
        <f>F42+1</f>
        <v>2024</v>
      </c>
      <c r="H42" s="630">
        <f>G42+1</f>
        <v>2025</v>
      </c>
      <c r="I42" s="630">
        <f>H42+1</f>
        <v>2026</v>
      </c>
      <c r="J42" s="125"/>
      <c r="K42" s="125"/>
      <c r="L42" s="125"/>
      <c r="M42" s="125"/>
      <c r="N42" s="125"/>
    </row>
    <row r="43" spans="1:14" hidden="1" outlineLevel="1" x14ac:dyDescent="0.2">
      <c r="A43" s="125"/>
      <c r="B43" s="298">
        <v>1</v>
      </c>
      <c r="C43" s="294" t="s">
        <v>86</v>
      </c>
      <c r="D43" s="282">
        <f t="shared" ref="D43:I43" si="11">INDEX(PBSScriptsNew,$B40,D41)*INDEX(DPMQCoPayNewEff,$B40,$B43)</f>
        <v>0</v>
      </c>
      <c r="E43" s="282">
        <f t="shared" si="11"/>
        <v>0</v>
      </c>
      <c r="F43" s="282">
        <f t="shared" si="11"/>
        <v>0</v>
      </c>
      <c r="G43" s="282">
        <f t="shared" si="11"/>
        <v>0</v>
      </c>
      <c r="H43" s="282">
        <f t="shared" si="11"/>
        <v>0</v>
      </c>
      <c r="I43" s="282">
        <f t="shared" si="11"/>
        <v>0</v>
      </c>
      <c r="J43" s="125"/>
      <c r="K43" s="125"/>
      <c r="L43" s="125"/>
      <c r="M43" s="125"/>
      <c r="N43" s="125"/>
    </row>
    <row r="44" spans="1:14" hidden="1" outlineLevel="1" x14ac:dyDescent="0.2">
      <c r="A44" s="125"/>
      <c r="B44" s="298">
        <v>3</v>
      </c>
      <c r="C44" s="5" t="s">
        <v>111</v>
      </c>
      <c r="D44" s="282">
        <f t="shared" ref="D44:I44" si="12">INDEX(PBSScriptsNew,$B40,D41)*(INDEX(DPMQCoPayNewEff,$B40,$B44)/INDEX(CoPayCountNew,$B40))</f>
        <v>0</v>
      </c>
      <c r="E44" s="282">
        <f t="shared" si="12"/>
        <v>0</v>
      </c>
      <c r="F44" s="282">
        <f t="shared" si="12"/>
        <v>0</v>
      </c>
      <c r="G44" s="282">
        <f t="shared" si="12"/>
        <v>0</v>
      </c>
      <c r="H44" s="282">
        <f t="shared" si="12"/>
        <v>0</v>
      </c>
      <c r="I44" s="282">
        <f t="shared" si="12"/>
        <v>0</v>
      </c>
      <c r="J44" s="125"/>
      <c r="K44" s="811" t="str">
        <f>IF(B41&lt;&gt;0,MsgNote&amp;IF(B41="Yes",INDEX(CoPayMethod,1),INDEX(CoPayMethod,2)),"")</f>
        <v/>
      </c>
      <c r="L44" s="811"/>
      <c r="M44" s="811"/>
      <c r="N44" s="628"/>
    </row>
    <row r="45" spans="1:14" hidden="1" outlineLevel="1" x14ac:dyDescent="0.2">
      <c r="A45" s="125"/>
      <c r="B45" s="300"/>
      <c r="C45" s="5" t="s">
        <v>88</v>
      </c>
      <c r="D45" s="282">
        <f t="shared" ref="D45:I45" si="13">D43+D44</f>
        <v>0</v>
      </c>
      <c r="E45" s="282">
        <f t="shared" si="13"/>
        <v>0</v>
      </c>
      <c r="F45" s="282">
        <f t="shared" si="13"/>
        <v>0</v>
      </c>
      <c r="G45" s="282">
        <f t="shared" si="13"/>
        <v>0</v>
      </c>
      <c r="H45" s="282">
        <f t="shared" si="13"/>
        <v>0</v>
      </c>
      <c r="I45" s="282">
        <f t="shared" si="13"/>
        <v>0</v>
      </c>
      <c r="J45" s="125"/>
      <c r="K45" s="125"/>
      <c r="L45" s="125"/>
      <c r="M45" s="125"/>
      <c r="N45" s="125"/>
    </row>
    <row r="46" spans="1:14" hidden="1" outlineLevel="1" x14ac:dyDescent="0.2">
      <c r="A46" s="125"/>
      <c r="B46" s="300"/>
      <c r="C46" s="125"/>
      <c r="D46" s="125"/>
      <c r="E46" s="125"/>
      <c r="F46" s="125"/>
      <c r="G46" s="125"/>
      <c r="H46" s="125"/>
      <c r="I46" s="125"/>
      <c r="J46" s="125"/>
      <c r="K46" s="125"/>
      <c r="L46" s="125"/>
      <c r="M46" s="125"/>
      <c r="N46" s="125"/>
    </row>
    <row r="47" spans="1:14" ht="15.75" hidden="1" outlineLevel="1" x14ac:dyDescent="0.2">
      <c r="A47" s="125"/>
      <c r="B47" s="300"/>
      <c r="C47" s="655"/>
      <c r="D47" s="630">
        <f>FirstYear</f>
        <v>2021</v>
      </c>
      <c r="E47" s="630">
        <f>D47+1</f>
        <v>2022</v>
      </c>
      <c r="F47" s="630">
        <f>E47+1</f>
        <v>2023</v>
      </c>
      <c r="G47" s="630">
        <f>F47+1</f>
        <v>2024</v>
      </c>
      <c r="H47" s="630">
        <f>G47+1</f>
        <v>2025</v>
      </c>
      <c r="I47" s="630">
        <f>H47+1</f>
        <v>2026</v>
      </c>
      <c r="J47" s="125"/>
      <c r="K47" s="125"/>
      <c r="L47" s="125"/>
      <c r="M47" s="125"/>
      <c r="N47" s="125"/>
    </row>
    <row r="48" spans="1:14" hidden="1" outlineLevel="1" x14ac:dyDescent="0.2">
      <c r="A48" s="125"/>
      <c r="B48" s="298">
        <v>1</v>
      </c>
      <c r="C48" s="294" t="s">
        <v>87</v>
      </c>
      <c r="D48" s="282">
        <f t="shared" ref="D48:I48" si="14">INDEX(RPBSScriptsNew,$B40,D41)*INDEX(DPMQCoPayNewEff,$B40,$B48)</f>
        <v>0</v>
      </c>
      <c r="E48" s="282">
        <f t="shared" si="14"/>
        <v>0</v>
      </c>
      <c r="F48" s="282">
        <f t="shared" si="14"/>
        <v>0</v>
      </c>
      <c r="G48" s="282">
        <f t="shared" si="14"/>
        <v>0</v>
      </c>
      <c r="H48" s="282">
        <f t="shared" si="14"/>
        <v>0</v>
      </c>
      <c r="I48" s="282">
        <f t="shared" si="14"/>
        <v>0</v>
      </c>
      <c r="J48" s="125"/>
      <c r="K48" s="125"/>
      <c r="L48" s="125"/>
      <c r="M48" s="125"/>
      <c r="N48" s="125"/>
    </row>
    <row r="49" spans="1:14" hidden="1" outlineLevel="1" x14ac:dyDescent="0.2">
      <c r="A49" s="125"/>
      <c r="B49" s="298">
        <v>4</v>
      </c>
      <c r="C49" s="5" t="s">
        <v>111</v>
      </c>
      <c r="D49" s="282">
        <f t="shared" ref="D49:I49" si="15">INDEX(RPBSScriptsNew,$B40,D41)*(INDEX(DPMQCoPayNewEff,$B40,$B49)/INDEX(CoPayCountNew,$B40))</f>
        <v>0</v>
      </c>
      <c r="E49" s="282">
        <f t="shared" si="15"/>
        <v>0</v>
      </c>
      <c r="F49" s="282">
        <f t="shared" si="15"/>
        <v>0</v>
      </c>
      <c r="G49" s="282">
        <f t="shared" si="15"/>
        <v>0</v>
      </c>
      <c r="H49" s="282">
        <f t="shared" si="15"/>
        <v>0</v>
      </c>
      <c r="I49" s="282">
        <f t="shared" si="15"/>
        <v>0</v>
      </c>
      <c r="J49" s="125"/>
      <c r="K49" s="125"/>
      <c r="L49" s="125"/>
      <c r="M49" s="125"/>
      <c r="N49" s="125"/>
    </row>
    <row r="50" spans="1:14" hidden="1" outlineLevel="1" x14ac:dyDescent="0.2">
      <c r="A50" s="125"/>
      <c r="B50" s="300"/>
      <c r="C50" s="5" t="s">
        <v>89</v>
      </c>
      <c r="D50" s="282">
        <f t="shared" ref="D50:I50" si="16">D48+D49</f>
        <v>0</v>
      </c>
      <c r="E50" s="282">
        <f t="shared" si="16"/>
        <v>0</v>
      </c>
      <c r="F50" s="282">
        <f t="shared" si="16"/>
        <v>0</v>
      </c>
      <c r="G50" s="282">
        <f t="shared" si="16"/>
        <v>0</v>
      </c>
      <c r="H50" s="282">
        <f t="shared" si="16"/>
        <v>0</v>
      </c>
      <c r="I50" s="282">
        <f t="shared" si="16"/>
        <v>0</v>
      </c>
      <c r="J50" s="125"/>
      <c r="K50" s="125"/>
      <c r="L50" s="125"/>
      <c r="M50" s="125"/>
      <c r="N50" s="125"/>
    </row>
    <row r="51" spans="1:14" collapsed="1" x14ac:dyDescent="0.2">
      <c r="A51" s="125"/>
      <c r="B51" s="300"/>
      <c r="C51" s="658"/>
      <c r="D51" s="658"/>
      <c r="E51" s="658"/>
      <c r="F51" s="36"/>
      <c r="G51" s="36"/>
      <c r="H51" s="36"/>
      <c r="I51" s="36"/>
      <c r="J51" s="36"/>
      <c r="K51" s="36"/>
      <c r="L51" s="36"/>
      <c r="M51" s="36"/>
      <c r="N51" s="36"/>
    </row>
    <row r="52" spans="1:14" ht="15" x14ac:dyDescent="0.2">
      <c r="A52" s="125"/>
      <c r="B52" s="298">
        <v>3</v>
      </c>
      <c r="C52" s="147" t="str">
        <f>IF(SPANewFlag&lt;&gt;0,INDEX(PBSScriptsNew,B52,1),MsgNotUsed)</f>
        <v>** NOT USED **</v>
      </c>
      <c r="D52" s="139"/>
      <c r="E52" s="139"/>
      <c r="F52" s="139"/>
      <c r="G52" s="139"/>
      <c r="H52" s="139"/>
      <c r="I52" s="139"/>
      <c r="J52" s="133"/>
      <c r="K52" s="132"/>
      <c r="L52" s="821" t="str">
        <f>IF(C52&lt;&gt;MsgNotUsed,"Co-payment group " &amp; INDEX(DPMQCoPayNewEff,B52,2),"")</f>
        <v/>
      </c>
      <c r="M52" s="821"/>
      <c r="N52" s="633"/>
    </row>
    <row r="53" spans="1:14" hidden="1" outlineLevel="1" x14ac:dyDescent="0.2">
      <c r="A53" s="125"/>
      <c r="B53" s="242">
        <f>INDEX(SANew,B52,5)</f>
        <v>0</v>
      </c>
      <c r="C53" s="658"/>
      <c r="D53" s="697">
        <v>2</v>
      </c>
      <c r="E53" s="697">
        <v>3</v>
      </c>
      <c r="F53" s="650">
        <v>4</v>
      </c>
      <c r="G53" s="650">
        <v>5</v>
      </c>
      <c r="H53" s="650">
        <v>6</v>
      </c>
      <c r="I53" s="650">
        <v>7</v>
      </c>
      <c r="J53" s="125"/>
      <c r="K53" s="36"/>
      <c r="L53" s="36"/>
      <c r="M53" s="36"/>
      <c r="N53" s="36"/>
    </row>
    <row r="54" spans="1:14" hidden="1" outlineLevel="1" x14ac:dyDescent="0.2">
      <c r="A54" s="125"/>
      <c r="B54" s="148"/>
      <c r="C54" s="125"/>
      <c r="D54" s="630">
        <f>FirstYear</f>
        <v>2021</v>
      </c>
      <c r="E54" s="630">
        <f>D54+1</f>
        <v>2022</v>
      </c>
      <c r="F54" s="630">
        <f>E54+1</f>
        <v>2023</v>
      </c>
      <c r="G54" s="630">
        <f>F54+1</f>
        <v>2024</v>
      </c>
      <c r="H54" s="630">
        <f>G54+1</f>
        <v>2025</v>
      </c>
      <c r="I54" s="630">
        <f>H54+1</f>
        <v>2026</v>
      </c>
      <c r="J54" s="125"/>
      <c r="K54" s="125"/>
      <c r="L54" s="125"/>
      <c r="M54" s="125"/>
      <c r="N54" s="125"/>
    </row>
    <row r="55" spans="1:14" hidden="1" outlineLevel="1" x14ac:dyDescent="0.2">
      <c r="A55" s="125"/>
      <c r="B55" s="298">
        <v>1</v>
      </c>
      <c r="C55" s="294" t="s">
        <v>86</v>
      </c>
      <c r="D55" s="282">
        <f t="shared" ref="D55:I55" si="17">INDEX(PBSScriptsNew,$B52,D53)*INDEX(DPMQCoPayNewEff,$B52,$B55)</f>
        <v>0</v>
      </c>
      <c r="E55" s="282">
        <f t="shared" si="17"/>
        <v>0</v>
      </c>
      <c r="F55" s="282">
        <f t="shared" si="17"/>
        <v>0</v>
      </c>
      <c r="G55" s="282">
        <f t="shared" si="17"/>
        <v>0</v>
      </c>
      <c r="H55" s="282">
        <f t="shared" si="17"/>
        <v>0</v>
      </c>
      <c r="I55" s="282">
        <f t="shared" si="17"/>
        <v>0</v>
      </c>
      <c r="J55" s="125"/>
      <c r="K55" s="125"/>
      <c r="L55" s="125"/>
      <c r="M55" s="125"/>
      <c r="N55" s="125"/>
    </row>
    <row r="56" spans="1:14" hidden="1" outlineLevel="1" x14ac:dyDescent="0.2">
      <c r="A56" s="125"/>
      <c r="B56" s="298">
        <v>3</v>
      </c>
      <c r="C56" s="5" t="s">
        <v>111</v>
      </c>
      <c r="D56" s="282">
        <f t="shared" ref="D56:I56" si="18">INDEX(PBSScriptsNew,$B52,D53)*(INDEX(DPMQCoPayNewEff,$B52,$B56)/INDEX(CoPayCountNew,$B52))</f>
        <v>0</v>
      </c>
      <c r="E56" s="282">
        <f t="shared" si="18"/>
        <v>0</v>
      </c>
      <c r="F56" s="282">
        <f t="shared" si="18"/>
        <v>0</v>
      </c>
      <c r="G56" s="282">
        <f t="shared" si="18"/>
        <v>0</v>
      </c>
      <c r="H56" s="282">
        <f t="shared" si="18"/>
        <v>0</v>
      </c>
      <c r="I56" s="282">
        <f t="shared" si="18"/>
        <v>0</v>
      </c>
      <c r="J56" s="125"/>
      <c r="K56" s="811" t="str">
        <f>IF(B53&lt;&gt;0,MsgNote&amp;IF(B53="Yes",INDEX(CoPayMethod,1),INDEX(CoPayMethod,2)),"")</f>
        <v/>
      </c>
      <c r="L56" s="811"/>
      <c r="M56" s="811"/>
      <c r="N56" s="628"/>
    </row>
    <row r="57" spans="1:14" hidden="1" outlineLevel="1" x14ac:dyDescent="0.2">
      <c r="A57" s="125"/>
      <c r="B57" s="300"/>
      <c r="C57" s="5" t="s">
        <v>88</v>
      </c>
      <c r="D57" s="282">
        <f t="shared" ref="D57:I57" si="19">D55+D56</f>
        <v>0</v>
      </c>
      <c r="E57" s="282">
        <f t="shared" si="19"/>
        <v>0</v>
      </c>
      <c r="F57" s="282">
        <f t="shared" si="19"/>
        <v>0</v>
      </c>
      <c r="G57" s="282">
        <f t="shared" si="19"/>
        <v>0</v>
      </c>
      <c r="H57" s="282">
        <f t="shared" si="19"/>
        <v>0</v>
      </c>
      <c r="I57" s="282">
        <f t="shared" si="19"/>
        <v>0</v>
      </c>
      <c r="J57" s="125"/>
      <c r="K57" s="125"/>
      <c r="L57" s="125"/>
      <c r="M57" s="125"/>
      <c r="N57" s="125"/>
    </row>
    <row r="58" spans="1:14" hidden="1" outlineLevel="1" x14ac:dyDescent="0.2">
      <c r="A58" s="125"/>
      <c r="B58" s="300"/>
      <c r="C58" s="125"/>
      <c r="D58" s="125"/>
      <c r="E58" s="125"/>
      <c r="F58" s="125"/>
      <c r="G58" s="125"/>
      <c r="H58" s="125"/>
      <c r="I58" s="125"/>
      <c r="J58" s="125"/>
      <c r="K58" s="125"/>
      <c r="L58" s="125"/>
      <c r="M58" s="125"/>
      <c r="N58" s="125"/>
    </row>
    <row r="59" spans="1:14" ht="15.75" hidden="1" outlineLevel="1" x14ac:dyDescent="0.2">
      <c r="A59" s="125"/>
      <c r="B59" s="300"/>
      <c r="C59" s="655"/>
      <c r="D59" s="630">
        <f>FirstYear</f>
        <v>2021</v>
      </c>
      <c r="E59" s="630">
        <f>D59+1</f>
        <v>2022</v>
      </c>
      <c r="F59" s="630">
        <f>E59+1</f>
        <v>2023</v>
      </c>
      <c r="G59" s="630">
        <f>F59+1</f>
        <v>2024</v>
      </c>
      <c r="H59" s="630">
        <f>G59+1</f>
        <v>2025</v>
      </c>
      <c r="I59" s="630">
        <f>H59+1</f>
        <v>2026</v>
      </c>
      <c r="J59" s="125"/>
      <c r="K59" s="125"/>
      <c r="L59" s="125"/>
      <c r="M59" s="125"/>
      <c r="N59" s="125"/>
    </row>
    <row r="60" spans="1:14" hidden="1" outlineLevel="1" x14ac:dyDescent="0.2">
      <c r="A60" s="125"/>
      <c r="B60" s="298">
        <v>1</v>
      </c>
      <c r="C60" s="294" t="s">
        <v>87</v>
      </c>
      <c r="D60" s="282">
        <f t="shared" ref="D60:I60" si="20">INDEX(RPBSScriptsNew,$B52,D53)*INDEX(DPMQCoPayNewEff,$B52,$B60)</f>
        <v>0</v>
      </c>
      <c r="E60" s="282">
        <f t="shared" si="20"/>
        <v>0</v>
      </c>
      <c r="F60" s="282">
        <f t="shared" si="20"/>
        <v>0</v>
      </c>
      <c r="G60" s="282">
        <f t="shared" si="20"/>
        <v>0</v>
      </c>
      <c r="H60" s="282">
        <f t="shared" si="20"/>
        <v>0</v>
      </c>
      <c r="I60" s="282">
        <f t="shared" si="20"/>
        <v>0</v>
      </c>
      <c r="J60" s="125"/>
      <c r="K60" s="125"/>
      <c r="L60" s="125"/>
      <c r="M60" s="125"/>
      <c r="N60" s="125"/>
    </row>
    <row r="61" spans="1:14" hidden="1" outlineLevel="1" x14ac:dyDescent="0.2">
      <c r="A61" s="125"/>
      <c r="B61" s="298">
        <v>4</v>
      </c>
      <c r="C61" s="5" t="s">
        <v>111</v>
      </c>
      <c r="D61" s="282">
        <f t="shared" ref="D61:I61" si="21">INDEX(RPBSScriptsNew,$B52,D53)*(INDEX(DPMQCoPayNewEff,$B52,$B61)/INDEX(CoPayCountNew,$B52))</f>
        <v>0</v>
      </c>
      <c r="E61" s="282">
        <f t="shared" si="21"/>
        <v>0</v>
      </c>
      <c r="F61" s="282">
        <f t="shared" si="21"/>
        <v>0</v>
      </c>
      <c r="G61" s="282">
        <f t="shared" si="21"/>
        <v>0</v>
      </c>
      <c r="H61" s="282">
        <f t="shared" si="21"/>
        <v>0</v>
      </c>
      <c r="I61" s="282">
        <f t="shared" si="21"/>
        <v>0</v>
      </c>
      <c r="J61" s="125"/>
      <c r="K61" s="125"/>
      <c r="L61" s="125"/>
      <c r="M61" s="125"/>
      <c r="N61" s="125"/>
    </row>
    <row r="62" spans="1:14" hidden="1" outlineLevel="1" x14ac:dyDescent="0.2">
      <c r="A62" s="125"/>
      <c r="B62" s="300"/>
      <c r="C62" s="5" t="s">
        <v>89</v>
      </c>
      <c r="D62" s="282">
        <f t="shared" ref="D62:I62" si="22">D60+D61</f>
        <v>0</v>
      </c>
      <c r="E62" s="282">
        <f t="shared" si="22"/>
        <v>0</v>
      </c>
      <c r="F62" s="282">
        <f t="shared" si="22"/>
        <v>0</v>
      </c>
      <c r="G62" s="282">
        <f t="shared" si="22"/>
        <v>0</v>
      </c>
      <c r="H62" s="282">
        <f t="shared" si="22"/>
        <v>0</v>
      </c>
      <c r="I62" s="282">
        <f t="shared" si="22"/>
        <v>0</v>
      </c>
      <c r="J62" s="125"/>
      <c r="K62" s="125"/>
      <c r="L62" s="125"/>
      <c r="M62" s="125"/>
      <c r="N62" s="125"/>
    </row>
    <row r="63" spans="1:14" collapsed="1" x14ac:dyDescent="0.2">
      <c r="A63" s="125"/>
      <c r="B63" s="300"/>
      <c r="C63" s="658"/>
      <c r="D63" s="658"/>
      <c r="E63" s="658"/>
      <c r="F63" s="36"/>
      <c r="G63" s="36"/>
      <c r="H63" s="36"/>
      <c r="I63" s="36"/>
      <c r="J63" s="36"/>
      <c r="K63" s="36"/>
      <c r="L63" s="36"/>
      <c r="M63" s="36"/>
      <c r="N63" s="36"/>
    </row>
    <row r="64" spans="1:14" ht="15" x14ac:dyDescent="0.2">
      <c r="A64" s="125"/>
      <c r="B64" s="298">
        <v>4</v>
      </c>
      <c r="C64" s="147" t="str">
        <f>IF(SPANewFlag&lt;&gt;0,INDEX(PBSScriptsNew,B64,1),MsgNotUsed)</f>
        <v>** NOT USED **</v>
      </c>
      <c r="D64" s="139"/>
      <c r="E64" s="139"/>
      <c r="F64" s="139"/>
      <c r="G64" s="139"/>
      <c r="H64" s="139"/>
      <c r="I64" s="139"/>
      <c r="J64" s="133"/>
      <c r="K64" s="132"/>
      <c r="L64" s="821" t="str">
        <f>IF(C64&lt;&gt;MsgNotUsed,"Co-payment group " &amp; INDEX(DPMQCoPayNewEff,B64,2),"")</f>
        <v/>
      </c>
      <c r="M64" s="821"/>
      <c r="N64" s="633"/>
    </row>
    <row r="65" spans="1:14" hidden="1" outlineLevel="1" x14ac:dyDescent="0.2">
      <c r="A65" s="125"/>
      <c r="B65" s="242">
        <f>INDEX(SANew,B64,5)</f>
        <v>0</v>
      </c>
      <c r="C65" s="658"/>
      <c r="D65" s="697">
        <v>2</v>
      </c>
      <c r="E65" s="697">
        <v>3</v>
      </c>
      <c r="F65" s="650">
        <v>4</v>
      </c>
      <c r="G65" s="650">
        <v>5</v>
      </c>
      <c r="H65" s="650">
        <v>6</v>
      </c>
      <c r="I65" s="650">
        <v>7</v>
      </c>
      <c r="J65" s="125"/>
      <c r="K65" s="36"/>
      <c r="L65" s="36"/>
      <c r="M65" s="36"/>
      <c r="N65" s="36"/>
    </row>
    <row r="66" spans="1:14" hidden="1" outlineLevel="1" x14ac:dyDescent="0.2">
      <c r="A66" s="125"/>
      <c r="B66" s="148"/>
      <c r="C66" s="125"/>
      <c r="D66" s="630">
        <f>FirstYear</f>
        <v>2021</v>
      </c>
      <c r="E66" s="630">
        <f>D66+1</f>
        <v>2022</v>
      </c>
      <c r="F66" s="630">
        <f>E66+1</f>
        <v>2023</v>
      </c>
      <c r="G66" s="630">
        <f>F66+1</f>
        <v>2024</v>
      </c>
      <c r="H66" s="630">
        <f>G66+1</f>
        <v>2025</v>
      </c>
      <c r="I66" s="630">
        <f>H66+1</f>
        <v>2026</v>
      </c>
      <c r="J66" s="125"/>
      <c r="K66" s="125"/>
      <c r="L66" s="125"/>
      <c r="M66" s="125"/>
      <c r="N66" s="125"/>
    </row>
    <row r="67" spans="1:14" hidden="1" outlineLevel="1" x14ac:dyDescent="0.2">
      <c r="A67" s="125"/>
      <c r="B67" s="298">
        <v>1</v>
      </c>
      <c r="C67" s="294" t="s">
        <v>86</v>
      </c>
      <c r="D67" s="282">
        <f t="shared" ref="D67:I67" si="23">INDEX(PBSScriptsNew,$B64,D65)*INDEX(DPMQCoPayNewEff,$B64,$B67)</f>
        <v>0</v>
      </c>
      <c r="E67" s="282">
        <f t="shared" si="23"/>
        <v>0</v>
      </c>
      <c r="F67" s="282">
        <f t="shared" si="23"/>
        <v>0</v>
      </c>
      <c r="G67" s="282">
        <f t="shared" si="23"/>
        <v>0</v>
      </c>
      <c r="H67" s="282">
        <f t="shared" si="23"/>
        <v>0</v>
      </c>
      <c r="I67" s="282">
        <f t="shared" si="23"/>
        <v>0</v>
      </c>
      <c r="J67" s="125"/>
      <c r="K67" s="125"/>
      <c r="L67" s="125"/>
      <c r="M67" s="125"/>
      <c r="N67" s="125"/>
    </row>
    <row r="68" spans="1:14" hidden="1" outlineLevel="1" x14ac:dyDescent="0.2">
      <c r="A68" s="125"/>
      <c r="B68" s="298">
        <v>3</v>
      </c>
      <c r="C68" s="5" t="s">
        <v>111</v>
      </c>
      <c r="D68" s="282">
        <f t="shared" ref="D68:I68" si="24">INDEX(PBSScriptsNew,$B64,D65)*(INDEX(DPMQCoPayNewEff,$B64,$B68)/INDEX(CoPayCountNew,$B64))</f>
        <v>0</v>
      </c>
      <c r="E68" s="282">
        <f t="shared" si="24"/>
        <v>0</v>
      </c>
      <c r="F68" s="282">
        <f t="shared" si="24"/>
        <v>0</v>
      </c>
      <c r="G68" s="282">
        <f t="shared" si="24"/>
        <v>0</v>
      </c>
      <c r="H68" s="282">
        <f t="shared" si="24"/>
        <v>0</v>
      </c>
      <c r="I68" s="282">
        <f t="shared" si="24"/>
        <v>0</v>
      </c>
      <c r="J68" s="125"/>
      <c r="K68" s="811" t="str">
        <f>IF(B65&lt;&gt;0,MsgNote&amp;IF(B65="Yes",INDEX(CoPayMethod,1),INDEX(CoPayMethod,2)),"")</f>
        <v/>
      </c>
      <c r="L68" s="811"/>
      <c r="M68" s="811"/>
      <c r="N68" s="628"/>
    </row>
    <row r="69" spans="1:14" hidden="1" outlineLevel="1" x14ac:dyDescent="0.2">
      <c r="A69" s="125"/>
      <c r="B69" s="300"/>
      <c r="C69" s="5" t="s">
        <v>88</v>
      </c>
      <c r="D69" s="282">
        <f t="shared" ref="D69:I69" si="25">D67+D68</f>
        <v>0</v>
      </c>
      <c r="E69" s="282">
        <f t="shared" si="25"/>
        <v>0</v>
      </c>
      <c r="F69" s="282">
        <f t="shared" si="25"/>
        <v>0</v>
      </c>
      <c r="G69" s="282">
        <f t="shared" si="25"/>
        <v>0</v>
      </c>
      <c r="H69" s="282">
        <f t="shared" si="25"/>
        <v>0</v>
      </c>
      <c r="I69" s="282">
        <f t="shared" si="25"/>
        <v>0</v>
      </c>
      <c r="J69" s="125"/>
      <c r="K69" s="125"/>
      <c r="L69" s="125"/>
      <c r="M69" s="125"/>
      <c r="N69" s="125"/>
    </row>
    <row r="70" spans="1:14" hidden="1" outlineLevel="1" x14ac:dyDescent="0.2">
      <c r="A70" s="125"/>
      <c r="B70" s="300"/>
      <c r="C70" s="125"/>
      <c r="D70" s="125"/>
      <c r="E70" s="125"/>
      <c r="F70" s="125"/>
      <c r="G70" s="125"/>
      <c r="H70" s="125"/>
      <c r="I70" s="125"/>
      <c r="J70" s="125"/>
      <c r="K70" s="125"/>
      <c r="L70" s="125"/>
      <c r="M70" s="125"/>
      <c r="N70" s="125"/>
    </row>
    <row r="71" spans="1:14" ht="15.75" hidden="1" outlineLevel="1" x14ac:dyDescent="0.2">
      <c r="A71" s="125"/>
      <c r="B71" s="300"/>
      <c r="C71" s="655"/>
      <c r="D71" s="630">
        <f>FirstYear</f>
        <v>2021</v>
      </c>
      <c r="E71" s="630">
        <f>D71+1</f>
        <v>2022</v>
      </c>
      <c r="F71" s="630">
        <f>E71+1</f>
        <v>2023</v>
      </c>
      <c r="G71" s="630">
        <f>F71+1</f>
        <v>2024</v>
      </c>
      <c r="H71" s="630">
        <f>G71+1</f>
        <v>2025</v>
      </c>
      <c r="I71" s="630">
        <f>H71+1</f>
        <v>2026</v>
      </c>
      <c r="J71" s="125"/>
      <c r="K71" s="125"/>
      <c r="L71" s="125"/>
      <c r="M71" s="125"/>
      <c r="N71" s="125"/>
    </row>
    <row r="72" spans="1:14" hidden="1" outlineLevel="1" x14ac:dyDescent="0.2">
      <c r="A72" s="125"/>
      <c r="B72" s="298">
        <v>1</v>
      </c>
      <c r="C72" s="294" t="s">
        <v>87</v>
      </c>
      <c r="D72" s="282">
        <f t="shared" ref="D72:I72" si="26">INDEX(RPBSScriptsNew,$B64,D65)*INDEX(DPMQCoPayNewEff,$B64,$B72)</f>
        <v>0</v>
      </c>
      <c r="E72" s="282">
        <f t="shared" si="26"/>
        <v>0</v>
      </c>
      <c r="F72" s="282">
        <f t="shared" si="26"/>
        <v>0</v>
      </c>
      <c r="G72" s="282">
        <f t="shared" si="26"/>
        <v>0</v>
      </c>
      <c r="H72" s="282">
        <f t="shared" si="26"/>
        <v>0</v>
      </c>
      <c r="I72" s="282">
        <f t="shared" si="26"/>
        <v>0</v>
      </c>
      <c r="J72" s="125"/>
      <c r="K72" s="125"/>
      <c r="L72" s="125"/>
      <c r="M72" s="125"/>
      <c r="N72" s="125"/>
    </row>
    <row r="73" spans="1:14" hidden="1" outlineLevel="1" x14ac:dyDescent="0.2">
      <c r="A73" s="125"/>
      <c r="B73" s="298">
        <v>4</v>
      </c>
      <c r="C73" s="5" t="s">
        <v>111</v>
      </c>
      <c r="D73" s="282">
        <f t="shared" ref="D73:I73" si="27">INDEX(RPBSScriptsNew,$B64,D65)*(INDEX(DPMQCoPayNewEff,$B64,$B73)/INDEX(CoPayCountNew,$B64))</f>
        <v>0</v>
      </c>
      <c r="E73" s="282">
        <f t="shared" si="27"/>
        <v>0</v>
      </c>
      <c r="F73" s="282">
        <f t="shared" si="27"/>
        <v>0</v>
      </c>
      <c r="G73" s="282">
        <f t="shared" si="27"/>
        <v>0</v>
      </c>
      <c r="H73" s="282">
        <f t="shared" si="27"/>
        <v>0</v>
      </c>
      <c r="I73" s="282">
        <f t="shared" si="27"/>
        <v>0</v>
      </c>
      <c r="J73" s="125"/>
      <c r="K73" s="125"/>
      <c r="L73" s="125"/>
      <c r="M73" s="125"/>
      <c r="N73" s="125"/>
    </row>
    <row r="74" spans="1:14" hidden="1" outlineLevel="1" x14ac:dyDescent="0.2">
      <c r="A74" s="125"/>
      <c r="B74" s="300"/>
      <c r="C74" s="5" t="s">
        <v>89</v>
      </c>
      <c r="D74" s="282">
        <f t="shared" ref="D74:I74" si="28">D72+D73</f>
        <v>0</v>
      </c>
      <c r="E74" s="282">
        <f t="shared" si="28"/>
        <v>0</v>
      </c>
      <c r="F74" s="282">
        <f t="shared" si="28"/>
        <v>0</v>
      </c>
      <c r="G74" s="282">
        <f t="shared" si="28"/>
        <v>0</v>
      </c>
      <c r="H74" s="282">
        <f t="shared" si="28"/>
        <v>0</v>
      </c>
      <c r="I74" s="282">
        <f t="shared" si="28"/>
        <v>0</v>
      </c>
      <c r="J74" s="125"/>
      <c r="K74" s="125"/>
      <c r="L74" s="125"/>
      <c r="M74" s="125"/>
      <c r="N74" s="125"/>
    </row>
    <row r="75" spans="1:14" collapsed="1" x14ac:dyDescent="0.2">
      <c r="A75" s="125"/>
      <c r="B75" s="300"/>
      <c r="C75" s="658"/>
      <c r="D75" s="658"/>
      <c r="E75" s="658"/>
      <c r="F75" s="36"/>
      <c r="G75" s="36"/>
      <c r="H75" s="36"/>
      <c r="I75" s="36"/>
      <c r="J75" s="36"/>
      <c r="K75" s="36"/>
      <c r="L75" s="36"/>
      <c r="M75" s="36"/>
      <c r="N75" s="36"/>
    </row>
    <row r="76" spans="1:14" ht="15" x14ac:dyDescent="0.2">
      <c r="A76" s="125"/>
      <c r="B76" s="298">
        <v>5</v>
      </c>
      <c r="C76" s="147" t="str">
        <f>IF(SPANewFlag&lt;&gt;0,INDEX(PBSScriptsNew,B76,1),MsgNotUsed)</f>
        <v>** NOT USED **</v>
      </c>
      <c r="D76" s="139"/>
      <c r="E76" s="139"/>
      <c r="F76" s="139"/>
      <c r="G76" s="139"/>
      <c r="H76" s="139"/>
      <c r="I76" s="139"/>
      <c r="J76" s="133"/>
      <c r="K76" s="132"/>
      <c r="L76" s="821" t="str">
        <f>IF(C76&lt;&gt;MsgNotUsed,"Co-payment group " &amp; INDEX(DPMQCoPayNewEff,B76,2),"")</f>
        <v/>
      </c>
      <c r="M76" s="821"/>
      <c r="N76" s="633"/>
    </row>
    <row r="77" spans="1:14" hidden="1" outlineLevel="1" x14ac:dyDescent="0.2">
      <c r="A77" s="125"/>
      <c r="B77" s="242">
        <f>INDEX(SANew,B76,5)</f>
        <v>0</v>
      </c>
      <c r="C77" s="658"/>
      <c r="D77" s="697">
        <v>2</v>
      </c>
      <c r="E77" s="697">
        <v>3</v>
      </c>
      <c r="F77" s="650">
        <v>4</v>
      </c>
      <c r="G77" s="650">
        <v>5</v>
      </c>
      <c r="H77" s="650">
        <v>6</v>
      </c>
      <c r="I77" s="650">
        <v>7</v>
      </c>
      <c r="J77" s="125"/>
      <c r="K77" s="36"/>
      <c r="L77" s="36"/>
      <c r="M77" s="36"/>
      <c r="N77" s="36"/>
    </row>
    <row r="78" spans="1:14" hidden="1" outlineLevel="1" x14ac:dyDescent="0.2">
      <c r="A78" s="125"/>
      <c r="B78" s="148"/>
      <c r="C78" s="125"/>
      <c r="D78" s="630">
        <f>FirstYear</f>
        <v>2021</v>
      </c>
      <c r="E78" s="630">
        <f>D78+1</f>
        <v>2022</v>
      </c>
      <c r="F78" s="630">
        <f>E78+1</f>
        <v>2023</v>
      </c>
      <c r="G78" s="630">
        <f>F78+1</f>
        <v>2024</v>
      </c>
      <c r="H78" s="630">
        <f>G78+1</f>
        <v>2025</v>
      </c>
      <c r="I78" s="630">
        <f>H78+1</f>
        <v>2026</v>
      </c>
      <c r="J78" s="125"/>
      <c r="K78" s="125"/>
      <c r="L78" s="125"/>
      <c r="M78" s="125"/>
      <c r="N78" s="125"/>
    </row>
    <row r="79" spans="1:14" hidden="1" outlineLevel="1" x14ac:dyDescent="0.2">
      <c r="A79" s="125"/>
      <c r="B79" s="298">
        <v>1</v>
      </c>
      <c r="C79" s="294" t="s">
        <v>86</v>
      </c>
      <c r="D79" s="282">
        <f t="shared" ref="D79:I79" si="29">INDEX(PBSScriptsNew,$B76,D77)*INDEX(DPMQCoPayNewEff,$B76,$B79)</f>
        <v>0</v>
      </c>
      <c r="E79" s="282">
        <f t="shared" si="29"/>
        <v>0</v>
      </c>
      <c r="F79" s="282">
        <f t="shared" si="29"/>
        <v>0</v>
      </c>
      <c r="G79" s="282">
        <f t="shared" si="29"/>
        <v>0</v>
      </c>
      <c r="H79" s="282">
        <f t="shared" si="29"/>
        <v>0</v>
      </c>
      <c r="I79" s="282">
        <f t="shared" si="29"/>
        <v>0</v>
      </c>
      <c r="J79" s="125"/>
      <c r="K79" s="125"/>
      <c r="L79" s="125"/>
      <c r="M79" s="125"/>
      <c r="N79" s="125"/>
    </row>
    <row r="80" spans="1:14" hidden="1" outlineLevel="1" x14ac:dyDescent="0.2">
      <c r="A80" s="125"/>
      <c r="B80" s="298">
        <v>3</v>
      </c>
      <c r="C80" s="5" t="s">
        <v>111</v>
      </c>
      <c r="D80" s="282">
        <f t="shared" ref="D80:I80" si="30">INDEX(PBSScriptsNew,$B76,D77)*(INDEX(DPMQCoPayNewEff,$B76,$B80)/INDEX(CoPayCountNew,$B76))</f>
        <v>0</v>
      </c>
      <c r="E80" s="282">
        <f t="shared" si="30"/>
        <v>0</v>
      </c>
      <c r="F80" s="282">
        <f t="shared" si="30"/>
        <v>0</v>
      </c>
      <c r="G80" s="282">
        <f t="shared" si="30"/>
        <v>0</v>
      </c>
      <c r="H80" s="282">
        <f t="shared" si="30"/>
        <v>0</v>
      </c>
      <c r="I80" s="282">
        <f t="shared" si="30"/>
        <v>0</v>
      </c>
      <c r="J80" s="125"/>
      <c r="K80" s="811" t="str">
        <f>IF(B77&lt;&gt;0,MsgNote&amp;IF(B77="Yes",INDEX(CoPayMethod,1),INDEX(CoPayMethod,2)),"")</f>
        <v/>
      </c>
      <c r="L80" s="811"/>
      <c r="M80" s="811"/>
      <c r="N80" s="628"/>
    </row>
    <row r="81" spans="1:14" hidden="1" outlineLevel="1" x14ac:dyDescent="0.2">
      <c r="A81" s="125"/>
      <c r="B81" s="300"/>
      <c r="C81" s="5" t="s">
        <v>88</v>
      </c>
      <c r="D81" s="282">
        <f t="shared" ref="D81:I81" si="31">D79+D80</f>
        <v>0</v>
      </c>
      <c r="E81" s="282">
        <f t="shared" si="31"/>
        <v>0</v>
      </c>
      <c r="F81" s="282">
        <f t="shared" si="31"/>
        <v>0</v>
      </c>
      <c r="G81" s="282">
        <f t="shared" si="31"/>
        <v>0</v>
      </c>
      <c r="H81" s="282">
        <f t="shared" si="31"/>
        <v>0</v>
      </c>
      <c r="I81" s="282">
        <f t="shared" si="31"/>
        <v>0</v>
      </c>
      <c r="J81" s="125"/>
      <c r="K81" s="125"/>
      <c r="L81" s="125"/>
      <c r="M81" s="125"/>
      <c r="N81" s="125"/>
    </row>
    <row r="82" spans="1:14" hidden="1" outlineLevel="1" x14ac:dyDescent="0.2">
      <c r="A82" s="125"/>
      <c r="B82" s="300"/>
      <c r="C82" s="125"/>
      <c r="D82" s="125"/>
      <c r="E82" s="125"/>
      <c r="F82" s="125"/>
      <c r="G82" s="125"/>
      <c r="H82" s="125"/>
      <c r="I82" s="125"/>
      <c r="J82" s="125"/>
      <c r="K82" s="125"/>
      <c r="L82" s="125"/>
      <c r="M82" s="125"/>
      <c r="N82" s="125"/>
    </row>
    <row r="83" spans="1:14" ht="15.75" hidden="1" outlineLevel="1" x14ac:dyDescent="0.2">
      <c r="A83" s="125"/>
      <c r="B83" s="300"/>
      <c r="C83" s="655"/>
      <c r="D83" s="630">
        <f>FirstYear</f>
        <v>2021</v>
      </c>
      <c r="E83" s="630">
        <f>D83+1</f>
        <v>2022</v>
      </c>
      <c r="F83" s="630">
        <f>E83+1</f>
        <v>2023</v>
      </c>
      <c r="G83" s="630">
        <f>F83+1</f>
        <v>2024</v>
      </c>
      <c r="H83" s="630">
        <f>G83+1</f>
        <v>2025</v>
      </c>
      <c r="I83" s="630">
        <f>H83+1</f>
        <v>2026</v>
      </c>
      <c r="J83" s="125"/>
      <c r="K83" s="125"/>
      <c r="L83" s="125"/>
      <c r="M83" s="125"/>
      <c r="N83" s="125"/>
    </row>
    <row r="84" spans="1:14" hidden="1" outlineLevel="1" x14ac:dyDescent="0.2">
      <c r="A84" s="125"/>
      <c r="B84" s="298">
        <v>1</v>
      </c>
      <c r="C84" s="294" t="s">
        <v>87</v>
      </c>
      <c r="D84" s="282">
        <f t="shared" ref="D84:I84" si="32">INDEX(RPBSScriptsNew,$B76,D77)*INDEX(DPMQCoPayNewEff,$B76,$B84)</f>
        <v>0</v>
      </c>
      <c r="E84" s="282">
        <f t="shared" si="32"/>
        <v>0</v>
      </c>
      <c r="F84" s="282">
        <f t="shared" si="32"/>
        <v>0</v>
      </c>
      <c r="G84" s="282">
        <f t="shared" si="32"/>
        <v>0</v>
      </c>
      <c r="H84" s="282">
        <f t="shared" si="32"/>
        <v>0</v>
      </c>
      <c r="I84" s="282">
        <f t="shared" si="32"/>
        <v>0</v>
      </c>
      <c r="J84" s="125"/>
      <c r="K84" s="125"/>
      <c r="L84" s="125"/>
      <c r="M84" s="125"/>
      <c r="N84" s="125"/>
    </row>
    <row r="85" spans="1:14" hidden="1" outlineLevel="1" x14ac:dyDescent="0.2">
      <c r="A85" s="125"/>
      <c r="B85" s="298">
        <v>4</v>
      </c>
      <c r="C85" s="5" t="s">
        <v>111</v>
      </c>
      <c r="D85" s="282">
        <f t="shared" ref="D85:I85" si="33">INDEX(RPBSScriptsNew,$B76,D77)*(INDEX(DPMQCoPayNewEff,$B76,$B85)/INDEX(CoPayCountNew,$B76))</f>
        <v>0</v>
      </c>
      <c r="E85" s="282">
        <f t="shared" si="33"/>
        <v>0</v>
      </c>
      <c r="F85" s="282">
        <f t="shared" si="33"/>
        <v>0</v>
      </c>
      <c r="G85" s="282">
        <f t="shared" si="33"/>
        <v>0</v>
      </c>
      <c r="H85" s="282">
        <f t="shared" si="33"/>
        <v>0</v>
      </c>
      <c r="I85" s="282">
        <f t="shared" si="33"/>
        <v>0</v>
      </c>
      <c r="J85" s="125"/>
      <c r="K85" s="125"/>
      <c r="L85" s="125"/>
      <c r="M85" s="125"/>
      <c r="N85" s="125"/>
    </row>
    <row r="86" spans="1:14" hidden="1" outlineLevel="1" x14ac:dyDescent="0.2">
      <c r="A86" s="125"/>
      <c r="B86" s="300"/>
      <c r="C86" s="5" t="s">
        <v>89</v>
      </c>
      <c r="D86" s="282">
        <f t="shared" ref="D86:I86" si="34">D84+D85</f>
        <v>0</v>
      </c>
      <c r="E86" s="282">
        <f t="shared" si="34"/>
        <v>0</v>
      </c>
      <c r="F86" s="282">
        <f t="shared" si="34"/>
        <v>0</v>
      </c>
      <c r="G86" s="282">
        <f t="shared" si="34"/>
        <v>0</v>
      </c>
      <c r="H86" s="282">
        <f t="shared" si="34"/>
        <v>0</v>
      </c>
      <c r="I86" s="282">
        <f t="shared" si="34"/>
        <v>0</v>
      </c>
      <c r="J86" s="125"/>
      <c r="K86" s="125"/>
      <c r="L86" s="125"/>
      <c r="M86" s="125"/>
      <c r="N86" s="125"/>
    </row>
    <row r="87" spans="1:14" collapsed="1" x14ac:dyDescent="0.2">
      <c r="A87" s="125"/>
      <c r="B87" s="300"/>
      <c r="C87" s="658"/>
      <c r="D87" s="658"/>
      <c r="E87" s="658"/>
      <c r="F87" s="36"/>
      <c r="G87" s="36"/>
      <c r="H87" s="36"/>
      <c r="I87" s="36"/>
      <c r="J87" s="36"/>
      <c r="K87" s="36"/>
      <c r="L87" s="36"/>
      <c r="M87" s="36"/>
      <c r="N87" s="36"/>
    </row>
    <row r="88" spans="1:14" ht="15" x14ac:dyDescent="0.2">
      <c r="A88" s="125"/>
      <c r="B88" s="298">
        <v>6</v>
      </c>
      <c r="C88" s="147" t="str">
        <f>IF(SPANewFlag&lt;&gt;0,INDEX(PBSScriptsNew,B88,1),MsgNotUsed)</f>
        <v>** NOT USED **</v>
      </c>
      <c r="D88" s="139"/>
      <c r="E88" s="139"/>
      <c r="F88" s="139"/>
      <c r="G88" s="139"/>
      <c r="H88" s="139"/>
      <c r="I88" s="139"/>
      <c r="J88" s="133"/>
      <c r="K88" s="132"/>
      <c r="L88" s="821" t="str">
        <f>IF(C88&lt;&gt;MsgNotUsed,"Co-payment group " &amp; INDEX(DPMQCoPayNewEff,B88,2),"")</f>
        <v/>
      </c>
      <c r="M88" s="821"/>
      <c r="N88" s="633"/>
    </row>
    <row r="89" spans="1:14" hidden="1" outlineLevel="1" x14ac:dyDescent="0.2">
      <c r="A89" s="125"/>
      <c r="B89" s="242">
        <f>INDEX(SANew,B88,5)</f>
        <v>0</v>
      </c>
      <c r="C89" s="658"/>
      <c r="D89" s="697">
        <v>2</v>
      </c>
      <c r="E89" s="697">
        <v>3</v>
      </c>
      <c r="F89" s="650">
        <v>4</v>
      </c>
      <c r="G89" s="650">
        <v>5</v>
      </c>
      <c r="H89" s="650">
        <v>6</v>
      </c>
      <c r="I89" s="650">
        <v>7</v>
      </c>
      <c r="J89" s="125"/>
      <c r="K89" s="36"/>
      <c r="L89" s="36"/>
      <c r="M89" s="36"/>
      <c r="N89" s="36"/>
    </row>
    <row r="90" spans="1:14" hidden="1" outlineLevel="1" x14ac:dyDescent="0.2">
      <c r="A90" s="125"/>
      <c r="B90" s="148"/>
      <c r="C90" s="125"/>
      <c r="D90" s="630">
        <f>FirstYear</f>
        <v>2021</v>
      </c>
      <c r="E90" s="630">
        <f>D90+1</f>
        <v>2022</v>
      </c>
      <c r="F90" s="630">
        <f>E90+1</f>
        <v>2023</v>
      </c>
      <c r="G90" s="630">
        <f>F90+1</f>
        <v>2024</v>
      </c>
      <c r="H90" s="630">
        <f>G90+1</f>
        <v>2025</v>
      </c>
      <c r="I90" s="630">
        <f>H90+1</f>
        <v>2026</v>
      </c>
      <c r="J90" s="125"/>
      <c r="K90" s="125"/>
      <c r="L90" s="125"/>
      <c r="M90" s="125"/>
      <c r="N90" s="125"/>
    </row>
    <row r="91" spans="1:14" hidden="1" outlineLevel="1" x14ac:dyDescent="0.2">
      <c r="A91" s="125"/>
      <c r="B91" s="298">
        <v>1</v>
      </c>
      <c r="C91" s="294" t="s">
        <v>86</v>
      </c>
      <c r="D91" s="282">
        <f t="shared" ref="D91:I91" si="35">INDEX(PBSScriptsNew,$B88,D89)*INDEX(DPMQCoPayNewEff,$B88,$B91)</f>
        <v>0</v>
      </c>
      <c r="E91" s="282">
        <f t="shared" si="35"/>
        <v>0</v>
      </c>
      <c r="F91" s="282">
        <f t="shared" si="35"/>
        <v>0</v>
      </c>
      <c r="G91" s="282">
        <f t="shared" si="35"/>
        <v>0</v>
      </c>
      <c r="H91" s="282">
        <f t="shared" si="35"/>
        <v>0</v>
      </c>
      <c r="I91" s="282">
        <f t="shared" si="35"/>
        <v>0</v>
      </c>
      <c r="J91" s="125"/>
      <c r="K91" s="125"/>
      <c r="L91" s="125"/>
      <c r="M91" s="125"/>
      <c r="N91" s="125"/>
    </row>
    <row r="92" spans="1:14" hidden="1" outlineLevel="1" x14ac:dyDescent="0.2">
      <c r="A92" s="125"/>
      <c r="B92" s="298">
        <v>3</v>
      </c>
      <c r="C92" s="5" t="s">
        <v>111</v>
      </c>
      <c r="D92" s="282">
        <f t="shared" ref="D92:I92" si="36">INDEX(PBSScriptsNew,$B88,D89)*(INDEX(DPMQCoPayNewEff,$B88,$B92)/INDEX(CoPayCountNew,$B88))</f>
        <v>0</v>
      </c>
      <c r="E92" s="282">
        <f t="shared" si="36"/>
        <v>0</v>
      </c>
      <c r="F92" s="282">
        <f t="shared" si="36"/>
        <v>0</v>
      </c>
      <c r="G92" s="282">
        <f t="shared" si="36"/>
        <v>0</v>
      </c>
      <c r="H92" s="282">
        <f t="shared" si="36"/>
        <v>0</v>
      </c>
      <c r="I92" s="282">
        <f t="shared" si="36"/>
        <v>0</v>
      </c>
      <c r="J92" s="125"/>
      <c r="K92" s="811" t="str">
        <f>IF(B89&lt;&gt;0,MsgNote&amp;IF(B89="Yes",INDEX(CoPayMethod,1),INDEX(CoPayMethod,2)),"")</f>
        <v/>
      </c>
      <c r="L92" s="811"/>
      <c r="M92" s="811"/>
      <c r="N92" s="628"/>
    </row>
    <row r="93" spans="1:14" hidden="1" outlineLevel="1" x14ac:dyDescent="0.2">
      <c r="A93" s="125"/>
      <c r="B93" s="300"/>
      <c r="C93" s="5" t="s">
        <v>88</v>
      </c>
      <c r="D93" s="282">
        <f t="shared" ref="D93:I93" si="37">D91+D92</f>
        <v>0</v>
      </c>
      <c r="E93" s="282">
        <f t="shared" si="37"/>
        <v>0</v>
      </c>
      <c r="F93" s="282">
        <f t="shared" si="37"/>
        <v>0</v>
      </c>
      <c r="G93" s="282">
        <f t="shared" si="37"/>
        <v>0</v>
      </c>
      <c r="H93" s="282">
        <f t="shared" si="37"/>
        <v>0</v>
      </c>
      <c r="I93" s="282">
        <f t="shared" si="37"/>
        <v>0</v>
      </c>
      <c r="J93" s="125"/>
      <c r="K93" s="125"/>
      <c r="L93" s="125"/>
      <c r="M93" s="125"/>
      <c r="N93" s="125"/>
    </row>
    <row r="94" spans="1:14" hidden="1" outlineLevel="1" x14ac:dyDescent="0.2">
      <c r="A94" s="125"/>
      <c r="B94" s="300"/>
      <c r="C94" s="125"/>
      <c r="D94" s="125"/>
      <c r="E94" s="125"/>
      <c r="F94" s="125"/>
      <c r="G94" s="125"/>
      <c r="H94" s="125"/>
      <c r="I94" s="125"/>
      <c r="J94" s="125"/>
      <c r="K94" s="125"/>
      <c r="L94" s="125"/>
      <c r="M94" s="125"/>
      <c r="N94" s="125"/>
    </row>
    <row r="95" spans="1:14" ht="15.75" hidden="1" outlineLevel="1" x14ac:dyDescent="0.2">
      <c r="A95" s="125"/>
      <c r="B95" s="300"/>
      <c r="C95" s="655"/>
      <c r="D95" s="630">
        <f>FirstYear</f>
        <v>2021</v>
      </c>
      <c r="E95" s="630">
        <f>D95+1</f>
        <v>2022</v>
      </c>
      <c r="F95" s="630">
        <f>E95+1</f>
        <v>2023</v>
      </c>
      <c r="G95" s="630">
        <f>F95+1</f>
        <v>2024</v>
      </c>
      <c r="H95" s="630">
        <f>G95+1</f>
        <v>2025</v>
      </c>
      <c r="I95" s="630">
        <f>H95+1</f>
        <v>2026</v>
      </c>
      <c r="J95" s="125"/>
      <c r="K95" s="125"/>
      <c r="L95" s="125"/>
      <c r="M95" s="125"/>
      <c r="N95" s="125"/>
    </row>
    <row r="96" spans="1:14" hidden="1" outlineLevel="1" x14ac:dyDescent="0.2">
      <c r="A96" s="125"/>
      <c r="B96" s="298">
        <v>1</v>
      </c>
      <c r="C96" s="294" t="s">
        <v>87</v>
      </c>
      <c r="D96" s="282">
        <f t="shared" ref="D96:I96" si="38">INDEX(RPBSScriptsNew,$B88,D89)*INDEX(DPMQCoPayNewEff,$B88,$B96)</f>
        <v>0</v>
      </c>
      <c r="E96" s="282">
        <f t="shared" si="38"/>
        <v>0</v>
      </c>
      <c r="F96" s="282">
        <f t="shared" si="38"/>
        <v>0</v>
      </c>
      <c r="G96" s="282">
        <f t="shared" si="38"/>
        <v>0</v>
      </c>
      <c r="H96" s="282">
        <f t="shared" si="38"/>
        <v>0</v>
      </c>
      <c r="I96" s="282">
        <f t="shared" si="38"/>
        <v>0</v>
      </c>
      <c r="J96" s="125"/>
      <c r="K96" s="125"/>
      <c r="L96" s="125"/>
      <c r="M96" s="125"/>
      <c r="N96" s="125"/>
    </row>
    <row r="97" spans="1:14" hidden="1" outlineLevel="1" x14ac:dyDescent="0.2">
      <c r="A97" s="125"/>
      <c r="B97" s="298">
        <v>4</v>
      </c>
      <c r="C97" s="5" t="s">
        <v>111</v>
      </c>
      <c r="D97" s="282">
        <f t="shared" ref="D97:I97" si="39">INDEX(RPBSScriptsNew,$B88,D89)*(INDEX(DPMQCoPayNewEff,$B88,$B97)/INDEX(CoPayCountNew,$B88))</f>
        <v>0</v>
      </c>
      <c r="E97" s="282">
        <f t="shared" si="39"/>
        <v>0</v>
      </c>
      <c r="F97" s="282">
        <f t="shared" si="39"/>
        <v>0</v>
      </c>
      <c r="G97" s="282">
        <f t="shared" si="39"/>
        <v>0</v>
      </c>
      <c r="H97" s="282">
        <f t="shared" si="39"/>
        <v>0</v>
      </c>
      <c r="I97" s="282">
        <f t="shared" si="39"/>
        <v>0</v>
      </c>
      <c r="J97" s="125"/>
      <c r="K97" s="125"/>
      <c r="L97" s="125"/>
      <c r="M97" s="125"/>
      <c r="N97" s="125"/>
    </row>
    <row r="98" spans="1:14" hidden="1" outlineLevel="1" x14ac:dyDescent="0.2">
      <c r="A98" s="125"/>
      <c r="B98" s="300"/>
      <c r="C98" s="5" t="s">
        <v>89</v>
      </c>
      <c r="D98" s="282">
        <f t="shared" ref="D98:I98" si="40">D96+D97</f>
        <v>0</v>
      </c>
      <c r="E98" s="282">
        <f t="shared" si="40"/>
        <v>0</v>
      </c>
      <c r="F98" s="282">
        <f t="shared" si="40"/>
        <v>0</v>
      </c>
      <c r="G98" s="282">
        <f t="shared" si="40"/>
        <v>0</v>
      </c>
      <c r="H98" s="282">
        <f t="shared" si="40"/>
        <v>0</v>
      </c>
      <c r="I98" s="282">
        <f t="shared" si="40"/>
        <v>0</v>
      </c>
      <c r="J98" s="125"/>
      <c r="K98" s="125"/>
      <c r="L98" s="125"/>
      <c r="M98" s="125"/>
      <c r="N98" s="125"/>
    </row>
    <row r="99" spans="1:14" collapsed="1" x14ac:dyDescent="0.2">
      <c r="A99" s="125"/>
      <c r="B99" s="300"/>
      <c r="C99" s="658"/>
      <c r="D99" s="658"/>
      <c r="E99" s="658"/>
      <c r="F99" s="36"/>
      <c r="G99" s="36"/>
      <c r="H99" s="36"/>
      <c r="I99" s="36"/>
      <c r="J99" s="36"/>
      <c r="K99" s="36"/>
      <c r="L99" s="36"/>
      <c r="M99" s="36"/>
      <c r="N99" s="36"/>
    </row>
    <row r="100" spans="1:14" ht="15" x14ac:dyDescent="0.2">
      <c r="A100" s="125"/>
      <c r="B100" s="298">
        <v>7</v>
      </c>
      <c r="C100" s="147" t="str">
        <f>IF(SPANewFlag&lt;&gt;0,INDEX(PBSScriptsNew,B100,1),MsgNotUsed)</f>
        <v>** NOT USED **</v>
      </c>
      <c r="D100" s="139"/>
      <c r="E100" s="139"/>
      <c r="F100" s="139"/>
      <c r="G100" s="139"/>
      <c r="H100" s="139"/>
      <c r="I100" s="139"/>
      <c r="J100" s="133"/>
      <c r="K100" s="132"/>
      <c r="L100" s="821" t="str">
        <f>IF(C100&lt;&gt;MsgNotUsed,"Co-payment group " &amp; INDEX(DPMQCoPayNewEff,B100,2),"")</f>
        <v/>
      </c>
      <c r="M100" s="821"/>
      <c r="N100" s="633"/>
    </row>
    <row r="101" spans="1:14" hidden="1" outlineLevel="1" x14ac:dyDescent="0.2">
      <c r="A101" s="125"/>
      <c r="B101" s="242">
        <f>INDEX(SANew,B100,5)</f>
        <v>0</v>
      </c>
      <c r="C101" s="658"/>
      <c r="D101" s="697">
        <v>2</v>
      </c>
      <c r="E101" s="697">
        <v>3</v>
      </c>
      <c r="F101" s="650">
        <v>4</v>
      </c>
      <c r="G101" s="650">
        <v>5</v>
      </c>
      <c r="H101" s="650">
        <v>6</v>
      </c>
      <c r="I101" s="650">
        <v>7</v>
      </c>
      <c r="J101" s="125"/>
      <c r="K101" s="36"/>
      <c r="L101" s="36"/>
      <c r="M101" s="36"/>
      <c r="N101" s="36"/>
    </row>
    <row r="102" spans="1:14" hidden="1" outlineLevel="1" x14ac:dyDescent="0.2">
      <c r="A102" s="125"/>
      <c r="B102" s="148"/>
      <c r="C102" s="125"/>
      <c r="D102" s="630">
        <f>FirstYear</f>
        <v>2021</v>
      </c>
      <c r="E102" s="630">
        <f>D102+1</f>
        <v>2022</v>
      </c>
      <c r="F102" s="630">
        <f>E102+1</f>
        <v>2023</v>
      </c>
      <c r="G102" s="630">
        <f>F102+1</f>
        <v>2024</v>
      </c>
      <c r="H102" s="630">
        <f>G102+1</f>
        <v>2025</v>
      </c>
      <c r="I102" s="630">
        <f>H102+1</f>
        <v>2026</v>
      </c>
      <c r="J102" s="125"/>
      <c r="K102" s="125"/>
      <c r="L102" s="125"/>
      <c r="M102" s="125"/>
      <c r="N102" s="125"/>
    </row>
    <row r="103" spans="1:14" hidden="1" outlineLevel="1" x14ac:dyDescent="0.2">
      <c r="A103" s="125"/>
      <c r="B103" s="298">
        <v>1</v>
      </c>
      <c r="C103" s="294" t="s">
        <v>86</v>
      </c>
      <c r="D103" s="282">
        <f t="shared" ref="D103:I103" si="41">INDEX(PBSScriptsNew,$B100,D101)*INDEX(DPMQCoPayNewEff,$B100,$B103)</f>
        <v>0</v>
      </c>
      <c r="E103" s="282">
        <f t="shared" si="41"/>
        <v>0</v>
      </c>
      <c r="F103" s="282">
        <f t="shared" si="41"/>
        <v>0</v>
      </c>
      <c r="G103" s="282">
        <f t="shared" si="41"/>
        <v>0</v>
      </c>
      <c r="H103" s="282">
        <f t="shared" si="41"/>
        <v>0</v>
      </c>
      <c r="I103" s="282">
        <f t="shared" si="41"/>
        <v>0</v>
      </c>
      <c r="J103" s="125"/>
      <c r="K103" s="125"/>
      <c r="L103" s="125"/>
      <c r="M103" s="125"/>
      <c r="N103" s="125"/>
    </row>
    <row r="104" spans="1:14" hidden="1" outlineLevel="1" x14ac:dyDescent="0.2">
      <c r="A104" s="125"/>
      <c r="B104" s="298">
        <v>3</v>
      </c>
      <c r="C104" s="5" t="s">
        <v>111</v>
      </c>
      <c r="D104" s="282">
        <f t="shared" ref="D104:I104" si="42">INDEX(PBSScriptsNew,$B100,D101)*(INDEX(DPMQCoPayNewEff,$B100,$B104)/INDEX(CoPayCountNew,$B100))</f>
        <v>0</v>
      </c>
      <c r="E104" s="282">
        <f t="shared" si="42"/>
        <v>0</v>
      </c>
      <c r="F104" s="282">
        <f t="shared" si="42"/>
        <v>0</v>
      </c>
      <c r="G104" s="282">
        <f t="shared" si="42"/>
        <v>0</v>
      </c>
      <c r="H104" s="282">
        <f t="shared" si="42"/>
        <v>0</v>
      </c>
      <c r="I104" s="282">
        <f t="shared" si="42"/>
        <v>0</v>
      </c>
      <c r="J104" s="125"/>
      <c r="K104" s="811" t="str">
        <f>IF(B101&lt;&gt;0,MsgNote&amp;IF(B101="Yes",INDEX(CoPayMethod,1),INDEX(CoPayMethod,2)),"")</f>
        <v/>
      </c>
      <c r="L104" s="811"/>
      <c r="M104" s="811"/>
      <c r="N104" s="628"/>
    </row>
    <row r="105" spans="1:14" hidden="1" outlineLevel="1" x14ac:dyDescent="0.2">
      <c r="A105" s="125"/>
      <c r="B105" s="300"/>
      <c r="C105" s="5" t="s">
        <v>88</v>
      </c>
      <c r="D105" s="282">
        <f t="shared" ref="D105:I105" si="43">D103+D104</f>
        <v>0</v>
      </c>
      <c r="E105" s="282">
        <f t="shared" si="43"/>
        <v>0</v>
      </c>
      <c r="F105" s="282">
        <f t="shared" si="43"/>
        <v>0</v>
      </c>
      <c r="G105" s="282">
        <f t="shared" si="43"/>
        <v>0</v>
      </c>
      <c r="H105" s="282">
        <f t="shared" si="43"/>
        <v>0</v>
      </c>
      <c r="I105" s="282">
        <f t="shared" si="43"/>
        <v>0</v>
      </c>
      <c r="J105" s="125"/>
      <c r="K105" s="125"/>
      <c r="L105" s="125"/>
      <c r="M105" s="125"/>
      <c r="N105" s="125"/>
    </row>
    <row r="106" spans="1:14" hidden="1" outlineLevel="1" x14ac:dyDescent="0.2">
      <c r="A106" s="125"/>
      <c r="B106" s="300"/>
      <c r="C106" s="125"/>
      <c r="D106" s="125"/>
      <c r="E106" s="125"/>
      <c r="F106" s="125"/>
      <c r="G106" s="125"/>
      <c r="H106" s="125"/>
      <c r="I106" s="125"/>
      <c r="J106" s="125"/>
      <c r="K106" s="125"/>
      <c r="L106" s="125"/>
      <c r="M106" s="125"/>
      <c r="N106" s="125"/>
    </row>
    <row r="107" spans="1:14" ht="15.75" hidden="1" outlineLevel="1" x14ac:dyDescent="0.2">
      <c r="A107" s="125"/>
      <c r="B107" s="300"/>
      <c r="C107" s="655"/>
      <c r="D107" s="630">
        <f>FirstYear</f>
        <v>2021</v>
      </c>
      <c r="E107" s="630">
        <f>D107+1</f>
        <v>2022</v>
      </c>
      <c r="F107" s="630">
        <f>E107+1</f>
        <v>2023</v>
      </c>
      <c r="G107" s="630">
        <f>F107+1</f>
        <v>2024</v>
      </c>
      <c r="H107" s="630">
        <f>G107+1</f>
        <v>2025</v>
      </c>
      <c r="I107" s="630">
        <f>H107+1</f>
        <v>2026</v>
      </c>
      <c r="J107" s="125"/>
      <c r="K107" s="125"/>
      <c r="L107" s="125"/>
      <c r="M107" s="125"/>
      <c r="N107" s="125"/>
    </row>
    <row r="108" spans="1:14" hidden="1" outlineLevel="1" x14ac:dyDescent="0.2">
      <c r="A108" s="125"/>
      <c r="B108" s="298">
        <v>1</v>
      </c>
      <c r="C108" s="294" t="s">
        <v>87</v>
      </c>
      <c r="D108" s="282">
        <f t="shared" ref="D108:I108" si="44">INDEX(RPBSScriptsNew,$B100,D101)*INDEX(DPMQCoPayNewEff,$B100,$B108)</f>
        <v>0</v>
      </c>
      <c r="E108" s="282">
        <f t="shared" si="44"/>
        <v>0</v>
      </c>
      <c r="F108" s="282">
        <f t="shared" si="44"/>
        <v>0</v>
      </c>
      <c r="G108" s="282">
        <f t="shared" si="44"/>
        <v>0</v>
      </c>
      <c r="H108" s="282">
        <f t="shared" si="44"/>
        <v>0</v>
      </c>
      <c r="I108" s="282">
        <f t="shared" si="44"/>
        <v>0</v>
      </c>
      <c r="J108" s="125"/>
      <c r="K108" s="125"/>
      <c r="L108" s="125"/>
      <c r="M108" s="125"/>
      <c r="N108" s="125"/>
    </row>
    <row r="109" spans="1:14" hidden="1" outlineLevel="1" x14ac:dyDescent="0.2">
      <c r="A109" s="125"/>
      <c r="B109" s="298">
        <v>4</v>
      </c>
      <c r="C109" s="5" t="s">
        <v>111</v>
      </c>
      <c r="D109" s="282">
        <f t="shared" ref="D109:I109" si="45">INDEX(RPBSScriptsNew,$B100,D101)*(INDEX(DPMQCoPayNewEff,$B100,$B109)/INDEX(CoPayCountNew,$B100))</f>
        <v>0</v>
      </c>
      <c r="E109" s="282">
        <f t="shared" si="45"/>
        <v>0</v>
      </c>
      <c r="F109" s="282">
        <f t="shared" si="45"/>
        <v>0</v>
      </c>
      <c r="G109" s="282">
        <f t="shared" si="45"/>
        <v>0</v>
      </c>
      <c r="H109" s="282">
        <f t="shared" si="45"/>
        <v>0</v>
      </c>
      <c r="I109" s="282">
        <f t="shared" si="45"/>
        <v>0</v>
      </c>
      <c r="J109" s="125"/>
      <c r="K109" s="125"/>
      <c r="L109" s="125"/>
      <c r="M109" s="125"/>
      <c r="N109" s="125"/>
    </row>
    <row r="110" spans="1:14" hidden="1" outlineLevel="1" x14ac:dyDescent="0.2">
      <c r="A110" s="125"/>
      <c r="B110" s="300"/>
      <c r="C110" s="5" t="s">
        <v>89</v>
      </c>
      <c r="D110" s="282">
        <f t="shared" ref="D110:I110" si="46">D108+D109</f>
        <v>0</v>
      </c>
      <c r="E110" s="282">
        <f t="shared" si="46"/>
        <v>0</v>
      </c>
      <c r="F110" s="282">
        <f t="shared" si="46"/>
        <v>0</v>
      </c>
      <c r="G110" s="282">
        <f t="shared" si="46"/>
        <v>0</v>
      </c>
      <c r="H110" s="282">
        <f t="shared" si="46"/>
        <v>0</v>
      </c>
      <c r="I110" s="282">
        <f t="shared" si="46"/>
        <v>0</v>
      </c>
      <c r="J110" s="125"/>
      <c r="K110" s="125"/>
      <c r="L110" s="125"/>
      <c r="M110" s="125"/>
      <c r="N110" s="125"/>
    </row>
    <row r="111" spans="1:14" collapsed="1" x14ac:dyDescent="0.2">
      <c r="A111" s="125"/>
      <c r="B111" s="300"/>
      <c r="C111" s="658"/>
      <c r="D111" s="658"/>
      <c r="E111" s="658"/>
      <c r="F111" s="36"/>
      <c r="G111" s="36"/>
      <c r="H111" s="36"/>
      <c r="I111" s="36"/>
      <c r="J111" s="36"/>
      <c r="K111" s="36"/>
      <c r="L111" s="36"/>
      <c r="M111" s="36"/>
      <c r="N111" s="36"/>
    </row>
    <row r="112" spans="1:14" ht="15" x14ac:dyDescent="0.2">
      <c r="A112" s="125"/>
      <c r="B112" s="298">
        <v>8</v>
      </c>
      <c r="C112" s="147" t="str">
        <f>IF(SPANewFlag&lt;&gt;0,INDEX(PBSScriptsNew,B112,1),MsgNotUsed)</f>
        <v>** NOT USED **</v>
      </c>
      <c r="D112" s="139"/>
      <c r="E112" s="139"/>
      <c r="F112" s="139"/>
      <c r="G112" s="139"/>
      <c r="H112" s="139"/>
      <c r="I112" s="139"/>
      <c r="J112" s="133"/>
      <c r="K112" s="132"/>
      <c r="L112" s="821" t="str">
        <f>IF(C112&lt;&gt;MsgNotUsed,"Co-payment group " &amp; INDEX(DPMQCoPayNewEff,B112,2),"")</f>
        <v/>
      </c>
      <c r="M112" s="821"/>
      <c r="N112" s="633"/>
    </row>
    <row r="113" spans="1:14" hidden="1" outlineLevel="1" x14ac:dyDescent="0.2">
      <c r="A113" s="125"/>
      <c r="B113" s="242">
        <f>INDEX(SANew,B112,5)</f>
        <v>0</v>
      </c>
      <c r="C113" s="658"/>
      <c r="D113" s="697">
        <v>2</v>
      </c>
      <c r="E113" s="697">
        <v>3</v>
      </c>
      <c r="F113" s="650">
        <v>4</v>
      </c>
      <c r="G113" s="650">
        <v>5</v>
      </c>
      <c r="H113" s="650">
        <v>6</v>
      </c>
      <c r="I113" s="650">
        <v>7</v>
      </c>
      <c r="J113" s="125"/>
      <c r="K113" s="36"/>
      <c r="L113" s="36"/>
      <c r="M113" s="36"/>
      <c r="N113" s="36"/>
    </row>
    <row r="114" spans="1:14" hidden="1" outlineLevel="1" x14ac:dyDescent="0.2">
      <c r="A114" s="125"/>
      <c r="B114" s="148"/>
      <c r="C114" s="125"/>
      <c r="D114" s="630">
        <f>FirstYear</f>
        <v>2021</v>
      </c>
      <c r="E114" s="630">
        <f>D114+1</f>
        <v>2022</v>
      </c>
      <c r="F114" s="630">
        <f>E114+1</f>
        <v>2023</v>
      </c>
      <c r="G114" s="630">
        <f>F114+1</f>
        <v>2024</v>
      </c>
      <c r="H114" s="630">
        <f>G114+1</f>
        <v>2025</v>
      </c>
      <c r="I114" s="630">
        <f>H114+1</f>
        <v>2026</v>
      </c>
      <c r="J114" s="125"/>
      <c r="K114" s="125"/>
      <c r="L114" s="125"/>
      <c r="M114" s="125"/>
      <c r="N114" s="125"/>
    </row>
    <row r="115" spans="1:14" hidden="1" outlineLevel="1" x14ac:dyDescent="0.2">
      <c r="A115" s="125"/>
      <c r="B115" s="298">
        <v>1</v>
      </c>
      <c r="C115" s="294" t="s">
        <v>86</v>
      </c>
      <c r="D115" s="282">
        <f t="shared" ref="D115:I115" si="47">INDEX(PBSScriptsNew,$B112,D113)*INDEX(DPMQCoPayNewEff,$B112,$B115)</f>
        <v>0</v>
      </c>
      <c r="E115" s="282">
        <f t="shared" si="47"/>
        <v>0</v>
      </c>
      <c r="F115" s="282">
        <f t="shared" si="47"/>
        <v>0</v>
      </c>
      <c r="G115" s="282">
        <f t="shared" si="47"/>
        <v>0</v>
      </c>
      <c r="H115" s="282">
        <f t="shared" si="47"/>
        <v>0</v>
      </c>
      <c r="I115" s="282">
        <f t="shared" si="47"/>
        <v>0</v>
      </c>
      <c r="J115" s="125"/>
      <c r="K115" s="125"/>
      <c r="L115" s="125"/>
      <c r="M115" s="125"/>
      <c r="N115" s="125"/>
    </row>
    <row r="116" spans="1:14" hidden="1" outlineLevel="1" x14ac:dyDescent="0.2">
      <c r="A116" s="125"/>
      <c r="B116" s="298">
        <v>3</v>
      </c>
      <c r="C116" s="5" t="s">
        <v>111</v>
      </c>
      <c r="D116" s="282">
        <f t="shared" ref="D116:I116" si="48">INDEX(PBSScriptsNew,$B112,D113)*(INDEX(DPMQCoPayNewEff,$B112,$B116)/INDEX(CoPayCountNew,$B112))</f>
        <v>0</v>
      </c>
      <c r="E116" s="282">
        <f t="shared" si="48"/>
        <v>0</v>
      </c>
      <c r="F116" s="282">
        <f t="shared" si="48"/>
        <v>0</v>
      </c>
      <c r="G116" s="282">
        <f t="shared" si="48"/>
        <v>0</v>
      </c>
      <c r="H116" s="282">
        <f t="shared" si="48"/>
        <v>0</v>
      </c>
      <c r="I116" s="282">
        <f t="shared" si="48"/>
        <v>0</v>
      </c>
      <c r="J116" s="125"/>
      <c r="K116" s="811" t="str">
        <f>IF(B113&lt;&gt;0,MsgNote&amp;IF(B113="Yes",INDEX(CoPayMethod,1),INDEX(CoPayMethod,2)),"")</f>
        <v/>
      </c>
      <c r="L116" s="811"/>
      <c r="M116" s="811"/>
      <c r="N116" s="628"/>
    </row>
    <row r="117" spans="1:14" hidden="1" outlineLevel="1" x14ac:dyDescent="0.2">
      <c r="A117" s="125"/>
      <c r="B117" s="300"/>
      <c r="C117" s="5" t="s">
        <v>88</v>
      </c>
      <c r="D117" s="282">
        <f t="shared" ref="D117:I117" si="49">D115+D116</f>
        <v>0</v>
      </c>
      <c r="E117" s="282">
        <f t="shared" si="49"/>
        <v>0</v>
      </c>
      <c r="F117" s="282">
        <f t="shared" si="49"/>
        <v>0</v>
      </c>
      <c r="G117" s="282">
        <f t="shared" si="49"/>
        <v>0</v>
      </c>
      <c r="H117" s="282">
        <f t="shared" si="49"/>
        <v>0</v>
      </c>
      <c r="I117" s="282">
        <f t="shared" si="49"/>
        <v>0</v>
      </c>
      <c r="J117" s="125"/>
      <c r="K117" s="125"/>
      <c r="L117" s="125"/>
      <c r="M117" s="125"/>
      <c r="N117" s="125"/>
    </row>
    <row r="118" spans="1:14" hidden="1" outlineLevel="1" x14ac:dyDescent="0.2">
      <c r="A118" s="125"/>
      <c r="B118" s="300"/>
      <c r="C118" s="125"/>
      <c r="D118" s="125"/>
      <c r="E118" s="125"/>
      <c r="F118" s="125"/>
      <c r="G118" s="125"/>
      <c r="H118" s="125"/>
      <c r="I118" s="125"/>
      <c r="J118" s="125"/>
      <c r="K118" s="125"/>
      <c r="L118" s="125"/>
      <c r="M118" s="125"/>
      <c r="N118" s="125"/>
    </row>
    <row r="119" spans="1:14" ht="15.75" hidden="1" outlineLevel="1" x14ac:dyDescent="0.2">
      <c r="A119" s="125"/>
      <c r="B119" s="300"/>
      <c r="C119" s="655"/>
      <c r="D119" s="630">
        <f>FirstYear</f>
        <v>2021</v>
      </c>
      <c r="E119" s="630">
        <f>D119+1</f>
        <v>2022</v>
      </c>
      <c r="F119" s="630">
        <f>E119+1</f>
        <v>2023</v>
      </c>
      <c r="G119" s="630">
        <f>F119+1</f>
        <v>2024</v>
      </c>
      <c r="H119" s="630">
        <f>G119+1</f>
        <v>2025</v>
      </c>
      <c r="I119" s="630">
        <f>H119+1</f>
        <v>2026</v>
      </c>
      <c r="J119" s="125"/>
      <c r="K119" s="125"/>
      <c r="L119" s="125"/>
      <c r="M119" s="125"/>
      <c r="N119" s="125"/>
    </row>
    <row r="120" spans="1:14" hidden="1" outlineLevel="1" x14ac:dyDescent="0.2">
      <c r="A120" s="125"/>
      <c r="B120" s="298">
        <v>1</v>
      </c>
      <c r="C120" s="294" t="s">
        <v>87</v>
      </c>
      <c r="D120" s="282">
        <f t="shared" ref="D120:I120" si="50">INDEX(RPBSScriptsNew,$B112,D113)*INDEX(DPMQCoPayNewEff,$B112,$B120)</f>
        <v>0</v>
      </c>
      <c r="E120" s="282">
        <f t="shared" si="50"/>
        <v>0</v>
      </c>
      <c r="F120" s="282">
        <f t="shared" si="50"/>
        <v>0</v>
      </c>
      <c r="G120" s="282">
        <f t="shared" si="50"/>
        <v>0</v>
      </c>
      <c r="H120" s="282">
        <f t="shared" si="50"/>
        <v>0</v>
      </c>
      <c r="I120" s="282">
        <f t="shared" si="50"/>
        <v>0</v>
      </c>
      <c r="J120" s="125"/>
      <c r="K120" s="125"/>
      <c r="L120" s="125"/>
      <c r="M120" s="125"/>
      <c r="N120" s="125"/>
    </row>
    <row r="121" spans="1:14" hidden="1" outlineLevel="1" x14ac:dyDescent="0.2">
      <c r="A121" s="125"/>
      <c r="B121" s="298">
        <v>4</v>
      </c>
      <c r="C121" s="5" t="s">
        <v>111</v>
      </c>
      <c r="D121" s="282">
        <f t="shared" ref="D121:I121" si="51">INDEX(RPBSScriptsNew,$B112,D113)*(INDEX(DPMQCoPayNewEff,$B112,$B121)/INDEX(CoPayCountNew,$B112))</f>
        <v>0</v>
      </c>
      <c r="E121" s="282">
        <f t="shared" si="51"/>
        <v>0</v>
      </c>
      <c r="F121" s="282">
        <f t="shared" si="51"/>
        <v>0</v>
      </c>
      <c r="G121" s="282">
        <f t="shared" si="51"/>
        <v>0</v>
      </c>
      <c r="H121" s="282">
        <f t="shared" si="51"/>
        <v>0</v>
      </c>
      <c r="I121" s="282">
        <f t="shared" si="51"/>
        <v>0</v>
      </c>
      <c r="J121" s="125"/>
      <c r="K121" s="125"/>
      <c r="L121" s="125"/>
      <c r="M121" s="125"/>
      <c r="N121" s="125"/>
    </row>
    <row r="122" spans="1:14" hidden="1" outlineLevel="1" x14ac:dyDescent="0.2">
      <c r="A122" s="125"/>
      <c r="B122" s="300"/>
      <c r="C122" s="5" t="s">
        <v>89</v>
      </c>
      <c r="D122" s="282">
        <f t="shared" ref="D122:I122" si="52">D120+D121</f>
        <v>0</v>
      </c>
      <c r="E122" s="282">
        <f t="shared" si="52"/>
        <v>0</v>
      </c>
      <c r="F122" s="282">
        <f t="shared" si="52"/>
        <v>0</v>
      </c>
      <c r="G122" s="282">
        <f t="shared" si="52"/>
        <v>0</v>
      </c>
      <c r="H122" s="282">
        <f t="shared" si="52"/>
        <v>0</v>
      </c>
      <c r="I122" s="282">
        <f t="shared" si="52"/>
        <v>0</v>
      </c>
      <c r="J122" s="125"/>
      <c r="K122" s="125"/>
      <c r="L122" s="125"/>
      <c r="M122" s="125"/>
      <c r="N122" s="125"/>
    </row>
    <row r="123" spans="1:14" collapsed="1" x14ac:dyDescent="0.2">
      <c r="A123" s="125"/>
      <c r="B123" s="300"/>
      <c r="C123" s="658"/>
      <c r="D123" s="658"/>
      <c r="E123" s="658"/>
      <c r="F123" s="36"/>
      <c r="G123" s="36"/>
      <c r="H123" s="36"/>
      <c r="I123" s="36"/>
      <c r="J123" s="36"/>
      <c r="K123" s="36"/>
      <c r="L123" s="36"/>
      <c r="M123" s="36"/>
      <c r="N123" s="36"/>
    </row>
    <row r="124" spans="1:14" ht="15" x14ac:dyDescent="0.2">
      <c r="A124" s="125"/>
      <c r="B124" s="298">
        <v>9</v>
      </c>
      <c r="C124" s="147" t="str">
        <f>IF(SPANewFlag&lt;&gt;0,INDEX(PBSScriptsNew,B124,1),MsgNotUsed)</f>
        <v>** NOT USED **</v>
      </c>
      <c r="D124" s="139"/>
      <c r="E124" s="139"/>
      <c r="F124" s="139"/>
      <c r="G124" s="139"/>
      <c r="H124" s="139"/>
      <c r="I124" s="139"/>
      <c r="J124" s="133"/>
      <c r="K124" s="132"/>
      <c r="L124" s="821" t="str">
        <f>IF(C124&lt;&gt;MsgNotUsed,"Co-payment group " &amp; INDEX(DPMQCoPayNewEff,B124,2),"")</f>
        <v/>
      </c>
      <c r="M124" s="821"/>
      <c r="N124" s="633"/>
    </row>
    <row r="125" spans="1:14" hidden="1" outlineLevel="1" x14ac:dyDescent="0.2">
      <c r="A125" s="125"/>
      <c r="B125" s="242">
        <f>INDEX(SANew,B124,5)</f>
        <v>0</v>
      </c>
      <c r="C125" s="658"/>
      <c r="D125" s="697">
        <v>2</v>
      </c>
      <c r="E125" s="697">
        <v>3</v>
      </c>
      <c r="F125" s="650">
        <v>4</v>
      </c>
      <c r="G125" s="650">
        <v>5</v>
      </c>
      <c r="H125" s="650">
        <v>6</v>
      </c>
      <c r="I125" s="650">
        <v>7</v>
      </c>
      <c r="J125" s="125"/>
      <c r="K125" s="36"/>
      <c r="L125" s="36"/>
      <c r="M125" s="36"/>
      <c r="N125" s="36"/>
    </row>
    <row r="126" spans="1:14" hidden="1" outlineLevel="1" x14ac:dyDescent="0.2">
      <c r="A126" s="125"/>
      <c r="B126" s="148"/>
      <c r="C126" s="125"/>
      <c r="D126" s="630">
        <f>FirstYear</f>
        <v>2021</v>
      </c>
      <c r="E126" s="630">
        <f>D126+1</f>
        <v>2022</v>
      </c>
      <c r="F126" s="630">
        <f>E126+1</f>
        <v>2023</v>
      </c>
      <c r="G126" s="630">
        <f>F126+1</f>
        <v>2024</v>
      </c>
      <c r="H126" s="630">
        <f>G126+1</f>
        <v>2025</v>
      </c>
      <c r="I126" s="630">
        <f>H126+1</f>
        <v>2026</v>
      </c>
      <c r="J126" s="125"/>
      <c r="K126" s="125"/>
      <c r="L126" s="125"/>
      <c r="M126" s="125"/>
      <c r="N126" s="125"/>
    </row>
    <row r="127" spans="1:14" hidden="1" outlineLevel="1" x14ac:dyDescent="0.2">
      <c r="A127" s="125"/>
      <c r="B127" s="298">
        <v>1</v>
      </c>
      <c r="C127" s="294" t="s">
        <v>86</v>
      </c>
      <c r="D127" s="282">
        <f t="shared" ref="D127:I127" si="53">INDEX(PBSScriptsNew,$B124,D125)*INDEX(DPMQCoPayNewEff,$B124,$B127)</f>
        <v>0</v>
      </c>
      <c r="E127" s="282">
        <f t="shared" si="53"/>
        <v>0</v>
      </c>
      <c r="F127" s="282">
        <f t="shared" si="53"/>
        <v>0</v>
      </c>
      <c r="G127" s="282">
        <f t="shared" si="53"/>
        <v>0</v>
      </c>
      <c r="H127" s="282">
        <f t="shared" si="53"/>
        <v>0</v>
      </c>
      <c r="I127" s="282">
        <f t="shared" si="53"/>
        <v>0</v>
      </c>
      <c r="J127" s="125"/>
      <c r="K127" s="125"/>
      <c r="L127" s="125"/>
      <c r="M127" s="125"/>
      <c r="N127" s="125"/>
    </row>
    <row r="128" spans="1:14" hidden="1" outlineLevel="1" x14ac:dyDescent="0.2">
      <c r="A128" s="125"/>
      <c r="B128" s="298">
        <v>3</v>
      </c>
      <c r="C128" s="5" t="s">
        <v>111</v>
      </c>
      <c r="D128" s="282">
        <f t="shared" ref="D128:I128" si="54">INDEX(PBSScriptsNew,$B124,D125)*(INDEX(DPMQCoPayNewEff,$B124,$B128)/INDEX(CoPayCountNew,$B124))</f>
        <v>0</v>
      </c>
      <c r="E128" s="282">
        <f t="shared" si="54"/>
        <v>0</v>
      </c>
      <c r="F128" s="282">
        <f t="shared" si="54"/>
        <v>0</v>
      </c>
      <c r="G128" s="282">
        <f t="shared" si="54"/>
        <v>0</v>
      </c>
      <c r="H128" s="282">
        <f t="shared" si="54"/>
        <v>0</v>
      </c>
      <c r="I128" s="282">
        <f t="shared" si="54"/>
        <v>0</v>
      </c>
      <c r="J128" s="125"/>
      <c r="K128" s="811" t="str">
        <f>IF(B125&lt;&gt;0,MsgNote&amp;IF(B125="Yes",INDEX(CoPayMethod,1),INDEX(CoPayMethod,2)),"")</f>
        <v/>
      </c>
      <c r="L128" s="811"/>
      <c r="M128" s="811"/>
      <c r="N128" s="628"/>
    </row>
    <row r="129" spans="1:14" hidden="1" outlineLevel="1" x14ac:dyDescent="0.2">
      <c r="A129" s="125"/>
      <c r="B129" s="300"/>
      <c r="C129" s="5" t="s">
        <v>88</v>
      </c>
      <c r="D129" s="282">
        <f t="shared" ref="D129:I129" si="55">D127+D128</f>
        <v>0</v>
      </c>
      <c r="E129" s="282">
        <f t="shared" si="55"/>
        <v>0</v>
      </c>
      <c r="F129" s="282">
        <f t="shared" si="55"/>
        <v>0</v>
      </c>
      <c r="G129" s="282">
        <f t="shared" si="55"/>
        <v>0</v>
      </c>
      <c r="H129" s="282">
        <f t="shared" si="55"/>
        <v>0</v>
      </c>
      <c r="I129" s="282">
        <f t="shared" si="55"/>
        <v>0</v>
      </c>
      <c r="J129" s="125"/>
      <c r="K129" s="125"/>
      <c r="L129" s="125"/>
      <c r="M129" s="125"/>
      <c r="N129" s="125"/>
    </row>
    <row r="130" spans="1:14" hidden="1" outlineLevel="1" x14ac:dyDescent="0.2">
      <c r="A130" s="125"/>
      <c r="B130" s="300"/>
      <c r="C130" s="125"/>
      <c r="D130" s="125"/>
      <c r="E130" s="125"/>
      <c r="F130" s="125"/>
      <c r="G130" s="125"/>
      <c r="H130" s="125"/>
      <c r="I130" s="125"/>
      <c r="J130" s="125"/>
      <c r="K130" s="125"/>
      <c r="L130" s="125"/>
      <c r="M130" s="125"/>
      <c r="N130" s="125"/>
    </row>
    <row r="131" spans="1:14" ht="15.75" hidden="1" outlineLevel="1" x14ac:dyDescent="0.2">
      <c r="A131" s="125"/>
      <c r="B131" s="300"/>
      <c r="C131" s="655"/>
      <c r="D131" s="630">
        <f>FirstYear</f>
        <v>2021</v>
      </c>
      <c r="E131" s="630">
        <f>D131+1</f>
        <v>2022</v>
      </c>
      <c r="F131" s="630">
        <f>E131+1</f>
        <v>2023</v>
      </c>
      <c r="G131" s="630">
        <f>F131+1</f>
        <v>2024</v>
      </c>
      <c r="H131" s="630">
        <f>G131+1</f>
        <v>2025</v>
      </c>
      <c r="I131" s="630">
        <f>H131+1</f>
        <v>2026</v>
      </c>
      <c r="J131" s="125"/>
      <c r="K131" s="125"/>
      <c r="L131" s="125"/>
      <c r="M131" s="125"/>
      <c r="N131" s="125"/>
    </row>
    <row r="132" spans="1:14" hidden="1" outlineLevel="1" x14ac:dyDescent="0.2">
      <c r="A132" s="125"/>
      <c r="B132" s="298">
        <v>1</v>
      </c>
      <c r="C132" s="294" t="s">
        <v>87</v>
      </c>
      <c r="D132" s="282">
        <f t="shared" ref="D132:I132" si="56">INDEX(RPBSScriptsNew,$B124,D125)*INDEX(DPMQCoPayNewEff,$B124,$B132)</f>
        <v>0</v>
      </c>
      <c r="E132" s="282">
        <f t="shared" si="56"/>
        <v>0</v>
      </c>
      <c r="F132" s="282">
        <f t="shared" si="56"/>
        <v>0</v>
      </c>
      <c r="G132" s="282">
        <f t="shared" si="56"/>
        <v>0</v>
      </c>
      <c r="H132" s="282">
        <f t="shared" si="56"/>
        <v>0</v>
      </c>
      <c r="I132" s="282">
        <f t="shared" si="56"/>
        <v>0</v>
      </c>
      <c r="J132" s="125"/>
      <c r="K132" s="125"/>
      <c r="L132" s="125"/>
      <c r="M132" s="125"/>
      <c r="N132" s="125"/>
    </row>
    <row r="133" spans="1:14" hidden="1" outlineLevel="1" x14ac:dyDescent="0.2">
      <c r="A133" s="125"/>
      <c r="B133" s="298">
        <v>4</v>
      </c>
      <c r="C133" s="5" t="s">
        <v>111</v>
      </c>
      <c r="D133" s="282">
        <f t="shared" ref="D133:I133" si="57">INDEX(RPBSScriptsNew,$B124,D125)*(INDEX(DPMQCoPayNewEff,$B124,$B133)/INDEX(CoPayCountNew,$B124))</f>
        <v>0</v>
      </c>
      <c r="E133" s="282">
        <f t="shared" si="57"/>
        <v>0</v>
      </c>
      <c r="F133" s="282">
        <f t="shared" si="57"/>
        <v>0</v>
      </c>
      <c r="G133" s="282">
        <f t="shared" si="57"/>
        <v>0</v>
      </c>
      <c r="H133" s="282">
        <f t="shared" si="57"/>
        <v>0</v>
      </c>
      <c r="I133" s="282">
        <f t="shared" si="57"/>
        <v>0</v>
      </c>
      <c r="J133" s="125"/>
      <c r="K133" s="125"/>
      <c r="L133" s="125"/>
      <c r="M133" s="125"/>
      <c r="N133" s="125"/>
    </row>
    <row r="134" spans="1:14" hidden="1" outlineLevel="1" x14ac:dyDescent="0.2">
      <c r="A134" s="125"/>
      <c r="B134" s="300"/>
      <c r="C134" s="5" t="s">
        <v>89</v>
      </c>
      <c r="D134" s="282">
        <f t="shared" ref="D134:I134" si="58">D132+D133</f>
        <v>0</v>
      </c>
      <c r="E134" s="282">
        <f t="shared" si="58"/>
        <v>0</v>
      </c>
      <c r="F134" s="282">
        <f t="shared" si="58"/>
        <v>0</v>
      </c>
      <c r="G134" s="282">
        <f t="shared" si="58"/>
        <v>0</v>
      </c>
      <c r="H134" s="282">
        <f t="shared" si="58"/>
        <v>0</v>
      </c>
      <c r="I134" s="282">
        <f t="shared" si="58"/>
        <v>0</v>
      </c>
      <c r="J134" s="125"/>
      <c r="K134" s="125"/>
      <c r="L134" s="125"/>
      <c r="M134" s="125"/>
      <c r="N134" s="125"/>
    </row>
    <row r="135" spans="1:14" collapsed="1" x14ac:dyDescent="0.2">
      <c r="A135" s="125"/>
      <c r="B135" s="300"/>
      <c r="C135" s="658"/>
      <c r="D135" s="658"/>
      <c r="E135" s="658"/>
      <c r="F135" s="36"/>
      <c r="G135" s="36"/>
      <c r="H135" s="36"/>
      <c r="I135" s="36"/>
      <c r="J135" s="36"/>
      <c r="K135" s="36"/>
      <c r="L135" s="36"/>
      <c r="M135" s="36"/>
      <c r="N135" s="36"/>
    </row>
    <row r="136" spans="1:14" ht="15" x14ac:dyDescent="0.2">
      <c r="A136" s="125"/>
      <c r="B136" s="298">
        <v>10</v>
      </c>
      <c r="C136" s="147" t="str">
        <f>IF(SPANewFlag&lt;&gt;0,INDEX(PBSScriptsNew,B136,1),MsgNotUsed)</f>
        <v>** NOT USED **</v>
      </c>
      <c r="D136" s="139"/>
      <c r="E136" s="139"/>
      <c r="F136" s="139"/>
      <c r="G136" s="139"/>
      <c r="H136" s="139"/>
      <c r="I136" s="139"/>
      <c r="J136" s="133"/>
      <c r="K136" s="132"/>
      <c r="L136" s="821" t="str">
        <f>IF(C136&lt;&gt;MsgNotUsed,"Co-payment group " &amp; INDEX(DPMQCoPayNewEff,B136,2),"")</f>
        <v/>
      </c>
      <c r="M136" s="821"/>
      <c r="N136" s="633"/>
    </row>
    <row r="137" spans="1:14" hidden="1" outlineLevel="1" x14ac:dyDescent="0.2">
      <c r="A137" s="125"/>
      <c r="B137" s="242">
        <f>INDEX(SANew,B136,5)</f>
        <v>0</v>
      </c>
      <c r="C137" s="658"/>
      <c r="D137" s="697">
        <v>2</v>
      </c>
      <c r="E137" s="697">
        <v>3</v>
      </c>
      <c r="F137" s="650">
        <v>4</v>
      </c>
      <c r="G137" s="650">
        <v>5</v>
      </c>
      <c r="H137" s="650">
        <v>6</v>
      </c>
      <c r="I137" s="650">
        <v>7</v>
      </c>
      <c r="J137" s="125"/>
      <c r="K137" s="36"/>
      <c r="L137" s="36"/>
      <c r="M137" s="36"/>
      <c r="N137" s="36"/>
    </row>
    <row r="138" spans="1:14" hidden="1" outlineLevel="1" x14ac:dyDescent="0.2">
      <c r="A138" s="125"/>
      <c r="B138" s="148"/>
      <c r="C138" s="125"/>
      <c r="D138" s="630">
        <f>FirstYear</f>
        <v>2021</v>
      </c>
      <c r="E138" s="630">
        <f>D138+1</f>
        <v>2022</v>
      </c>
      <c r="F138" s="630">
        <f>E138+1</f>
        <v>2023</v>
      </c>
      <c r="G138" s="630">
        <f>F138+1</f>
        <v>2024</v>
      </c>
      <c r="H138" s="630">
        <f>G138+1</f>
        <v>2025</v>
      </c>
      <c r="I138" s="630">
        <f>H138+1</f>
        <v>2026</v>
      </c>
      <c r="J138" s="125"/>
      <c r="K138" s="125"/>
      <c r="L138" s="125"/>
      <c r="M138" s="125"/>
      <c r="N138" s="125"/>
    </row>
    <row r="139" spans="1:14" hidden="1" outlineLevel="1" x14ac:dyDescent="0.2">
      <c r="A139" s="125"/>
      <c r="B139" s="298">
        <v>1</v>
      </c>
      <c r="C139" s="294" t="s">
        <v>86</v>
      </c>
      <c r="D139" s="282">
        <f t="shared" ref="D139:I139" si="59">INDEX(PBSScriptsNew,$B136,D137)*INDEX(DPMQCoPayNewEff,$B136,$B139)</f>
        <v>0</v>
      </c>
      <c r="E139" s="282">
        <f t="shared" si="59"/>
        <v>0</v>
      </c>
      <c r="F139" s="282">
        <f t="shared" si="59"/>
        <v>0</v>
      </c>
      <c r="G139" s="282">
        <f t="shared" si="59"/>
        <v>0</v>
      </c>
      <c r="H139" s="282">
        <f t="shared" si="59"/>
        <v>0</v>
      </c>
      <c r="I139" s="282">
        <f t="shared" si="59"/>
        <v>0</v>
      </c>
      <c r="J139" s="125"/>
      <c r="K139" s="125"/>
      <c r="L139" s="125"/>
      <c r="M139" s="125"/>
      <c r="N139" s="125"/>
    </row>
    <row r="140" spans="1:14" hidden="1" outlineLevel="1" x14ac:dyDescent="0.2">
      <c r="A140" s="125"/>
      <c r="B140" s="298">
        <v>3</v>
      </c>
      <c r="C140" s="5" t="s">
        <v>111</v>
      </c>
      <c r="D140" s="282">
        <f t="shared" ref="D140:I140" si="60">INDEX(PBSScriptsNew,$B136,D137)*(INDEX(DPMQCoPayNewEff,$B136,$B140)/INDEX(CoPayCountNew,$B136))</f>
        <v>0</v>
      </c>
      <c r="E140" s="282">
        <f t="shared" si="60"/>
        <v>0</v>
      </c>
      <c r="F140" s="282">
        <f t="shared" si="60"/>
        <v>0</v>
      </c>
      <c r="G140" s="282">
        <f t="shared" si="60"/>
        <v>0</v>
      </c>
      <c r="H140" s="282">
        <f t="shared" si="60"/>
        <v>0</v>
      </c>
      <c r="I140" s="282">
        <f t="shared" si="60"/>
        <v>0</v>
      </c>
      <c r="J140" s="125"/>
      <c r="K140" s="811" t="str">
        <f>IF(B137&lt;&gt;0,MsgNote&amp;IF(B137="Yes",INDEX(CoPayMethod,1),INDEX(CoPayMethod,2)),"")</f>
        <v/>
      </c>
      <c r="L140" s="811"/>
      <c r="M140" s="811"/>
      <c r="N140" s="628"/>
    </row>
    <row r="141" spans="1:14" hidden="1" outlineLevel="1" x14ac:dyDescent="0.2">
      <c r="A141" s="125"/>
      <c r="B141" s="300"/>
      <c r="C141" s="5" t="s">
        <v>88</v>
      </c>
      <c r="D141" s="282">
        <f t="shared" ref="D141:I141" si="61">D139+D140</f>
        <v>0</v>
      </c>
      <c r="E141" s="282">
        <f t="shared" si="61"/>
        <v>0</v>
      </c>
      <c r="F141" s="282">
        <f t="shared" si="61"/>
        <v>0</v>
      </c>
      <c r="G141" s="282">
        <f t="shared" si="61"/>
        <v>0</v>
      </c>
      <c r="H141" s="282">
        <f t="shared" si="61"/>
        <v>0</v>
      </c>
      <c r="I141" s="282">
        <f t="shared" si="61"/>
        <v>0</v>
      </c>
      <c r="J141" s="125"/>
      <c r="K141" s="125"/>
      <c r="L141" s="125"/>
      <c r="M141" s="125"/>
      <c r="N141" s="125"/>
    </row>
    <row r="142" spans="1:14" hidden="1" outlineLevel="1" x14ac:dyDescent="0.2">
      <c r="A142" s="125"/>
      <c r="B142" s="300"/>
      <c r="C142" s="125"/>
      <c r="D142" s="125"/>
      <c r="E142" s="125"/>
      <c r="F142" s="125"/>
      <c r="G142" s="125"/>
      <c r="H142" s="125"/>
      <c r="I142" s="125"/>
      <c r="J142" s="125"/>
      <c r="K142" s="125"/>
      <c r="L142" s="125"/>
      <c r="M142" s="125"/>
      <c r="N142" s="125"/>
    </row>
    <row r="143" spans="1:14" ht="15.75" hidden="1" outlineLevel="1" x14ac:dyDescent="0.2">
      <c r="A143" s="125"/>
      <c r="B143" s="300"/>
      <c r="C143" s="655"/>
      <c r="D143" s="630">
        <f>FirstYear</f>
        <v>2021</v>
      </c>
      <c r="E143" s="630">
        <f>D143+1</f>
        <v>2022</v>
      </c>
      <c r="F143" s="630">
        <f>E143+1</f>
        <v>2023</v>
      </c>
      <c r="G143" s="630">
        <f>F143+1</f>
        <v>2024</v>
      </c>
      <c r="H143" s="630">
        <f>G143+1</f>
        <v>2025</v>
      </c>
      <c r="I143" s="630">
        <f>H143+1</f>
        <v>2026</v>
      </c>
      <c r="J143" s="125"/>
      <c r="K143" s="125"/>
      <c r="L143" s="125"/>
      <c r="M143" s="125"/>
      <c r="N143" s="125"/>
    </row>
    <row r="144" spans="1:14" hidden="1" outlineLevel="1" x14ac:dyDescent="0.2">
      <c r="A144" s="125"/>
      <c r="B144" s="298">
        <v>1</v>
      </c>
      <c r="C144" s="294" t="s">
        <v>87</v>
      </c>
      <c r="D144" s="282">
        <f t="shared" ref="D144:I144" si="62">INDEX(RPBSScriptsNew,$B136,D137)*INDEX(DPMQCoPayNewEff,$B136,$B144)</f>
        <v>0</v>
      </c>
      <c r="E144" s="282">
        <f t="shared" si="62"/>
        <v>0</v>
      </c>
      <c r="F144" s="282">
        <f t="shared" si="62"/>
        <v>0</v>
      </c>
      <c r="G144" s="282">
        <f t="shared" si="62"/>
        <v>0</v>
      </c>
      <c r="H144" s="282">
        <f t="shared" si="62"/>
        <v>0</v>
      </c>
      <c r="I144" s="282">
        <f t="shared" si="62"/>
        <v>0</v>
      </c>
      <c r="J144" s="125"/>
      <c r="K144" s="125"/>
      <c r="L144" s="125"/>
      <c r="M144" s="125"/>
      <c r="N144" s="125"/>
    </row>
    <row r="145" spans="1:14" hidden="1" outlineLevel="1" x14ac:dyDescent="0.2">
      <c r="A145" s="125"/>
      <c r="B145" s="298">
        <v>4</v>
      </c>
      <c r="C145" s="5" t="s">
        <v>111</v>
      </c>
      <c r="D145" s="282">
        <f t="shared" ref="D145:I145" si="63">INDEX(RPBSScriptsNew,$B136,D137)*(INDEX(DPMQCoPayNewEff,$B136,$B145)/INDEX(CoPayCountNew,$B136))</f>
        <v>0</v>
      </c>
      <c r="E145" s="282">
        <f t="shared" si="63"/>
        <v>0</v>
      </c>
      <c r="F145" s="282">
        <f t="shared" si="63"/>
        <v>0</v>
      </c>
      <c r="G145" s="282">
        <f t="shared" si="63"/>
        <v>0</v>
      </c>
      <c r="H145" s="282">
        <f t="shared" si="63"/>
        <v>0</v>
      </c>
      <c r="I145" s="282">
        <f t="shared" si="63"/>
        <v>0</v>
      </c>
      <c r="J145" s="125"/>
      <c r="K145" s="125"/>
      <c r="L145" s="125"/>
      <c r="M145" s="125"/>
      <c r="N145" s="125"/>
    </row>
    <row r="146" spans="1:14" hidden="1" outlineLevel="1" x14ac:dyDescent="0.2">
      <c r="A146" s="125"/>
      <c r="B146" s="300"/>
      <c r="C146" s="5" t="s">
        <v>89</v>
      </c>
      <c r="D146" s="282">
        <f t="shared" ref="D146:I146" si="64">D144+D145</f>
        <v>0</v>
      </c>
      <c r="E146" s="282">
        <f t="shared" si="64"/>
        <v>0</v>
      </c>
      <c r="F146" s="282">
        <f t="shared" si="64"/>
        <v>0</v>
      </c>
      <c r="G146" s="282">
        <f t="shared" si="64"/>
        <v>0</v>
      </c>
      <c r="H146" s="282">
        <f t="shared" si="64"/>
        <v>0</v>
      </c>
      <c r="I146" s="282">
        <f t="shared" si="64"/>
        <v>0</v>
      </c>
      <c r="J146" s="125"/>
      <c r="K146" s="125"/>
      <c r="L146" s="125"/>
      <c r="M146" s="125"/>
      <c r="N146" s="125"/>
    </row>
    <row r="147" spans="1:14" collapsed="1" x14ac:dyDescent="0.2">
      <c r="A147" s="125"/>
      <c r="B147" s="300"/>
      <c r="C147" s="658"/>
      <c r="D147" s="658"/>
      <c r="E147" s="658"/>
      <c r="F147" s="36"/>
      <c r="G147" s="36"/>
      <c r="H147" s="36"/>
      <c r="I147" s="36"/>
      <c r="J147" s="36"/>
      <c r="K147" s="36"/>
      <c r="L147" s="36"/>
      <c r="M147" s="36"/>
      <c r="N147" s="36"/>
    </row>
    <row r="148" spans="1:14" ht="15" x14ac:dyDescent="0.2">
      <c r="A148" s="125"/>
      <c r="B148" s="298">
        <v>11</v>
      </c>
      <c r="C148" s="147" t="str">
        <f>IF(SPANewFlag&lt;&gt;0,INDEX(PBSScriptsNew,B148,1),MsgNotUsed)</f>
        <v>** NOT USED **</v>
      </c>
      <c r="D148" s="139"/>
      <c r="E148" s="139"/>
      <c r="F148" s="139"/>
      <c r="G148" s="139"/>
      <c r="H148" s="139"/>
      <c r="I148" s="139"/>
      <c r="J148" s="133"/>
      <c r="K148" s="132"/>
      <c r="L148" s="821" t="str">
        <f>IF(C148&lt;&gt;MsgNotUsed,"Co-payment group " &amp; INDEX(DPMQCoPayNewEff,B148,2),"")</f>
        <v/>
      </c>
      <c r="M148" s="821"/>
      <c r="N148" s="633"/>
    </row>
    <row r="149" spans="1:14" hidden="1" outlineLevel="1" x14ac:dyDescent="0.2">
      <c r="A149" s="125"/>
      <c r="B149" s="242">
        <f>INDEX(SANew,B148,5)</f>
        <v>0</v>
      </c>
      <c r="C149" s="658"/>
      <c r="D149" s="697">
        <v>2</v>
      </c>
      <c r="E149" s="697">
        <v>3</v>
      </c>
      <c r="F149" s="650">
        <v>4</v>
      </c>
      <c r="G149" s="650">
        <v>5</v>
      </c>
      <c r="H149" s="650">
        <v>6</v>
      </c>
      <c r="I149" s="650">
        <v>7</v>
      </c>
      <c r="J149" s="125"/>
      <c r="K149" s="36"/>
      <c r="L149" s="36"/>
      <c r="M149" s="36"/>
      <c r="N149" s="36"/>
    </row>
    <row r="150" spans="1:14" hidden="1" outlineLevel="1" x14ac:dyDescent="0.2">
      <c r="A150" s="125"/>
      <c r="B150" s="148"/>
      <c r="C150" s="125"/>
      <c r="D150" s="630">
        <f>FirstYear</f>
        <v>2021</v>
      </c>
      <c r="E150" s="630">
        <f>D150+1</f>
        <v>2022</v>
      </c>
      <c r="F150" s="630">
        <f>E150+1</f>
        <v>2023</v>
      </c>
      <c r="G150" s="630">
        <f>F150+1</f>
        <v>2024</v>
      </c>
      <c r="H150" s="630">
        <f>G150+1</f>
        <v>2025</v>
      </c>
      <c r="I150" s="630">
        <f>H150+1</f>
        <v>2026</v>
      </c>
      <c r="J150" s="125"/>
      <c r="K150" s="125"/>
      <c r="L150" s="125"/>
      <c r="M150" s="125"/>
      <c r="N150" s="125"/>
    </row>
    <row r="151" spans="1:14" hidden="1" outlineLevel="1" x14ac:dyDescent="0.2">
      <c r="A151" s="125"/>
      <c r="B151" s="298">
        <v>1</v>
      </c>
      <c r="C151" s="294" t="s">
        <v>86</v>
      </c>
      <c r="D151" s="282">
        <f t="shared" ref="D151:I151" si="65">INDEX(PBSScriptsNew,$B148,D149)*INDEX(DPMQCoPayNewEff,$B148,$B151)</f>
        <v>0</v>
      </c>
      <c r="E151" s="282">
        <f t="shared" si="65"/>
        <v>0</v>
      </c>
      <c r="F151" s="282">
        <f t="shared" si="65"/>
        <v>0</v>
      </c>
      <c r="G151" s="282">
        <f t="shared" si="65"/>
        <v>0</v>
      </c>
      <c r="H151" s="282">
        <f t="shared" si="65"/>
        <v>0</v>
      </c>
      <c r="I151" s="282">
        <f t="shared" si="65"/>
        <v>0</v>
      </c>
      <c r="J151" s="125"/>
      <c r="K151" s="125"/>
      <c r="L151" s="125"/>
      <c r="M151" s="125"/>
      <c r="N151" s="125"/>
    </row>
    <row r="152" spans="1:14" hidden="1" outlineLevel="1" x14ac:dyDescent="0.2">
      <c r="A152" s="125"/>
      <c r="B152" s="298">
        <v>3</v>
      </c>
      <c r="C152" s="5" t="s">
        <v>111</v>
      </c>
      <c r="D152" s="282">
        <f t="shared" ref="D152:I152" si="66">INDEX(PBSScriptsNew,$B148,D149)*(INDEX(DPMQCoPayNewEff,$B148,$B152)/INDEX(CoPayCountNew,$B148))</f>
        <v>0</v>
      </c>
      <c r="E152" s="282">
        <f t="shared" si="66"/>
        <v>0</v>
      </c>
      <c r="F152" s="282">
        <f t="shared" si="66"/>
        <v>0</v>
      </c>
      <c r="G152" s="282">
        <f t="shared" si="66"/>
        <v>0</v>
      </c>
      <c r="H152" s="282">
        <f t="shared" si="66"/>
        <v>0</v>
      </c>
      <c r="I152" s="282">
        <f t="shared" si="66"/>
        <v>0</v>
      </c>
      <c r="J152" s="125"/>
      <c r="K152" s="811" t="str">
        <f>IF(B149&lt;&gt;0,MsgNote&amp;IF(B149="Yes",INDEX(CoPayMethod,1),INDEX(CoPayMethod,2)),"")</f>
        <v/>
      </c>
      <c r="L152" s="811"/>
      <c r="M152" s="811"/>
      <c r="N152" s="628"/>
    </row>
    <row r="153" spans="1:14" hidden="1" outlineLevel="1" x14ac:dyDescent="0.2">
      <c r="A153" s="125"/>
      <c r="B153" s="300"/>
      <c r="C153" s="5" t="s">
        <v>88</v>
      </c>
      <c r="D153" s="282">
        <f t="shared" ref="D153:I153" si="67">D151+D152</f>
        <v>0</v>
      </c>
      <c r="E153" s="282">
        <f t="shared" si="67"/>
        <v>0</v>
      </c>
      <c r="F153" s="282">
        <f t="shared" si="67"/>
        <v>0</v>
      </c>
      <c r="G153" s="282">
        <f t="shared" si="67"/>
        <v>0</v>
      </c>
      <c r="H153" s="282">
        <f t="shared" si="67"/>
        <v>0</v>
      </c>
      <c r="I153" s="282">
        <f t="shared" si="67"/>
        <v>0</v>
      </c>
      <c r="J153" s="125"/>
      <c r="K153" s="125"/>
      <c r="L153" s="125"/>
      <c r="M153" s="125"/>
      <c r="N153" s="125"/>
    </row>
    <row r="154" spans="1:14" hidden="1" outlineLevel="1" x14ac:dyDescent="0.2">
      <c r="A154" s="125"/>
      <c r="B154" s="300"/>
      <c r="C154" s="125"/>
      <c r="D154" s="125"/>
      <c r="E154" s="125"/>
      <c r="F154" s="125"/>
      <c r="G154" s="125"/>
      <c r="H154" s="125"/>
      <c r="I154" s="125"/>
      <c r="J154" s="125"/>
      <c r="K154" s="125"/>
      <c r="L154" s="125"/>
      <c r="M154" s="125"/>
      <c r="N154" s="125"/>
    </row>
    <row r="155" spans="1:14" ht="15.75" hidden="1" outlineLevel="1" x14ac:dyDescent="0.2">
      <c r="A155" s="125"/>
      <c r="B155" s="300"/>
      <c r="C155" s="655"/>
      <c r="D155" s="630">
        <f>FirstYear</f>
        <v>2021</v>
      </c>
      <c r="E155" s="630">
        <f>D155+1</f>
        <v>2022</v>
      </c>
      <c r="F155" s="630">
        <f>E155+1</f>
        <v>2023</v>
      </c>
      <c r="G155" s="630">
        <f>F155+1</f>
        <v>2024</v>
      </c>
      <c r="H155" s="630">
        <f>G155+1</f>
        <v>2025</v>
      </c>
      <c r="I155" s="630">
        <f>H155+1</f>
        <v>2026</v>
      </c>
      <c r="J155" s="125"/>
      <c r="K155" s="125"/>
      <c r="L155" s="125"/>
      <c r="M155" s="125"/>
      <c r="N155" s="125"/>
    </row>
    <row r="156" spans="1:14" hidden="1" outlineLevel="1" x14ac:dyDescent="0.2">
      <c r="A156" s="125"/>
      <c r="B156" s="298">
        <v>1</v>
      </c>
      <c r="C156" s="294" t="s">
        <v>87</v>
      </c>
      <c r="D156" s="282">
        <f t="shared" ref="D156:I156" si="68">INDEX(RPBSScriptsNew,$B148,D149)*INDEX(DPMQCoPayNewEff,$B148,$B156)</f>
        <v>0</v>
      </c>
      <c r="E156" s="282">
        <f t="shared" si="68"/>
        <v>0</v>
      </c>
      <c r="F156" s="282">
        <f t="shared" si="68"/>
        <v>0</v>
      </c>
      <c r="G156" s="282">
        <f t="shared" si="68"/>
        <v>0</v>
      </c>
      <c r="H156" s="282">
        <f t="shared" si="68"/>
        <v>0</v>
      </c>
      <c r="I156" s="282">
        <f t="shared" si="68"/>
        <v>0</v>
      </c>
      <c r="J156" s="125"/>
      <c r="K156" s="125"/>
      <c r="L156" s="125"/>
      <c r="M156" s="125"/>
      <c r="N156" s="125"/>
    </row>
    <row r="157" spans="1:14" hidden="1" outlineLevel="1" x14ac:dyDescent="0.2">
      <c r="A157" s="125"/>
      <c r="B157" s="298">
        <v>4</v>
      </c>
      <c r="C157" s="5" t="s">
        <v>111</v>
      </c>
      <c r="D157" s="282">
        <f t="shared" ref="D157:I157" si="69">INDEX(RPBSScriptsNew,$B148,D149)*(INDEX(DPMQCoPayNewEff,$B148,$B157)/INDEX(CoPayCountNew,$B148))</f>
        <v>0</v>
      </c>
      <c r="E157" s="282">
        <f t="shared" si="69"/>
        <v>0</v>
      </c>
      <c r="F157" s="282">
        <f t="shared" si="69"/>
        <v>0</v>
      </c>
      <c r="G157" s="282">
        <f t="shared" si="69"/>
        <v>0</v>
      </c>
      <c r="H157" s="282">
        <f t="shared" si="69"/>
        <v>0</v>
      </c>
      <c r="I157" s="282">
        <f t="shared" si="69"/>
        <v>0</v>
      </c>
      <c r="J157" s="125"/>
      <c r="K157" s="125"/>
      <c r="L157" s="125"/>
      <c r="M157" s="125"/>
      <c r="N157" s="125"/>
    </row>
    <row r="158" spans="1:14" hidden="1" outlineLevel="1" x14ac:dyDescent="0.2">
      <c r="A158" s="125"/>
      <c r="B158" s="300"/>
      <c r="C158" s="5" t="s">
        <v>89</v>
      </c>
      <c r="D158" s="282">
        <f t="shared" ref="D158:I158" si="70">D156+D157</f>
        <v>0</v>
      </c>
      <c r="E158" s="282">
        <f t="shared" si="70"/>
        <v>0</v>
      </c>
      <c r="F158" s="282">
        <f t="shared" si="70"/>
        <v>0</v>
      </c>
      <c r="G158" s="282">
        <f t="shared" si="70"/>
        <v>0</v>
      </c>
      <c r="H158" s="282">
        <f t="shared" si="70"/>
        <v>0</v>
      </c>
      <c r="I158" s="282">
        <f t="shared" si="70"/>
        <v>0</v>
      </c>
      <c r="J158" s="125"/>
      <c r="K158" s="125"/>
      <c r="L158" s="125"/>
      <c r="M158" s="125"/>
      <c r="N158" s="125"/>
    </row>
    <row r="159" spans="1:14" collapsed="1" x14ac:dyDescent="0.2">
      <c r="A159" s="125"/>
      <c r="B159" s="300"/>
      <c r="C159" s="658"/>
      <c r="D159" s="658"/>
      <c r="E159" s="658"/>
      <c r="F159" s="36"/>
      <c r="G159" s="36"/>
      <c r="H159" s="36"/>
      <c r="I159" s="36"/>
      <c r="J159" s="36"/>
      <c r="K159" s="36"/>
      <c r="L159" s="36"/>
      <c r="M159" s="36"/>
      <c r="N159" s="36"/>
    </row>
    <row r="160" spans="1:14" ht="15" x14ac:dyDescent="0.2">
      <c r="A160" s="125"/>
      <c r="B160" s="298">
        <v>12</v>
      </c>
      <c r="C160" s="147" t="str">
        <f>IF(SPANewFlag&lt;&gt;0,INDEX(PBSScriptsNew,B160,1),MsgNotUsed)</f>
        <v>** NOT USED **</v>
      </c>
      <c r="D160" s="139"/>
      <c r="E160" s="139"/>
      <c r="F160" s="139"/>
      <c r="G160" s="139"/>
      <c r="H160" s="139"/>
      <c r="I160" s="139"/>
      <c r="J160" s="133"/>
      <c r="K160" s="132"/>
      <c r="L160" s="821" t="str">
        <f>IF(C160&lt;&gt;MsgNotUsed,"Co-payment group " &amp; INDEX(DPMQCoPayNewEff,B160,2),"")</f>
        <v/>
      </c>
      <c r="M160" s="821"/>
      <c r="N160" s="633"/>
    </row>
    <row r="161" spans="1:14" hidden="1" outlineLevel="1" x14ac:dyDescent="0.2">
      <c r="A161" s="125"/>
      <c r="B161" s="242">
        <f>INDEX(SANew,B160,5)</f>
        <v>0</v>
      </c>
      <c r="C161" s="658"/>
      <c r="D161" s="697">
        <v>2</v>
      </c>
      <c r="E161" s="697">
        <v>3</v>
      </c>
      <c r="F161" s="650">
        <v>4</v>
      </c>
      <c r="G161" s="650">
        <v>5</v>
      </c>
      <c r="H161" s="650">
        <v>6</v>
      </c>
      <c r="I161" s="650">
        <v>7</v>
      </c>
      <c r="J161" s="125"/>
      <c r="K161" s="36"/>
      <c r="L161" s="36"/>
      <c r="M161" s="36"/>
      <c r="N161" s="36"/>
    </row>
    <row r="162" spans="1:14" hidden="1" outlineLevel="1" x14ac:dyDescent="0.2">
      <c r="A162" s="125"/>
      <c r="B162" s="148"/>
      <c r="C162" s="125"/>
      <c r="D162" s="630">
        <f>FirstYear</f>
        <v>2021</v>
      </c>
      <c r="E162" s="630">
        <f>D162+1</f>
        <v>2022</v>
      </c>
      <c r="F162" s="630">
        <f>E162+1</f>
        <v>2023</v>
      </c>
      <c r="G162" s="630">
        <f>F162+1</f>
        <v>2024</v>
      </c>
      <c r="H162" s="630">
        <f>G162+1</f>
        <v>2025</v>
      </c>
      <c r="I162" s="630">
        <f>H162+1</f>
        <v>2026</v>
      </c>
      <c r="J162" s="125"/>
      <c r="K162" s="125"/>
      <c r="L162" s="125"/>
      <c r="M162" s="125"/>
      <c r="N162" s="125"/>
    </row>
    <row r="163" spans="1:14" hidden="1" outlineLevel="1" x14ac:dyDescent="0.2">
      <c r="A163" s="125"/>
      <c r="B163" s="298">
        <v>1</v>
      </c>
      <c r="C163" s="294" t="s">
        <v>86</v>
      </c>
      <c r="D163" s="282">
        <f t="shared" ref="D163:I163" si="71">INDEX(PBSScriptsNew,$B160,D161)*INDEX(DPMQCoPayNewEff,$B160,$B163)</f>
        <v>0</v>
      </c>
      <c r="E163" s="282">
        <f t="shared" si="71"/>
        <v>0</v>
      </c>
      <c r="F163" s="282">
        <f t="shared" si="71"/>
        <v>0</v>
      </c>
      <c r="G163" s="282">
        <f t="shared" si="71"/>
        <v>0</v>
      </c>
      <c r="H163" s="282">
        <f t="shared" si="71"/>
        <v>0</v>
      </c>
      <c r="I163" s="282">
        <f t="shared" si="71"/>
        <v>0</v>
      </c>
      <c r="J163" s="125"/>
      <c r="K163" s="125"/>
      <c r="L163" s="125"/>
      <c r="M163" s="125"/>
      <c r="N163" s="125"/>
    </row>
    <row r="164" spans="1:14" hidden="1" outlineLevel="1" x14ac:dyDescent="0.2">
      <c r="A164" s="125"/>
      <c r="B164" s="298">
        <v>3</v>
      </c>
      <c r="C164" s="5" t="s">
        <v>111</v>
      </c>
      <c r="D164" s="282">
        <f t="shared" ref="D164:I164" si="72">INDEX(PBSScriptsNew,$B160,D161)*(INDEX(DPMQCoPayNewEff,$B160,$B164)/INDEX(CoPayCountNew,$B160))</f>
        <v>0</v>
      </c>
      <c r="E164" s="282">
        <f t="shared" si="72"/>
        <v>0</v>
      </c>
      <c r="F164" s="282">
        <f t="shared" si="72"/>
        <v>0</v>
      </c>
      <c r="G164" s="282">
        <f t="shared" si="72"/>
        <v>0</v>
      </c>
      <c r="H164" s="282">
        <f t="shared" si="72"/>
        <v>0</v>
      </c>
      <c r="I164" s="282">
        <f t="shared" si="72"/>
        <v>0</v>
      </c>
      <c r="J164" s="125"/>
      <c r="K164" s="811" t="str">
        <f>IF(B161&lt;&gt;0,MsgNote&amp;IF(B161="Yes",INDEX(CoPayMethod,1),INDEX(CoPayMethod,2)),"")</f>
        <v/>
      </c>
      <c r="L164" s="811"/>
      <c r="M164" s="811"/>
      <c r="N164" s="628"/>
    </row>
    <row r="165" spans="1:14" hidden="1" outlineLevel="1" x14ac:dyDescent="0.2">
      <c r="A165" s="125"/>
      <c r="B165" s="300"/>
      <c r="C165" s="5" t="s">
        <v>88</v>
      </c>
      <c r="D165" s="282">
        <f t="shared" ref="D165:I165" si="73">D163+D164</f>
        <v>0</v>
      </c>
      <c r="E165" s="282">
        <f t="shared" si="73"/>
        <v>0</v>
      </c>
      <c r="F165" s="282">
        <f t="shared" si="73"/>
        <v>0</v>
      </c>
      <c r="G165" s="282">
        <f t="shared" si="73"/>
        <v>0</v>
      </c>
      <c r="H165" s="282">
        <f t="shared" si="73"/>
        <v>0</v>
      </c>
      <c r="I165" s="282">
        <f t="shared" si="73"/>
        <v>0</v>
      </c>
      <c r="J165" s="125"/>
      <c r="K165" s="125"/>
      <c r="L165" s="125"/>
      <c r="M165" s="125"/>
      <c r="N165" s="125"/>
    </row>
    <row r="166" spans="1:14" hidden="1" outlineLevel="1" x14ac:dyDescent="0.2">
      <c r="A166" s="125"/>
      <c r="B166" s="300"/>
      <c r="C166" s="125"/>
      <c r="D166" s="125"/>
      <c r="E166" s="125"/>
      <c r="F166" s="125"/>
      <c r="G166" s="125"/>
      <c r="H166" s="125"/>
      <c r="I166" s="125"/>
      <c r="J166" s="125"/>
      <c r="K166" s="125"/>
      <c r="L166" s="125"/>
      <c r="M166" s="125"/>
      <c r="N166" s="125"/>
    </row>
    <row r="167" spans="1:14" ht="15.75" hidden="1" outlineLevel="1" x14ac:dyDescent="0.2">
      <c r="A167" s="125"/>
      <c r="B167" s="300"/>
      <c r="C167" s="655"/>
      <c r="D167" s="630">
        <f>FirstYear</f>
        <v>2021</v>
      </c>
      <c r="E167" s="630">
        <f>D167+1</f>
        <v>2022</v>
      </c>
      <c r="F167" s="630">
        <f>E167+1</f>
        <v>2023</v>
      </c>
      <c r="G167" s="630">
        <f>F167+1</f>
        <v>2024</v>
      </c>
      <c r="H167" s="630">
        <f>G167+1</f>
        <v>2025</v>
      </c>
      <c r="I167" s="630">
        <f>H167+1</f>
        <v>2026</v>
      </c>
      <c r="J167" s="125"/>
      <c r="K167" s="125"/>
      <c r="L167" s="125"/>
      <c r="M167" s="125"/>
      <c r="N167" s="125"/>
    </row>
    <row r="168" spans="1:14" hidden="1" outlineLevel="1" x14ac:dyDescent="0.2">
      <c r="A168" s="125"/>
      <c r="B168" s="298">
        <v>1</v>
      </c>
      <c r="C168" s="294" t="s">
        <v>87</v>
      </c>
      <c r="D168" s="282">
        <f t="shared" ref="D168:I168" si="74">INDEX(RPBSScriptsNew,$B160,D161)*INDEX(DPMQCoPayNewEff,$B160,$B168)</f>
        <v>0</v>
      </c>
      <c r="E168" s="282">
        <f t="shared" si="74"/>
        <v>0</v>
      </c>
      <c r="F168" s="282">
        <f t="shared" si="74"/>
        <v>0</v>
      </c>
      <c r="G168" s="282">
        <f t="shared" si="74"/>
        <v>0</v>
      </c>
      <c r="H168" s="282">
        <f t="shared" si="74"/>
        <v>0</v>
      </c>
      <c r="I168" s="282">
        <f t="shared" si="74"/>
        <v>0</v>
      </c>
      <c r="J168" s="125"/>
      <c r="K168" s="125"/>
      <c r="L168" s="125"/>
      <c r="M168" s="125"/>
      <c r="N168" s="125"/>
    </row>
    <row r="169" spans="1:14" hidden="1" outlineLevel="1" x14ac:dyDescent="0.2">
      <c r="A169" s="125"/>
      <c r="B169" s="298">
        <v>4</v>
      </c>
      <c r="C169" s="5" t="s">
        <v>111</v>
      </c>
      <c r="D169" s="282">
        <f t="shared" ref="D169:I169" si="75">INDEX(RPBSScriptsNew,$B160,D161)*(INDEX(DPMQCoPayNewEff,$B160,$B169)/INDEX(CoPayCountNew,$B160))</f>
        <v>0</v>
      </c>
      <c r="E169" s="282">
        <f t="shared" si="75"/>
        <v>0</v>
      </c>
      <c r="F169" s="282">
        <f t="shared" si="75"/>
        <v>0</v>
      </c>
      <c r="G169" s="282">
        <f t="shared" si="75"/>
        <v>0</v>
      </c>
      <c r="H169" s="282">
        <f t="shared" si="75"/>
        <v>0</v>
      </c>
      <c r="I169" s="282">
        <f t="shared" si="75"/>
        <v>0</v>
      </c>
      <c r="J169" s="125"/>
      <c r="K169" s="125"/>
      <c r="L169" s="125"/>
      <c r="M169" s="125"/>
      <c r="N169" s="125"/>
    </row>
    <row r="170" spans="1:14" hidden="1" outlineLevel="1" x14ac:dyDescent="0.2">
      <c r="A170" s="125"/>
      <c r="B170" s="300"/>
      <c r="C170" s="5" t="s">
        <v>89</v>
      </c>
      <c r="D170" s="282">
        <f t="shared" ref="D170:I170" si="76">D168+D169</f>
        <v>0</v>
      </c>
      <c r="E170" s="282">
        <f t="shared" si="76"/>
        <v>0</v>
      </c>
      <c r="F170" s="282">
        <f t="shared" si="76"/>
        <v>0</v>
      </c>
      <c r="G170" s="282">
        <f t="shared" si="76"/>
        <v>0</v>
      </c>
      <c r="H170" s="282">
        <f t="shared" si="76"/>
        <v>0</v>
      </c>
      <c r="I170" s="282">
        <f t="shared" si="76"/>
        <v>0</v>
      </c>
      <c r="J170" s="125"/>
      <c r="K170" s="125"/>
      <c r="L170" s="125"/>
      <c r="M170" s="125"/>
      <c r="N170" s="125"/>
    </row>
    <row r="171" spans="1:14" collapsed="1" x14ac:dyDescent="0.2">
      <c r="A171" s="125"/>
      <c r="B171" s="300"/>
      <c r="C171" s="658"/>
      <c r="D171" s="658"/>
      <c r="E171" s="658"/>
      <c r="F171" s="36"/>
      <c r="G171" s="36"/>
      <c r="H171" s="36"/>
      <c r="I171" s="36"/>
      <c r="J171" s="36"/>
      <c r="K171" s="36"/>
      <c r="L171" s="36"/>
      <c r="M171" s="36"/>
      <c r="N171" s="36"/>
    </row>
    <row r="172" spans="1:14" ht="15" x14ac:dyDescent="0.2">
      <c r="A172" s="125"/>
      <c r="B172" s="298">
        <v>13</v>
      </c>
      <c r="C172" s="147" t="str">
        <f>IF(SPANewFlag&lt;&gt;0,INDEX(PBSScriptsNew,B172,1),MsgNotUsed)</f>
        <v>** NOT USED **</v>
      </c>
      <c r="D172" s="139"/>
      <c r="E172" s="139"/>
      <c r="F172" s="139"/>
      <c r="G172" s="139"/>
      <c r="H172" s="139"/>
      <c r="I172" s="139"/>
      <c r="J172" s="133"/>
      <c r="K172" s="132"/>
      <c r="L172" s="821" t="str">
        <f>IF(C172&lt;&gt;MsgNotUsed,"Co-payment group " &amp; INDEX(DPMQCoPayNewEff,B172,2),"")</f>
        <v/>
      </c>
      <c r="M172" s="821"/>
      <c r="N172" s="633"/>
    </row>
    <row r="173" spans="1:14" hidden="1" outlineLevel="1" x14ac:dyDescent="0.2">
      <c r="A173" s="125"/>
      <c r="B173" s="242">
        <f>INDEX(SANew,B172,5)</f>
        <v>0</v>
      </c>
      <c r="C173" s="658"/>
      <c r="D173" s="697">
        <v>2</v>
      </c>
      <c r="E173" s="697">
        <v>3</v>
      </c>
      <c r="F173" s="650">
        <v>4</v>
      </c>
      <c r="G173" s="650">
        <v>5</v>
      </c>
      <c r="H173" s="650">
        <v>6</v>
      </c>
      <c r="I173" s="650">
        <v>7</v>
      </c>
      <c r="J173" s="125"/>
      <c r="K173" s="36"/>
      <c r="L173" s="36"/>
      <c r="M173" s="36"/>
      <c r="N173" s="36"/>
    </row>
    <row r="174" spans="1:14" hidden="1" outlineLevel="1" x14ac:dyDescent="0.2">
      <c r="A174" s="125"/>
      <c r="B174" s="148"/>
      <c r="C174" s="125"/>
      <c r="D174" s="630">
        <f>FirstYear</f>
        <v>2021</v>
      </c>
      <c r="E174" s="630">
        <f>D174+1</f>
        <v>2022</v>
      </c>
      <c r="F174" s="630">
        <f>E174+1</f>
        <v>2023</v>
      </c>
      <c r="G174" s="630">
        <f>F174+1</f>
        <v>2024</v>
      </c>
      <c r="H174" s="630">
        <f>G174+1</f>
        <v>2025</v>
      </c>
      <c r="I174" s="630">
        <f>H174+1</f>
        <v>2026</v>
      </c>
      <c r="J174" s="125"/>
      <c r="K174" s="125"/>
      <c r="L174" s="125"/>
      <c r="M174" s="125"/>
      <c r="N174" s="125"/>
    </row>
    <row r="175" spans="1:14" hidden="1" outlineLevel="1" x14ac:dyDescent="0.2">
      <c r="A175" s="125"/>
      <c r="B175" s="298">
        <v>1</v>
      </c>
      <c r="C175" s="294" t="s">
        <v>86</v>
      </c>
      <c r="D175" s="282">
        <f t="shared" ref="D175:I175" si="77">INDEX(PBSScriptsNew,$B172,D173)*INDEX(DPMQCoPayNewEff,$B172,$B175)</f>
        <v>0</v>
      </c>
      <c r="E175" s="282">
        <f t="shared" si="77"/>
        <v>0</v>
      </c>
      <c r="F175" s="282">
        <f t="shared" si="77"/>
        <v>0</v>
      </c>
      <c r="G175" s="282">
        <f t="shared" si="77"/>
        <v>0</v>
      </c>
      <c r="H175" s="282">
        <f t="shared" si="77"/>
        <v>0</v>
      </c>
      <c r="I175" s="282">
        <f t="shared" si="77"/>
        <v>0</v>
      </c>
      <c r="J175" s="125"/>
      <c r="K175" s="125"/>
      <c r="L175" s="125"/>
      <c r="M175" s="125"/>
      <c r="N175" s="125"/>
    </row>
    <row r="176" spans="1:14" hidden="1" outlineLevel="1" x14ac:dyDescent="0.2">
      <c r="A176" s="125"/>
      <c r="B176" s="298">
        <v>3</v>
      </c>
      <c r="C176" s="5" t="s">
        <v>111</v>
      </c>
      <c r="D176" s="282">
        <f t="shared" ref="D176:I176" si="78">INDEX(PBSScriptsNew,$B172,D173)*(INDEX(DPMQCoPayNewEff,$B172,$B176)/INDEX(CoPayCountNew,$B172))</f>
        <v>0</v>
      </c>
      <c r="E176" s="282">
        <f t="shared" si="78"/>
        <v>0</v>
      </c>
      <c r="F176" s="282">
        <f t="shared" si="78"/>
        <v>0</v>
      </c>
      <c r="G176" s="282">
        <f t="shared" si="78"/>
        <v>0</v>
      </c>
      <c r="H176" s="282">
        <f t="shared" si="78"/>
        <v>0</v>
      </c>
      <c r="I176" s="282">
        <f t="shared" si="78"/>
        <v>0</v>
      </c>
      <c r="J176" s="125"/>
      <c r="K176" s="811" t="str">
        <f>IF(B173&lt;&gt;0,MsgNote&amp;IF(B173="Yes",INDEX(CoPayMethod,1),INDEX(CoPayMethod,2)),"")</f>
        <v/>
      </c>
      <c r="L176" s="811"/>
      <c r="M176" s="811"/>
      <c r="N176" s="628"/>
    </row>
    <row r="177" spans="1:14" hidden="1" outlineLevel="1" x14ac:dyDescent="0.2">
      <c r="A177" s="125"/>
      <c r="B177" s="300"/>
      <c r="C177" s="5" t="s">
        <v>88</v>
      </c>
      <c r="D177" s="282">
        <f t="shared" ref="D177:I177" si="79">D175+D176</f>
        <v>0</v>
      </c>
      <c r="E177" s="282">
        <f t="shared" si="79"/>
        <v>0</v>
      </c>
      <c r="F177" s="282">
        <f t="shared" si="79"/>
        <v>0</v>
      </c>
      <c r="G177" s="282">
        <f t="shared" si="79"/>
        <v>0</v>
      </c>
      <c r="H177" s="282">
        <f t="shared" si="79"/>
        <v>0</v>
      </c>
      <c r="I177" s="282">
        <f t="shared" si="79"/>
        <v>0</v>
      </c>
      <c r="J177" s="125"/>
      <c r="K177" s="125"/>
      <c r="L177" s="125"/>
      <c r="M177" s="125"/>
      <c r="N177" s="125"/>
    </row>
    <row r="178" spans="1:14" hidden="1" outlineLevel="1" x14ac:dyDescent="0.2">
      <c r="A178" s="125"/>
      <c r="B178" s="300"/>
      <c r="C178" s="125"/>
      <c r="D178" s="125"/>
      <c r="E178" s="125"/>
      <c r="F178" s="125"/>
      <c r="G178" s="125"/>
      <c r="H178" s="125"/>
      <c r="I178" s="125"/>
      <c r="J178" s="125"/>
      <c r="K178" s="125"/>
      <c r="L178" s="125"/>
      <c r="M178" s="125"/>
      <c r="N178" s="125"/>
    </row>
    <row r="179" spans="1:14" ht="15.75" hidden="1" outlineLevel="1" x14ac:dyDescent="0.2">
      <c r="A179" s="125"/>
      <c r="B179" s="300"/>
      <c r="C179" s="655"/>
      <c r="D179" s="630">
        <f>FirstYear</f>
        <v>2021</v>
      </c>
      <c r="E179" s="630">
        <f>D179+1</f>
        <v>2022</v>
      </c>
      <c r="F179" s="630">
        <f>E179+1</f>
        <v>2023</v>
      </c>
      <c r="G179" s="630">
        <f>F179+1</f>
        <v>2024</v>
      </c>
      <c r="H179" s="630">
        <f>G179+1</f>
        <v>2025</v>
      </c>
      <c r="I179" s="630">
        <f>H179+1</f>
        <v>2026</v>
      </c>
      <c r="J179" s="125"/>
      <c r="K179" s="125"/>
      <c r="L179" s="125"/>
      <c r="M179" s="125"/>
      <c r="N179" s="125"/>
    </row>
    <row r="180" spans="1:14" hidden="1" outlineLevel="1" x14ac:dyDescent="0.2">
      <c r="A180" s="125"/>
      <c r="B180" s="298">
        <v>1</v>
      </c>
      <c r="C180" s="294" t="s">
        <v>87</v>
      </c>
      <c r="D180" s="282">
        <f t="shared" ref="D180:I180" si="80">INDEX(RPBSScriptsNew,$B172,D173)*INDEX(DPMQCoPayNewEff,$B172,$B180)</f>
        <v>0</v>
      </c>
      <c r="E180" s="282">
        <f t="shared" si="80"/>
        <v>0</v>
      </c>
      <c r="F180" s="282">
        <f t="shared" si="80"/>
        <v>0</v>
      </c>
      <c r="G180" s="282">
        <f t="shared" si="80"/>
        <v>0</v>
      </c>
      <c r="H180" s="282">
        <f t="shared" si="80"/>
        <v>0</v>
      </c>
      <c r="I180" s="282">
        <f t="shared" si="80"/>
        <v>0</v>
      </c>
      <c r="J180" s="125"/>
      <c r="K180" s="125"/>
      <c r="L180" s="125"/>
      <c r="M180" s="125"/>
      <c r="N180" s="125"/>
    </row>
    <row r="181" spans="1:14" hidden="1" outlineLevel="1" x14ac:dyDescent="0.2">
      <c r="A181" s="125"/>
      <c r="B181" s="298">
        <v>4</v>
      </c>
      <c r="C181" s="5" t="s">
        <v>111</v>
      </c>
      <c r="D181" s="282">
        <f t="shared" ref="D181:I181" si="81">INDEX(RPBSScriptsNew,$B172,D173)*(INDEX(DPMQCoPayNewEff,$B172,$B181)/INDEX(CoPayCountNew,$B172))</f>
        <v>0</v>
      </c>
      <c r="E181" s="282">
        <f t="shared" si="81"/>
        <v>0</v>
      </c>
      <c r="F181" s="282">
        <f t="shared" si="81"/>
        <v>0</v>
      </c>
      <c r="G181" s="282">
        <f t="shared" si="81"/>
        <v>0</v>
      </c>
      <c r="H181" s="282">
        <f t="shared" si="81"/>
        <v>0</v>
      </c>
      <c r="I181" s="282">
        <f t="shared" si="81"/>
        <v>0</v>
      </c>
      <c r="J181" s="125"/>
      <c r="K181" s="125"/>
      <c r="L181" s="125"/>
      <c r="M181" s="125"/>
      <c r="N181" s="125"/>
    </row>
    <row r="182" spans="1:14" hidden="1" outlineLevel="1" x14ac:dyDescent="0.2">
      <c r="A182" s="125"/>
      <c r="B182" s="300"/>
      <c r="C182" s="5" t="s">
        <v>89</v>
      </c>
      <c r="D182" s="282">
        <f t="shared" ref="D182:I182" si="82">D180+D181</f>
        <v>0</v>
      </c>
      <c r="E182" s="282">
        <f t="shared" si="82"/>
        <v>0</v>
      </c>
      <c r="F182" s="282">
        <f t="shared" si="82"/>
        <v>0</v>
      </c>
      <c r="G182" s="282">
        <f t="shared" si="82"/>
        <v>0</v>
      </c>
      <c r="H182" s="282">
        <f t="shared" si="82"/>
        <v>0</v>
      </c>
      <c r="I182" s="282">
        <f t="shared" si="82"/>
        <v>0</v>
      </c>
      <c r="J182" s="125"/>
      <c r="K182" s="125"/>
      <c r="L182" s="125"/>
      <c r="M182" s="125"/>
      <c r="N182" s="125"/>
    </row>
    <row r="183" spans="1:14" collapsed="1" x14ac:dyDescent="0.2">
      <c r="A183" s="125"/>
      <c r="B183" s="300"/>
      <c r="C183" s="658"/>
      <c r="D183" s="658"/>
      <c r="E183" s="658"/>
      <c r="F183" s="36"/>
      <c r="G183" s="36"/>
      <c r="H183" s="36"/>
      <c r="I183" s="36"/>
      <c r="J183" s="36"/>
      <c r="K183" s="36"/>
      <c r="L183" s="36"/>
      <c r="M183" s="36"/>
      <c r="N183" s="36"/>
    </row>
    <row r="184" spans="1:14" ht="15" x14ac:dyDescent="0.2">
      <c r="A184" s="125"/>
      <c r="B184" s="298">
        <v>14</v>
      </c>
      <c r="C184" s="147" t="str">
        <f>IF(SPANewFlag&lt;&gt;0,INDEX(PBSScriptsNew,B184,1),MsgNotUsed)</f>
        <v>** NOT USED **</v>
      </c>
      <c r="D184" s="139"/>
      <c r="E184" s="139"/>
      <c r="F184" s="139"/>
      <c r="G184" s="139"/>
      <c r="H184" s="139"/>
      <c r="I184" s="139"/>
      <c r="J184" s="133"/>
      <c r="K184" s="132"/>
      <c r="L184" s="821" t="str">
        <f>IF(C184&lt;&gt;MsgNotUsed,"Co-payment group " &amp; INDEX(DPMQCoPayNewEff,B184,2),"")</f>
        <v/>
      </c>
      <c r="M184" s="821"/>
      <c r="N184" s="633"/>
    </row>
    <row r="185" spans="1:14" hidden="1" outlineLevel="1" x14ac:dyDescent="0.2">
      <c r="A185" s="125"/>
      <c r="B185" s="242">
        <f>INDEX(SANew,B184,5)</f>
        <v>0</v>
      </c>
      <c r="C185" s="658"/>
      <c r="D185" s="697">
        <v>2</v>
      </c>
      <c r="E185" s="697">
        <v>3</v>
      </c>
      <c r="F185" s="650">
        <v>4</v>
      </c>
      <c r="G185" s="650">
        <v>5</v>
      </c>
      <c r="H185" s="650">
        <v>6</v>
      </c>
      <c r="I185" s="650">
        <v>7</v>
      </c>
      <c r="J185" s="125"/>
      <c r="K185" s="36"/>
      <c r="L185" s="36"/>
      <c r="M185" s="36"/>
      <c r="N185" s="36"/>
    </row>
    <row r="186" spans="1:14" hidden="1" outlineLevel="1" x14ac:dyDescent="0.2">
      <c r="A186" s="125"/>
      <c r="B186" s="148"/>
      <c r="C186" s="125"/>
      <c r="D186" s="630">
        <f>FirstYear</f>
        <v>2021</v>
      </c>
      <c r="E186" s="630">
        <f>D186+1</f>
        <v>2022</v>
      </c>
      <c r="F186" s="630">
        <f>E186+1</f>
        <v>2023</v>
      </c>
      <c r="G186" s="630">
        <f>F186+1</f>
        <v>2024</v>
      </c>
      <c r="H186" s="630">
        <f>G186+1</f>
        <v>2025</v>
      </c>
      <c r="I186" s="630">
        <f>H186+1</f>
        <v>2026</v>
      </c>
      <c r="J186" s="125"/>
      <c r="K186" s="125"/>
      <c r="L186" s="125"/>
      <c r="M186" s="125"/>
      <c r="N186" s="125"/>
    </row>
    <row r="187" spans="1:14" hidden="1" outlineLevel="1" x14ac:dyDescent="0.2">
      <c r="A187" s="125"/>
      <c r="B187" s="298">
        <v>1</v>
      </c>
      <c r="C187" s="294" t="s">
        <v>86</v>
      </c>
      <c r="D187" s="282">
        <f t="shared" ref="D187:I187" si="83">INDEX(PBSScriptsNew,$B184,D185)*INDEX(DPMQCoPayNewEff,$B184,$B187)</f>
        <v>0</v>
      </c>
      <c r="E187" s="282">
        <f t="shared" si="83"/>
        <v>0</v>
      </c>
      <c r="F187" s="282">
        <f t="shared" si="83"/>
        <v>0</v>
      </c>
      <c r="G187" s="282">
        <f t="shared" si="83"/>
        <v>0</v>
      </c>
      <c r="H187" s="282">
        <f t="shared" si="83"/>
        <v>0</v>
      </c>
      <c r="I187" s="282">
        <f t="shared" si="83"/>
        <v>0</v>
      </c>
      <c r="J187" s="125"/>
      <c r="K187" s="125"/>
      <c r="L187" s="125"/>
      <c r="M187" s="125"/>
      <c r="N187" s="125"/>
    </row>
    <row r="188" spans="1:14" hidden="1" outlineLevel="1" x14ac:dyDescent="0.2">
      <c r="A188" s="125"/>
      <c r="B188" s="298">
        <v>3</v>
      </c>
      <c r="C188" s="5" t="s">
        <v>111</v>
      </c>
      <c r="D188" s="282">
        <f t="shared" ref="D188:I188" si="84">INDEX(PBSScriptsNew,$B184,D185)*(INDEX(DPMQCoPayNewEff,$B184,$B188)/INDEX(CoPayCountNew,$B184))</f>
        <v>0</v>
      </c>
      <c r="E188" s="282">
        <f t="shared" si="84"/>
        <v>0</v>
      </c>
      <c r="F188" s="282">
        <f t="shared" si="84"/>
        <v>0</v>
      </c>
      <c r="G188" s="282">
        <f t="shared" si="84"/>
        <v>0</v>
      </c>
      <c r="H188" s="282">
        <f t="shared" si="84"/>
        <v>0</v>
      </c>
      <c r="I188" s="282">
        <f t="shared" si="84"/>
        <v>0</v>
      </c>
      <c r="J188" s="125"/>
      <c r="K188" s="811" t="str">
        <f>IF(B185&lt;&gt;0,MsgNote&amp;IF(B185="Yes",INDEX(CoPayMethod,1),INDEX(CoPayMethod,2)),"")</f>
        <v/>
      </c>
      <c r="L188" s="811"/>
      <c r="M188" s="811"/>
      <c r="N188" s="628"/>
    </row>
    <row r="189" spans="1:14" hidden="1" outlineLevel="1" x14ac:dyDescent="0.2">
      <c r="A189" s="125"/>
      <c r="B189" s="300"/>
      <c r="C189" s="5" t="s">
        <v>88</v>
      </c>
      <c r="D189" s="282">
        <f t="shared" ref="D189:I189" si="85">D187+D188</f>
        <v>0</v>
      </c>
      <c r="E189" s="282">
        <f t="shared" si="85"/>
        <v>0</v>
      </c>
      <c r="F189" s="282">
        <f t="shared" si="85"/>
        <v>0</v>
      </c>
      <c r="G189" s="282">
        <f t="shared" si="85"/>
        <v>0</v>
      </c>
      <c r="H189" s="282">
        <f t="shared" si="85"/>
        <v>0</v>
      </c>
      <c r="I189" s="282">
        <f t="shared" si="85"/>
        <v>0</v>
      </c>
      <c r="J189" s="125"/>
      <c r="K189" s="125"/>
      <c r="L189" s="125"/>
      <c r="M189" s="125"/>
      <c r="N189" s="125"/>
    </row>
    <row r="190" spans="1:14" hidden="1" outlineLevel="1" x14ac:dyDescent="0.2">
      <c r="A190" s="125"/>
      <c r="B190" s="300"/>
      <c r="C190" s="125"/>
      <c r="D190" s="125"/>
      <c r="E190" s="125"/>
      <c r="F190" s="125"/>
      <c r="G190" s="125"/>
      <c r="H190" s="125"/>
      <c r="I190" s="125"/>
      <c r="J190" s="125"/>
      <c r="K190" s="125"/>
      <c r="L190" s="125"/>
      <c r="M190" s="125"/>
      <c r="N190" s="125"/>
    </row>
    <row r="191" spans="1:14" ht="15.75" hidden="1" outlineLevel="1" x14ac:dyDescent="0.2">
      <c r="A191" s="125"/>
      <c r="B191" s="300"/>
      <c r="C191" s="655"/>
      <c r="D191" s="630">
        <f>FirstYear</f>
        <v>2021</v>
      </c>
      <c r="E191" s="630">
        <f>D191+1</f>
        <v>2022</v>
      </c>
      <c r="F191" s="630">
        <f>E191+1</f>
        <v>2023</v>
      </c>
      <c r="G191" s="630">
        <f>F191+1</f>
        <v>2024</v>
      </c>
      <c r="H191" s="630">
        <f>G191+1</f>
        <v>2025</v>
      </c>
      <c r="I191" s="630">
        <f>H191+1</f>
        <v>2026</v>
      </c>
      <c r="J191" s="125"/>
      <c r="K191" s="125"/>
      <c r="L191" s="125"/>
      <c r="M191" s="125"/>
      <c r="N191" s="125"/>
    </row>
    <row r="192" spans="1:14" hidden="1" outlineLevel="1" x14ac:dyDescent="0.2">
      <c r="A192" s="125"/>
      <c r="B192" s="298">
        <v>1</v>
      </c>
      <c r="C192" s="294" t="s">
        <v>87</v>
      </c>
      <c r="D192" s="282">
        <f t="shared" ref="D192:I192" si="86">INDEX(RPBSScriptsNew,$B184,D185)*INDEX(DPMQCoPayNewEff,$B184,$B192)</f>
        <v>0</v>
      </c>
      <c r="E192" s="282">
        <f t="shared" si="86"/>
        <v>0</v>
      </c>
      <c r="F192" s="282">
        <f t="shared" si="86"/>
        <v>0</v>
      </c>
      <c r="G192" s="282">
        <f t="shared" si="86"/>
        <v>0</v>
      </c>
      <c r="H192" s="282">
        <f t="shared" si="86"/>
        <v>0</v>
      </c>
      <c r="I192" s="282">
        <f t="shared" si="86"/>
        <v>0</v>
      </c>
      <c r="J192" s="125"/>
      <c r="K192" s="125"/>
      <c r="L192" s="125"/>
      <c r="M192" s="125"/>
      <c r="N192" s="125"/>
    </row>
    <row r="193" spans="1:14" hidden="1" outlineLevel="1" x14ac:dyDescent="0.2">
      <c r="A193" s="125"/>
      <c r="B193" s="298">
        <v>4</v>
      </c>
      <c r="C193" s="5" t="s">
        <v>111</v>
      </c>
      <c r="D193" s="282">
        <f t="shared" ref="D193:I193" si="87">INDEX(RPBSScriptsNew,$B184,D185)*(INDEX(DPMQCoPayNewEff,$B184,$B193)/INDEX(CoPayCountNew,$B184))</f>
        <v>0</v>
      </c>
      <c r="E193" s="282">
        <f t="shared" si="87"/>
        <v>0</v>
      </c>
      <c r="F193" s="282">
        <f t="shared" si="87"/>
        <v>0</v>
      </c>
      <c r="G193" s="282">
        <f t="shared" si="87"/>
        <v>0</v>
      </c>
      <c r="H193" s="282">
        <f t="shared" si="87"/>
        <v>0</v>
      </c>
      <c r="I193" s="282">
        <f t="shared" si="87"/>
        <v>0</v>
      </c>
      <c r="J193" s="125"/>
      <c r="K193" s="125"/>
      <c r="L193" s="125"/>
      <c r="M193" s="125"/>
      <c r="N193" s="125"/>
    </row>
    <row r="194" spans="1:14" hidden="1" outlineLevel="1" x14ac:dyDescent="0.2">
      <c r="A194" s="125"/>
      <c r="B194" s="300"/>
      <c r="C194" s="5" t="s">
        <v>89</v>
      </c>
      <c r="D194" s="282">
        <f t="shared" ref="D194:I194" si="88">D192+D193</f>
        <v>0</v>
      </c>
      <c r="E194" s="282">
        <f t="shared" si="88"/>
        <v>0</v>
      </c>
      <c r="F194" s="282">
        <f t="shared" si="88"/>
        <v>0</v>
      </c>
      <c r="G194" s="282">
        <f t="shared" si="88"/>
        <v>0</v>
      </c>
      <c r="H194" s="282">
        <f t="shared" si="88"/>
        <v>0</v>
      </c>
      <c r="I194" s="282">
        <f t="shared" si="88"/>
        <v>0</v>
      </c>
      <c r="J194" s="125"/>
      <c r="K194" s="125"/>
      <c r="L194" s="125"/>
      <c r="M194" s="125"/>
      <c r="N194" s="125"/>
    </row>
    <row r="195" spans="1:14" collapsed="1" x14ac:dyDescent="0.2">
      <c r="A195" s="125"/>
      <c r="B195" s="300"/>
      <c r="C195" s="658"/>
      <c r="D195" s="658"/>
      <c r="E195" s="658"/>
      <c r="F195" s="36"/>
      <c r="G195" s="36"/>
      <c r="H195" s="36"/>
      <c r="I195" s="36"/>
      <c r="J195" s="36"/>
      <c r="K195" s="36"/>
      <c r="L195" s="36"/>
      <c r="M195" s="36"/>
      <c r="N195" s="36"/>
    </row>
    <row r="196" spans="1:14" ht="15" x14ac:dyDescent="0.2">
      <c r="A196" s="125"/>
      <c r="B196" s="298">
        <v>15</v>
      </c>
      <c r="C196" s="147" t="str">
        <f>IF(SPANewFlag&lt;&gt;0,INDEX(PBSScriptsNew,B196,1),MsgNotUsed)</f>
        <v>** NOT USED **</v>
      </c>
      <c r="D196" s="139"/>
      <c r="E196" s="139"/>
      <c r="F196" s="139"/>
      <c r="G196" s="139"/>
      <c r="H196" s="139"/>
      <c r="I196" s="139"/>
      <c r="J196" s="133"/>
      <c r="K196" s="132"/>
      <c r="L196" s="821" t="str">
        <f>IF(C196&lt;&gt;MsgNotUsed,"Co-payment group " &amp; INDEX(DPMQCoPayNewEff,B196,2),"")</f>
        <v/>
      </c>
      <c r="M196" s="821"/>
      <c r="N196" s="633"/>
    </row>
    <row r="197" spans="1:14" hidden="1" outlineLevel="1" x14ac:dyDescent="0.2">
      <c r="A197" s="125"/>
      <c r="B197" s="242">
        <f>INDEX(SANew,B196,5)</f>
        <v>0</v>
      </c>
      <c r="C197" s="658"/>
      <c r="D197" s="697">
        <v>2</v>
      </c>
      <c r="E197" s="697">
        <v>3</v>
      </c>
      <c r="F197" s="650">
        <v>4</v>
      </c>
      <c r="G197" s="650">
        <v>5</v>
      </c>
      <c r="H197" s="650">
        <v>6</v>
      </c>
      <c r="I197" s="650">
        <v>7</v>
      </c>
      <c r="J197" s="125"/>
      <c r="K197" s="36"/>
      <c r="L197" s="36"/>
      <c r="M197" s="36"/>
      <c r="N197" s="36"/>
    </row>
    <row r="198" spans="1:14" hidden="1" outlineLevel="1" x14ac:dyDescent="0.2">
      <c r="A198" s="125"/>
      <c r="B198" s="148"/>
      <c r="C198" s="125"/>
      <c r="D198" s="630">
        <f>FirstYear</f>
        <v>2021</v>
      </c>
      <c r="E198" s="630">
        <f>D198+1</f>
        <v>2022</v>
      </c>
      <c r="F198" s="630">
        <f>E198+1</f>
        <v>2023</v>
      </c>
      <c r="G198" s="630">
        <f>F198+1</f>
        <v>2024</v>
      </c>
      <c r="H198" s="630">
        <f>G198+1</f>
        <v>2025</v>
      </c>
      <c r="I198" s="630">
        <f>H198+1</f>
        <v>2026</v>
      </c>
      <c r="J198" s="125"/>
      <c r="K198" s="125"/>
      <c r="L198" s="125"/>
      <c r="M198" s="125"/>
      <c r="N198" s="125"/>
    </row>
    <row r="199" spans="1:14" hidden="1" outlineLevel="1" x14ac:dyDescent="0.2">
      <c r="A199" s="125"/>
      <c r="B199" s="298">
        <v>1</v>
      </c>
      <c r="C199" s="294" t="s">
        <v>86</v>
      </c>
      <c r="D199" s="282">
        <f t="shared" ref="D199:I199" si="89">INDEX(PBSScriptsNew,$B196,D197)*INDEX(DPMQCoPayNewEff,$B196,$B199)</f>
        <v>0</v>
      </c>
      <c r="E199" s="282">
        <f t="shared" si="89"/>
        <v>0</v>
      </c>
      <c r="F199" s="282">
        <f t="shared" si="89"/>
        <v>0</v>
      </c>
      <c r="G199" s="282">
        <f t="shared" si="89"/>
        <v>0</v>
      </c>
      <c r="H199" s="282">
        <f t="shared" si="89"/>
        <v>0</v>
      </c>
      <c r="I199" s="282">
        <f t="shared" si="89"/>
        <v>0</v>
      </c>
      <c r="J199" s="125"/>
      <c r="K199" s="125"/>
      <c r="L199" s="125"/>
      <c r="M199" s="125"/>
      <c r="N199" s="125"/>
    </row>
    <row r="200" spans="1:14" hidden="1" outlineLevel="1" x14ac:dyDescent="0.2">
      <c r="A200" s="125"/>
      <c r="B200" s="298">
        <v>3</v>
      </c>
      <c r="C200" s="5" t="s">
        <v>111</v>
      </c>
      <c r="D200" s="282">
        <f t="shared" ref="D200:I200" si="90">INDEX(PBSScriptsNew,$B196,D197)*(INDEX(DPMQCoPayNewEff,$B196,$B200)/INDEX(CoPayCountNew,$B196))</f>
        <v>0</v>
      </c>
      <c r="E200" s="282">
        <f t="shared" si="90"/>
        <v>0</v>
      </c>
      <c r="F200" s="282">
        <f t="shared" si="90"/>
        <v>0</v>
      </c>
      <c r="G200" s="282">
        <f t="shared" si="90"/>
        <v>0</v>
      </c>
      <c r="H200" s="282">
        <f t="shared" si="90"/>
        <v>0</v>
      </c>
      <c r="I200" s="282">
        <f t="shared" si="90"/>
        <v>0</v>
      </c>
      <c r="J200" s="125"/>
      <c r="K200" s="811" t="str">
        <f>IF(B197&lt;&gt;0,MsgNote&amp;IF(B197="Yes",INDEX(CoPayMethod,1),INDEX(CoPayMethod,2)),"")</f>
        <v/>
      </c>
      <c r="L200" s="811"/>
      <c r="M200" s="811"/>
      <c r="N200" s="628"/>
    </row>
    <row r="201" spans="1:14" hidden="1" outlineLevel="1" x14ac:dyDescent="0.2">
      <c r="A201" s="125"/>
      <c r="B201" s="300"/>
      <c r="C201" s="5" t="s">
        <v>88</v>
      </c>
      <c r="D201" s="282">
        <f t="shared" ref="D201:I201" si="91">D199+D200</f>
        <v>0</v>
      </c>
      <c r="E201" s="282">
        <f t="shared" si="91"/>
        <v>0</v>
      </c>
      <c r="F201" s="282">
        <f t="shared" si="91"/>
        <v>0</v>
      </c>
      <c r="G201" s="282">
        <f t="shared" si="91"/>
        <v>0</v>
      </c>
      <c r="H201" s="282">
        <f t="shared" si="91"/>
        <v>0</v>
      </c>
      <c r="I201" s="282">
        <f t="shared" si="91"/>
        <v>0</v>
      </c>
      <c r="J201" s="125"/>
      <c r="K201" s="125"/>
      <c r="L201" s="125"/>
      <c r="M201" s="125"/>
      <c r="N201" s="125"/>
    </row>
    <row r="202" spans="1:14" hidden="1" outlineLevel="1" x14ac:dyDescent="0.2">
      <c r="A202" s="125"/>
      <c r="B202" s="300"/>
      <c r="C202" s="125"/>
      <c r="D202" s="125"/>
      <c r="E202" s="125"/>
      <c r="F202" s="125"/>
      <c r="G202" s="125"/>
      <c r="H202" s="125"/>
      <c r="I202" s="125"/>
      <c r="J202" s="125"/>
      <c r="K202" s="125"/>
      <c r="L202" s="125"/>
      <c r="M202" s="125"/>
      <c r="N202" s="125"/>
    </row>
    <row r="203" spans="1:14" ht="15.75" hidden="1" outlineLevel="1" x14ac:dyDescent="0.2">
      <c r="A203" s="125"/>
      <c r="B203" s="300"/>
      <c r="C203" s="655"/>
      <c r="D203" s="630">
        <f>FirstYear</f>
        <v>2021</v>
      </c>
      <c r="E203" s="630">
        <f>D203+1</f>
        <v>2022</v>
      </c>
      <c r="F203" s="630">
        <f>E203+1</f>
        <v>2023</v>
      </c>
      <c r="G203" s="630">
        <f>F203+1</f>
        <v>2024</v>
      </c>
      <c r="H203" s="630">
        <f>G203+1</f>
        <v>2025</v>
      </c>
      <c r="I203" s="630">
        <f>H203+1</f>
        <v>2026</v>
      </c>
      <c r="J203" s="125"/>
      <c r="K203" s="125"/>
      <c r="L203" s="125"/>
      <c r="M203" s="125"/>
      <c r="N203" s="125"/>
    </row>
    <row r="204" spans="1:14" hidden="1" outlineLevel="1" x14ac:dyDescent="0.2">
      <c r="A204" s="125"/>
      <c r="B204" s="298">
        <v>1</v>
      </c>
      <c r="C204" s="294" t="s">
        <v>87</v>
      </c>
      <c r="D204" s="282">
        <f t="shared" ref="D204:I204" si="92">INDEX(RPBSScriptsNew,$B196,D197)*INDEX(DPMQCoPayNewEff,$B196,$B204)</f>
        <v>0</v>
      </c>
      <c r="E204" s="282">
        <f t="shared" si="92"/>
        <v>0</v>
      </c>
      <c r="F204" s="282">
        <f t="shared" si="92"/>
        <v>0</v>
      </c>
      <c r="G204" s="282">
        <f t="shared" si="92"/>
        <v>0</v>
      </c>
      <c r="H204" s="282">
        <f t="shared" si="92"/>
        <v>0</v>
      </c>
      <c r="I204" s="282">
        <f t="shared" si="92"/>
        <v>0</v>
      </c>
      <c r="J204" s="125"/>
      <c r="K204" s="125"/>
      <c r="L204" s="125"/>
      <c r="M204" s="125"/>
      <c r="N204" s="125"/>
    </row>
    <row r="205" spans="1:14" hidden="1" outlineLevel="1" x14ac:dyDescent="0.2">
      <c r="A205" s="125"/>
      <c r="B205" s="298">
        <v>4</v>
      </c>
      <c r="C205" s="5" t="s">
        <v>111</v>
      </c>
      <c r="D205" s="282">
        <f t="shared" ref="D205:I205" si="93">INDEX(RPBSScriptsNew,$B196,D197)*(INDEX(DPMQCoPayNewEff,$B196,$B205)/INDEX(CoPayCountNew,$B196))</f>
        <v>0</v>
      </c>
      <c r="E205" s="282">
        <f t="shared" si="93"/>
        <v>0</v>
      </c>
      <c r="F205" s="282">
        <f t="shared" si="93"/>
        <v>0</v>
      </c>
      <c r="G205" s="282">
        <f t="shared" si="93"/>
        <v>0</v>
      </c>
      <c r="H205" s="282">
        <f t="shared" si="93"/>
        <v>0</v>
      </c>
      <c r="I205" s="282">
        <f t="shared" si="93"/>
        <v>0</v>
      </c>
      <c r="J205" s="125"/>
      <c r="K205" s="125"/>
      <c r="L205" s="125"/>
      <c r="M205" s="125"/>
      <c r="N205" s="125"/>
    </row>
    <row r="206" spans="1:14" hidden="1" outlineLevel="1" x14ac:dyDescent="0.2">
      <c r="A206" s="125"/>
      <c r="B206" s="300"/>
      <c r="C206" s="5" t="s">
        <v>89</v>
      </c>
      <c r="D206" s="282">
        <f t="shared" ref="D206:I206" si="94">D204+D205</f>
        <v>0</v>
      </c>
      <c r="E206" s="282">
        <f t="shared" si="94"/>
        <v>0</v>
      </c>
      <c r="F206" s="282">
        <f t="shared" si="94"/>
        <v>0</v>
      </c>
      <c r="G206" s="282">
        <f t="shared" si="94"/>
        <v>0</v>
      </c>
      <c r="H206" s="282">
        <f t="shared" si="94"/>
        <v>0</v>
      </c>
      <c r="I206" s="282">
        <f t="shared" si="94"/>
        <v>0</v>
      </c>
      <c r="J206" s="125"/>
      <c r="K206" s="125"/>
      <c r="L206" s="125"/>
      <c r="M206" s="125"/>
      <c r="N206" s="125"/>
    </row>
    <row r="207" spans="1:14" collapsed="1" x14ac:dyDescent="0.2">
      <c r="A207" s="125"/>
      <c r="B207" s="300"/>
      <c r="C207" s="658"/>
      <c r="D207" s="658"/>
      <c r="E207" s="658"/>
      <c r="F207" s="36"/>
      <c r="G207" s="36"/>
      <c r="H207" s="36"/>
      <c r="I207" s="36"/>
      <c r="J207" s="36"/>
      <c r="K207" s="36"/>
      <c r="L207" s="36"/>
      <c r="M207" s="36"/>
      <c r="N207" s="36"/>
    </row>
    <row r="208" spans="1:14" ht="15" x14ac:dyDescent="0.2">
      <c r="A208" s="125"/>
      <c r="B208" s="298">
        <v>16</v>
      </c>
      <c r="C208" s="147" t="str">
        <f>IF(SPANewFlag&lt;&gt;0,INDEX(PBSScriptsNew,B208,1),MsgNotUsed)</f>
        <v>** NOT USED **</v>
      </c>
      <c r="D208" s="139"/>
      <c r="E208" s="139"/>
      <c r="F208" s="139"/>
      <c r="G208" s="139"/>
      <c r="H208" s="139"/>
      <c r="I208" s="139"/>
      <c r="J208" s="133"/>
      <c r="K208" s="132"/>
      <c r="L208" s="821" t="str">
        <f>IF(C208&lt;&gt;MsgNotUsed,"Co-payment group " &amp; INDEX(DPMQCoPayNewEff,B208,2),"")</f>
        <v/>
      </c>
      <c r="M208" s="821"/>
      <c r="N208" s="633"/>
    </row>
    <row r="209" spans="1:14" hidden="1" outlineLevel="1" x14ac:dyDescent="0.2">
      <c r="A209" s="125"/>
      <c r="B209" s="242">
        <f>INDEX(SANew,B208,5)</f>
        <v>0</v>
      </c>
      <c r="C209" s="658"/>
      <c r="D209" s="697">
        <v>2</v>
      </c>
      <c r="E209" s="697">
        <v>3</v>
      </c>
      <c r="F209" s="650">
        <v>4</v>
      </c>
      <c r="G209" s="650">
        <v>5</v>
      </c>
      <c r="H209" s="650">
        <v>6</v>
      </c>
      <c r="I209" s="650">
        <v>7</v>
      </c>
      <c r="J209" s="125"/>
      <c r="K209" s="36"/>
      <c r="L209" s="36"/>
      <c r="M209" s="36"/>
      <c r="N209" s="36"/>
    </row>
    <row r="210" spans="1:14" hidden="1" outlineLevel="1" x14ac:dyDescent="0.2">
      <c r="A210" s="125"/>
      <c r="B210" s="148"/>
      <c r="C210" s="125"/>
      <c r="D210" s="630">
        <f>FirstYear</f>
        <v>2021</v>
      </c>
      <c r="E210" s="630">
        <f>D210+1</f>
        <v>2022</v>
      </c>
      <c r="F210" s="630">
        <f>E210+1</f>
        <v>2023</v>
      </c>
      <c r="G210" s="630">
        <f>F210+1</f>
        <v>2024</v>
      </c>
      <c r="H210" s="630">
        <f>G210+1</f>
        <v>2025</v>
      </c>
      <c r="I210" s="630">
        <f>H210+1</f>
        <v>2026</v>
      </c>
      <c r="J210" s="125"/>
      <c r="K210" s="125"/>
      <c r="L210" s="125"/>
      <c r="M210" s="125"/>
      <c r="N210" s="125"/>
    </row>
    <row r="211" spans="1:14" hidden="1" outlineLevel="1" x14ac:dyDescent="0.2">
      <c r="A211" s="125"/>
      <c r="B211" s="298">
        <v>1</v>
      </c>
      <c r="C211" s="294" t="s">
        <v>86</v>
      </c>
      <c r="D211" s="282">
        <f t="shared" ref="D211:I211" si="95">INDEX(PBSScriptsNew,$B208,D209)*INDEX(DPMQCoPayNewEff,$B208,$B211)</f>
        <v>0</v>
      </c>
      <c r="E211" s="282">
        <f t="shared" si="95"/>
        <v>0</v>
      </c>
      <c r="F211" s="282">
        <f t="shared" si="95"/>
        <v>0</v>
      </c>
      <c r="G211" s="282">
        <f t="shared" si="95"/>
        <v>0</v>
      </c>
      <c r="H211" s="282">
        <f t="shared" si="95"/>
        <v>0</v>
      </c>
      <c r="I211" s="282">
        <f t="shared" si="95"/>
        <v>0</v>
      </c>
      <c r="J211" s="125"/>
      <c r="K211" s="125"/>
      <c r="L211" s="125"/>
      <c r="M211" s="125"/>
      <c r="N211" s="125"/>
    </row>
    <row r="212" spans="1:14" hidden="1" outlineLevel="1" x14ac:dyDescent="0.2">
      <c r="A212" s="125"/>
      <c r="B212" s="298">
        <v>3</v>
      </c>
      <c r="C212" s="5" t="s">
        <v>111</v>
      </c>
      <c r="D212" s="282">
        <f t="shared" ref="D212:I212" si="96">INDEX(PBSScriptsNew,$B208,D209)*(INDEX(DPMQCoPayNewEff,$B208,$B212)/INDEX(CoPayCountNew,$B208))</f>
        <v>0</v>
      </c>
      <c r="E212" s="282">
        <f t="shared" si="96"/>
        <v>0</v>
      </c>
      <c r="F212" s="282">
        <f t="shared" si="96"/>
        <v>0</v>
      </c>
      <c r="G212" s="282">
        <f t="shared" si="96"/>
        <v>0</v>
      </c>
      <c r="H212" s="282">
        <f t="shared" si="96"/>
        <v>0</v>
      </c>
      <c r="I212" s="282">
        <f t="shared" si="96"/>
        <v>0</v>
      </c>
      <c r="J212" s="125"/>
      <c r="K212" s="811" t="str">
        <f>IF(B209&lt;&gt;0,MsgNote&amp;IF(B209="Yes",INDEX(CoPayMethod,1),INDEX(CoPayMethod,2)),"")</f>
        <v/>
      </c>
      <c r="L212" s="811"/>
      <c r="M212" s="811"/>
      <c r="N212" s="628"/>
    </row>
    <row r="213" spans="1:14" hidden="1" outlineLevel="1" x14ac:dyDescent="0.2">
      <c r="A213" s="125"/>
      <c r="B213" s="300"/>
      <c r="C213" s="5" t="s">
        <v>88</v>
      </c>
      <c r="D213" s="282">
        <f t="shared" ref="D213:I213" si="97">D211+D212</f>
        <v>0</v>
      </c>
      <c r="E213" s="282">
        <f t="shared" si="97"/>
        <v>0</v>
      </c>
      <c r="F213" s="282">
        <f t="shared" si="97"/>
        <v>0</v>
      </c>
      <c r="G213" s="282">
        <f t="shared" si="97"/>
        <v>0</v>
      </c>
      <c r="H213" s="282">
        <f t="shared" si="97"/>
        <v>0</v>
      </c>
      <c r="I213" s="282">
        <f t="shared" si="97"/>
        <v>0</v>
      </c>
      <c r="J213" s="125"/>
      <c r="K213" s="125"/>
      <c r="L213" s="125"/>
      <c r="M213" s="125"/>
      <c r="N213" s="125"/>
    </row>
    <row r="214" spans="1:14" hidden="1" outlineLevel="1" x14ac:dyDescent="0.2">
      <c r="A214" s="125"/>
      <c r="B214" s="300"/>
      <c r="C214" s="125"/>
      <c r="D214" s="125"/>
      <c r="E214" s="125"/>
      <c r="F214" s="125"/>
      <c r="G214" s="125"/>
      <c r="H214" s="125"/>
      <c r="I214" s="125"/>
      <c r="J214" s="125"/>
      <c r="K214" s="125"/>
      <c r="L214" s="125"/>
      <c r="M214" s="125"/>
      <c r="N214" s="125"/>
    </row>
    <row r="215" spans="1:14" ht="15.75" hidden="1" outlineLevel="1" x14ac:dyDescent="0.2">
      <c r="A215" s="125"/>
      <c r="B215" s="300"/>
      <c r="C215" s="655"/>
      <c r="D215" s="630">
        <f>FirstYear</f>
        <v>2021</v>
      </c>
      <c r="E215" s="630">
        <f>D215+1</f>
        <v>2022</v>
      </c>
      <c r="F215" s="630">
        <f>E215+1</f>
        <v>2023</v>
      </c>
      <c r="G215" s="630">
        <f>F215+1</f>
        <v>2024</v>
      </c>
      <c r="H215" s="630">
        <f>G215+1</f>
        <v>2025</v>
      </c>
      <c r="I215" s="630">
        <f>H215+1</f>
        <v>2026</v>
      </c>
      <c r="J215" s="125"/>
      <c r="K215" s="125"/>
      <c r="L215" s="125"/>
      <c r="M215" s="125"/>
      <c r="N215" s="125"/>
    </row>
    <row r="216" spans="1:14" hidden="1" outlineLevel="1" x14ac:dyDescent="0.2">
      <c r="A216" s="125"/>
      <c r="B216" s="298">
        <v>1</v>
      </c>
      <c r="C216" s="294" t="s">
        <v>87</v>
      </c>
      <c r="D216" s="282">
        <f t="shared" ref="D216:I216" si="98">INDEX(RPBSScriptsNew,$B208,D209)*INDEX(DPMQCoPayNewEff,$B208,$B216)</f>
        <v>0</v>
      </c>
      <c r="E216" s="282">
        <f t="shared" si="98"/>
        <v>0</v>
      </c>
      <c r="F216" s="282">
        <f t="shared" si="98"/>
        <v>0</v>
      </c>
      <c r="G216" s="282">
        <f t="shared" si="98"/>
        <v>0</v>
      </c>
      <c r="H216" s="282">
        <f t="shared" si="98"/>
        <v>0</v>
      </c>
      <c r="I216" s="282">
        <f t="shared" si="98"/>
        <v>0</v>
      </c>
      <c r="J216" s="125"/>
      <c r="K216" s="125"/>
      <c r="L216" s="125"/>
      <c r="M216" s="125"/>
      <c r="N216" s="125"/>
    </row>
    <row r="217" spans="1:14" hidden="1" outlineLevel="1" x14ac:dyDescent="0.2">
      <c r="A217" s="125"/>
      <c r="B217" s="298">
        <v>4</v>
      </c>
      <c r="C217" s="5" t="s">
        <v>111</v>
      </c>
      <c r="D217" s="282">
        <f t="shared" ref="D217:I217" si="99">INDEX(RPBSScriptsNew,$B208,D209)*(INDEX(DPMQCoPayNewEff,$B208,$B217)/INDEX(CoPayCountNew,$B208))</f>
        <v>0</v>
      </c>
      <c r="E217" s="282">
        <f t="shared" si="99"/>
        <v>0</v>
      </c>
      <c r="F217" s="282">
        <f t="shared" si="99"/>
        <v>0</v>
      </c>
      <c r="G217" s="282">
        <f t="shared" si="99"/>
        <v>0</v>
      </c>
      <c r="H217" s="282">
        <f t="shared" si="99"/>
        <v>0</v>
      </c>
      <c r="I217" s="282">
        <f t="shared" si="99"/>
        <v>0</v>
      </c>
      <c r="J217" s="125"/>
      <c r="K217" s="125"/>
      <c r="L217" s="125"/>
      <c r="M217" s="125"/>
      <c r="N217" s="125"/>
    </row>
    <row r="218" spans="1:14" hidden="1" outlineLevel="1" x14ac:dyDescent="0.2">
      <c r="A218" s="125"/>
      <c r="B218" s="300"/>
      <c r="C218" s="5" t="s">
        <v>89</v>
      </c>
      <c r="D218" s="282">
        <f t="shared" ref="D218:I218" si="100">D216+D217</f>
        <v>0</v>
      </c>
      <c r="E218" s="282">
        <f t="shared" si="100"/>
        <v>0</v>
      </c>
      <c r="F218" s="282">
        <f t="shared" si="100"/>
        <v>0</v>
      </c>
      <c r="G218" s="282">
        <f t="shared" si="100"/>
        <v>0</v>
      </c>
      <c r="H218" s="282">
        <f t="shared" si="100"/>
        <v>0</v>
      </c>
      <c r="I218" s="282">
        <f t="shared" si="100"/>
        <v>0</v>
      </c>
      <c r="J218" s="125"/>
      <c r="K218" s="125"/>
      <c r="L218" s="125"/>
      <c r="M218" s="125"/>
      <c r="N218" s="125"/>
    </row>
    <row r="219" spans="1:14" collapsed="1" x14ac:dyDescent="0.2">
      <c r="A219" s="125"/>
      <c r="B219" s="300"/>
      <c r="C219" s="658"/>
      <c r="D219" s="658"/>
      <c r="E219" s="658"/>
      <c r="F219" s="36"/>
      <c r="G219" s="36"/>
      <c r="H219" s="36"/>
      <c r="I219" s="36"/>
      <c r="J219" s="36"/>
      <c r="K219" s="36"/>
      <c r="L219" s="36"/>
      <c r="M219" s="36"/>
      <c r="N219" s="36"/>
    </row>
    <row r="220" spans="1:14" ht="15" x14ac:dyDescent="0.2">
      <c r="A220" s="125"/>
      <c r="B220" s="298">
        <v>17</v>
      </c>
      <c r="C220" s="147" t="str">
        <f>IF(SPANewFlag&lt;&gt;0,INDEX(PBSScriptsNew,B220,1),MsgNotUsed)</f>
        <v>** NOT USED **</v>
      </c>
      <c r="D220" s="139"/>
      <c r="E220" s="139"/>
      <c r="F220" s="139"/>
      <c r="G220" s="139"/>
      <c r="H220" s="139"/>
      <c r="I220" s="139"/>
      <c r="J220" s="133"/>
      <c r="K220" s="132"/>
      <c r="L220" s="821" t="str">
        <f>IF(C220&lt;&gt;MsgNotUsed,"Co-payment group " &amp; INDEX(DPMQCoPayNewEff,B220,2),"")</f>
        <v/>
      </c>
      <c r="M220" s="821"/>
      <c r="N220" s="633"/>
    </row>
    <row r="221" spans="1:14" hidden="1" outlineLevel="1" x14ac:dyDescent="0.2">
      <c r="A221" s="125"/>
      <c r="B221" s="242">
        <f>INDEX(SANew,B220,5)</f>
        <v>0</v>
      </c>
      <c r="C221" s="658"/>
      <c r="D221" s="697">
        <v>2</v>
      </c>
      <c r="E221" s="697">
        <v>3</v>
      </c>
      <c r="F221" s="650">
        <v>4</v>
      </c>
      <c r="G221" s="650">
        <v>5</v>
      </c>
      <c r="H221" s="650">
        <v>6</v>
      </c>
      <c r="I221" s="650">
        <v>7</v>
      </c>
      <c r="J221" s="125"/>
      <c r="K221" s="36"/>
      <c r="L221" s="36"/>
      <c r="M221" s="36"/>
      <c r="N221" s="36"/>
    </row>
    <row r="222" spans="1:14" hidden="1" outlineLevel="1" x14ac:dyDescent="0.2">
      <c r="A222" s="125"/>
      <c r="B222" s="148"/>
      <c r="C222" s="125"/>
      <c r="D222" s="630">
        <f>FirstYear</f>
        <v>2021</v>
      </c>
      <c r="E222" s="630">
        <f>D222+1</f>
        <v>2022</v>
      </c>
      <c r="F222" s="630">
        <f>E222+1</f>
        <v>2023</v>
      </c>
      <c r="G222" s="630">
        <f>F222+1</f>
        <v>2024</v>
      </c>
      <c r="H222" s="630">
        <f>G222+1</f>
        <v>2025</v>
      </c>
      <c r="I222" s="630">
        <f>H222+1</f>
        <v>2026</v>
      </c>
      <c r="J222" s="125"/>
      <c r="K222" s="125"/>
      <c r="L222" s="125"/>
      <c r="M222" s="125"/>
      <c r="N222" s="125"/>
    </row>
    <row r="223" spans="1:14" hidden="1" outlineLevel="1" x14ac:dyDescent="0.2">
      <c r="A223" s="125"/>
      <c r="B223" s="298">
        <v>1</v>
      </c>
      <c r="C223" s="294" t="s">
        <v>86</v>
      </c>
      <c r="D223" s="282">
        <f t="shared" ref="D223:I223" si="101">INDEX(PBSScriptsNew,$B220,D221)*INDEX(DPMQCoPayNewEff,$B220,$B223)</f>
        <v>0</v>
      </c>
      <c r="E223" s="282">
        <f t="shared" si="101"/>
        <v>0</v>
      </c>
      <c r="F223" s="282">
        <f t="shared" si="101"/>
        <v>0</v>
      </c>
      <c r="G223" s="282">
        <f t="shared" si="101"/>
        <v>0</v>
      </c>
      <c r="H223" s="282">
        <f t="shared" si="101"/>
        <v>0</v>
      </c>
      <c r="I223" s="282">
        <f t="shared" si="101"/>
        <v>0</v>
      </c>
      <c r="J223" s="125"/>
      <c r="K223" s="125"/>
      <c r="L223" s="125"/>
      <c r="M223" s="125"/>
      <c r="N223" s="125"/>
    </row>
    <row r="224" spans="1:14" hidden="1" outlineLevel="1" x14ac:dyDescent="0.2">
      <c r="A224" s="125"/>
      <c r="B224" s="298">
        <v>3</v>
      </c>
      <c r="C224" s="5" t="s">
        <v>111</v>
      </c>
      <c r="D224" s="282">
        <f t="shared" ref="D224:I224" si="102">INDEX(PBSScriptsNew,$B220,D221)*(INDEX(DPMQCoPayNewEff,$B220,$B224)/INDEX(CoPayCountNew,$B220))</f>
        <v>0</v>
      </c>
      <c r="E224" s="282">
        <f t="shared" si="102"/>
        <v>0</v>
      </c>
      <c r="F224" s="282">
        <f t="shared" si="102"/>
        <v>0</v>
      </c>
      <c r="G224" s="282">
        <f t="shared" si="102"/>
        <v>0</v>
      </c>
      <c r="H224" s="282">
        <f t="shared" si="102"/>
        <v>0</v>
      </c>
      <c r="I224" s="282">
        <f t="shared" si="102"/>
        <v>0</v>
      </c>
      <c r="J224" s="125"/>
      <c r="K224" s="811" t="str">
        <f>IF(B221&lt;&gt;0,MsgNote&amp;IF(B221="Yes",INDEX(CoPayMethod,1),INDEX(CoPayMethod,2)),"")</f>
        <v/>
      </c>
      <c r="L224" s="811"/>
      <c r="M224" s="811"/>
      <c r="N224" s="628"/>
    </row>
    <row r="225" spans="1:14" hidden="1" outlineLevel="1" x14ac:dyDescent="0.2">
      <c r="A225" s="125"/>
      <c r="B225" s="300"/>
      <c r="C225" s="5" t="s">
        <v>88</v>
      </c>
      <c r="D225" s="282">
        <f t="shared" ref="D225:I225" si="103">D223+D224</f>
        <v>0</v>
      </c>
      <c r="E225" s="282">
        <f t="shared" si="103"/>
        <v>0</v>
      </c>
      <c r="F225" s="282">
        <f t="shared" si="103"/>
        <v>0</v>
      </c>
      <c r="G225" s="282">
        <f t="shared" si="103"/>
        <v>0</v>
      </c>
      <c r="H225" s="282">
        <f t="shared" si="103"/>
        <v>0</v>
      </c>
      <c r="I225" s="282">
        <f t="shared" si="103"/>
        <v>0</v>
      </c>
      <c r="J225" s="125"/>
      <c r="K225" s="125"/>
      <c r="L225" s="125"/>
      <c r="M225" s="125"/>
      <c r="N225" s="125"/>
    </row>
    <row r="226" spans="1:14" hidden="1" outlineLevel="1" x14ac:dyDescent="0.2">
      <c r="A226" s="125"/>
      <c r="B226" s="300"/>
      <c r="C226" s="125"/>
      <c r="D226" s="125"/>
      <c r="E226" s="125"/>
      <c r="F226" s="125"/>
      <c r="G226" s="125"/>
      <c r="H226" s="125"/>
      <c r="I226" s="125"/>
      <c r="J226" s="125"/>
      <c r="K226" s="125"/>
      <c r="L226" s="125"/>
      <c r="M226" s="125"/>
      <c r="N226" s="125"/>
    </row>
    <row r="227" spans="1:14" ht="15.75" hidden="1" outlineLevel="1" x14ac:dyDescent="0.2">
      <c r="A227" s="125"/>
      <c r="B227" s="300"/>
      <c r="C227" s="655"/>
      <c r="D227" s="630">
        <f>FirstYear</f>
        <v>2021</v>
      </c>
      <c r="E227" s="630">
        <f>D227+1</f>
        <v>2022</v>
      </c>
      <c r="F227" s="630">
        <f>E227+1</f>
        <v>2023</v>
      </c>
      <c r="G227" s="630">
        <f>F227+1</f>
        <v>2024</v>
      </c>
      <c r="H227" s="630">
        <f>G227+1</f>
        <v>2025</v>
      </c>
      <c r="I227" s="630">
        <f>H227+1</f>
        <v>2026</v>
      </c>
      <c r="J227" s="125"/>
      <c r="K227" s="125"/>
      <c r="L227" s="125"/>
      <c r="M227" s="125"/>
      <c r="N227" s="125"/>
    </row>
    <row r="228" spans="1:14" hidden="1" outlineLevel="1" x14ac:dyDescent="0.2">
      <c r="A228" s="125"/>
      <c r="B228" s="298">
        <v>1</v>
      </c>
      <c r="C228" s="294" t="s">
        <v>87</v>
      </c>
      <c r="D228" s="282">
        <f t="shared" ref="D228:I228" si="104">INDEX(RPBSScriptsNew,$B220,D221)*INDEX(DPMQCoPayNewEff,$B220,$B228)</f>
        <v>0</v>
      </c>
      <c r="E228" s="282">
        <f t="shared" si="104"/>
        <v>0</v>
      </c>
      <c r="F228" s="282">
        <f t="shared" si="104"/>
        <v>0</v>
      </c>
      <c r="G228" s="282">
        <f t="shared" si="104"/>
        <v>0</v>
      </c>
      <c r="H228" s="282">
        <f t="shared" si="104"/>
        <v>0</v>
      </c>
      <c r="I228" s="282">
        <f t="shared" si="104"/>
        <v>0</v>
      </c>
      <c r="J228" s="125"/>
      <c r="K228" s="125"/>
      <c r="L228" s="125"/>
      <c r="M228" s="125"/>
      <c r="N228" s="125"/>
    </row>
    <row r="229" spans="1:14" hidden="1" outlineLevel="1" x14ac:dyDescent="0.2">
      <c r="A229" s="125"/>
      <c r="B229" s="298">
        <v>4</v>
      </c>
      <c r="C229" s="5" t="s">
        <v>111</v>
      </c>
      <c r="D229" s="282">
        <f t="shared" ref="D229:I229" si="105">INDEX(RPBSScriptsNew,$B220,D221)*(INDEX(DPMQCoPayNewEff,$B220,$B229)/INDEX(CoPayCountNew,$B220))</f>
        <v>0</v>
      </c>
      <c r="E229" s="282">
        <f t="shared" si="105"/>
        <v>0</v>
      </c>
      <c r="F229" s="282">
        <f t="shared" si="105"/>
        <v>0</v>
      </c>
      <c r="G229" s="282">
        <f t="shared" si="105"/>
        <v>0</v>
      </c>
      <c r="H229" s="282">
        <f t="shared" si="105"/>
        <v>0</v>
      </c>
      <c r="I229" s="282">
        <f t="shared" si="105"/>
        <v>0</v>
      </c>
      <c r="J229" s="125"/>
      <c r="K229" s="125"/>
      <c r="L229" s="125"/>
      <c r="M229" s="125"/>
      <c r="N229" s="125"/>
    </row>
    <row r="230" spans="1:14" hidden="1" outlineLevel="1" x14ac:dyDescent="0.2">
      <c r="A230" s="125"/>
      <c r="B230" s="300"/>
      <c r="C230" s="5" t="s">
        <v>89</v>
      </c>
      <c r="D230" s="282">
        <f t="shared" ref="D230:I230" si="106">D228+D229</f>
        <v>0</v>
      </c>
      <c r="E230" s="282">
        <f t="shared" si="106"/>
        <v>0</v>
      </c>
      <c r="F230" s="282">
        <f t="shared" si="106"/>
        <v>0</v>
      </c>
      <c r="G230" s="282">
        <f t="shared" si="106"/>
        <v>0</v>
      </c>
      <c r="H230" s="282">
        <f t="shared" si="106"/>
        <v>0</v>
      </c>
      <c r="I230" s="282">
        <f t="shared" si="106"/>
        <v>0</v>
      </c>
      <c r="J230" s="125"/>
      <c r="K230" s="125"/>
      <c r="L230" s="125"/>
      <c r="M230" s="125"/>
      <c r="N230" s="125"/>
    </row>
    <row r="231" spans="1:14" collapsed="1" x14ac:dyDescent="0.2">
      <c r="A231" s="125"/>
      <c r="B231" s="300"/>
      <c r="C231" s="658"/>
      <c r="D231" s="658"/>
      <c r="E231" s="658"/>
      <c r="F231" s="36"/>
      <c r="G231" s="36"/>
      <c r="H231" s="36"/>
      <c r="I231" s="36"/>
      <c r="J231" s="36"/>
      <c r="K231" s="36"/>
      <c r="L231" s="36"/>
      <c r="M231" s="36"/>
      <c r="N231" s="36"/>
    </row>
    <row r="232" spans="1:14" ht="15" x14ac:dyDescent="0.2">
      <c r="A232" s="125"/>
      <c r="B232" s="298">
        <v>18</v>
      </c>
      <c r="C232" s="147" t="str">
        <f>IF(SPANewFlag&lt;&gt;0,INDEX(PBSScriptsNew,B232,1),MsgNotUsed)</f>
        <v>** NOT USED **</v>
      </c>
      <c r="D232" s="139"/>
      <c r="E232" s="139"/>
      <c r="F232" s="139"/>
      <c r="G232" s="139"/>
      <c r="H232" s="139"/>
      <c r="I232" s="139"/>
      <c r="J232" s="133"/>
      <c r="K232" s="132"/>
      <c r="L232" s="821" t="str">
        <f>IF(C232&lt;&gt;MsgNotUsed,"Co-payment group " &amp; INDEX(DPMQCoPayNewEff,B232,2),"")</f>
        <v/>
      </c>
      <c r="M232" s="821"/>
      <c r="N232" s="633"/>
    </row>
    <row r="233" spans="1:14" hidden="1" outlineLevel="1" x14ac:dyDescent="0.2">
      <c r="A233" s="125"/>
      <c r="B233" s="242">
        <f>INDEX(SANew,B232,5)</f>
        <v>0</v>
      </c>
      <c r="C233" s="658"/>
      <c r="D233" s="697">
        <v>2</v>
      </c>
      <c r="E233" s="697">
        <v>3</v>
      </c>
      <c r="F233" s="650">
        <v>4</v>
      </c>
      <c r="G233" s="650">
        <v>5</v>
      </c>
      <c r="H233" s="650">
        <v>6</v>
      </c>
      <c r="I233" s="650">
        <v>7</v>
      </c>
      <c r="J233" s="125"/>
      <c r="K233" s="36"/>
      <c r="L233" s="36"/>
      <c r="M233" s="36"/>
      <c r="N233" s="36"/>
    </row>
    <row r="234" spans="1:14" hidden="1" outlineLevel="1" x14ac:dyDescent="0.2">
      <c r="A234" s="125"/>
      <c r="B234" s="148"/>
      <c r="C234" s="125"/>
      <c r="D234" s="630">
        <f>FirstYear</f>
        <v>2021</v>
      </c>
      <c r="E234" s="630">
        <f>D234+1</f>
        <v>2022</v>
      </c>
      <c r="F234" s="630">
        <f>E234+1</f>
        <v>2023</v>
      </c>
      <c r="G234" s="630">
        <f>F234+1</f>
        <v>2024</v>
      </c>
      <c r="H234" s="630">
        <f>G234+1</f>
        <v>2025</v>
      </c>
      <c r="I234" s="630">
        <f>H234+1</f>
        <v>2026</v>
      </c>
      <c r="J234" s="125"/>
      <c r="K234" s="125"/>
      <c r="L234" s="125"/>
      <c r="M234" s="125"/>
      <c r="N234" s="125"/>
    </row>
    <row r="235" spans="1:14" hidden="1" outlineLevel="1" x14ac:dyDescent="0.2">
      <c r="A235" s="125"/>
      <c r="B235" s="298">
        <v>1</v>
      </c>
      <c r="C235" s="294" t="s">
        <v>86</v>
      </c>
      <c r="D235" s="282">
        <f t="shared" ref="D235:I235" si="107">INDEX(PBSScriptsNew,$B232,D233)*INDEX(DPMQCoPayNewEff,$B232,$B235)</f>
        <v>0</v>
      </c>
      <c r="E235" s="282">
        <f t="shared" si="107"/>
        <v>0</v>
      </c>
      <c r="F235" s="282">
        <f t="shared" si="107"/>
        <v>0</v>
      </c>
      <c r="G235" s="282">
        <f t="shared" si="107"/>
        <v>0</v>
      </c>
      <c r="H235" s="282">
        <f t="shared" si="107"/>
        <v>0</v>
      </c>
      <c r="I235" s="282">
        <f t="shared" si="107"/>
        <v>0</v>
      </c>
      <c r="J235" s="125"/>
      <c r="K235" s="125"/>
      <c r="L235" s="125"/>
      <c r="M235" s="125"/>
      <c r="N235" s="125"/>
    </row>
    <row r="236" spans="1:14" hidden="1" outlineLevel="1" x14ac:dyDescent="0.2">
      <c r="A236" s="125"/>
      <c r="B236" s="298">
        <v>3</v>
      </c>
      <c r="C236" s="5" t="s">
        <v>111</v>
      </c>
      <c r="D236" s="282">
        <f t="shared" ref="D236:I236" si="108">INDEX(PBSScriptsNew,$B232,D233)*(INDEX(DPMQCoPayNewEff,$B232,$B236)/INDEX(CoPayCountNew,$B232))</f>
        <v>0</v>
      </c>
      <c r="E236" s="282">
        <f t="shared" si="108"/>
        <v>0</v>
      </c>
      <c r="F236" s="282">
        <f t="shared" si="108"/>
        <v>0</v>
      </c>
      <c r="G236" s="282">
        <f t="shared" si="108"/>
        <v>0</v>
      </c>
      <c r="H236" s="282">
        <f t="shared" si="108"/>
        <v>0</v>
      </c>
      <c r="I236" s="282">
        <f t="shared" si="108"/>
        <v>0</v>
      </c>
      <c r="J236" s="125"/>
      <c r="K236" s="811" t="str">
        <f>IF(B233&lt;&gt;0,MsgNote&amp;IF(B233="Yes",INDEX(CoPayMethod,1),INDEX(CoPayMethod,2)),"")</f>
        <v/>
      </c>
      <c r="L236" s="811"/>
      <c r="M236" s="811"/>
      <c r="N236" s="628"/>
    </row>
    <row r="237" spans="1:14" hidden="1" outlineLevel="1" x14ac:dyDescent="0.2">
      <c r="A237" s="125"/>
      <c r="B237" s="300"/>
      <c r="C237" s="5" t="s">
        <v>88</v>
      </c>
      <c r="D237" s="282">
        <f t="shared" ref="D237:I237" si="109">D235+D236</f>
        <v>0</v>
      </c>
      <c r="E237" s="282">
        <f t="shared" si="109"/>
        <v>0</v>
      </c>
      <c r="F237" s="282">
        <f t="shared" si="109"/>
        <v>0</v>
      </c>
      <c r="G237" s="282">
        <f t="shared" si="109"/>
        <v>0</v>
      </c>
      <c r="H237" s="282">
        <f t="shared" si="109"/>
        <v>0</v>
      </c>
      <c r="I237" s="282">
        <f t="shared" si="109"/>
        <v>0</v>
      </c>
      <c r="J237" s="125"/>
      <c r="K237" s="125"/>
      <c r="L237" s="125"/>
      <c r="M237" s="125"/>
      <c r="N237" s="125"/>
    </row>
    <row r="238" spans="1:14" hidden="1" outlineLevel="1" x14ac:dyDescent="0.2">
      <c r="A238" s="125"/>
      <c r="B238" s="300"/>
      <c r="C238" s="125"/>
      <c r="D238" s="125"/>
      <c r="E238" s="125"/>
      <c r="F238" s="125"/>
      <c r="G238" s="125"/>
      <c r="H238" s="125"/>
      <c r="I238" s="125"/>
      <c r="J238" s="125"/>
      <c r="K238" s="125"/>
      <c r="L238" s="125"/>
      <c r="M238" s="125"/>
      <c r="N238" s="125"/>
    </row>
    <row r="239" spans="1:14" ht="15.75" hidden="1" outlineLevel="1" x14ac:dyDescent="0.2">
      <c r="A239" s="125"/>
      <c r="B239" s="300"/>
      <c r="C239" s="655"/>
      <c r="D239" s="630">
        <f>FirstYear</f>
        <v>2021</v>
      </c>
      <c r="E239" s="630">
        <f>D239+1</f>
        <v>2022</v>
      </c>
      <c r="F239" s="630">
        <f>E239+1</f>
        <v>2023</v>
      </c>
      <c r="G239" s="630">
        <f>F239+1</f>
        <v>2024</v>
      </c>
      <c r="H239" s="630">
        <f>G239+1</f>
        <v>2025</v>
      </c>
      <c r="I239" s="630">
        <f>H239+1</f>
        <v>2026</v>
      </c>
      <c r="J239" s="125"/>
      <c r="K239" s="125"/>
      <c r="L239" s="125"/>
      <c r="M239" s="125"/>
      <c r="N239" s="125"/>
    </row>
    <row r="240" spans="1:14" hidden="1" outlineLevel="1" x14ac:dyDescent="0.2">
      <c r="A240" s="125"/>
      <c r="B240" s="298">
        <v>1</v>
      </c>
      <c r="C240" s="294" t="s">
        <v>87</v>
      </c>
      <c r="D240" s="282">
        <f t="shared" ref="D240:I240" si="110">INDEX(RPBSScriptsNew,$B232,D233)*INDEX(DPMQCoPayNewEff,$B232,$B240)</f>
        <v>0</v>
      </c>
      <c r="E240" s="282">
        <f t="shared" si="110"/>
        <v>0</v>
      </c>
      <c r="F240" s="282">
        <f t="shared" si="110"/>
        <v>0</v>
      </c>
      <c r="G240" s="282">
        <f t="shared" si="110"/>
        <v>0</v>
      </c>
      <c r="H240" s="282">
        <f t="shared" si="110"/>
        <v>0</v>
      </c>
      <c r="I240" s="282">
        <f t="shared" si="110"/>
        <v>0</v>
      </c>
      <c r="J240" s="125"/>
      <c r="K240" s="125"/>
      <c r="L240" s="125"/>
      <c r="M240" s="125"/>
      <c r="N240" s="125"/>
    </row>
    <row r="241" spans="1:14" hidden="1" outlineLevel="1" x14ac:dyDescent="0.2">
      <c r="A241" s="125"/>
      <c r="B241" s="298">
        <v>4</v>
      </c>
      <c r="C241" s="5" t="s">
        <v>111</v>
      </c>
      <c r="D241" s="282">
        <f t="shared" ref="D241:I241" si="111">INDEX(RPBSScriptsNew,$B232,D233)*(INDEX(DPMQCoPayNewEff,$B232,$B241)/INDEX(CoPayCountNew,$B232))</f>
        <v>0</v>
      </c>
      <c r="E241" s="282">
        <f t="shared" si="111"/>
        <v>0</v>
      </c>
      <c r="F241" s="282">
        <f t="shared" si="111"/>
        <v>0</v>
      </c>
      <c r="G241" s="282">
        <f t="shared" si="111"/>
        <v>0</v>
      </c>
      <c r="H241" s="282">
        <f t="shared" si="111"/>
        <v>0</v>
      </c>
      <c r="I241" s="282">
        <f t="shared" si="111"/>
        <v>0</v>
      </c>
      <c r="J241" s="125"/>
      <c r="K241" s="125"/>
      <c r="L241" s="125"/>
      <c r="M241" s="125"/>
      <c r="N241" s="125"/>
    </row>
    <row r="242" spans="1:14" hidden="1" outlineLevel="1" x14ac:dyDescent="0.2">
      <c r="A242" s="125"/>
      <c r="B242" s="300"/>
      <c r="C242" s="5" t="s">
        <v>89</v>
      </c>
      <c r="D242" s="282">
        <f t="shared" ref="D242:I242" si="112">D240+D241</f>
        <v>0</v>
      </c>
      <c r="E242" s="282">
        <f t="shared" si="112"/>
        <v>0</v>
      </c>
      <c r="F242" s="282">
        <f t="shared" si="112"/>
        <v>0</v>
      </c>
      <c r="G242" s="282">
        <f t="shared" si="112"/>
        <v>0</v>
      </c>
      <c r="H242" s="282">
        <f t="shared" si="112"/>
        <v>0</v>
      </c>
      <c r="I242" s="282">
        <f t="shared" si="112"/>
        <v>0</v>
      </c>
      <c r="J242" s="125"/>
      <c r="K242" s="125"/>
      <c r="L242" s="125"/>
      <c r="M242" s="125"/>
      <c r="N242" s="125"/>
    </row>
    <row r="243" spans="1:14" collapsed="1" x14ac:dyDescent="0.2">
      <c r="A243" s="125"/>
      <c r="B243" s="300"/>
      <c r="C243" s="658"/>
      <c r="D243" s="658"/>
      <c r="E243" s="658"/>
      <c r="F243" s="36"/>
      <c r="G243" s="36"/>
      <c r="H243" s="36"/>
      <c r="I243" s="36"/>
      <c r="J243" s="36"/>
      <c r="K243" s="36"/>
      <c r="L243" s="36"/>
      <c r="M243" s="36"/>
      <c r="N243" s="36"/>
    </row>
    <row r="244" spans="1:14" ht="15" x14ac:dyDescent="0.2">
      <c r="A244" s="125"/>
      <c r="B244" s="298">
        <v>19</v>
      </c>
      <c r="C244" s="147" t="str">
        <f>IF(SPANewFlag&lt;&gt;0,INDEX(PBSScriptsNew,B244,1),MsgNotUsed)</f>
        <v>** NOT USED **</v>
      </c>
      <c r="D244" s="139"/>
      <c r="E244" s="139"/>
      <c r="F244" s="139"/>
      <c r="G244" s="139"/>
      <c r="H244" s="139"/>
      <c r="I244" s="139"/>
      <c r="J244" s="133"/>
      <c r="K244" s="132"/>
      <c r="L244" s="821" t="str">
        <f>IF(C244&lt;&gt;MsgNotUsed,"Co-payment group " &amp; INDEX(DPMQCoPayNewEff,B244,2),"")</f>
        <v/>
      </c>
      <c r="M244" s="821"/>
      <c r="N244" s="633"/>
    </row>
    <row r="245" spans="1:14" hidden="1" outlineLevel="1" x14ac:dyDescent="0.2">
      <c r="A245" s="125"/>
      <c r="B245" s="242">
        <f>INDEX(SANew,B244,5)</f>
        <v>0</v>
      </c>
      <c r="C245" s="658"/>
      <c r="D245" s="697">
        <v>2</v>
      </c>
      <c r="E245" s="697">
        <v>3</v>
      </c>
      <c r="F245" s="650">
        <v>4</v>
      </c>
      <c r="G245" s="650">
        <v>5</v>
      </c>
      <c r="H245" s="650">
        <v>6</v>
      </c>
      <c r="I245" s="650">
        <v>7</v>
      </c>
      <c r="J245" s="125"/>
      <c r="K245" s="36"/>
      <c r="L245" s="36"/>
      <c r="M245" s="36"/>
      <c r="N245" s="36"/>
    </row>
    <row r="246" spans="1:14" hidden="1" outlineLevel="1" x14ac:dyDescent="0.2">
      <c r="A246" s="125"/>
      <c r="B246" s="148"/>
      <c r="C246" s="125"/>
      <c r="D246" s="630">
        <f>FirstYear</f>
        <v>2021</v>
      </c>
      <c r="E246" s="630">
        <f>D246+1</f>
        <v>2022</v>
      </c>
      <c r="F246" s="630">
        <f>E246+1</f>
        <v>2023</v>
      </c>
      <c r="G246" s="630">
        <f>F246+1</f>
        <v>2024</v>
      </c>
      <c r="H246" s="630">
        <f>G246+1</f>
        <v>2025</v>
      </c>
      <c r="I246" s="630">
        <f>H246+1</f>
        <v>2026</v>
      </c>
      <c r="J246" s="125"/>
      <c r="K246" s="125"/>
      <c r="L246" s="125"/>
      <c r="M246" s="125"/>
      <c r="N246" s="125"/>
    </row>
    <row r="247" spans="1:14" hidden="1" outlineLevel="1" x14ac:dyDescent="0.2">
      <c r="A247" s="125"/>
      <c r="B247" s="298">
        <v>1</v>
      </c>
      <c r="C247" s="294" t="s">
        <v>86</v>
      </c>
      <c r="D247" s="282">
        <f t="shared" ref="D247:I247" si="113">INDEX(PBSScriptsNew,$B244,D245)*INDEX(DPMQCoPayNewEff,$B244,$B247)</f>
        <v>0</v>
      </c>
      <c r="E247" s="282">
        <f t="shared" si="113"/>
        <v>0</v>
      </c>
      <c r="F247" s="282">
        <f t="shared" si="113"/>
        <v>0</v>
      </c>
      <c r="G247" s="282">
        <f t="shared" si="113"/>
        <v>0</v>
      </c>
      <c r="H247" s="282">
        <f t="shared" si="113"/>
        <v>0</v>
      </c>
      <c r="I247" s="282">
        <f t="shared" si="113"/>
        <v>0</v>
      </c>
      <c r="J247" s="125"/>
      <c r="K247" s="125"/>
      <c r="L247" s="125"/>
      <c r="M247" s="125"/>
      <c r="N247" s="125"/>
    </row>
    <row r="248" spans="1:14" hidden="1" outlineLevel="1" x14ac:dyDescent="0.2">
      <c r="A248" s="125"/>
      <c r="B248" s="298">
        <v>3</v>
      </c>
      <c r="C248" s="5" t="s">
        <v>111</v>
      </c>
      <c r="D248" s="282">
        <f t="shared" ref="D248:I248" si="114">INDEX(PBSScriptsNew,$B244,D245)*(INDEX(DPMQCoPayNewEff,$B244,$B248)/INDEX(CoPayCountNew,$B244))</f>
        <v>0</v>
      </c>
      <c r="E248" s="282">
        <f t="shared" si="114"/>
        <v>0</v>
      </c>
      <c r="F248" s="282">
        <f t="shared" si="114"/>
        <v>0</v>
      </c>
      <c r="G248" s="282">
        <f t="shared" si="114"/>
        <v>0</v>
      </c>
      <c r="H248" s="282">
        <f t="shared" si="114"/>
        <v>0</v>
      </c>
      <c r="I248" s="282">
        <f t="shared" si="114"/>
        <v>0</v>
      </c>
      <c r="J248" s="125"/>
      <c r="K248" s="811" t="str">
        <f>IF(B245&lt;&gt;0,MsgNote&amp;IF(B245="Yes",INDEX(CoPayMethod,1),INDEX(CoPayMethod,2)),"")</f>
        <v/>
      </c>
      <c r="L248" s="811"/>
      <c r="M248" s="811"/>
      <c r="N248" s="628"/>
    </row>
    <row r="249" spans="1:14" hidden="1" outlineLevel="1" x14ac:dyDescent="0.2">
      <c r="A249" s="125"/>
      <c r="B249" s="300"/>
      <c r="C249" s="5" t="s">
        <v>88</v>
      </c>
      <c r="D249" s="282">
        <f t="shared" ref="D249:I249" si="115">D247+D248</f>
        <v>0</v>
      </c>
      <c r="E249" s="282">
        <f t="shared" si="115"/>
        <v>0</v>
      </c>
      <c r="F249" s="282">
        <f t="shared" si="115"/>
        <v>0</v>
      </c>
      <c r="G249" s="282">
        <f t="shared" si="115"/>
        <v>0</v>
      </c>
      <c r="H249" s="282">
        <f t="shared" si="115"/>
        <v>0</v>
      </c>
      <c r="I249" s="282">
        <f t="shared" si="115"/>
        <v>0</v>
      </c>
      <c r="J249" s="125"/>
      <c r="K249" s="125"/>
      <c r="L249" s="125"/>
      <c r="M249" s="125"/>
      <c r="N249" s="125"/>
    </row>
    <row r="250" spans="1:14" hidden="1" outlineLevel="1" x14ac:dyDescent="0.2">
      <c r="A250" s="125"/>
      <c r="B250" s="300"/>
      <c r="C250" s="125"/>
      <c r="D250" s="125"/>
      <c r="E250" s="125"/>
      <c r="F250" s="125"/>
      <c r="G250" s="125"/>
      <c r="H250" s="125"/>
      <c r="I250" s="125"/>
      <c r="J250" s="125"/>
      <c r="K250" s="125"/>
      <c r="L250" s="125"/>
      <c r="M250" s="125"/>
      <c r="N250" s="125"/>
    </row>
    <row r="251" spans="1:14" ht="15.75" hidden="1" outlineLevel="1" x14ac:dyDescent="0.2">
      <c r="A251" s="125"/>
      <c r="B251" s="300"/>
      <c r="C251" s="655"/>
      <c r="D251" s="630">
        <f>FirstYear</f>
        <v>2021</v>
      </c>
      <c r="E251" s="630">
        <f>D251+1</f>
        <v>2022</v>
      </c>
      <c r="F251" s="630">
        <f>E251+1</f>
        <v>2023</v>
      </c>
      <c r="G251" s="630">
        <f>F251+1</f>
        <v>2024</v>
      </c>
      <c r="H251" s="630">
        <f>G251+1</f>
        <v>2025</v>
      </c>
      <c r="I251" s="630">
        <f>H251+1</f>
        <v>2026</v>
      </c>
      <c r="J251" s="125"/>
      <c r="K251" s="125"/>
      <c r="L251" s="125"/>
      <c r="M251" s="125"/>
      <c r="N251" s="125"/>
    </row>
    <row r="252" spans="1:14" hidden="1" outlineLevel="1" x14ac:dyDescent="0.2">
      <c r="A252" s="125"/>
      <c r="B252" s="298">
        <v>1</v>
      </c>
      <c r="C252" s="294" t="s">
        <v>87</v>
      </c>
      <c r="D252" s="282">
        <f t="shared" ref="D252:I252" si="116">INDEX(RPBSScriptsNew,$B244,D245)*INDEX(DPMQCoPayNewEff,$B244,$B252)</f>
        <v>0</v>
      </c>
      <c r="E252" s="282">
        <f t="shared" si="116"/>
        <v>0</v>
      </c>
      <c r="F252" s="282">
        <f t="shared" si="116"/>
        <v>0</v>
      </c>
      <c r="G252" s="282">
        <f t="shared" si="116"/>
        <v>0</v>
      </c>
      <c r="H252" s="282">
        <f t="shared" si="116"/>
        <v>0</v>
      </c>
      <c r="I252" s="282">
        <f t="shared" si="116"/>
        <v>0</v>
      </c>
      <c r="J252" s="125"/>
      <c r="K252" s="125"/>
      <c r="L252" s="125"/>
      <c r="M252" s="125"/>
      <c r="N252" s="125"/>
    </row>
    <row r="253" spans="1:14" hidden="1" outlineLevel="1" x14ac:dyDescent="0.2">
      <c r="A253" s="125"/>
      <c r="B253" s="298">
        <v>4</v>
      </c>
      <c r="C253" s="5" t="s">
        <v>111</v>
      </c>
      <c r="D253" s="282">
        <f t="shared" ref="D253:I253" si="117">INDEX(RPBSScriptsNew,$B244,D245)*(INDEX(DPMQCoPayNewEff,$B244,$B253)/INDEX(CoPayCountNew,$B244))</f>
        <v>0</v>
      </c>
      <c r="E253" s="282">
        <f t="shared" si="117"/>
        <v>0</v>
      </c>
      <c r="F253" s="282">
        <f t="shared" si="117"/>
        <v>0</v>
      </c>
      <c r="G253" s="282">
        <f t="shared" si="117"/>
        <v>0</v>
      </c>
      <c r="H253" s="282">
        <f t="shared" si="117"/>
        <v>0</v>
      </c>
      <c r="I253" s="282">
        <f t="shared" si="117"/>
        <v>0</v>
      </c>
      <c r="J253" s="125"/>
      <c r="K253" s="125"/>
      <c r="L253" s="125"/>
      <c r="M253" s="125"/>
      <c r="N253" s="125"/>
    </row>
    <row r="254" spans="1:14" hidden="1" outlineLevel="1" x14ac:dyDescent="0.2">
      <c r="A254" s="125"/>
      <c r="B254" s="300"/>
      <c r="C254" s="5" t="s">
        <v>89</v>
      </c>
      <c r="D254" s="282">
        <f t="shared" ref="D254:I254" si="118">D252+D253</f>
        <v>0</v>
      </c>
      <c r="E254" s="282">
        <f t="shared" si="118"/>
        <v>0</v>
      </c>
      <c r="F254" s="282">
        <f t="shared" si="118"/>
        <v>0</v>
      </c>
      <c r="G254" s="282">
        <f t="shared" si="118"/>
        <v>0</v>
      </c>
      <c r="H254" s="282">
        <f t="shared" si="118"/>
        <v>0</v>
      </c>
      <c r="I254" s="282">
        <f t="shared" si="118"/>
        <v>0</v>
      </c>
      <c r="J254" s="125"/>
      <c r="K254" s="125"/>
      <c r="L254" s="125"/>
      <c r="M254" s="125"/>
      <c r="N254" s="125"/>
    </row>
    <row r="255" spans="1:14" collapsed="1" x14ac:dyDescent="0.2">
      <c r="A255" s="125"/>
      <c r="B255" s="300"/>
      <c r="C255" s="658"/>
      <c r="D255" s="658"/>
      <c r="E255" s="658"/>
      <c r="F255" s="36"/>
      <c r="G255" s="36"/>
      <c r="H255" s="36"/>
      <c r="I255" s="36"/>
      <c r="J255" s="36"/>
      <c r="K255" s="36"/>
      <c r="L255" s="36"/>
      <c r="M255" s="36"/>
      <c r="N255" s="36"/>
    </row>
    <row r="256" spans="1:14" ht="15" x14ac:dyDescent="0.2">
      <c r="A256" s="125"/>
      <c r="B256" s="298">
        <v>20</v>
      </c>
      <c r="C256" s="147" t="str">
        <f>IF(SPANewFlag&lt;&gt;0,INDEX(PBSScriptsNew,B256,1),MsgNotUsed)</f>
        <v>** NOT USED **</v>
      </c>
      <c r="D256" s="139"/>
      <c r="E256" s="139"/>
      <c r="F256" s="139"/>
      <c r="G256" s="139"/>
      <c r="H256" s="139"/>
      <c r="I256" s="139"/>
      <c r="J256" s="133"/>
      <c r="K256" s="132"/>
      <c r="L256" s="821" t="str">
        <f>IF(C256&lt;&gt;MsgNotUsed,"Co-payment group " &amp; INDEX(DPMQCoPayNewEff,B256,2),"")</f>
        <v/>
      </c>
      <c r="M256" s="821"/>
      <c r="N256" s="633"/>
    </row>
    <row r="257" spans="1:16" hidden="1" outlineLevel="1" x14ac:dyDescent="0.2">
      <c r="A257" s="125"/>
      <c r="B257" s="242">
        <f>INDEX(SANew,B256,5)</f>
        <v>0</v>
      </c>
      <c r="C257" s="658"/>
      <c r="D257" s="697">
        <v>2</v>
      </c>
      <c r="E257" s="697">
        <v>3</v>
      </c>
      <c r="F257" s="650">
        <v>4</v>
      </c>
      <c r="G257" s="650">
        <v>5</v>
      </c>
      <c r="H257" s="650">
        <v>6</v>
      </c>
      <c r="I257" s="650">
        <v>7</v>
      </c>
      <c r="J257" s="125"/>
      <c r="K257" s="36"/>
      <c r="L257" s="36"/>
      <c r="M257" s="36"/>
      <c r="N257" s="36"/>
    </row>
    <row r="258" spans="1:16" hidden="1" outlineLevel="1" x14ac:dyDescent="0.2">
      <c r="A258" s="125"/>
      <c r="B258" s="148"/>
      <c r="C258" s="125"/>
      <c r="D258" s="630">
        <f>FirstYear</f>
        <v>2021</v>
      </c>
      <c r="E258" s="630">
        <f>D258+1</f>
        <v>2022</v>
      </c>
      <c r="F258" s="630">
        <f>E258+1</f>
        <v>2023</v>
      </c>
      <c r="G258" s="630">
        <f>F258+1</f>
        <v>2024</v>
      </c>
      <c r="H258" s="630">
        <f>G258+1</f>
        <v>2025</v>
      </c>
      <c r="I258" s="630">
        <f>H258+1</f>
        <v>2026</v>
      </c>
      <c r="J258" s="125"/>
      <c r="K258" s="125"/>
      <c r="L258" s="125"/>
      <c r="M258" s="125"/>
      <c r="N258" s="125"/>
    </row>
    <row r="259" spans="1:16" hidden="1" outlineLevel="1" x14ac:dyDescent="0.2">
      <c r="A259" s="125"/>
      <c r="B259" s="298">
        <v>1</v>
      </c>
      <c r="C259" s="294" t="s">
        <v>86</v>
      </c>
      <c r="D259" s="282">
        <f t="shared" ref="D259:I259" si="119">INDEX(PBSScriptsNew,$B256,D257)*INDEX(DPMQCoPayNewEff,$B256,$B259)</f>
        <v>0</v>
      </c>
      <c r="E259" s="282">
        <f t="shared" si="119"/>
        <v>0</v>
      </c>
      <c r="F259" s="282">
        <f t="shared" si="119"/>
        <v>0</v>
      </c>
      <c r="G259" s="282">
        <f t="shared" si="119"/>
        <v>0</v>
      </c>
      <c r="H259" s="282">
        <f t="shared" si="119"/>
        <v>0</v>
      </c>
      <c r="I259" s="282">
        <f t="shared" si="119"/>
        <v>0</v>
      </c>
      <c r="J259" s="125"/>
      <c r="K259" s="125"/>
      <c r="L259" s="125"/>
      <c r="M259" s="125"/>
      <c r="N259" s="125"/>
    </row>
    <row r="260" spans="1:16" hidden="1" outlineLevel="1" x14ac:dyDescent="0.2">
      <c r="A260" s="125"/>
      <c r="B260" s="298">
        <v>3</v>
      </c>
      <c r="C260" s="5" t="s">
        <v>111</v>
      </c>
      <c r="D260" s="282">
        <f t="shared" ref="D260:I260" si="120">INDEX(PBSScriptsNew,$B256,D257)*(INDEX(DPMQCoPayNewEff,$B256,$B260)/INDEX(CoPayCountNew,$B256))</f>
        <v>0</v>
      </c>
      <c r="E260" s="282">
        <f t="shared" si="120"/>
        <v>0</v>
      </c>
      <c r="F260" s="282">
        <f t="shared" si="120"/>
        <v>0</v>
      </c>
      <c r="G260" s="282">
        <f t="shared" si="120"/>
        <v>0</v>
      </c>
      <c r="H260" s="282">
        <f t="shared" si="120"/>
        <v>0</v>
      </c>
      <c r="I260" s="282">
        <f t="shared" si="120"/>
        <v>0</v>
      </c>
      <c r="J260" s="125"/>
      <c r="K260" s="811" t="str">
        <f>IF(B257&lt;&gt;0,MsgNote&amp;IF(B257="Yes",INDEX(CoPayMethod,1),INDEX(CoPayMethod,2)),"")</f>
        <v/>
      </c>
      <c r="L260" s="811"/>
      <c r="M260" s="811"/>
      <c r="N260" s="628"/>
    </row>
    <row r="261" spans="1:16" hidden="1" outlineLevel="1" x14ac:dyDescent="0.2">
      <c r="A261" s="125"/>
      <c r="B261" s="300"/>
      <c r="C261" s="5" t="s">
        <v>88</v>
      </c>
      <c r="D261" s="282">
        <f t="shared" ref="D261:I261" si="121">D259+D260</f>
        <v>0</v>
      </c>
      <c r="E261" s="282">
        <f t="shared" si="121"/>
        <v>0</v>
      </c>
      <c r="F261" s="282">
        <f t="shared" si="121"/>
        <v>0</v>
      </c>
      <c r="G261" s="282">
        <f t="shared" si="121"/>
        <v>0</v>
      </c>
      <c r="H261" s="282">
        <f t="shared" si="121"/>
        <v>0</v>
      </c>
      <c r="I261" s="282">
        <f t="shared" si="121"/>
        <v>0</v>
      </c>
      <c r="J261" s="125"/>
      <c r="K261" s="125"/>
      <c r="L261" s="125"/>
      <c r="M261" s="125"/>
      <c r="N261" s="125"/>
    </row>
    <row r="262" spans="1:16" hidden="1" outlineLevel="1" x14ac:dyDescent="0.2">
      <c r="A262" s="125"/>
      <c r="B262" s="300"/>
      <c r="C262" s="125"/>
      <c r="D262" s="125"/>
      <c r="E262" s="125"/>
      <c r="F262" s="125"/>
      <c r="G262" s="125"/>
      <c r="H262" s="125"/>
      <c r="I262" s="125"/>
      <c r="J262" s="125"/>
      <c r="K262" s="125"/>
      <c r="L262" s="125"/>
      <c r="M262" s="125"/>
      <c r="N262" s="125"/>
    </row>
    <row r="263" spans="1:16" ht="15.75" hidden="1" outlineLevel="1" x14ac:dyDescent="0.2">
      <c r="A263" s="125"/>
      <c r="B263" s="300"/>
      <c r="C263" s="655"/>
      <c r="D263" s="630">
        <f>FirstYear</f>
        <v>2021</v>
      </c>
      <c r="E263" s="630">
        <f>D263+1</f>
        <v>2022</v>
      </c>
      <c r="F263" s="630">
        <f>E263+1</f>
        <v>2023</v>
      </c>
      <c r="G263" s="630">
        <f>F263+1</f>
        <v>2024</v>
      </c>
      <c r="H263" s="630">
        <f>G263+1</f>
        <v>2025</v>
      </c>
      <c r="I263" s="630">
        <f>H263+1</f>
        <v>2026</v>
      </c>
      <c r="J263" s="125"/>
      <c r="K263" s="125"/>
      <c r="L263" s="125"/>
      <c r="M263" s="125"/>
      <c r="N263" s="125"/>
    </row>
    <row r="264" spans="1:16" hidden="1" outlineLevel="1" x14ac:dyDescent="0.2">
      <c r="A264" s="125"/>
      <c r="B264" s="298">
        <v>1</v>
      </c>
      <c r="C264" s="294" t="s">
        <v>87</v>
      </c>
      <c r="D264" s="282">
        <f t="shared" ref="D264:I264" si="122">INDEX(RPBSScriptsNew,$B256,D257)*INDEX(DPMQCoPayNewEff,$B256,$B264)</f>
        <v>0</v>
      </c>
      <c r="E264" s="282">
        <f t="shared" si="122"/>
        <v>0</v>
      </c>
      <c r="F264" s="282">
        <f t="shared" si="122"/>
        <v>0</v>
      </c>
      <c r="G264" s="282">
        <f t="shared" si="122"/>
        <v>0</v>
      </c>
      <c r="H264" s="282">
        <f t="shared" si="122"/>
        <v>0</v>
      </c>
      <c r="I264" s="282">
        <f t="shared" si="122"/>
        <v>0</v>
      </c>
      <c r="J264" s="125"/>
      <c r="K264" s="125"/>
      <c r="L264" s="125"/>
      <c r="M264" s="125"/>
      <c r="N264" s="125"/>
    </row>
    <row r="265" spans="1:16" hidden="1" outlineLevel="1" x14ac:dyDescent="0.2">
      <c r="A265" s="125"/>
      <c r="B265" s="298">
        <v>4</v>
      </c>
      <c r="C265" s="5" t="s">
        <v>111</v>
      </c>
      <c r="D265" s="282">
        <f t="shared" ref="D265:I265" si="123">INDEX(RPBSScriptsNew,$B256,D257)*(INDEX(DPMQCoPayNewEff,$B256,$B265)/INDEX(CoPayCountNew,$B256))</f>
        <v>0</v>
      </c>
      <c r="E265" s="282">
        <f t="shared" si="123"/>
        <v>0</v>
      </c>
      <c r="F265" s="282">
        <f t="shared" si="123"/>
        <v>0</v>
      </c>
      <c r="G265" s="282">
        <f t="shared" si="123"/>
        <v>0</v>
      </c>
      <c r="H265" s="282">
        <f t="shared" si="123"/>
        <v>0</v>
      </c>
      <c r="I265" s="282">
        <f t="shared" si="123"/>
        <v>0</v>
      </c>
      <c r="J265" s="125"/>
      <c r="K265" s="125"/>
      <c r="L265" s="125"/>
      <c r="M265" s="125"/>
      <c r="N265" s="125"/>
    </row>
    <row r="266" spans="1:16" hidden="1" outlineLevel="1" x14ac:dyDescent="0.2">
      <c r="A266" s="125"/>
      <c r="B266" s="300"/>
      <c r="C266" s="5" t="s">
        <v>89</v>
      </c>
      <c r="D266" s="282">
        <f t="shared" ref="D266:I266" si="124">D264+D265</f>
        <v>0</v>
      </c>
      <c r="E266" s="282">
        <f t="shared" si="124"/>
        <v>0</v>
      </c>
      <c r="F266" s="282">
        <f t="shared" si="124"/>
        <v>0</v>
      </c>
      <c r="G266" s="282">
        <f t="shared" si="124"/>
        <v>0</v>
      </c>
      <c r="H266" s="282">
        <f t="shared" si="124"/>
        <v>0</v>
      </c>
      <c r="I266" s="282">
        <f t="shared" si="124"/>
        <v>0</v>
      </c>
      <c r="J266" s="125"/>
      <c r="K266" s="125"/>
      <c r="L266" s="125"/>
      <c r="M266" s="125"/>
      <c r="N266" s="125"/>
    </row>
    <row r="267" spans="1:16" hidden="1" outlineLevel="1" x14ac:dyDescent="0.2">
      <c r="A267" s="125"/>
      <c r="B267" s="300"/>
      <c r="C267" s="658"/>
      <c r="D267" s="658"/>
      <c r="E267" s="658"/>
      <c r="F267" s="36"/>
      <c r="G267" s="36"/>
      <c r="H267" s="36"/>
      <c r="I267" s="36"/>
      <c r="J267" s="36"/>
      <c r="K267" s="36"/>
      <c r="L267" s="36"/>
      <c r="M267" s="36"/>
      <c r="N267" s="36"/>
    </row>
    <row r="268" spans="1:16" s="416" customFormat="1" collapsed="1" x14ac:dyDescent="0.2">
      <c r="A268" s="125"/>
      <c r="B268" s="125"/>
      <c r="C268" s="125"/>
      <c r="D268" s="125"/>
      <c r="E268" s="125"/>
      <c r="F268" s="125"/>
      <c r="G268" s="125"/>
      <c r="H268" s="125"/>
      <c r="I268" s="125"/>
      <c r="J268" s="125"/>
      <c r="K268" s="125"/>
      <c r="L268" s="125"/>
      <c r="M268" s="125"/>
      <c r="N268" s="125"/>
    </row>
    <row r="269" spans="1:16" ht="15.75" x14ac:dyDescent="0.2">
      <c r="A269" s="125"/>
      <c r="B269" s="125"/>
      <c r="C269" s="123" t="s">
        <v>918</v>
      </c>
      <c r="D269" s="123"/>
      <c r="E269" s="123"/>
      <c r="F269" s="142"/>
      <c r="G269" s="127"/>
      <c r="H269" s="127"/>
      <c r="I269" s="127"/>
      <c r="J269" s="127"/>
      <c r="K269" s="127"/>
      <c r="L269" s="127"/>
      <c r="M269" s="127"/>
      <c r="N269" s="127"/>
    </row>
    <row r="270" spans="1:16" ht="15.75" x14ac:dyDescent="0.2">
      <c r="A270" s="125"/>
      <c r="B270" s="125"/>
      <c r="C270" s="655"/>
      <c r="D270" s="655"/>
      <c r="E270" s="655"/>
      <c r="F270" s="656"/>
      <c r="G270" s="125"/>
      <c r="H270" s="125"/>
      <c r="I270" s="125"/>
      <c r="J270" s="125"/>
      <c r="K270" s="36"/>
      <c r="L270" s="36"/>
      <c r="M270" s="125"/>
      <c r="N270" s="125"/>
      <c r="O270" s="615"/>
      <c r="P270" s="615"/>
    </row>
    <row r="271" spans="1:16" x14ac:dyDescent="0.2">
      <c r="A271" s="125"/>
      <c r="B271" s="125"/>
      <c r="C271" s="162" t="s">
        <v>826</v>
      </c>
      <c r="D271" s="162"/>
      <c r="E271" s="162"/>
      <c r="F271" s="656"/>
      <c r="G271" s="125"/>
      <c r="H271" s="125"/>
      <c r="I271" s="125"/>
      <c r="J271" s="125"/>
      <c r="K271" s="125"/>
      <c r="L271" s="125"/>
      <c r="M271" s="125"/>
      <c r="N271" s="125"/>
      <c r="O271" s="615"/>
      <c r="P271" s="615"/>
    </row>
    <row r="272" spans="1:16" x14ac:dyDescent="0.2">
      <c r="A272" s="125"/>
      <c r="B272" s="125"/>
      <c r="C272" s="162"/>
      <c r="D272" s="162"/>
      <c r="E272" s="162"/>
      <c r="F272" s="656"/>
      <c r="G272" s="125"/>
      <c r="H272" s="863" t="str">
        <f>IF(S294&gt;0,"DPMA / DPMQ","")</f>
        <v/>
      </c>
      <c r="I272" s="863"/>
      <c r="J272" s="863"/>
      <c r="K272" s="125"/>
      <c r="L272" s="125"/>
      <c r="M272" s="125"/>
      <c r="N272" s="125"/>
      <c r="O272" s="615"/>
      <c r="P272" s="615"/>
    </row>
    <row r="273" spans="1:20" ht="25.5" x14ac:dyDescent="0.2">
      <c r="A273" s="125"/>
      <c r="B273" s="125"/>
      <c r="C273" s="830" t="s">
        <v>813</v>
      </c>
      <c r="D273" s="864"/>
      <c r="E273" s="865"/>
      <c r="F273" s="82" t="s">
        <v>112</v>
      </c>
      <c r="G273" s="82" t="s">
        <v>932</v>
      </c>
      <c r="H273" s="67" t="str">
        <f>IF(S294&gt;0,"Public","DPMA / DPMQ")</f>
        <v>DPMA / DPMQ</v>
      </c>
      <c r="I273" s="67" t="str">
        <f>IF(S294&gt;0,"Private","")</f>
        <v/>
      </c>
      <c r="J273" s="67" t="str">
        <f>IF(S294&gt;0,"Weighted","DPMA / DPMQ")</f>
        <v>DPMA / DPMQ</v>
      </c>
      <c r="K273" s="67" t="s">
        <v>756</v>
      </c>
      <c r="L273" s="446" t="s">
        <v>428</v>
      </c>
      <c r="M273" s="446" t="s">
        <v>429</v>
      </c>
      <c r="N273" s="690"/>
      <c r="O273" s="615"/>
      <c r="P273" s="615"/>
      <c r="Q273" s="758" t="s">
        <v>428</v>
      </c>
      <c r="R273" s="758" t="s">
        <v>429</v>
      </c>
    </row>
    <row r="274" spans="1:20" x14ac:dyDescent="0.2">
      <c r="A274" s="125"/>
      <c r="B274" s="58">
        <v>1</v>
      </c>
      <c r="C274" s="860" t="str">
        <f t="shared" ref="C274:C293" si="125">IF(SPANewFlag=1,INDEX(PBSScriptsNew,B274,1),MsgNotUsed)</f>
        <v>** NOT USED **</v>
      </c>
      <c r="D274" s="861"/>
      <c r="E274" s="862"/>
      <c r="F274" s="287"/>
      <c r="G274" s="63" t="str">
        <f>IF(AND(SPANewFlag=1,'3b. Impact - proposed (pub)'!G274&lt;&gt;""),'3b. Impact - proposed (pub)'!G274,"")</f>
        <v/>
      </c>
      <c r="H274" s="287"/>
      <c r="I274" s="287"/>
      <c r="J274" s="288">
        <f>IF(AND(ISBLANK(H274),COUNT(I274)=1),I274,IF(AND(COUNT(H274)=1,ISBLANK(I274)),H274,IF(COUNT(H274:I274)=2,H274*S274+I274*T274,0)))</f>
        <v>0</v>
      </c>
      <c r="K274" s="471" t="str">
        <f>IF(C274&lt;&gt;MsgNotUsed,'3b. Impact - proposed (pub)'!L274,"")</f>
        <v/>
      </c>
      <c r="L274" s="288">
        <f>IF(J274&gt;Q274,-Q274,-J274)</f>
        <v>0</v>
      </c>
      <c r="M274" s="288">
        <f>IF(J274&gt;R274,-R274,-J274)</f>
        <v>0</v>
      </c>
      <c r="N274" s="615"/>
      <c r="O274" s="615"/>
      <c r="P274" s="615"/>
      <c r="Q274" s="757">
        <f t="shared" ref="Q274:Q293" si="126">IFERROR(INDEX(CoPayPBS,K274),0)</f>
        <v>0</v>
      </c>
      <c r="R274" s="757">
        <f t="shared" ref="R274:R293" si="127">IFERROR(INDEX(CoPayRPBS,K274),0)</f>
        <v>0</v>
      </c>
      <c r="S274" s="549" t="str">
        <f t="shared" ref="S274:S293" si="128">IFERROR(INDEX(ServiceSplitPublic,K274),"")</f>
        <v/>
      </c>
      <c r="T274" s="549" t="str">
        <f t="shared" ref="T274:T293" si="129">IFERROR(INDEX(ServiceSplitPrivate,K274),"")</f>
        <v/>
      </c>
    </row>
    <row r="275" spans="1:20" x14ac:dyDescent="0.2">
      <c r="A275" s="125"/>
      <c r="B275" s="58">
        <v>2</v>
      </c>
      <c r="C275" s="860" t="str">
        <f t="shared" si="125"/>
        <v>** NOT USED **</v>
      </c>
      <c r="D275" s="861"/>
      <c r="E275" s="862"/>
      <c r="F275" s="287"/>
      <c r="G275" s="63" t="str">
        <f>IF(AND(SPANewFlag=1,'3b. Impact - proposed (pub)'!G275&lt;&gt;""),'3b. Impact - proposed (pub)'!G275,"")</f>
        <v/>
      </c>
      <c r="H275" s="287"/>
      <c r="I275" s="287"/>
      <c r="J275" s="288">
        <f t="shared" ref="J275:J293" si="130">IF(AND(ISBLANK(H275),COUNT(I275)=1),I275,IF(AND(COUNT(H275)=1,ISBLANK(I275)),H275,IF(COUNT(H275:I275)=2,H275*S275+I275*T275,0)))</f>
        <v>0</v>
      </c>
      <c r="K275" s="471" t="str">
        <f>IF(C275&lt;&gt;MsgNotUsed,'3b. Impact - proposed (pub)'!L275,"")</f>
        <v/>
      </c>
      <c r="L275" s="288">
        <f t="shared" ref="L275:L293" si="131">IF(J275&gt;Q275,-Q275,-J275)</f>
        <v>0</v>
      </c>
      <c r="M275" s="288">
        <f t="shared" ref="M275:M293" si="132">IF(J275&gt;R275,-R275,-J275)</f>
        <v>0</v>
      </c>
      <c r="N275" s="615"/>
      <c r="O275" s="615"/>
      <c r="P275" s="615"/>
      <c r="Q275" s="757">
        <f t="shared" si="126"/>
        <v>0</v>
      </c>
      <c r="R275" s="757">
        <f t="shared" si="127"/>
        <v>0</v>
      </c>
      <c r="S275" s="549" t="str">
        <f t="shared" si="128"/>
        <v/>
      </c>
      <c r="T275" s="549" t="str">
        <f t="shared" si="129"/>
        <v/>
      </c>
    </row>
    <row r="276" spans="1:20" x14ac:dyDescent="0.2">
      <c r="A276" s="125"/>
      <c r="B276" s="58">
        <v>3</v>
      </c>
      <c r="C276" s="860" t="str">
        <f t="shared" si="125"/>
        <v>** NOT USED **</v>
      </c>
      <c r="D276" s="861"/>
      <c r="E276" s="862"/>
      <c r="F276" s="287"/>
      <c r="G276" s="63" t="str">
        <f>IF(AND(SPANewFlag=1,'3b. Impact - proposed (pub)'!G276&lt;&gt;""),'3b. Impact - proposed (pub)'!G276,"")</f>
        <v/>
      </c>
      <c r="H276" s="287"/>
      <c r="I276" s="287"/>
      <c r="J276" s="288">
        <f t="shared" si="130"/>
        <v>0</v>
      </c>
      <c r="K276" s="471" t="str">
        <f>IF(C276&lt;&gt;MsgNotUsed,'3b. Impact - proposed (pub)'!L276,"")</f>
        <v/>
      </c>
      <c r="L276" s="288">
        <f t="shared" si="131"/>
        <v>0</v>
      </c>
      <c r="M276" s="288">
        <f t="shared" si="132"/>
        <v>0</v>
      </c>
      <c r="N276" s="615"/>
      <c r="O276" s="615"/>
      <c r="P276" s="615"/>
      <c r="Q276" s="757">
        <f t="shared" si="126"/>
        <v>0</v>
      </c>
      <c r="R276" s="757">
        <f t="shared" si="127"/>
        <v>0</v>
      </c>
      <c r="S276" s="549" t="str">
        <f t="shared" si="128"/>
        <v/>
      </c>
      <c r="T276" s="549" t="str">
        <f t="shared" si="129"/>
        <v/>
      </c>
    </row>
    <row r="277" spans="1:20" x14ac:dyDescent="0.2">
      <c r="A277" s="125"/>
      <c r="B277" s="58">
        <v>4</v>
      </c>
      <c r="C277" s="860" t="str">
        <f t="shared" si="125"/>
        <v>** NOT USED **</v>
      </c>
      <c r="D277" s="861"/>
      <c r="E277" s="862"/>
      <c r="F277" s="287"/>
      <c r="G277" s="63" t="str">
        <f>IF(AND(SPANewFlag=1,'3b. Impact - proposed (pub)'!G277&lt;&gt;""),'3b. Impact - proposed (pub)'!G277,"")</f>
        <v/>
      </c>
      <c r="H277" s="287"/>
      <c r="I277" s="287"/>
      <c r="J277" s="288">
        <f t="shared" si="130"/>
        <v>0</v>
      </c>
      <c r="K277" s="471" t="str">
        <f>IF(C277&lt;&gt;MsgNotUsed,'3b. Impact - proposed (pub)'!L277,"")</f>
        <v/>
      </c>
      <c r="L277" s="288">
        <f t="shared" si="131"/>
        <v>0</v>
      </c>
      <c r="M277" s="288">
        <f t="shared" si="132"/>
        <v>0</v>
      </c>
      <c r="N277" s="615"/>
      <c r="O277" s="615"/>
      <c r="P277" s="615"/>
      <c r="Q277" s="757">
        <f t="shared" si="126"/>
        <v>0</v>
      </c>
      <c r="R277" s="757">
        <f t="shared" si="127"/>
        <v>0</v>
      </c>
      <c r="S277" s="549" t="str">
        <f t="shared" si="128"/>
        <v/>
      </c>
      <c r="T277" s="549" t="str">
        <f t="shared" si="129"/>
        <v/>
      </c>
    </row>
    <row r="278" spans="1:20" x14ac:dyDescent="0.2">
      <c r="A278" s="125"/>
      <c r="B278" s="58">
        <v>5</v>
      </c>
      <c r="C278" s="860" t="str">
        <f t="shared" si="125"/>
        <v>** NOT USED **</v>
      </c>
      <c r="D278" s="861"/>
      <c r="E278" s="862"/>
      <c r="F278" s="287"/>
      <c r="G278" s="63" t="str">
        <f>IF(AND(SPANewFlag=1,'3b. Impact - proposed (pub)'!G278&lt;&gt;""),'3b. Impact - proposed (pub)'!G278,"")</f>
        <v/>
      </c>
      <c r="H278" s="287"/>
      <c r="I278" s="287"/>
      <c r="J278" s="288">
        <f t="shared" si="130"/>
        <v>0</v>
      </c>
      <c r="K278" s="471" t="str">
        <f>IF(C278&lt;&gt;MsgNotUsed,'3b. Impact - proposed (pub)'!L278,"")</f>
        <v/>
      </c>
      <c r="L278" s="288">
        <f t="shared" si="131"/>
        <v>0</v>
      </c>
      <c r="M278" s="288">
        <f t="shared" si="132"/>
        <v>0</v>
      </c>
      <c r="N278" s="615"/>
      <c r="O278" s="615"/>
      <c r="P278" s="615"/>
      <c r="Q278" s="757">
        <f t="shared" si="126"/>
        <v>0</v>
      </c>
      <c r="R278" s="757">
        <f t="shared" si="127"/>
        <v>0</v>
      </c>
      <c r="S278" s="549" t="str">
        <f t="shared" si="128"/>
        <v/>
      </c>
      <c r="T278" s="549" t="str">
        <f t="shared" si="129"/>
        <v/>
      </c>
    </row>
    <row r="279" spans="1:20" x14ac:dyDescent="0.2">
      <c r="A279" s="125"/>
      <c r="B279" s="58">
        <v>6</v>
      </c>
      <c r="C279" s="860" t="str">
        <f t="shared" si="125"/>
        <v>** NOT USED **</v>
      </c>
      <c r="D279" s="861"/>
      <c r="E279" s="862"/>
      <c r="F279" s="287"/>
      <c r="G279" s="63" t="str">
        <f>IF(AND(SPANewFlag=1,'3b. Impact - proposed (pub)'!G279&lt;&gt;""),'3b. Impact - proposed (pub)'!G279,"")</f>
        <v/>
      </c>
      <c r="H279" s="287"/>
      <c r="I279" s="287"/>
      <c r="J279" s="288">
        <f t="shared" si="130"/>
        <v>0</v>
      </c>
      <c r="K279" s="471" t="str">
        <f>IF(C279&lt;&gt;MsgNotUsed,'3b. Impact - proposed (pub)'!L279,"")</f>
        <v/>
      </c>
      <c r="L279" s="288">
        <f t="shared" si="131"/>
        <v>0</v>
      </c>
      <c r="M279" s="288">
        <f t="shared" si="132"/>
        <v>0</v>
      </c>
      <c r="N279" s="615"/>
      <c r="O279" s="615"/>
      <c r="P279" s="615"/>
      <c r="Q279" s="757">
        <f t="shared" si="126"/>
        <v>0</v>
      </c>
      <c r="R279" s="757">
        <f t="shared" si="127"/>
        <v>0</v>
      </c>
      <c r="S279" s="549" t="str">
        <f t="shared" si="128"/>
        <v/>
      </c>
      <c r="T279" s="549" t="str">
        <f t="shared" si="129"/>
        <v/>
      </c>
    </row>
    <row r="280" spans="1:20" x14ac:dyDescent="0.2">
      <c r="A280" s="125"/>
      <c r="B280" s="58">
        <v>7</v>
      </c>
      <c r="C280" s="860" t="str">
        <f t="shared" si="125"/>
        <v>** NOT USED **</v>
      </c>
      <c r="D280" s="861"/>
      <c r="E280" s="862"/>
      <c r="F280" s="287"/>
      <c r="G280" s="63" t="str">
        <f>IF(AND(SPANewFlag=1,'3b. Impact - proposed (pub)'!G280&lt;&gt;""),'3b. Impact - proposed (pub)'!G280,"")</f>
        <v/>
      </c>
      <c r="H280" s="287"/>
      <c r="I280" s="287"/>
      <c r="J280" s="288">
        <f t="shared" si="130"/>
        <v>0</v>
      </c>
      <c r="K280" s="471" t="str">
        <f>IF(C280&lt;&gt;MsgNotUsed,'3b. Impact - proposed (pub)'!L280,"")</f>
        <v/>
      </c>
      <c r="L280" s="288">
        <f t="shared" si="131"/>
        <v>0</v>
      </c>
      <c r="M280" s="288">
        <f t="shared" si="132"/>
        <v>0</v>
      </c>
      <c r="N280" s="615"/>
      <c r="O280" s="615"/>
      <c r="P280" s="615"/>
      <c r="Q280" s="757">
        <f t="shared" si="126"/>
        <v>0</v>
      </c>
      <c r="R280" s="757">
        <f t="shared" si="127"/>
        <v>0</v>
      </c>
      <c r="S280" s="549" t="str">
        <f t="shared" si="128"/>
        <v/>
      </c>
      <c r="T280" s="549" t="str">
        <f t="shared" si="129"/>
        <v/>
      </c>
    </row>
    <row r="281" spans="1:20" x14ac:dyDescent="0.2">
      <c r="A281" s="125"/>
      <c r="B281" s="58">
        <v>8</v>
      </c>
      <c r="C281" s="860" t="str">
        <f t="shared" si="125"/>
        <v>** NOT USED **</v>
      </c>
      <c r="D281" s="861"/>
      <c r="E281" s="862"/>
      <c r="F281" s="287"/>
      <c r="G281" s="63" t="str">
        <f>IF(AND(SPANewFlag=1,'3b. Impact - proposed (pub)'!G281&lt;&gt;""),'3b. Impact - proposed (pub)'!G281,"")</f>
        <v/>
      </c>
      <c r="H281" s="287"/>
      <c r="I281" s="287"/>
      <c r="J281" s="288">
        <f t="shared" si="130"/>
        <v>0</v>
      </c>
      <c r="K281" s="471" t="str">
        <f>IF(C281&lt;&gt;MsgNotUsed,'3b. Impact - proposed (pub)'!L281,"")</f>
        <v/>
      </c>
      <c r="L281" s="288">
        <f t="shared" si="131"/>
        <v>0</v>
      </c>
      <c r="M281" s="288">
        <f t="shared" si="132"/>
        <v>0</v>
      </c>
      <c r="N281" s="615"/>
      <c r="O281" s="615"/>
      <c r="P281" s="615"/>
      <c r="Q281" s="757">
        <f t="shared" si="126"/>
        <v>0</v>
      </c>
      <c r="R281" s="757">
        <f t="shared" si="127"/>
        <v>0</v>
      </c>
      <c r="S281" s="549" t="str">
        <f t="shared" si="128"/>
        <v/>
      </c>
      <c r="T281" s="549" t="str">
        <f t="shared" si="129"/>
        <v/>
      </c>
    </row>
    <row r="282" spans="1:20" x14ac:dyDescent="0.2">
      <c r="A282" s="125"/>
      <c r="B282" s="58">
        <v>9</v>
      </c>
      <c r="C282" s="860" t="str">
        <f t="shared" si="125"/>
        <v>** NOT USED **</v>
      </c>
      <c r="D282" s="861"/>
      <c r="E282" s="862"/>
      <c r="F282" s="287"/>
      <c r="G282" s="63" t="str">
        <f>IF(AND(SPANewFlag=1,'3b. Impact - proposed (pub)'!G282&lt;&gt;""),'3b. Impact - proposed (pub)'!G282,"")</f>
        <v/>
      </c>
      <c r="H282" s="287"/>
      <c r="I282" s="287"/>
      <c r="J282" s="288">
        <f t="shared" si="130"/>
        <v>0</v>
      </c>
      <c r="K282" s="471" t="str">
        <f>IF(C282&lt;&gt;MsgNotUsed,'3b. Impact - proposed (pub)'!L282,"")</f>
        <v/>
      </c>
      <c r="L282" s="288">
        <f t="shared" si="131"/>
        <v>0</v>
      </c>
      <c r="M282" s="288">
        <f t="shared" si="132"/>
        <v>0</v>
      </c>
      <c r="N282" s="615"/>
      <c r="O282" s="615"/>
      <c r="P282" s="615"/>
      <c r="Q282" s="757">
        <f t="shared" si="126"/>
        <v>0</v>
      </c>
      <c r="R282" s="757">
        <f t="shared" si="127"/>
        <v>0</v>
      </c>
      <c r="S282" s="549" t="str">
        <f t="shared" si="128"/>
        <v/>
      </c>
      <c r="T282" s="549" t="str">
        <f t="shared" si="129"/>
        <v/>
      </c>
    </row>
    <row r="283" spans="1:20" x14ac:dyDescent="0.2">
      <c r="A283" s="125"/>
      <c r="B283" s="58">
        <v>10</v>
      </c>
      <c r="C283" s="860" t="str">
        <f t="shared" si="125"/>
        <v>** NOT USED **</v>
      </c>
      <c r="D283" s="861"/>
      <c r="E283" s="862"/>
      <c r="F283" s="287"/>
      <c r="G283" s="63" t="str">
        <f>IF(AND(SPANewFlag=1,'3b. Impact - proposed (pub)'!G283&lt;&gt;""),'3b. Impact - proposed (pub)'!G283,"")</f>
        <v/>
      </c>
      <c r="H283" s="287"/>
      <c r="I283" s="287"/>
      <c r="J283" s="288">
        <f t="shared" si="130"/>
        <v>0</v>
      </c>
      <c r="K283" s="471" t="str">
        <f>IF(C283&lt;&gt;MsgNotUsed,'3b. Impact - proposed (pub)'!L283,"")</f>
        <v/>
      </c>
      <c r="L283" s="288">
        <f t="shared" si="131"/>
        <v>0</v>
      </c>
      <c r="M283" s="288">
        <f t="shared" si="132"/>
        <v>0</v>
      </c>
      <c r="N283" s="615"/>
      <c r="O283" s="615"/>
      <c r="P283" s="615"/>
      <c r="Q283" s="757">
        <f t="shared" si="126"/>
        <v>0</v>
      </c>
      <c r="R283" s="757">
        <f t="shared" si="127"/>
        <v>0</v>
      </c>
      <c r="S283" s="549" t="str">
        <f t="shared" si="128"/>
        <v/>
      </c>
      <c r="T283" s="549" t="str">
        <f t="shared" si="129"/>
        <v/>
      </c>
    </row>
    <row r="284" spans="1:20" x14ac:dyDescent="0.2">
      <c r="A284" s="615"/>
      <c r="B284" s="58">
        <v>11</v>
      </c>
      <c r="C284" s="860" t="str">
        <f t="shared" si="125"/>
        <v>** NOT USED **</v>
      </c>
      <c r="D284" s="861"/>
      <c r="E284" s="862"/>
      <c r="F284" s="287"/>
      <c r="G284" s="63" t="str">
        <f>IF(AND(SPANewFlag=1,'3b. Impact - proposed (pub)'!G284&lt;&gt;""),'3b. Impact - proposed (pub)'!G284,"")</f>
        <v/>
      </c>
      <c r="H284" s="287"/>
      <c r="I284" s="287"/>
      <c r="J284" s="288">
        <f t="shared" si="130"/>
        <v>0</v>
      </c>
      <c r="K284" s="471" t="str">
        <f>IF(C284&lt;&gt;MsgNotUsed,'3b. Impact - proposed (pub)'!L284,"")</f>
        <v/>
      </c>
      <c r="L284" s="288">
        <f t="shared" si="131"/>
        <v>0</v>
      </c>
      <c r="M284" s="288">
        <f t="shared" si="132"/>
        <v>0</v>
      </c>
      <c r="N284" s="615"/>
      <c r="O284" s="615"/>
      <c r="P284" s="615"/>
      <c r="Q284" s="757">
        <f t="shared" si="126"/>
        <v>0</v>
      </c>
      <c r="R284" s="757">
        <f t="shared" si="127"/>
        <v>0</v>
      </c>
      <c r="S284" s="549" t="str">
        <f t="shared" si="128"/>
        <v/>
      </c>
      <c r="T284" s="549" t="str">
        <f t="shared" si="129"/>
        <v/>
      </c>
    </row>
    <row r="285" spans="1:20" x14ac:dyDescent="0.2">
      <c r="A285" s="615"/>
      <c r="B285" s="58">
        <v>12</v>
      </c>
      <c r="C285" s="860" t="str">
        <f t="shared" si="125"/>
        <v>** NOT USED **</v>
      </c>
      <c r="D285" s="861"/>
      <c r="E285" s="862"/>
      <c r="F285" s="287"/>
      <c r="G285" s="63" t="str">
        <f>IF(AND(SPANewFlag=1,'3b. Impact - proposed (pub)'!G285&lt;&gt;""),'3b. Impact - proposed (pub)'!G285,"")</f>
        <v/>
      </c>
      <c r="H285" s="287"/>
      <c r="I285" s="287"/>
      <c r="J285" s="288">
        <f t="shared" si="130"/>
        <v>0</v>
      </c>
      <c r="K285" s="471" t="str">
        <f>IF(C285&lt;&gt;MsgNotUsed,'3b. Impact - proposed (pub)'!L285,"")</f>
        <v/>
      </c>
      <c r="L285" s="288">
        <f t="shared" si="131"/>
        <v>0</v>
      </c>
      <c r="M285" s="288">
        <f t="shared" si="132"/>
        <v>0</v>
      </c>
      <c r="N285" s="615"/>
      <c r="O285" s="615"/>
      <c r="P285" s="615"/>
      <c r="Q285" s="757">
        <f t="shared" si="126"/>
        <v>0</v>
      </c>
      <c r="R285" s="757">
        <f t="shared" si="127"/>
        <v>0</v>
      </c>
      <c r="S285" s="549" t="str">
        <f t="shared" si="128"/>
        <v/>
      </c>
      <c r="T285" s="549" t="str">
        <f t="shared" si="129"/>
        <v/>
      </c>
    </row>
    <row r="286" spans="1:20" x14ac:dyDescent="0.2">
      <c r="A286" s="615"/>
      <c r="B286" s="58">
        <v>13</v>
      </c>
      <c r="C286" s="860" t="str">
        <f t="shared" si="125"/>
        <v>** NOT USED **</v>
      </c>
      <c r="D286" s="861"/>
      <c r="E286" s="862"/>
      <c r="F286" s="287"/>
      <c r="G286" s="63" t="str">
        <f>IF(AND(SPANewFlag=1,'3b. Impact - proposed (pub)'!G286&lt;&gt;""),'3b. Impact - proposed (pub)'!G286,"")</f>
        <v/>
      </c>
      <c r="H286" s="287"/>
      <c r="I286" s="287"/>
      <c r="J286" s="288">
        <f t="shared" si="130"/>
        <v>0</v>
      </c>
      <c r="K286" s="471" t="str">
        <f>IF(C286&lt;&gt;MsgNotUsed,'3b. Impact - proposed (pub)'!L286,"")</f>
        <v/>
      </c>
      <c r="L286" s="288">
        <f t="shared" si="131"/>
        <v>0</v>
      </c>
      <c r="M286" s="288">
        <f t="shared" si="132"/>
        <v>0</v>
      </c>
      <c r="N286" s="615"/>
      <c r="O286" s="615"/>
      <c r="P286" s="615"/>
      <c r="Q286" s="757">
        <f t="shared" si="126"/>
        <v>0</v>
      </c>
      <c r="R286" s="757">
        <f t="shared" si="127"/>
        <v>0</v>
      </c>
      <c r="S286" s="549" t="str">
        <f t="shared" si="128"/>
        <v/>
      </c>
      <c r="T286" s="549" t="str">
        <f t="shared" si="129"/>
        <v/>
      </c>
    </row>
    <row r="287" spans="1:20" x14ac:dyDescent="0.2">
      <c r="A287" s="615"/>
      <c r="B287" s="58">
        <v>14</v>
      </c>
      <c r="C287" s="860" t="str">
        <f t="shared" si="125"/>
        <v>** NOT USED **</v>
      </c>
      <c r="D287" s="861"/>
      <c r="E287" s="862"/>
      <c r="F287" s="287"/>
      <c r="G287" s="63" t="str">
        <f>IF(AND(SPANewFlag=1,'3b. Impact - proposed (pub)'!G287&lt;&gt;""),'3b. Impact - proposed (pub)'!G287,"")</f>
        <v/>
      </c>
      <c r="H287" s="287"/>
      <c r="I287" s="287"/>
      <c r="J287" s="288">
        <f t="shared" si="130"/>
        <v>0</v>
      </c>
      <c r="K287" s="471" t="str">
        <f>IF(C287&lt;&gt;MsgNotUsed,'3b. Impact - proposed (pub)'!L287,"")</f>
        <v/>
      </c>
      <c r="L287" s="288">
        <f t="shared" si="131"/>
        <v>0</v>
      </c>
      <c r="M287" s="288">
        <f t="shared" si="132"/>
        <v>0</v>
      </c>
      <c r="N287" s="615"/>
      <c r="O287" s="615"/>
      <c r="P287" s="615"/>
      <c r="Q287" s="757">
        <f t="shared" si="126"/>
        <v>0</v>
      </c>
      <c r="R287" s="757">
        <f t="shared" si="127"/>
        <v>0</v>
      </c>
      <c r="S287" s="549" t="str">
        <f t="shared" si="128"/>
        <v/>
      </c>
      <c r="T287" s="549" t="str">
        <f t="shared" si="129"/>
        <v/>
      </c>
    </row>
    <row r="288" spans="1:20" x14ac:dyDescent="0.2">
      <c r="A288" s="615"/>
      <c r="B288" s="58">
        <v>15</v>
      </c>
      <c r="C288" s="860" t="str">
        <f t="shared" si="125"/>
        <v>** NOT USED **</v>
      </c>
      <c r="D288" s="861"/>
      <c r="E288" s="862"/>
      <c r="F288" s="287"/>
      <c r="G288" s="63" t="str">
        <f>IF(AND(SPANewFlag=1,'3b. Impact - proposed (pub)'!G288&lt;&gt;""),'3b. Impact - proposed (pub)'!G288,"")</f>
        <v/>
      </c>
      <c r="H288" s="287"/>
      <c r="I288" s="287"/>
      <c r="J288" s="288">
        <f t="shared" si="130"/>
        <v>0</v>
      </c>
      <c r="K288" s="471" t="str">
        <f>IF(C288&lt;&gt;MsgNotUsed,'3b. Impact - proposed (pub)'!L288,"")</f>
        <v/>
      </c>
      <c r="L288" s="288">
        <f t="shared" si="131"/>
        <v>0</v>
      </c>
      <c r="M288" s="288">
        <f t="shared" si="132"/>
        <v>0</v>
      </c>
      <c r="N288" s="615"/>
      <c r="O288" s="615"/>
      <c r="P288" s="615"/>
      <c r="Q288" s="757">
        <f t="shared" si="126"/>
        <v>0</v>
      </c>
      <c r="R288" s="757">
        <f t="shared" si="127"/>
        <v>0</v>
      </c>
      <c r="S288" s="549" t="str">
        <f t="shared" si="128"/>
        <v/>
      </c>
      <c r="T288" s="549" t="str">
        <f t="shared" si="129"/>
        <v/>
      </c>
    </row>
    <row r="289" spans="1:20" x14ac:dyDescent="0.2">
      <c r="A289" s="615"/>
      <c r="B289" s="58">
        <v>16</v>
      </c>
      <c r="C289" s="860" t="str">
        <f t="shared" si="125"/>
        <v>** NOT USED **</v>
      </c>
      <c r="D289" s="861"/>
      <c r="E289" s="862"/>
      <c r="F289" s="287"/>
      <c r="G289" s="63" t="str">
        <f>IF(AND(SPANewFlag=1,'3b. Impact - proposed (pub)'!G289&lt;&gt;""),'3b. Impact - proposed (pub)'!G289,"")</f>
        <v/>
      </c>
      <c r="H289" s="287"/>
      <c r="I289" s="287"/>
      <c r="J289" s="288">
        <f t="shared" si="130"/>
        <v>0</v>
      </c>
      <c r="K289" s="471" t="str">
        <f>IF(C289&lt;&gt;MsgNotUsed,'3b. Impact - proposed (pub)'!L289,"")</f>
        <v/>
      </c>
      <c r="L289" s="288">
        <f t="shared" si="131"/>
        <v>0</v>
      </c>
      <c r="M289" s="288">
        <f t="shared" si="132"/>
        <v>0</v>
      </c>
      <c r="N289" s="615"/>
      <c r="O289" s="615"/>
      <c r="P289" s="615"/>
      <c r="Q289" s="757">
        <f t="shared" si="126"/>
        <v>0</v>
      </c>
      <c r="R289" s="757">
        <f t="shared" si="127"/>
        <v>0</v>
      </c>
      <c r="S289" s="549" t="str">
        <f t="shared" si="128"/>
        <v/>
      </c>
      <c r="T289" s="549" t="str">
        <f t="shared" si="129"/>
        <v/>
      </c>
    </row>
    <row r="290" spans="1:20" x14ac:dyDescent="0.2">
      <c r="A290" s="615"/>
      <c r="B290" s="58">
        <v>17</v>
      </c>
      <c r="C290" s="860" t="str">
        <f t="shared" si="125"/>
        <v>** NOT USED **</v>
      </c>
      <c r="D290" s="861"/>
      <c r="E290" s="862"/>
      <c r="F290" s="287"/>
      <c r="G290" s="63" t="str">
        <f>IF(AND(SPANewFlag=1,'3b. Impact - proposed (pub)'!G290&lt;&gt;""),'3b. Impact - proposed (pub)'!G290,"")</f>
        <v/>
      </c>
      <c r="H290" s="287"/>
      <c r="I290" s="287"/>
      <c r="J290" s="288">
        <f t="shared" si="130"/>
        <v>0</v>
      </c>
      <c r="K290" s="471" t="str">
        <f>IF(C290&lt;&gt;MsgNotUsed,'3b. Impact - proposed (pub)'!L290,"")</f>
        <v/>
      </c>
      <c r="L290" s="288">
        <f t="shared" si="131"/>
        <v>0</v>
      </c>
      <c r="M290" s="288">
        <f t="shared" si="132"/>
        <v>0</v>
      </c>
      <c r="N290" s="615"/>
      <c r="O290" s="615"/>
      <c r="P290" s="615"/>
      <c r="Q290" s="757">
        <f t="shared" si="126"/>
        <v>0</v>
      </c>
      <c r="R290" s="757">
        <f t="shared" si="127"/>
        <v>0</v>
      </c>
      <c r="S290" s="549" t="str">
        <f t="shared" si="128"/>
        <v/>
      </c>
      <c r="T290" s="549" t="str">
        <f t="shared" si="129"/>
        <v/>
      </c>
    </row>
    <row r="291" spans="1:20" x14ac:dyDescent="0.2">
      <c r="A291" s="615"/>
      <c r="B291" s="58">
        <v>18</v>
      </c>
      <c r="C291" s="860" t="str">
        <f t="shared" si="125"/>
        <v>** NOT USED **</v>
      </c>
      <c r="D291" s="861"/>
      <c r="E291" s="862"/>
      <c r="F291" s="287"/>
      <c r="G291" s="63" t="str">
        <f>IF(AND(SPANewFlag=1,'3b. Impact - proposed (pub)'!G291&lt;&gt;""),'3b. Impact - proposed (pub)'!G291,"")</f>
        <v/>
      </c>
      <c r="H291" s="287"/>
      <c r="I291" s="287"/>
      <c r="J291" s="288">
        <f t="shared" si="130"/>
        <v>0</v>
      </c>
      <c r="K291" s="471" t="str">
        <f>IF(C291&lt;&gt;MsgNotUsed,'3b. Impact - proposed (pub)'!L291,"")</f>
        <v/>
      </c>
      <c r="L291" s="288">
        <f t="shared" si="131"/>
        <v>0</v>
      </c>
      <c r="M291" s="288">
        <f t="shared" si="132"/>
        <v>0</v>
      </c>
      <c r="N291" s="615"/>
      <c r="O291" s="615"/>
      <c r="P291" s="615"/>
      <c r="Q291" s="757">
        <f t="shared" si="126"/>
        <v>0</v>
      </c>
      <c r="R291" s="757">
        <f t="shared" si="127"/>
        <v>0</v>
      </c>
      <c r="S291" s="549" t="str">
        <f t="shared" si="128"/>
        <v/>
      </c>
      <c r="T291" s="549" t="str">
        <f t="shared" si="129"/>
        <v/>
      </c>
    </row>
    <row r="292" spans="1:20" x14ac:dyDescent="0.2">
      <c r="A292" s="615"/>
      <c r="B292" s="58">
        <v>19</v>
      </c>
      <c r="C292" s="860" t="str">
        <f t="shared" si="125"/>
        <v>** NOT USED **</v>
      </c>
      <c r="D292" s="861"/>
      <c r="E292" s="862"/>
      <c r="F292" s="287"/>
      <c r="G292" s="63" t="str">
        <f>IF(AND(SPANewFlag=1,'3b. Impact - proposed (pub)'!G292&lt;&gt;""),'3b. Impact - proposed (pub)'!G292,"")</f>
        <v/>
      </c>
      <c r="H292" s="287"/>
      <c r="I292" s="287"/>
      <c r="J292" s="288">
        <f t="shared" si="130"/>
        <v>0</v>
      </c>
      <c r="K292" s="471" t="str">
        <f>IF(C292&lt;&gt;MsgNotUsed,'3b. Impact - proposed (pub)'!L292,"")</f>
        <v/>
      </c>
      <c r="L292" s="288">
        <f t="shared" si="131"/>
        <v>0</v>
      </c>
      <c r="M292" s="288">
        <f t="shared" si="132"/>
        <v>0</v>
      </c>
      <c r="N292" s="615"/>
      <c r="O292" s="615"/>
      <c r="P292" s="615"/>
      <c r="Q292" s="757">
        <f t="shared" si="126"/>
        <v>0</v>
      </c>
      <c r="R292" s="757">
        <f t="shared" si="127"/>
        <v>0</v>
      </c>
      <c r="S292" s="549" t="str">
        <f t="shared" si="128"/>
        <v/>
      </c>
      <c r="T292" s="549" t="str">
        <f t="shared" si="129"/>
        <v/>
      </c>
    </row>
    <row r="293" spans="1:20" x14ac:dyDescent="0.2">
      <c r="A293" s="615"/>
      <c r="B293" s="58">
        <v>20</v>
      </c>
      <c r="C293" s="860" t="str">
        <f t="shared" si="125"/>
        <v>** NOT USED **</v>
      </c>
      <c r="D293" s="861"/>
      <c r="E293" s="862"/>
      <c r="F293" s="287"/>
      <c r="G293" s="63" t="str">
        <f>IF(AND(SPANewFlag=1,'3b. Impact - proposed (pub)'!G293&lt;&gt;""),'3b. Impact - proposed (pub)'!G293,"")</f>
        <v/>
      </c>
      <c r="H293" s="287"/>
      <c r="I293" s="287"/>
      <c r="J293" s="288">
        <f t="shared" si="130"/>
        <v>0</v>
      </c>
      <c r="K293" s="471" t="str">
        <f>IF(C293&lt;&gt;MsgNotUsed,'3b. Impact - proposed (pub)'!L293,"")</f>
        <v/>
      </c>
      <c r="L293" s="288">
        <f t="shared" si="131"/>
        <v>0</v>
      </c>
      <c r="M293" s="288">
        <f t="shared" si="132"/>
        <v>0</v>
      </c>
      <c r="N293" s="615"/>
      <c r="O293" s="615"/>
      <c r="P293" s="615"/>
      <c r="Q293" s="757">
        <f t="shared" si="126"/>
        <v>0</v>
      </c>
      <c r="R293" s="757">
        <f t="shared" si="127"/>
        <v>0</v>
      </c>
      <c r="S293" s="549" t="str">
        <f t="shared" si="128"/>
        <v/>
      </c>
      <c r="T293" s="549" t="str">
        <f t="shared" si="129"/>
        <v/>
      </c>
    </row>
    <row r="294" spans="1:20" x14ac:dyDescent="0.2">
      <c r="A294" s="125"/>
      <c r="B294" s="125"/>
      <c r="C294" s="125"/>
      <c r="D294" s="125"/>
      <c r="E294" s="125"/>
      <c r="F294" s="125"/>
      <c r="G294" s="125"/>
      <c r="H294" s="125"/>
      <c r="I294" s="125"/>
      <c r="J294" s="125"/>
      <c r="K294" s="125"/>
      <c r="L294" s="125"/>
      <c r="M294" s="125"/>
      <c r="N294" s="125"/>
      <c r="O294" s="615"/>
      <c r="P294" s="615"/>
      <c r="S294" s="759">
        <f>SUM(S274:S293)</f>
        <v>0</v>
      </c>
      <c r="T294" s="416"/>
    </row>
    <row r="295" spans="1:20" x14ac:dyDescent="0.2">
      <c r="A295" s="125"/>
      <c r="B295" s="125"/>
      <c r="C295" s="162"/>
      <c r="D295" s="162"/>
      <c r="E295" s="162"/>
      <c r="F295" s="656"/>
      <c r="G295" s="125"/>
      <c r="H295" s="125"/>
      <c r="I295" s="125"/>
      <c r="J295" s="125"/>
      <c r="K295" s="125"/>
      <c r="L295" s="125"/>
      <c r="M295" s="125"/>
      <c r="N295" s="125"/>
      <c r="O295" s="615"/>
      <c r="P295" s="615"/>
    </row>
    <row r="296" spans="1:20" ht="15.75" x14ac:dyDescent="0.2">
      <c r="A296" s="125"/>
      <c r="B296" s="125"/>
      <c r="C296" s="123" t="s">
        <v>864</v>
      </c>
      <c r="D296" s="123"/>
      <c r="E296" s="123"/>
      <c r="F296" s="156"/>
      <c r="G296" s="126"/>
      <c r="H296" s="126"/>
      <c r="I296" s="126"/>
      <c r="J296" s="126"/>
      <c r="K296" s="126"/>
      <c r="L296" s="127"/>
      <c r="M296" s="127"/>
      <c r="N296" s="127"/>
    </row>
    <row r="297" spans="1:20" x14ac:dyDescent="0.2">
      <c r="A297" s="615"/>
      <c r="B297" s="615"/>
      <c r="C297" s="698"/>
      <c r="D297" s="698"/>
      <c r="E297" s="698"/>
      <c r="F297" s="698"/>
      <c r="G297" s="698"/>
      <c r="H297" s="698"/>
      <c r="I297" s="698"/>
      <c r="J297" s="698"/>
      <c r="K297" s="698"/>
      <c r="L297" s="698"/>
      <c r="M297" s="698"/>
      <c r="N297" s="698"/>
    </row>
    <row r="298" spans="1:20" x14ac:dyDescent="0.2">
      <c r="A298" s="615"/>
      <c r="B298" s="615"/>
      <c r="C298" s="698" t="s">
        <v>874</v>
      </c>
      <c r="D298" s="698"/>
      <c r="E298" s="698"/>
      <c r="F298" s="698"/>
      <c r="G298" s="698"/>
      <c r="H298" s="698"/>
      <c r="I298" s="698"/>
      <c r="J298" s="698"/>
      <c r="K298" s="698"/>
      <c r="L298" s="698"/>
      <c r="M298" s="698"/>
      <c r="N298" s="698"/>
    </row>
    <row r="299" spans="1:20" ht="12.75" customHeight="1" x14ac:dyDescent="0.2">
      <c r="A299" s="615"/>
      <c r="B299" s="615"/>
      <c r="C299" s="615"/>
      <c r="D299" s="615"/>
      <c r="E299" s="615"/>
      <c r="F299" s="615"/>
      <c r="G299" s="615"/>
      <c r="H299" s="615"/>
      <c r="I299" s="615"/>
      <c r="J299" s="615"/>
      <c r="K299" s="615"/>
      <c r="L299" s="615"/>
      <c r="M299" s="615"/>
      <c r="N299" s="615"/>
    </row>
  </sheetData>
  <mergeCells count="63">
    <mergeCell ref="C293:E293"/>
    <mergeCell ref="C284:E284"/>
    <mergeCell ref="C285:E285"/>
    <mergeCell ref="C286:E286"/>
    <mergeCell ref="C287:E287"/>
    <mergeCell ref="C288:E288"/>
    <mergeCell ref="C289:E289"/>
    <mergeCell ref="C290:E290"/>
    <mergeCell ref="C291:E291"/>
    <mergeCell ref="C292:E292"/>
    <mergeCell ref="K140:M140"/>
    <mergeCell ref="K32:M32"/>
    <mergeCell ref="K44:M44"/>
    <mergeCell ref="K56:M56"/>
    <mergeCell ref="K68:M68"/>
    <mergeCell ref="K80:M80"/>
    <mergeCell ref="L88:M88"/>
    <mergeCell ref="L100:M100"/>
    <mergeCell ref="L112:M112"/>
    <mergeCell ref="L124:M124"/>
    <mergeCell ref="L136:M136"/>
    <mergeCell ref="K92:M92"/>
    <mergeCell ref="K104:M104"/>
    <mergeCell ref="K116:M116"/>
    <mergeCell ref="K128:M128"/>
    <mergeCell ref="C276:E276"/>
    <mergeCell ref="C274:E274"/>
    <mergeCell ref="C275:E275"/>
    <mergeCell ref="C273:E273"/>
    <mergeCell ref="H272:J272"/>
    <mergeCell ref="L1:N1"/>
    <mergeCell ref="K152:M152"/>
    <mergeCell ref="K164:M164"/>
    <mergeCell ref="K176:M176"/>
    <mergeCell ref="C283:E283"/>
    <mergeCell ref="C277:E277"/>
    <mergeCell ref="C278:E278"/>
    <mergeCell ref="C279:E279"/>
    <mergeCell ref="C280:E280"/>
    <mergeCell ref="C281:E281"/>
    <mergeCell ref="C282:E282"/>
    <mergeCell ref="K248:M248"/>
    <mergeCell ref="K260:M260"/>
    <mergeCell ref="K188:M188"/>
    <mergeCell ref="K200:M200"/>
    <mergeCell ref="K212:M212"/>
    <mergeCell ref="L28:M28"/>
    <mergeCell ref="L40:M40"/>
    <mergeCell ref="L52:M52"/>
    <mergeCell ref="L64:M64"/>
    <mergeCell ref="L76:M76"/>
    <mergeCell ref="L148:M148"/>
    <mergeCell ref="L160:M160"/>
    <mergeCell ref="L172:M172"/>
    <mergeCell ref="L184:M184"/>
    <mergeCell ref="L196:M196"/>
    <mergeCell ref="L208:M208"/>
    <mergeCell ref="L220:M220"/>
    <mergeCell ref="L232:M232"/>
    <mergeCell ref="L244:M244"/>
    <mergeCell ref="L256:M256"/>
    <mergeCell ref="K224:M224"/>
    <mergeCell ref="K236:M236"/>
  </mergeCells>
  <conditionalFormatting sqref="I274:I293">
    <cfRule type="expression" dxfId="135" priority="1">
      <formula>$S274=0</formula>
    </cfRule>
    <cfRule type="expression" dxfId="134" priority="160">
      <formula>SplitPPMarket&lt;&gt;"Y"</formula>
    </cfRule>
  </conditionalFormatting>
  <conditionalFormatting sqref="K32:N32">
    <cfRule type="notContainsBlanks" dxfId="133" priority="90">
      <formula>LEN(TRIM(K32))&gt;0</formula>
    </cfRule>
  </conditionalFormatting>
  <conditionalFormatting sqref="H272:J272">
    <cfRule type="notContainsBlanks" dxfId="132" priority="48">
      <formula>LEN(TRIM(H272))&gt;0</formula>
    </cfRule>
  </conditionalFormatting>
  <conditionalFormatting sqref="I273">
    <cfRule type="expression" dxfId="131" priority="47">
      <formula>$S$294=0</formula>
    </cfRule>
  </conditionalFormatting>
  <conditionalFormatting sqref="K44:N44">
    <cfRule type="notContainsBlanks" dxfId="130" priority="21">
      <formula>LEN(TRIM(K44))&gt;0</formula>
    </cfRule>
  </conditionalFormatting>
  <conditionalFormatting sqref="K56:N56">
    <cfRule type="notContainsBlanks" dxfId="129" priority="20">
      <formula>LEN(TRIM(K56))&gt;0</formula>
    </cfRule>
  </conditionalFormatting>
  <conditionalFormatting sqref="K68:N68">
    <cfRule type="notContainsBlanks" dxfId="128" priority="19">
      <formula>LEN(TRIM(K68))&gt;0</formula>
    </cfRule>
  </conditionalFormatting>
  <conditionalFormatting sqref="K80:N80">
    <cfRule type="notContainsBlanks" dxfId="127" priority="18">
      <formula>LEN(TRIM(K80))&gt;0</formula>
    </cfRule>
  </conditionalFormatting>
  <conditionalFormatting sqref="K92:N92">
    <cfRule type="notContainsBlanks" dxfId="126" priority="17">
      <formula>LEN(TRIM(K92))&gt;0</formula>
    </cfRule>
  </conditionalFormatting>
  <conditionalFormatting sqref="K104:N104">
    <cfRule type="notContainsBlanks" dxfId="125" priority="16">
      <formula>LEN(TRIM(K104))&gt;0</formula>
    </cfRule>
  </conditionalFormatting>
  <conditionalFormatting sqref="K116:N116">
    <cfRule type="notContainsBlanks" dxfId="124" priority="15">
      <formula>LEN(TRIM(K116))&gt;0</formula>
    </cfRule>
  </conditionalFormatting>
  <conditionalFormatting sqref="K128:N128">
    <cfRule type="notContainsBlanks" dxfId="123" priority="14">
      <formula>LEN(TRIM(K128))&gt;0</formula>
    </cfRule>
  </conditionalFormatting>
  <conditionalFormatting sqref="K140:N140">
    <cfRule type="notContainsBlanks" dxfId="122" priority="13">
      <formula>LEN(TRIM(K140))&gt;0</formula>
    </cfRule>
  </conditionalFormatting>
  <conditionalFormatting sqref="K152:N152">
    <cfRule type="notContainsBlanks" dxfId="121" priority="12">
      <formula>LEN(TRIM(K152))&gt;0</formula>
    </cfRule>
  </conditionalFormatting>
  <conditionalFormatting sqref="K164:N164">
    <cfRule type="notContainsBlanks" dxfId="120" priority="11">
      <formula>LEN(TRIM(K164))&gt;0</formula>
    </cfRule>
  </conditionalFormatting>
  <conditionalFormatting sqref="K176:N176">
    <cfRule type="notContainsBlanks" dxfId="119" priority="10">
      <formula>LEN(TRIM(K176))&gt;0</formula>
    </cfRule>
  </conditionalFormatting>
  <conditionalFormatting sqref="K188:N188">
    <cfRule type="notContainsBlanks" dxfId="118" priority="9">
      <formula>LEN(TRIM(K188))&gt;0</formula>
    </cfRule>
  </conditionalFormatting>
  <conditionalFormatting sqref="K200:N200">
    <cfRule type="notContainsBlanks" dxfId="117" priority="8">
      <formula>LEN(TRIM(K200))&gt;0</formula>
    </cfRule>
  </conditionalFormatting>
  <conditionalFormatting sqref="K212:N212">
    <cfRule type="notContainsBlanks" dxfId="116" priority="7">
      <formula>LEN(TRIM(K212))&gt;0</formula>
    </cfRule>
  </conditionalFormatting>
  <conditionalFormatting sqref="K224:N224">
    <cfRule type="notContainsBlanks" dxfId="115" priority="6">
      <formula>LEN(TRIM(K224))&gt;0</formula>
    </cfRule>
  </conditionalFormatting>
  <conditionalFormatting sqref="K236:N236">
    <cfRule type="notContainsBlanks" dxfId="114" priority="5">
      <formula>LEN(TRIM(K236))&gt;0</formula>
    </cfRule>
  </conditionalFormatting>
  <conditionalFormatting sqref="K248:N248">
    <cfRule type="notContainsBlanks" dxfId="113" priority="4">
      <formula>LEN(TRIM(K248))&gt;0</formula>
    </cfRule>
  </conditionalFormatting>
  <conditionalFormatting sqref="K260:N260">
    <cfRule type="notContainsBlanks" dxfId="112" priority="3">
      <formula>LEN(TRIM(K260))&gt;0</formula>
    </cfRule>
  </conditionalFormatting>
  <conditionalFormatting sqref="F274:I293">
    <cfRule type="expression" dxfId="111" priority="2">
      <formula>$C274=MsgNotUsed</formula>
    </cfRule>
  </conditionalFormatting>
  <dataValidations count="1">
    <dataValidation allowBlank="1" showErrorMessage="1" sqref="D139:I141 D36:I38 D120:I122 D127:I129 D48:I50 D31:I34 D60:I62 D15:I17 D115:I117 D67:I69 D72:I74 D79:I81 D84:I86 D91:I93 D108:I110 D96:I98 D103:I105 D264:I266 D55:I57 D43:I45 D24:I24 F58:I58 D132:I134 D144:I146 D151:I153 D156:I158 D163:I165 D168:I170 D175:I177 D180:I182 D187:I189 D192:I194 D199:I201 D204:I206 D211:I213 D216:I218 D223:I225 D228:I230 D235:I237 D240:I242 D247:I249 D252:I254 D259:I261 D20:I22 J58:N62"/>
  </dataValidations>
  <pageMargins left="0.11811023622047245" right="0.11811023622047245" top="0.19685039370078741" bottom="0.15748031496062992" header="0.31496062992125984" footer="0.31496062992125984"/>
  <pageSetup paperSize="9" scale="47" orientation="landscape" horizontalDpi="300" verticalDpi="3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7"/>
    <pageSetUpPr fitToPage="1"/>
  </sheetPr>
  <dimension ref="A1:AR468"/>
  <sheetViews>
    <sheetView showGridLines="0" zoomScaleNormal="100" workbookViewId="0">
      <pane ySplit="3" topLeftCell="A4" activePane="bottomLeft" state="frozen"/>
      <selection activeCell="B7" sqref="B7:G7"/>
      <selection pane="bottomLeft"/>
    </sheetView>
  </sheetViews>
  <sheetFormatPr defaultRowHeight="12.75" customHeight="1" outlineLevelRow="1" x14ac:dyDescent="0.2"/>
  <cols>
    <col min="1" max="1" width="3.7109375" customWidth="1"/>
    <col min="2" max="3" width="3.7109375" hidden="1" customWidth="1"/>
    <col min="4" max="4" width="50.7109375" customWidth="1"/>
    <col min="5" max="22" width="15.7109375" customWidth="1"/>
    <col min="23" max="23" width="15.7109375" style="416" customWidth="1"/>
    <col min="24" max="24" width="3.7109375" customWidth="1"/>
    <col min="25" max="25" width="10.7109375" hidden="1" customWidth="1"/>
    <col min="26" max="27" width="3.7109375" hidden="1" customWidth="1"/>
    <col min="28" max="28" width="50.7109375" hidden="1" customWidth="1"/>
    <col min="29" max="43" width="10.7109375" hidden="1" customWidth="1"/>
  </cols>
  <sheetData>
    <row r="1" spans="1:43" ht="23.25" x14ac:dyDescent="0.2">
      <c r="A1" s="338">
        <f>IF((SUM(E39:J39)&lt;&gt;0),2,0)</f>
        <v>0</v>
      </c>
      <c r="B1" s="333"/>
      <c r="C1" s="334"/>
      <c r="D1" s="340" t="s">
        <v>649</v>
      </c>
      <c r="E1" s="334"/>
      <c r="F1" s="334"/>
      <c r="G1" s="334"/>
      <c r="H1" s="876" t="str">
        <f>ScriptSource &amp; IF(AND(C153&lt;&gt;0,C125&lt;&gt;0),ScriptSource &amp; " - additional market-share &amp; epidemiology based scripts",IF(C153&lt;&gt;0," - additional market-share based scripts",IF(C125&lt;&gt;0," - additional epidemiology based scripts"," - no additions")))</f>
        <v xml:space="preserve"> - no additions</v>
      </c>
      <c r="I1" s="876"/>
      <c r="J1" s="876"/>
      <c r="K1" s="876"/>
      <c r="L1" s="876"/>
      <c r="M1" s="876"/>
      <c r="N1" s="876"/>
      <c r="O1" s="334"/>
      <c r="P1" s="334"/>
      <c r="Q1" s="334"/>
      <c r="R1" s="334"/>
      <c r="S1" s="334"/>
      <c r="T1" s="334"/>
      <c r="U1" s="334"/>
      <c r="V1" s="334"/>
      <c r="W1" s="334"/>
      <c r="X1" s="334"/>
      <c r="Y1" s="334"/>
      <c r="Z1" s="334"/>
      <c r="AA1" s="334"/>
      <c r="AB1" s="334"/>
      <c r="AC1" s="334"/>
      <c r="AD1" s="334"/>
      <c r="AE1" s="334"/>
      <c r="AF1" s="334"/>
      <c r="AG1" s="334"/>
      <c r="AH1" s="334"/>
      <c r="AI1" s="334"/>
      <c r="AJ1" s="334"/>
      <c r="AK1" s="334"/>
      <c r="AL1" s="334"/>
      <c r="AM1" s="334"/>
      <c r="AN1" s="334"/>
      <c r="AO1" s="334"/>
      <c r="AP1" s="334"/>
      <c r="AQ1" s="334"/>
    </row>
    <row r="2" spans="1:43" ht="15.75" x14ac:dyDescent="0.2">
      <c r="A2" s="334"/>
      <c r="B2" s="334"/>
      <c r="C2" s="334"/>
      <c r="D2" s="337" t="str">
        <f>CONCATENATE("Name of medicine: ", MedicineBrand)</f>
        <v xml:space="preserve">Name of medicine: </v>
      </c>
      <c r="E2" s="334"/>
      <c r="F2" s="334"/>
      <c r="G2" s="334"/>
      <c r="H2" s="334"/>
      <c r="I2" s="337"/>
      <c r="J2" s="334"/>
      <c r="K2" s="334"/>
      <c r="L2" s="334"/>
      <c r="M2" s="334"/>
      <c r="N2" s="334"/>
      <c r="O2" s="334"/>
      <c r="P2" s="334"/>
      <c r="Q2" s="334"/>
      <c r="R2" s="334"/>
      <c r="S2" s="334"/>
      <c r="T2" s="334"/>
      <c r="U2" s="334"/>
      <c r="V2" s="334"/>
      <c r="W2" s="334"/>
      <c r="X2" s="334"/>
      <c r="Y2" s="334"/>
      <c r="Z2" s="334"/>
      <c r="AA2" s="334"/>
      <c r="AB2" s="334"/>
      <c r="AC2" s="334"/>
      <c r="AD2" s="334"/>
      <c r="AE2" s="334"/>
      <c r="AF2" s="334"/>
      <c r="AG2" s="334"/>
      <c r="AH2" s="334"/>
      <c r="AI2" s="334"/>
      <c r="AJ2" s="334"/>
      <c r="AK2" s="334"/>
      <c r="AL2" s="334"/>
      <c r="AM2" s="334"/>
      <c r="AN2" s="334"/>
      <c r="AO2" s="334"/>
      <c r="AP2" s="334"/>
      <c r="AQ2" s="334"/>
    </row>
    <row r="3" spans="1:43" ht="15.75" x14ac:dyDescent="0.2">
      <c r="A3" s="334"/>
      <c r="B3" s="334"/>
      <c r="C3" s="334"/>
      <c r="D3" s="337" t="str">
        <f>CONCATENATE("Indication: ", Indication)</f>
        <v xml:space="preserve">Indication: </v>
      </c>
      <c r="E3" s="334"/>
      <c r="F3" s="334"/>
      <c r="G3" s="334"/>
      <c r="H3" s="334"/>
      <c r="I3" s="334"/>
      <c r="J3" s="334"/>
      <c r="K3" s="334"/>
      <c r="L3" s="334"/>
      <c r="M3" s="334"/>
      <c r="N3" s="334"/>
      <c r="O3" s="334"/>
      <c r="P3" s="334"/>
      <c r="Q3" s="334"/>
      <c r="R3" s="334"/>
      <c r="S3" s="334"/>
      <c r="T3" s="334"/>
      <c r="U3" s="334"/>
      <c r="V3" s="334"/>
      <c r="W3" s="334"/>
      <c r="X3" s="334"/>
      <c r="Y3" s="334"/>
      <c r="Z3" s="334"/>
      <c r="AA3" s="334"/>
      <c r="AB3" s="334"/>
      <c r="AC3" s="334"/>
      <c r="AD3" s="334"/>
      <c r="AE3" s="334"/>
      <c r="AF3" s="334"/>
      <c r="AG3" s="334"/>
      <c r="AH3" s="334"/>
      <c r="AI3" s="334"/>
      <c r="AJ3" s="334"/>
      <c r="AK3" s="334"/>
      <c r="AL3" s="334"/>
      <c r="AM3" s="334"/>
      <c r="AN3" s="334"/>
      <c r="AO3" s="334"/>
      <c r="AP3" s="334"/>
      <c r="AQ3" s="334"/>
    </row>
    <row r="4" spans="1:43" s="420" customFormat="1" x14ac:dyDescent="0.2">
      <c r="A4" s="162"/>
      <c r="B4" s="162"/>
      <c r="C4" s="162"/>
      <c r="D4" s="648"/>
      <c r="E4" s="162"/>
      <c r="F4" s="162"/>
      <c r="G4" s="162"/>
      <c r="H4" s="162"/>
      <c r="I4" s="162"/>
      <c r="J4" s="162"/>
      <c r="K4" s="162"/>
      <c r="L4" s="162"/>
      <c r="M4" s="162"/>
      <c r="N4" s="162"/>
      <c r="O4" s="162"/>
      <c r="P4" s="162"/>
      <c r="Q4" s="162"/>
      <c r="R4" s="162"/>
      <c r="S4" s="641"/>
      <c r="T4" s="641"/>
      <c r="U4" s="641"/>
      <c r="V4" s="641"/>
      <c r="W4" s="641"/>
      <c r="X4" s="641"/>
      <c r="Y4" s="641"/>
      <c r="Z4" s="641"/>
      <c r="AA4" s="641"/>
      <c r="AB4" s="641"/>
      <c r="AC4" s="641"/>
      <c r="AD4" s="641"/>
      <c r="AE4" s="641"/>
      <c r="AF4" s="641"/>
      <c r="AG4" s="641"/>
      <c r="AH4" s="641"/>
      <c r="AI4" s="641"/>
      <c r="AJ4" s="641"/>
      <c r="AK4" s="641"/>
      <c r="AL4" s="641"/>
      <c r="AM4" s="641"/>
      <c r="AN4" s="641"/>
      <c r="AO4" s="641"/>
      <c r="AP4" s="641"/>
      <c r="AQ4" s="641"/>
    </row>
    <row r="5" spans="1:43" ht="15.75" x14ac:dyDescent="0.2">
      <c r="A5" s="122"/>
      <c r="B5" s="122"/>
      <c r="C5" s="122"/>
      <c r="D5" s="123" t="s">
        <v>2</v>
      </c>
      <c r="E5" s="124"/>
      <c r="F5" s="124"/>
      <c r="G5" s="124"/>
      <c r="H5" s="124"/>
      <c r="I5" s="124"/>
      <c r="J5" s="124"/>
      <c r="K5" s="124"/>
      <c r="L5" s="124"/>
      <c r="M5" s="124"/>
      <c r="N5" s="124"/>
      <c r="O5" s="124"/>
      <c r="P5" s="124"/>
      <c r="Q5" s="124"/>
      <c r="R5" s="124"/>
      <c r="S5" s="124"/>
      <c r="T5" s="124"/>
      <c r="U5" s="124"/>
      <c r="V5" s="124"/>
      <c r="W5" s="124"/>
      <c r="X5" s="124"/>
      <c r="Y5" s="124"/>
      <c r="Z5" s="124"/>
      <c r="AA5" s="124"/>
      <c r="AB5" s="124"/>
      <c r="AC5" s="124"/>
      <c r="AD5" s="124"/>
      <c r="AE5" s="124"/>
      <c r="AF5" s="124"/>
      <c r="AG5" s="124"/>
      <c r="AH5" s="124"/>
      <c r="AI5" s="124"/>
      <c r="AJ5" s="124"/>
      <c r="AK5" s="124"/>
      <c r="AL5" s="124"/>
      <c r="AM5" s="124"/>
      <c r="AN5" s="124"/>
      <c r="AO5" s="124"/>
      <c r="AP5" s="124"/>
      <c r="AQ5" s="124"/>
    </row>
    <row r="6" spans="1:43" ht="14.25" x14ac:dyDescent="0.2">
      <c r="A6" s="125"/>
      <c r="B6" s="125"/>
      <c r="C6" s="125"/>
      <c r="D6" s="647"/>
      <c r="E6" s="125"/>
      <c r="F6" s="125"/>
      <c r="G6" s="125"/>
      <c r="H6" s="125"/>
      <c r="I6" s="125"/>
      <c r="J6" s="125"/>
      <c r="K6" s="125"/>
      <c r="L6" s="125"/>
      <c r="M6" s="125"/>
      <c r="N6" s="125"/>
      <c r="O6" s="125"/>
      <c r="P6" s="125"/>
      <c r="Q6" s="125"/>
      <c r="R6" s="125"/>
      <c r="S6" s="615"/>
      <c r="T6" s="615"/>
      <c r="U6" s="615"/>
      <c r="V6" s="615"/>
      <c r="W6" s="615"/>
      <c r="X6" s="615"/>
      <c r="Y6" s="615"/>
      <c r="Z6" s="615"/>
      <c r="AA6" s="615"/>
      <c r="AB6" s="615"/>
      <c r="AC6" s="615"/>
      <c r="AD6" s="615"/>
      <c r="AE6" s="615"/>
      <c r="AF6" s="615"/>
      <c r="AG6" s="615"/>
      <c r="AH6" s="615"/>
      <c r="AI6" s="615"/>
      <c r="AJ6" s="615"/>
      <c r="AK6" s="615"/>
      <c r="AL6" s="615"/>
      <c r="AM6" s="615"/>
      <c r="AN6" s="615"/>
      <c r="AO6" s="615"/>
      <c r="AP6" s="615"/>
      <c r="AQ6" s="615"/>
    </row>
    <row r="7" spans="1:43" x14ac:dyDescent="0.2">
      <c r="A7" s="125"/>
      <c r="B7" s="125"/>
      <c r="C7" s="125"/>
      <c r="D7" s="162" t="s">
        <v>829</v>
      </c>
      <c r="E7" s="700"/>
      <c r="F7" s="700"/>
      <c r="G7" s="700"/>
      <c r="H7" s="700"/>
      <c r="I7" s="700"/>
      <c r="J7" s="700"/>
      <c r="K7" s="125"/>
      <c r="L7" s="125"/>
      <c r="M7" s="125"/>
      <c r="N7" s="125"/>
      <c r="O7" s="125"/>
      <c r="P7" s="125"/>
      <c r="Q7" s="125"/>
      <c r="R7" s="125"/>
      <c r="S7" s="615"/>
      <c r="T7" s="615"/>
      <c r="U7" s="615"/>
      <c r="V7" s="615"/>
      <c r="W7" s="615"/>
      <c r="X7" s="641"/>
      <c r="Y7" s="641"/>
      <c r="Z7" s="641"/>
      <c r="AA7" s="641"/>
      <c r="AB7" s="615"/>
      <c r="AC7" s="615"/>
      <c r="AD7" s="615"/>
      <c r="AE7" s="615"/>
      <c r="AF7" s="615"/>
      <c r="AG7" s="615"/>
      <c r="AH7" s="615"/>
      <c r="AI7" s="615"/>
      <c r="AJ7" s="615"/>
      <c r="AK7" s="615"/>
      <c r="AL7" s="615"/>
      <c r="AM7" s="615"/>
      <c r="AN7" s="615"/>
      <c r="AO7" s="615"/>
      <c r="AP7" s="615"/>
      <c r="AQ7" s="615"/>
    </row>
    <row r="8" spans="1:43" x14ac:dyDescent="0.2">
      <c r="A8" s="125"/>
      <c r="B8" s="125"/>
      <c r="C8" s="125"/>
      <c r="D8" s="162" t="s">
        <v>928</v>
      </c>
      <c r="E8" s="700"/>
      <c r="F8" s="700"/>
      <c r="G8" s="700"/>
      <c r="H8" s="700"/>
      <c r="I8" s="700"/>
      <c r="J8" s="700"/>
      <c r="K8" s="125"/>
      <c r="L8" s="125"/>
      <c r="M8" s="125"/>
      <c r="N8" s="125"/>
      <c r="O8" s="125"/>
      <c r="P8" s="125"/>
      <c r="Q8" s="125"/>
      <c r="R8" s="125"/>
      <c r="S8" s="615"/>
      <c r="T8" s="615"/>
      <c r="U8" s="615"/>
      <c r="V8" s="615"/>
      <c r="W8" s="615"/>
      <c r="X8" s="641"/>
      <c r="Y8" s="641"/>
      <c r="Z8" s="641"/>
      <c r="AA8" s="641"/>
      <c r="AB8" s="615"/>
      <c r="AC8" s="615"/>
      <c r="AD8" s="615"/>
      <c r="AE8" s="615"/>
      <c r="AF8" s="615"/>
      <c r="AG8" s="615"/>
      <c r="AH8" s="615"/>
      <c r="AI8" s="615"/>
      <c r="AJ8" s="615"/>
      <c r="AK8" s="615"/>
      <c r="AL8" s="615"/>
      <c r="AM8" s="615"/>
      <c r="AN8" s="615"/>
      <c r="AO8" s="615"/>
      <c r="AP8" s="615"/>
      <c r="AQ8" s="615"/>
    </row>
    <row r="9" spans="1:43" x14ac:dyDescent="0.2">
      <c r="A9" s="125"/>
      <c r="B9" s="125"/>
      <c r="C9" s="125"/>
      <c r="D9" s="162"/>
      <c r="E9" s="700"/>
      <c r="F9" s="700"/>
      <c r="G9" s="700"/>
      <c r="H9" s="700"/>
      <c r="I9" s="700"/>
      <c r="J9" s="700"/>
      <c r="K9" s="125"/>
      <c r="L9" s="125"/>
      <c r="M9" s="125"/>
      <c r="N9" s="125"/>
      <c r="O9" s="125"/>
      <c r="P9" s="125"/>
      <c r="Q9" s="125"/>
      <c r="R9" s="125"/>
      <c r="S9" s="615"/>
      <c r="T9" s="615"/>
      <c r="U9" s="615"/>
      <c r="V9" s="615"/>
      <c r="W9" s="615"/>
      <c r="X9" s="641"/>
      <c r="Y9" s="641"/>
      <c r="Z9" s="641"/>
      <c r="AA9" s="641"/>
      <c r="AB9" s="615"/>
      <c r="AC9" s="615"/>
      <c r="AD9" s="615"/>
      <c r="AE9" s="615"/>
      <c r="AF9" s="615"/>
      <c r="AG9" s="615"/>
      <c r="AH9" s="615"/>
      <c r="AI9" s="615"/>
      <c r="AJ9" s="615"/>
      <c r="AK9" s="615"/>
      <c r="AL9" s="615"/>
      <c r="AM9" s="615"/>
      <c r="AN9" s="615"/>
      <c r="AO9" s="615"/>
      <c r="AP9" s="615"/>
      <c r="AQ9" s="615"/>
    </row>
    <row r="10" spans="1:43" ht="15.75" x14ac:dyDescent="0.2">
      <c r="A10" s="125"/>
      <c r="B10" s="125"/>
      <c r="C10" s="125"/>
      <c r="D10" s="123" t="s">
        <v>862</v>
      </c>
      <c r="E10" s="124"/>
      <c r="F10" s="124"/>
      <c r="G10" s="124"/>
      <c r="H10" s="79"/>
      <c r="I10" s="79"/>
      <c r="J10" s="79"/>
      <c r="K10" s="124"/>
      <c r="L10" s="124"/>
      <c r="M10" s="124"/>
      <c r="N10" s="124"/>
      <c r="O10" s="124"/>
      <c r="P10" s="124"/>
      <c r="Q10" s="124"/>
      <c r="R10" s="124"/>
      <c r="S10" s="124"/>
      <c r="T10" s="124"/>
      <c r="U10" s="124"/>
      <c r="V10" s="124"/>
      <c r="W10" s="124"/>
      <c r="X10" s="124"/>
      <c r="Y10" s="124"/>
      <c r="Z10" s="124"/>
      <c r="AA10" s="124"/>
      <c r="AB10" s="124"/>
      <c r="AC10" s="124"/>
      <c r="AD10" s="124"/>
      <c r="AE10" s="124"/>
      <c r="AF10" s="124"/>
      <c r="AG10" s="124"/>
      <c r="AH10" s="124"/>
      <c r="AI10" s="124"/>
      <c r="AJ10" s="124"/>
      <c r="AK10" s="124"/>
      <c r="AL10" s="124"/>
      <c r="AM10" s="124"/>
      <c r="AN10" s="124"/>
      <c r="AO10" s="124"/>
      <c r="AP10" s="124"/>
      <c r="AQ10" s="124"/>
    </row>
    <row r="11" spans="1:43" x14ac:dyDescent="0.2">
      <c r="A11" s="125"/>
      <c r="B11" s="125"/>
      <c r="C11" s="125"/>
      <c r="D11" s="125"/>
      <c r="E11" s="125"/>
      <c r="F11" s="125"/>
      <c r="G11" s="125"/>
      <c r="H11" s="125"/>
      <c r="I11" s="125"/>
      <c r="J11" s="125"/>
      <c r="K11" s="125"/>
      <c r="L11" s="125"/>
      <c r="M11" s="125"/>
      <c r="N11" s="125"/>
      <c r="O11" s="125"/>
      <c r="P11" s="125"/>
      <c r="Q11" s="125"/>
      <c r="R11" s="125"/>
      <c r="S11" s="615"/>
      <c r="T11" s="615"/>
      <c r="U11" s="615"/>
      <c r="V11" s="615"/>
      <c r="W11" s="615"/>
      <c r="X11" s="615"/>
      <c r="Y11" s="615"/>
      <c r="Z11" s="615"/>
      <c r="AA11" s="615"/>
      <c r="AB11" s="615"/>
      <c r="AC11" s="615"/>
      <c r="AD11" s="615"/>
      <c r="AE11" s="615"/>
      <c r="AF11" s="615"/>
      <c r="AG11" s="615"/>
      <c r="AH11" s="615"/>
      <c r="AI11" s="615"/>
      <c r="AJ11" s="615"/>
      <c r="AK11" s="615"/>
      <c r="AL11" s="615"/>
      <c r="AM11" s="615"/>
      <c r="AN11" s="615"/>
      <c r="AO11" s="615"/>
      <c r="AP11" s="615"/>
      <c r="AQ11" s="615"/>
    </row>
    <row r="12" spans="1:43" x14ac:dyDescent="0.2">
      <c r="A12" s="125"/>
      <c r="B12" s="125"/>
      <c r="C12" s="125"/>
      <c r="D12" s="646" t="s">
        <v>830</v>
      </c>
      <c r="E12" s="125"/>
      <c r="F12" s="125"/>
      <c r="G12" s="125"/>
      <c r="H12" s="125"/>
      <c r="I12" s="806" t="str">
        <f>IF(SUM(B16:B35) &gt; 0,MsgError &amp; VLOOKUP("DupScripts",ErrorMessages,2,FALSE),"")</f>
        <v/>
      </c>
      <c r="J12" s="806"/>
      <c r="K12" s="806"/>
      <c r="L12" s="806"/>
      <c r="M12" s="806"/>
      <c r="N12" s="806"/>
      <c r="O12" s="806"/>
      <c r="P12" s="125"/>
      <c r="Q12" s="125"/>
      <c r="R12" s="125"/>
      <c r="S12" s="615"/>
      <c r="T12" s="615"/>
      <c r="U12" s="615"/>
      <c r="V12" s="615"/>
      <c r="W12" s="615"/>
      <c r="X12" s="641"/>
      <c r="Y12" s="641"/>
      <c r="Z12" s="641"/>
      <c r="AA12" s="641"/>
      <c r="AB12" s="615"/>
      <c r="AC12" s="615"/>
      <c r="AD12" s="615"/>
      <c r="AE12" s="615"/>
      <c r="AF12" s="615"/>
      <c r="AG12" s="615"/>
      <c r="AH12" s="615"/>
      <c r="AI12" s="615"/>
      <c r="AJ12" s="615"/>
      <c r="AK12" s="615"/>
      <c r="AL12" s="615"/>
      <c r="AM12" s="615"/>
      <c r="AN12" s="615"/>
      <c r="AO12" s="615"/>
      <c r="AP12" s="615"/>
      <c r="AQ12" s="615"/>
    </row>
    <row r="13" spans="1:43" x14ac:dyDescent="0.2">
      <c r="A13" s="125"/>
      <c r="B13" s="125"/>
      <c r="C13" s="125"/>
      <c r="D13" s="125"/>
      <c r="E13" s="125"/>
      <c r="F13" s="125"/>
      <c r="G13" s="125"/>
      <c r="H13" s="125"/>
      <c r="I13" s="125"/>
      <c r="J13" s="125"/>
      <c r="K13" s="125"/>
      <c r="L13" s="125"/>
      <c r="M13" s="125"/>
      <c r="N13" s="125"/>
      <c r="O13" s="125"/>
      <c r="P13" s="125"/>
      <c r="Q13" s="125"/>
      <c r="R13" s="125"/>
      <c r="S13" s="615"/>
      <c r="T13" s="615"/>
      <c r="U13" s="615"/>
      <c r="V13" s="615"/>
      <c r="W13" s="615"/>
      <c r="X13" s="641"/>
      <c r="Y13" s="641"/>
      <c r="Z13" s="641"/>
      <c r="AA13" s="641"/>
      <c r="AB13" s="615"/>
      <c r="AC13" s="615"/>
      <c r="AD13" s="615"/>
      <c r="AE13" s="615"/>
      <c r="AF13" s="615"/>
      <c r="AG13" s="615"/>
      <c r="AH13" s="615"/>
      <c r="AI13" s="615"/>
      <c r="AJ13" s="615"/>
      <c r="AK13" s="615"/>
      <c r="AL13" s="615"/>
      <c r="AM13" s="615"/>
      <c r="AN13" s="615"/>
      <c r="AO13" s="615"/>
      <c r="AP13" s="615"/>
      <c r="AQ13" s="615"/>
    </row>
    <row r="14" spans="1:43" x14ac:dyDescent="0.2">
      <c r="A14" s="125"/>
      <c r="B14" s="125"/>
      <c r="C14" s="125"/>
      <c r="D14" s="646"/>
      <c r="E14" s="830" t="s">
        <v>223</v>
      </c>
      <c r="F14" s="841"/>
      <c r="G14" s="841"/>
      <c r="H14" s="841"/>
      <c r="I14" s="841"/>
      <c r="J14" s="842"/>
      <c r="K14" s="162"/>
      <c r="L14" s="830" t="s">
        <v>224</v>
      </c>
      <c r="M14" s="841"/>
      <c r="N14" s="841"/>
      <c r="O14" s="841"/>
      <c r="P14" s="841"/>
      <c r="Q14" s="842"/>
      <c r="R14" s="125"/>
      <c r="S14" s="615"/>
      <c r="T14" s="615"/>
      <c r="U14" s="615"/>
      <c r="V14" s="615"/>
      <c r="W14" s="615"/>
      <c r="X14" s="641"/>
      <c r="Y14" s="868" t="s">
        <v>774</v>
      </c>
      <c r="Z14" s="641"/>
      <c r="AA14" s="641"/>
      <c r="AB14" s="615"/>
      <c r="AC14" s="615"/>
      <c r="AD14" s="615"/>
      <c r="AE14" s="615"/>
      <c r="AF14" s="615"/>
      <c r="AG14" s="615"/>
      <c r="AH14" s="615"/>
      <c r="AI14" s="615"/>
      <c r="AJ14" s="615"/>
      <c r="AK14" s="615"/>
      <c r="AL14" s="615"/>
      <c r="AM14" s="615"/>
      <c r="AN14" s="615"/>
      <c r="AO14" s="615"/>
      <c r="AP14" s="615"/>
      <c r="AQ14" s="615"/>
    </row>
    <row r="15" spans="1:43" x14ac:dyDescent="0.2">
      <c r="A15" s="125"/>
      <c r="B15" s="125"/>
      <c r="C15" s="125"/>
      <c r="D15" s="66" t="s">
        <v>812</v>
      </c>
      <c r="E15" s="81">
        <f>FirstYear</f>
        <v>2021</v>
      </c>
      <c r="F15" s="81">
        <f>E15+1</f>
        <v>2022</v>
      </c>
      <c r="G15" s="81">
        <f>F15+1</f>
        <v>2023</v>
      </c>
      <c r="H15" s="81">
        <f>G15+1</f>
        <v>2024</v>
      </c>
      <c r="I15" s="81">
        <f>H15+1</f>
        <v>2025</v>
      </c>
      <c r="J15" s="81">
        <f>I15+1</f>
        <v>2026</v>
      </c>
      <c r="K15" s="125"/>
      <c r="L15" s="81">
        <f>FirstYear</f>
        <v>2021</v>
      </c>
      <c r="M15" s="81">
        <f>L15+1</f>
        <v>2022</v>
      </c>
      <c r="N15" s="81">
        <f>M15+1</f>
        <v>2023</v>
      </c>
      <c r="O15" s="81">
        <f>N15+1</f>
        <v>2024</v>
      </c>
      <c r="P15" s="81">
        <f>O15+1</f>
        <v>2025</v>
      </c>
      <c r="Q15" s="81">
        <f>P15+1</f>
        <v>2026</v>
      </c>
      <c r="R15" s="125"/>
      <c r="S15" s="615"/>
      <c r="T15" s="615"/>
      <c r="U15" s="615"/>
      <c r="V15" s="615"/>
      <c r="W15" s="615"/>
      <c r="X15" s="641"/>
      <c r="Y15" s="869"/>
      <c r="Z15" s="7"/>
      <c r="AA15" s="7"/>
      <c r="AB15" s="61" t="s">
        <v>812</v>
      </c>
      <c r="AC15" s="615"/>
      <c r="AD15" s="615"/>
      <c r="AE15" s="615"/>
      <c r="AF15" s="615"/>
      <c r="AG15" s="615"/>
      <c r="AH15" s="615"/>
      <c r="AI15" s="615"/>
      <c r="AJ15" s="615"/>
      <c r="AK15" s="615"/>
      <c r="AL15" s="615"/>
      <c r="AM15" s="615"/>
      <c r="AN15" s="615"/>
      <c r="AO15" s="615"/>
      <c r="AP15" s="615"/>
      <c r="AQ15" s="615"/>
    </row>
    <row r="16" spans="1:43" x14ac:dyDescent="0.2">
      <c r="A16" s="125"/>
      <c r="B16" s="242">
        <f t="shared" ref="B16:B35" si="0">IF(AND(D77&lt;&gt;MsgNotUsed,D48&lt;&gt;MsgNotUsed),1,0)</f>
        <v>0</v>
      </c>
      <c r="C16" s="58">
        <v>1</v>
      </c>
      <c r="D16" s="85" t="str">
        <f t="shared" ref="D16:D35" si="1">IF(D48&lt;&gt;MsgNotUsed,D48,IF(D77&lt;&gt;MsgNotUsed,D77,MsgNotUsed))</f>
        <v>** NOT USED **</v>
      </c>
      <c r="E16" s="292">
        <f t="shared" ref="E16:J25" si="2">IF($D48&lt;&gt;MsgNotUsed,E48,IF($D77&lt;&gt;MsgNotUsed,E77,0))</f>
        <v>0</v>
      </c>
      <c r="F16" s="440">
        <f t="shared" si="2"/>
        <v>0</v>
      </c>
      <c r="G16" s="440">
        <f t="shared" si="2"/>
        <v>0</v>
      </c>
      <c r="H16" s="440">
        <f t="shared" si="2"/>
        <v>0</v>
      </c>
      <c r="I16" s="440">
        <f t="shared" si="2"/>
        <v>0</v>
      </c>
      <c r="J16" s="440">
        <f t="shared" si="2"/>
        <v>0</v>
      </c>
      <c r="K16" s="125"/>
      <c r="L16" s="440">
        <f t="shared" ref="L16:Q25" si="3">IF($D48&lt;&gt;MsgNotUsed,L48,IF($D77&lt;&gt;MsgNotUsed,L77,0))</f>
        <v>0</v>
      </c>
      <c r="M16" s="440">
        <f t="shared" si="3"/>
        <v>0</v>
      </c>
      <c r="N16" s="440">
        <f t="shared" si="3"/>
        <v>0</v>
      </c>
      <c r="O16" s="440">
        <f t="shared" si="3"/>
        <v>0</v>
      </c>
      <c r="P16" s="440">
        <f t="shared" si="3"/>
        <v>0</v>
      </c>
      <c r="Q16" s="440">
        <f t="shared" si="3"/>
        <v>0</v>
      </c>
      <c r="R16" s="125"/>
      <c r="S16" s="615"/>
      <c r="T16" s="615"/>
      <c r="U16" s="615"/>
      <c r="V16" s="615"/>
      <c r="W16" s="615"/>
      <c r="X16" s="641"/>
      <c r="Y16" s="480">
        <f t="shared" ref="Y16:Y35" si="4">IF(D133&lt;&gt;"",P133,IF($I$42="",P105,INDEX(CoPayBandMS,C16)))</f>
        <v>0</v>
      </c>
      <c r="Z16" s="7"/>
      <c r="AA16" s="7"/>
      <c r="AB16" s="240" t="str">
        <f t="shared" ref="AB16:AB35" si="5">D16</f>
        <v>** NOT USED **</v>
      </c>
      <c r="AC16" s="58">
        <v>1</v>
      </c>
      <c r="AD16" s="615"/>
      <c r="AE16" s="615"/>
      <c r="AF16" s="615"/>
      <c r="AG16" s="615"/>
      <c r="AH16" s="615"/>
      <c r="AI16" s="615"/>
      <c r="AJ16" s="615"/>
      <c r="AK16" s="615"/>
      <c r="AL16" s="615"/>
      <c r="AM16" s="615"/>
      <c r="AN16" s="615"/>
      <c r="AO16" s="615"/>
      <c r="AP16" s="615"/>
      <c r="AQ16" s="615"/>
    </row>
    <row r="17" spans="1:43" x14ac:dyDescent="0.2">
      <c r="A17" s="125"/>
      <c r="B17" s="242">
        <f t="shared" si="0"/>
        <v>0</v>
      </c>
      <c r="C17" s="58">
        <v>2</v>
      </c>
      <c r="D17" s="453" t="str">
        <f t="shared" si="1"/>
        <v>** NOT USED **</v>
      </c>
      <c r="E17" s="440">
        <f t="shared" si="2"/>
        <v>0</v>
      </c>
      <c r="F17" s="440">
        <f t="shared" si="2"/>
        <v>0</v>
      </c>
      <c r="G17" s="440">
        <f t="shared" si="2"/>
        <v>0</v>
      </c>
      <c r="H17" s="440">
        <f t="shared" si="2"/>
        <v>0</v>
      </c>
      <c r="I17" s="440">
        <f t="shared" si="2"/>
        <v>0</v>
      </c>
      <c r="J17" s="440">
        <f t="shared" si="2"/>
        <v>0</v>
      </c>
      <c r="K17" s="125"/>
      <c r="L17" s="440">
        <f t="shared" si="3"/>
        <v>0</v>
      </c>
      <c r="M17" s="440">
        <f t="shared" si="3"/>
        <v>0</v>
      </c>
      <c r="N17" s="440">
        <f t="shared" si="3"/>
        <v>0</v>
      </c>
      <c r="O17" s="440">
        <f t="shared" si="3"/>
        <v>0</v>
      </c>
      <c r="P17" s="440">
        <f t="shared" si="3"/>
        <v>0</v>
      </c>
      <c r="Q17" s="440">
        <f t="shared" si="3"/>
        <v>0</v>
      </c>
      <c r="R17" s="125"/>
      <c r="S17" s="615"/>
      <c r="T17" s="615"/>
      <c r="U17" s="615"/>
      <c r="V17" s="615"/>
      <c r="W17" s="615"/>
      <c r="X17" s="641"/>
      <c r="Y17" s="480">
        <f t="shared" si="4"/>
        <v>0</v>
      </c>
      <c r="Z17" s="7"/>
      <c r="AA17" s="7"/>
      <c r="AB17" s="240" t="str">
        <f t="shared" si="5"/>
        <v>** NOT USED **</v>
      </c>
      <c r="AC17" s="58">
        <v>2</v>
      </c>
      <c r="AD17" s="615"/>
      <c r="AE17" s="615"/>
      <c r="AF17" s="615"/>
      <c r="AG17" s="615"/>
      <c r="AH17" s="615"/>
      <c r="AI17" s="615"/>
      <c r="AJ17" s="615"/>
      <c r="AK17" s="615"/>
      <c r="AL17" s="615"/>
      <c r="AM17" s="615"/>
      <c r="AN17" s="615"/>
      <c r="AO17" s="615"/>
      <c r="AP17" s="615"/>
      <c r="AQ17" s="615"/>
    </row>
    <row r="18" spans="1:43" x14ac:dyDescent="0.2">
      <c r="A18" s="125"/>
      <c r="B18" s="242">
        <f t="shared" si="0"/>
        <v>0</v>
      </c>
      <c r="C18" s="58">
        <v>3</v>
      </c>
      <c r="D18" s="453" t="str">
        <f t="shared" si="1"/>
        <v>** NOT USED **</v>
      </c>
      <c r="E18" s="440">
        <f t="shared" si="2"/>
        <v>0</v>
      </c>
      <c r="F18" s="440">
        <f t="shared" si="2"/>
        <v>0</v>
      </c>
      <c r="G18" s="440">
        <f t="shared" si="2"/>
        <v>0</v>
      </c>
      <c r="H18" s="440">
        <f t="shared" si="2"/>
        <v>0</v>
      </c>
      <c r="I18" s="440">
        <f t="shared" si="2"/>
        <v>0</v>
      </c>
      <c r="J18" s="440">
        <f t="shared" si="2"/>
        <v>0</v>
      </c>
      <c r="K18" s="125"/>
      <c r="L18" s="440">
        <f t="shared" si="3"/>
        <v>0</v>
      </c>
      <c r="M18" s="440">
        <f t="shared" si="3"/>
        <v>0</v>
      </c>
      <c r="N18" s="440">
        <f t="shared" si="3"/>
        <v>0</v>
      </c>
      <c r="O18" s="440">
        <f t="shared" si="3"/>
        <v>0</v>
      </c>
      <c r="P18" s="440">
        <f t="shared" si="3"/>
        <v>0</v>
      </c>
      <c r="Q18" s="440">
        <f t="shared" si="3"/>
        <v>0</v>
      </c>
      <c r="R18" s="125"/>
      <c r="S18" s="615"/>
      <c r="T18" s="615"/>
      <c r="U18" s="615"/>
      <c r="V18" s="615"/>
      <c r="W18" s="615"/>
      <c r="X18" s="641"/>
      <c r="Y18" s="480">
        <f t="shared" si="4"/>
        <v>0</v>
      </c>
      <c r="Z18" s="7"/>
      <c r="AA18" s="7"/>
      <c r="AB18" s="240" t="str">
        <f t="shared" si="5"/>
        <v>** NOT USED **</v>
      </c>
      <c r="AC18" s="58">
        <v>3</v>
      </c>
      <c r="AD18" s="615"/>
      <c r="AE18" s="615"/>
      <c r="AF18" s="615"/>
      <c r="AG18" s="615"/>
      <c r="AH18" s="615"/>
      <c r="AI18" s="615"/>
      <c r="AJ18" s="615"/>
      <c r="AK18" s="615"/>
      <c r="AL18" s="615"/>
      <c r="AM18" s="615"/>
      <c r="AN18" s="615"/>
      <c r="AO18" s="615"/>
      <c r="AP18" s="615"/>
      <c r="AQ18" s="615"/>
    </row>
    <row r="19" spans="1:43" x14ac:dyDescent="0.2">
      <c r="A19" s="125"/>
      <c r="B19" s="242">
        <f t="shared" si="0"/>
        <v>0</v>
      </c>
      <c r="C19" s="58">
        <v>4</v>
      </c>
      <c r="D19" s="453" t="str">
        <f t="shared" si="1"/>
        <v>** NOT USED **</v>
      </c>
      <c r="E19" s="440">
        <f t="shared" si="2"/>
        <v>0</v>
      </c>
      <c r="F19" s="440">
        <f t="shared" si="2"/>
        <v>0</v>
      </c>
      <c r="G19" s="440">
        <f t="shared" si="2"/>
        <v>0</v>
      </c>
      <c r="H19" s="440">
        <f t="shared" si="2"/>
        <v>0</v>
      </c>
      <c r="I19" s="440">
        <f t="shared" si="2"/>
        <v>0</v>
      </c>
      <c r="J19" s="440">
        <f t="shared" si="2"/>
        <v>0</v>
      </c>
      <c r="K19" s="125"/>
      <c r="L19" s="440">
        <f t="shared" si="3"/>
        <v>0</v>
      </c>
      <c r="M19" s="440">
        <f t="shared" si="3"/>
        <v>0</v>
      </c>
      <c r="N19" s="440">
        <f t="shared" si="3"/>
        <v>0</v>
      </c>
      <c r="O19" s="440">
        <f t="shared" si="3"/>
        <v>0</v>
      </c>
      <c r="P19" s="440">
        <f t="shared" si="3"/>
        <v>0</v>
      </c>
      <c r="Q19" s="440">
        <f t="shared" si="3"/>
        <v>0</v>
      </c>
      <c r="R19" s="125"/>
      <c r="S19" s="615"/>
      <c r="T19" s="615"/>
      <c r="U19" s="615"/>
      <c r="V19" s="615"/>
      <c r="W19" s="615"/>
      <c r="X19" s="641"/>
      <c r="Y19" s="480">
        <f t="shared" si="4"/>
        <v>0</v>
      </c>
      <c r="Z19" s="7"/>
      <c r="AA19" s="7"/>
      <c r="AB19" s="240" t="str">
        <f t="shared" si="5"/>
        <v>** NOT USED **</v>
      </c>
      <c r="AC19" s="58">
        <v>4</v>
      </c>
      <c r="AD19" s="615"/>
      <c r="AE19" s="615"/>
      <c r="AF19" s="615"/>
      <c r="AG19" s="615"/>
      <c r="AH19" s="615"/>
      <c r="AI19" s="615"/>
      <c r="AJ19" s="615"/>
      <c r="AK19" s="615"/>
      <c r="AL19" s="615"/>
      <c r="AM19" s="615"/>
      <c r="AN19" s="615"/>
      <c r="AO19" s="615"/>
      <c r="AP19" s="615"/>
      <c r="AQ19" s="615"/>
    </row>
    <row r="20" spans="1:43" x14ac:dyDescent="0.2">
      <c r="A20" s="125"/>
      <c r="B20" s="242">
        <f t="shared" si="0"/>
        <v>0</v>
      </c>
      <c r="C20" s="58">
        <v>5</v>
      </c>
      <c r="D20" s="453" t="str">
        <f t="shared" si="1"/>
        <v>** NOT USED **</v>
      </c>
      <c r="E20" s="440">
        <f t="shared" si="2"/>
        <v>0</v>
      </c>
      <c r="F20" s="440">
        <f t="shared" si="2"/>
        <v>0</v>
      </c>
      <c r="G20" s="440">
        <f t="shared" si="2"/>
        <v>0</v>
      </c>
      <c r="H20" s="440">
        <f t="shared" si="2"/>
        <v>0</v>
      </c>
      <c r="I20" s="440">
        <f t="shared" si="2"/>
        <v>0</v>
      </c>
      <c r="J20" s="440">
        <f t="shared" si="2"/>
        <v>0</v>
      </c>
      <c r="K20" s="125"/>
      <c r="L20" s="440">
        <f t="shared" si="3"/>
        <v>0</v>
      </c>
      <c r="M20" s="440">
        <f t="shared" si="3"/>
        <v>0</v>
      </c>
      <c r="N20" s="440">
        <f t="shared" si="3"/>
        <v>0</v>
      </c>
      <c r="O20" s="440">
        <f t="shared" si="3"/>
        <v>0</v>
      </c>
      <c r="P20" s="440">
        <f t="shared" si="3"/>
        <v>0</v>
      </c>
      <c r="Q20" s="440">
        <f t="shared" si="3"/>
        <v>0</v>
      </c>
      <c r="R20" s="125"/>
      <c r="S20" s="615"/>
      <c r="T20" s="615"/>
      <c r="U20" s="615"/>
      <c r="V20" s="615"/>
      <c r="W20" s="615"/>
      <c r="X20" s="641"/>
      <c r="Y20" s="480">
        <f t="shared" si="4"/>
        <v>0</v>
      </c>
      <c r="Z20" s="7"/>
      <c r="AA20" s="7"/>
      <c r="AB20" s="240" t="str">
        <f t="shared" si="5"/>
        <v>** NOT USED **</v>
      </c>
      <c r="AC20" s="58">
        <v>5</v>
      </c>
      <c r="AD20" s="615"/>
      <c r="AE20" s="615"/>
      <c r="AF20" s="615"/>
      <c r="AG20" s="615"/>
      <c r="AH20" s="615"/>
      <c r="AI20" s="615"/>
      <c r="AJ20" s="615"/>
      <c r="AK20" s="615"/>
      <c r="AL20" s="615"/>
      <c r="AM20" s="615"/>
      <c r="AN20" s="615"/>
      <c r="AO20" s="615"/>
      <c r="AP20" s="615"/>
      <c r="AQ20" s="615"/>
    </row>
    <row r="21" spans="1:43" x14ac:dyDescent="0.2">
      <c r="A21" s="125"/>
      <c r="B21" s="242">
        <f t="shared" si="0"/>
        <v>0</v>
      </c>
      <c r="C21" s="58">
        <v>6</v>
      </c>
      <c r="D21" s="453" t="str">
        <f t="shared" si="1"/>
        <v>** NOT USED **</v>
      </c>
      <c r="E21" s="440">
        <f t="shared" si="2"/>
        <v>0</v>
      </c>
      <c r="F21" s="440">
        <f t="shared" si="2"/>
        <v>0</v>
      </c>
      <c r="G21" s="440">
        <f t="shared" si="2"/>
        <v>0</v>
      </c>
      <c r="H21" s="440">
        <f t="shared" si="2"/>
        <v>0</v>
      </c>
      <c r="I21" s="440">
        <f t="shared" si="2"/>
        <v>0</v>
      </c>
      <c r="J21" s="440">
        <f t="shared" si="2"/>
        <v>0</v>
      </c>
      <c r="K21" s="125"/>
      <c r="L21" s="440">
        <f t="shared" si="3"/>
        <v>0</v>
      </c>
      <c r="M21" s="440">
        <f t="shared" si="3"/>
        <v>0</v>
      </c>
      <c r="N21" s="440">
        <f t="shared" si="3"/>
        <v>0</v>
      </c>
      <c r="O21" s="440">
        <f t="shared" si="3"/>
        <v>0</v>
      </c>
      <c r="P21" s="440">
        <f t="shared" si="3"/>
        <v>0</v>
      </c>
      <c r="Q21" s="440">
        <f t="shared" si="3"/>
        <v>0</v>
      </c>
      <c r="R21" s="125"/>
      <c r="S21" s="615"/>
      <c r="T21" s="615"/>
      <c r="U21" s="615"/>
      <c r="V21" s="615"/>
      <c r="W21" s="615"/>
      <c r="X21" s="641"/>
      <c r="Y21" s="480">
        <f t="shared" si="4"/>
        <v>0</v>
      </c>
      <c r="Z21" s="7"/>
      <c r="AA21" s="7"/>
      <c r="AB21" s="240" t="str">
        <f t="shared" si="5"/>
        <v>** NOT USED **</v>
      </c>
      <c r="AC21" s="58">
        <v>6</v>
      </c>
      <c r="AD21" s="615"/>
      <c r="AE21" s="615"/>
      <c r="AF21" s="615"/>
      <c r="AG21" s="615"/>
      <c r="AH21" s="615"/>
      <c r="AI21" s="615"/>
      <c r="AJ21" s="615"/>
      <c r="AK21" s="615"/>
      <c r="AL21" s="615"/>
      <c r="AM21" s="615"/>
      <c r="AN21" s="615"/>
      <c r="AO21" s="615"/>
      <c r="AP21" s="615"/>
      <c r="AQ21" s="615"/>
    </row>
    <row r="22" spans="1:43" x14ac:dyDescent="0.2">
      <c r="A22" s="125"/>
      <c r="B22" s="242">
        <f t="shared" si="0"/>
        <v>0</v>
      </c>
      <c r="C22" s="58">
        <v>7</v>
      </c>
      <c r="D22" s="453" t="str">
        <f t="shared" si="1"/>
        <v>** NOT USED **</v>
      </c>
      <c r="E22" s="440">
        <f t="shared" si="2"/>
        <v>0</v>
      </c>
      <c r="F22" s="440">
        <f t="shared" si="2"/>
        <v>0</v>
      </c>
      <c r="G22" s="440">
        <f t="shared" si="2"/>
        <v>0</v>
      </c>
      <c r="H22" s="440">
        <f t="shared" si="2"/>
        <v>0</v>
      </c>
      <c r="I22" s="440">
        <f t="shared" si="2"/>
        <v>0</v>
      </c>
      <c r="J22" s="440">
        <f t="shared" si="2"/>
        <v>0</v>
      </c>
      <c r="K22" s="125"/>
      <c r="L22" s="440">
        <f t="shared" si="3"/>
        <v>0</v>
      </c>
      <c r="M22" s="440">
        <f t="shared" si="3"/>
        <v>0</v>
      </c>
      <c r="N22" s="440">
        <f t="shared" si="3"/>
        <v>0</v>
      </c>
      <c r="O22" s="440">
        <f t="shared" si="3"/>
        <v>0</v>
      </c>
      <c r="P22" s="440">
        <f t="shared" si="3"/>
        <v>0</v>
      </c>
      <c r="Q22" s="440">
        <f t="shared" si="3"/>
        <v>0</v>
      </c>
      <c r="R22" s="125"/>
      <c r="S22" s="615"/>
      <c r="T22" s="615"/>
      <c r="U22" s="615"/>
      <c r="V22" s="615"/>
      <c r="W22" s="615"/>
      <c r="X22" s="641"/>
      <c r="Y22" s="480">
        <f t="shared" si="4"/>
        <v>0</v>
      </c>
      <c r="Z22" s="7"/>
      <c r="AA22" s="7"/>
      <c r="AB22" s="240" t="str">
        <f t="shared" si="5"/>
        <v>** NOT USED **</v>
      </c>
      <c r="AC22" s="58">
        <v>7</v>
      </c>
      <c r="AD22" s="615"/>
      <c r="AE22" s="615"/>
      <c r="AF22" s="615"/>
      <c r="AG22" s="615"/>
      <c r="AH22" s="615"/>
      <c r="AI22" s="615"/>
      <c r="AJ22" s="615"/>
      <c r="AK22" s="615"/>
      <c r="AL22" s="615"/>
      <c r="AM22" s="615"/>
      <c r="AN22" s="615"/>
      <c r="AO22" s="615"/>
      <c r="AP22" s="615"/>
      <c r="AQ22" s="615"/>
    </row>
    <row r="23" spans="1:43" x14ac:dyDescent="0.2">
      <c r="A23" s="125"/>
      <c r="B23" s="242">
        <f t="shared" si="0"/>
        <v>0</v>
      </c>
      <c r="C23" s="58">
        <v>8</v>
      </c>
      <c r="D23" s="453" t="str">
        <f t="shared" si="1"/>
        <v>** NOT USED **</v>
      </c>
      <c r="E23" s="440">
        <f t="shared" si="2"/>
        <v>0</v>
      </c>
      <c r="F23" s="440">
        <f t="shared" si="2"/>
        <v>0</v>
      </c>
      <c r="G23" s="440">
        <f t="shared" si="2"/>
        <v>0</v>
      </c>
      <c r="H23" s="440">
        <f t="shared" si="2"/>
        <v>0</v>
      </c>
      <c r="I23" s="440">
        <f t="shared" si="2"/>
        <v>0</v>
      </c>
      <c r="J23" s="440">
        <f t="shared" si="2"/>
        <v>0</v>
      </c>
      <c r="K23" s="125"/>
      <c r="L23" s="440">
        <f t="shared" si="3"/>
        <v>0</v>
      </c>
      <c r="M23" s="440">
        <f t="shared" si="3"/>
        <v>0</v>
      </c>
      <c r="N23" s="440">
        <f t="shared" si="3"/>
        <v>0</v>
      </c>
      <c r="O23" s="440">
        <f t="shared" si="3"/>
        <v>0</v>
      </c>
      <c r="P23" s="440">
        <f t="shared" si="3"/>
        <v>0</v>
      </c>
      <c r="Q23" s="440">
        <f t="shared" si="3"/>
        <v>0</v>
      </c>
      <c r="R23" s="125"/>
      <c r="S23" s="615"/>
      <c r="T23" s="615"/>
      <c r="U23" s="615"/>
      <c r="V23" s="615"/>
      <c r="W23" s="615"/>
      <c r="X23" s="641"/>
      <c r="Y23" s="480">
        <f t="shared" si="4"/>
        <v>0</v>
      </c>
      <c r="Z23" s="7"/>
      <c r="AA23" s="7"/>
      <c r="AB23" s="240" t="str">
        <f t="shared" si="5"/>
        <v>** NOT USED **</v>
      </c>
      <c r="AC23" s="58">
        <v>8</v>
      </c>
      <c r="AD23" s="615"/>
      <c r="AE23" s="615"/>
      <c r="AF23" s="615"/>
      <c r="AG23" s="615"/>
      <c r="AH23" s="615"/>
      <c r="AI23" s="615"/>
      <c r="AJ23" s="615"/>
      <c r="AK23" s="615"/>
      <c r="AL23" s="615"/>
      <c r="AM23" s="615"/>
      <c r="AN23" s="615"/>
      <c r="AO23" s="615"/>
      <c r="AP23" s="615"/>
      <c r="AQ23" s="615"/>
    </row>
    <row r="24" spans="1:43" x14ac:dyDescent="0.2">
      <c r="A24" s="125"/>
      <c r="B24" s="242">
        <f t="shared" si="0"/>
        <v>0</v>
      </c>
      <c r="C24" s="58">
        <v>9</v>
      </c>
      <c r="D24" s="453" t="str">
        <f t="shared" si="1"/>
        <v>** NOT USED **</v>
      </c>
      <c r="E24" s="440">
        <f t="shared" si="2"/>
        <v>0</v>
      </c>
      <c r="F24" s="440">
        <f t="shared" si="2"/>
        <v>0</v>
      </c>
      <c r="G24" s="440">
        <f t="shared" si="2"/>
        <v>0</v>
      </c>
      <c r="H24" s="440">
        <f t="shared" si="2"/>
        <v>0</v>
      </c>
      <c r="I24" s="440">
        <f t="shared" si="2"/>
        <v>0</v>
      </c>
      <c r="J24" s="440">
        <f t="shared" si="2"/>
        <v>0</v>
      </c>
      <c r="K24" s="125"/>
      <c r="L24" s="440">
        <f t="shared" si="3"/>
        <v>0</v>
      </c>
      <c r="M24" s="440">
        <f t="shared" si="3"/>
        <v>0</v>
      </c>
      <c r="N24" s="440">
        <f t="shared" si="3"/>
        <v>0</v>
      </c>
      <c r="O24" s="440">
        <f t="shared" si="3"/>
        <v>0</v>
      </c>
      <c r="P24" s="440">
        <f t="shared" si="3"/>
        <v>0</v>
      </c>
      <c r="Q24" s="440">
        <f t="shared" si="3"/>
        <v>0</v>
      </c>
      <c r="R24" s="125"/>
      <c r="S24" s="615"/>
      <c r="T24" s="615"/>
      <c r="U24" s="615"/>
      <c r="V24" s="615"/>
      <c r="W24" s="615"/>
      <c r="X24" s="641"/>
      <c r="Y24" s="480">
        <f t="shared" si="4"/>
        <v>0</v>
      </c>
      <c r="Z24" s="7"/>
      <c r="AA24" s="7"/>
      <c r="AB24" s="240" t="str">
        <f t="shared" si="5"/>
        <v>** NOT USED **</v>
      </c>
      <c r="AC24" s="58">
        <v>9</v>
      </c>
      <c r="AD24" s="615"/>
      <c r="AE24" s="615"/>
      <c r="AF24" s="615"/>
      <c r="AG24" s="615"/>
      <c r="AH24" s="615"/>
      <c r="AI24" s="615"/>
      <c r="AJ24" s="615"/>
      <c r="AK24" s="615"/>
      <c r="AL24" s="615"/>
      <c r="AM24" s="615"/>
      <c r="AN24" s="615"/>
      <c r="AO24" s="615"/>
      <c r="AP24" s="615"/>
      <c r="AQ24" s="615"/>
    </row>
    <row r="25" spans="1:43" x14ac:dyDescent="0.2">
      <c r="A25" s="125"/>
      <c r="B25" s="242">
        <f t="shared" si="0"/>
        <v>0</v>
      </c>
      <c r="C25" s="58">
        <v>10</v>
      </c>
      <c r="D25" s="453" t="str">
        <f t="shared" si="1"/>
        <v>** NOT USED **</v>
      </c>
      <c r="E25" s="440">
        <f t="shared" si="2"/>
        <v>0</v>
      </c>
      <c r="F25" s="440">
        <f t="shared" si="2"/>
        <v>0</v>
      </c>
      <c r="G25" s="440">
        <f t="shared" si="2"/>
        <v>0</v>
      </c>
      <c r="H25" s="440">
        <f t="shared" si="2"/>
        <v>0</v>
      </c>
      <c r="I25" s="440">
        <f t="shared" si="2"/>
        <v>0</v>
      </c>
      <c r="J25" s="440">
        <f t="shared" si="2"/>
        <v>0</v>
      </c>
      <c r="K25" s="125"/>
      <c r="L25" s="440">
        <f t="shared" si="3"/>
        <v>0</v>
      </c>
      <c r="M25" s="440">
        <f t="shared" si="3"/>
        <v>0</v>
      </c>
      <c r="N25" s="440">
        <f t="shared" si="3"/>
        <v>0</v>
      </c>
      <c r="O25" s="440">
        <f t="shared" si="3"/>
        <v>0</v>
      </c>
      <c r="P25" s="440">
        <f t="shared" si="3"/>
        <v>0</v>
      </c>
      <c r="Q25" s="440">
        <f t="shared" si="3"/>
        <v>0</v>
      </c>
      <c r="R25" s="125"/>
      <c r="S25" s="615"/>
      <c r="T25" s="615"/>
      <c r="U25" s="615"/>
      <c r="V25" s="615"/>
      <c r="W25" s="615"/>
      <c r="X25" s="641"/>
      <c r="Y25" s="480">
        <f t="shared" si="4"/>
        <v>0</v>
      </c>
      <c r="Z25" s="7"/>
      <c r="AA25" s="7"/>
      <c r="AB25" s="240" t="str">
        <f t="shared" si="5"/>
        <v>** NOT USED **</v>
      </c>
      <c r="AC25" s="58">
        <v>10</v>
      </c>
      <c r="AD25" s="615"/>
      <c r="AE25" s="615"/>
      <c r="AF25" s="615"/>
      <c r="AG25" s="615"/>
      <c r="AH25" s="615"/>
      <c r="AI25" s="615"/>
      <c r="AJ25" s="615"/>
      <c r="AK25" s="615"/>
      <c r="AL25" s="615"/>
      <c r="AM25" s="615"/>
      <c r="AN25" s="615"/>
      <c r="AO25" s="615"/>
      <c r="AP25" s="615"/>
      <c r="AQ25" s="615"/>
    </row>
    <row r="26" spans="1:43" x14ac:dyDescent="0.2">
      <c r="A26" s="125"/>
      <c r="B26" s="242">
        <f t="shared" si="0"/>
        <v>0</v>
      </c>
      <c r="C26" s="58">
        <v>11</v>
      </c>
      <c r="D26" s="453" t="str">
        <f t="shared" si="1"/>
        <v>** NOT USED **</v>
      </c>
      <c r="E26" s="440">
        <f t="shared" ref="E26:J35" si="6">IF($D58&lt;&gt;MsgNotUsed,E58,IF($D87&lt;&gt;MsgNotUsed,E87,0))</f>
        <v>0</v>
      </c>
      <c r="F26" s="440">
        <f t="shared" si="6"/>
        <v>0</v>
      </c>
      <c r="G26" s="440">
        <f t="shared" si="6"/>
        <v>0</v>
      </c>
      <c r="H26" s="440">
        <f t="shared" si="6"/>
        <v>0</v>
      </c>
      <c r="I26" s="440">
        <f t="shared" si="6"/>
        <v>0</v>
      </c>
      <c r="J26" s="440">
        <f t="shared" si="6"/>
        <v>0</v>
      </c>
      <c r="K26" s="125"/>
      <c r="L26" s="440">
        <f t="shared" ref="L26:Q35" si="7">IF($D58&lt;&gt;MsgNotUsed,L58,IF($D87&lt;&gt;MsgNotUsed,L87,0))</f>
        <v>0</v>
      </c>
      <c r="M26" s="440">
        <f t="shared" si="7"/>
        <v>0</v>
      </c>
      <c r="N26" s="440">
        <f t="shared" si="7"/>
        <v>0</v>
      </c>
      <c r="O26" s="440">
        <f t="shared" si="7"/>
        <v>0</v>
      </c>
      <c r="P26" s="440">
        <f t="shared" si="7"/>
        <v>0</v>
      </c>
      <c r="Q26" s="440">
        <f t="shared" si="7"/>
        <v>0</v>
      </c>
      <c r="R26" s="125"/>
      <c r="S26" s="615"/>
      <c r="T26" s="615"/>
      <c r="U26" s="615"/>
      <c r="V26" s="615"/>
      <c r="W26" s="615"/>
      <c r="X26" s="641"/>
      <c r="Y26" s="480">
        <f t="shared" si="4"/>
        <v>0</v>
      </c>
      <c r="Z26" s="7"/>
      <c r="AA26" s="7"/>
      <c r="AB26" s="240" t="str">
        <f t="shared" si="5"/>
        <v>** NOT USED **</v>
      </c>
      <c r="AC26" s="58">
        <v>11</v>
      </c>
      <c r="AD26" s="615"/>
      <c r="AE26" s="615"/>
      <c r="AF26" s="615"/>
      <c r="AG26" s="615"/>
      <c r="AH26" s="615"/>
      <c r="AI26" s="615"/>
      <c r="AJ26" s="615"/>
      <c r="AK26" s="615"/>
      <c r="AL26" s="615"/>
      <c r="AM26" s="615"/>
      <c r="AN26" s="615"/>
      <c r="AO26" s="615"/>
      <c r="AP26" s="615"/>
      <c r="AQ26" s="615"/>
    </row>
    <row r="27" spans="1:43" x14ac:dyDescent="0.2">
      <c r="A27" s="125"/>
      <c r="B27" s="242">
        <f t="shared" si="0"/>
        <v>0</v>
      </c>
      <c r="C27" s="58">
        <v>12</v>
      </c>
      <c r="D27" s="453" t="str">
        <f t="shared" si="1"/>
        <v>** NOT USED **</v>
      </c>
      <c r="E27" s="440">
        <f t="shared" si="6"/>
        <v>0</v>
      </c>
      <c r="F27" s="440">
        <f t="shared" si="6"/>
        <v>0</v>
      </c>
      <c r="G27" s="440">
        <f t="shared" si="6"/>
        <v>0</v>
      </c>
      <c r="H27" s="440">
        <f t="shared" si="6"/>
        <v>0</v>
      </c>
      <c r="I27" s="440">
        <f t="shared" si="6"/>
        <v>0</v>
      </c>
      <c r="J27" s="440">
        <f t="shared" si="6"/>
        <v>0</v>
      </c>
      <c r="K27" s="125"/>
      <c r="L27" s="440">
        <f t="shared" si="7"/>
        <v>0</v>
      </c>
      <c r="M27" s="440">
        <f t="shared" si="7"/>
        <v>0</v>
      </c>
      <c r="N27" s="440">
        <f t="shared" si="7"/>
        <v>0</v>
      </c>
      <c r="O27" s="440">
        <f t="shared" si="7"/>
        <v>0</v>
      </c>
      <c r="P27" s="440">
        <f t="shared" si="7"/>
        <v>0</v>
      </c>
      <c r="Q27" s="440">
        <f t="shared" si="7"/>
        <v>0</v>
      </c>
      <c r="R27" s="125"/>
      <c r="S27" s="615"/>
      <c r="T27" s="615"/>
      <c r="U27" s="615"/>
      <c r="V27" s="615"/>
      <c r="W27" s="615"/>
      <c r="X27" s="641"/>
      <c r="Y27" s="480">
        <f t="shared" si="4"/>
        <v>0</v>
      </c>
      <c r="Z27" s="7"/>
      <c r="AA27" s="7"/>
      <c r="AB27" s="240" t="str">
        <f t="shared" si="5"/>
        <v>** NOT USED **</v>
      </c>
      <c r="AC27" s="58">
        <v>12</v>
      </c>
      <c r="AD27" s="615"/>
      <c r="AE27" s="615"/>
      <c r="AF27" s="615"/>
      <c r="AG27" s="615"/>
      <c r="AH27" s="615"/>
      <c r="AI27" s="615"/>
      <c r="AJ27" s="615"/>
      <c r="AK27" s="615"/>
      <c r="AL27" s="615"/>
      <c r="AM27" s="615"/>
      <c r="AN27" s="615"/>
      <c r="AO27" s="615"/>
      <c r="AP27" s="615"/>
      <c r="AQ27" s="615"/>
    </row>
    <row r="28" spans="1:43" x14ac:dyDescent="0.2">
      <c r="A28" s="125"/>
      <c r="B28" s="242">
        <f t="shared" si="0"/>
        <v>0</v>
      </c>
      <c r="C28" s="58">
        <v>13</v>
      </c>
      <c r="D28" s="453" t="str">
        <f t="shared" si="1"/>
        <v>** NOT USED **</v>
      </c>
      <c r="E28" s="440">
        <f t="shared" si="6"/>
        <v>0</v>
      </c>
      <c r="F28" s="440">
        <f t="shared" si="6"/>
        <v>0</v>
      </c>
      <c r="G28" s="440">
        <f t="shared" si="6"/>
        <v>0</v>
      </c>
      <c r="H28" s="440">
        <f t="shared" si="6"/>
        <v>0</v>
      </c>
      <c r="I28" s="440">
        <f t="shared" si="6"/>
        <v>0</v>
      </c>
      <c r="J28" s="440">
        <f t="shared" si="6"/>
        <v>0</v>
      </c>
      <c r="K28" s="125"/>
      <c r="L28" s="440">
        <f t="shared" si="7"/>
        <v>0</v>
      </c>
      <c r="M28" s="440">
        <f t="shared" si="7"/>
        <v>0</v>
      </c>
      <c r="N28" s="440">
        <f t="shared" si="7"/>
        <v>0</v>
      </c>
      <c r="O28" s="440">
        <f t="shared" si="7"/>
        <v>0</v>
      </c>
      <c r="P28" s="440">
        <f t="shared" si="7"/>
        <v>0</v>
      </c>
      <c r="Q28" s="440">
        <f t="shared" si="7"/>
        <v>0</v>
      </c>
      <c r="R28" s="125"/>
      <c r="S28" s="615"/>
      <c r="T28" s="615"/>
      <c r="U28" s="615"/>
      <c r="V28" s="615"/>
      <c r="W28" s="615"/>
      <c r="X28" s="641"/>
      <c r="Y28" s="480">
        <f t="shared" si="4"/>
        <v>0</v>
      </c>
      <c r="Z28" s="7"/>
      <c r="AA28" s="7"/>
      <c r="AB28" s="240" t="str">
        <f t="shared" si="5"/>
        <v>** NOT USED **</v>
      </c>
      <c r="AC28" s="58">
        <v>13</v>
      </c>
      <c r="AD28" s="615"/>
      <c r="AE28" s="615"/>
      <c r="AF28" s="615"/>
      <c r="AG28" s="615"/>
      <c r="AH28" s="615"/>
      <c r="AI28" s="615"/>
      <c r="AJ28" s="615"/>
      <c r="AK28" s="615"/>
      <c r="AL28" s="615"/>
      <c r="AM28" s="615"/>
      <c r="AN28" s="615"/>
      <c r="AO28" s="615"/>
      <c r="AP28" s="615"/>
      <c r="AQ28" s="615"/>
    </row>
    <row r="29" spans="1:43" x14ac:dyDescent="0.2">
      <c r="A29" s="125"/>
      <c r="B29" s="242">
        <f t="shared" si="0"/>
        <v>0</v>
      </c>
      <c r="C29" s="58">
        <v>14</v>
      </c>
      <c r="D29" s="453" t="str">
        <f t="shared" si="1"/>
        <v>** NOT USED **</v>
      </c>
      <c r="E29" s="440">
        <f t="shared" si="6"/>
        <v>0</v>
      </c>
      <c r="F29" s="440">
        <f t="shared" si="6"/>
        <v>0</v>
      </c>
      <c r="G29" s="440">
        <f t="shared" si="6"/>
        <v>0</v>
      </c>
      <c r="H29" s="440">
        <f t="shared" si="6"/>
        <v>0</v>
      </c>
      <c r="I29" s="440">
        <f t="shared" si="6"/>
        <v>0</v>
      </c>
      <c r="J29" s="440">
        <f t="shared" si="6"/>
        <v>0</v>
      </c>
      <c r="K29" s="125"/>
      <c r="L29" s="440">
        <f t="shared" si="7"/>
        <v>0</v>
      </c>
      <c r="M29" s="440">
        <f t="shared" si="7"/>
        <v>0</v>
      </c>
      <c r="N29" s="440">
        <f t="shared" si="7"/>
        <v>0</v>
      </c>
      <c r="O29" s="440">
        <f t="shared" si="7"/>
        <v>0</v>
      </c>
      <c r="P29" s="440">
        <f t="shared" si="7"/>
        <v>0</v>
      </c>
      <c r="Q29" s="440">
        <f t="shared" si="7"/>
        <v>0</v>
      </c>
      <c r="R29" s="125"/>
      <c r="S29" s="615"/>
      <c r="T29" s="615"/>
      <c r="U29" s="615"/>
      <c r="V29" s="615"/>
      <c r="W29" s="615"/>
      <c r="X29" s="641"/>
      <c r="Y29" s="480">
        <f t="shared" si="4"/>
        <v>0</v>
      </c>
      <c r="Z29" s="7"/>
      <c r="AA29" s="7"/>
      <c r="AB29" s="240" t="str">
        <f t="shared" si="5"/>
        <v>** NOT USED **</v>
      </c>
      <c r="AC29" s="58">
        <v>14</v>
      </c>
      <c r="AD29" s="615"/>
      <c r="AE29" s="615"/>
      <c r="AF29" s="615"/>
      <c r="AG29" s="615"/>
      <c r="AH29" s="615"/>
      <c r="AI29" s="615"/>
      <c r="AJ29" s="615"/>
      <c r="AK29" s="615"/>
      <c r="AL29" s="615"/>
      <c r="AM29" s="615"/>
      <c r="AN29" s="615"/>
      <c r="AO29" s="615"/>
      <c r="AP29" s="615"/>
      <c r="AQ29" s="615"/>
    </row>
    <row r="30" spans="1:43" x14ac:dyDescent="0.2">
      <c r="A30" s="125"/>
      <c r="B30" s="242">
        <f t="shared" si="0"/>
        <v>0</v>
      </c>
      <c r="C30" s="58">
        <v>15</v>
      </c>
      <c r="D30" s="453" t="str">
        <f t="shared" si="1"/>
        <v>** NOT USED **</v>
      </c>
      <c r="E30" s="440">
        <f t="shared" si="6"/>
        <v>0</v>
      </c>
      <c r="F30" s="440">
        <f t="shared" si="6"/>
        <v>0</v>
      </c>
      <c r="G30" s="440">
        <f t="shared" si="6"/>
        <v>0</v>
      </c>
      <c r="H30" s="440">
        <f t="shared" si="6"/>
        <v>0</v>
      </c>
      <c r="I30" s="440">
        <f t="shared" si="6"/>
        <v>0</v>
      </c>
      <c r="J30" s="440">
        <f t="shared" si="6"/>
        <v>0</v>
      </c>
      <c r="K30" s="125"/>
      <c r="L30" s="440">
        <f t="shared" si="7"/>
        <v>0</v>
      </c>
      <c r="M30" s="440">
        <f t="shared" si="7"/>
        <v>0</v>
      </c>
      <c r="N30" s="440">
        <f t="shared" si="7"/>
        <v>0</v>
      </c>
      <c r="O30" s="440">
        <f t="shared" si="7"/>
        <v>0</v>
      </c>
      <c r="P30" s="440">
        <f t="shared" si="7"/>
        <v>0</v>
      </c>
      <c r="Q30" s="440">
        <f t="shared" si="7"/>
        <v>0</v>
      </c>
      <c r="R30" s="125"/>
      <c r="S30" s="615"/>
      <c r="T30" s="615"/>
      <c r="U30" s="615"/>
      <c r="V30" s="615"/>
      <c r="W30" s="615"/>
      <c r="X30" s="641"/>
      <c r="Y30" s="480">
        <f t="shared" si="4"/>
        <v>0</v>
      </c>
      <c r="Z30" s="7"/>
      <c r="AA30" s="7"/>
      <c r="AB30" s="240" t="str">
        <f t="shared" si="5"/>
        <v>** NOT USED **</v>
      </c>
      <c r="AC30" s="58">
        <v>15</v>
      </c>
      <c r="AD30" s="615"/>
      <c r="AE30" s="615"/>
      <c r="AF30" s="615"/>
      <c r="AG30" s="615"/>
      <c r="AH30" s="615"/>
      <c r="AI30" s="615"/>
      <c r="AJ30" s="615"/>
      <c r="AK30" s="615"/>
      <c r="AL30" s="615"/>
      <c r="AM30" s="615"/>
      <c r="AN30" s="615"/>
      <c r="AO30" s="615"/>
      <c r="AP30" s="615"/>
      <c r="AQ30" s="615"/>
    </row>
    <row r="31" spans="1:43" x14ac:dyDescent="0.2">
      <c r="A31" s="125"/>
      <c r="B31" s="242">
        <f t="shared" si="0"/>
        <v>0</v>
      </c>
      <c r="C31" s="58">
        <v>16</v>
      </c>
      <c r="D31" s="453" t="str">
        <f t="shared" si="1"/>
        <v>** NOT USED **</v>
      </c>
      <c r="E31" s="440">
        <f t="shared" si="6"/>
        <v>0</v>
      </c>
      <c r="F31" s="440">
        <f t="shared" si="6"/>
        <v>0</v>
      </c>
      <c r="G31" s="440">
        <f t="shared" si="6"/>
        <v>0</v>
      </c>
      <c r="H31" s="440">
        <f t="shared" si="6"/>
        <v>0</v>
      </c>
      <c r="I31" s="440">
        <f t="shared" si="6"/>
        <v>0</v>
      </c>
      <c r="J31" s="440">
        <f t="shared" si="6"/>
        <v>0</v>
      </c>
      <c r="K31" s="125"/>
      <c r="L31" s="440">
        <f t="shared" si="7"/>
        <v>0</v>
      </c>
      <c r="M31" s="440">
        <f t="shared" si="7"/>
        <v>0</v>
      </c>
      <c r="N31" s="440">
        <f t="shared" si="7"/>
        <v>0</v>
      </c>
      <c r="O31" s="440">
        <f t="shared" si="7"/>
        <v>0</v>
      </c>
      <c r="P31" s="440">
        <f t="shared" si="7"/>
        <v>0</v>
      </c>
      <c r="Q31" s="440">
        <f t="shared" si="7"/>
        <v>0</v>
      </c>
      <c r="R31" s="125"/>
      <c r="S31" s="615"/>
      <c r="T31" s="615"/>
      <c r="U31" s="615"/>
      <c r="V31" s="615"/>
      <c r="W31" s="615"/>
      <c r="X31" s="641"/>
      <c r="Y31" s="480">
        <f t="shared" si="4"/>
        <v>0</v>
      </c>
      <c r="Z31" s="7"/>
      <c r="AA31" s="7"/>
      <c r="AB31" s="240" t="str">
        <f t="shared" si="5"/>
        <v>** NOT USED **</v>
      </c>
      <c r="AC31" s="58">
        <v>16</v>
      </c>
      <c r="AD31" s="615"/>
      <c r="AE31" s="615"/>
      <c r="AF31" s="615"/>
      <c r="AG31" s="615"/>
      <c r="AH31" s="615"/>
      <c r="AI31" s="615"/>
      <c r="AJ31" s="615"/>
      <c r="AK31" s="615"/>
      <c r="AL31" s="615"/>
      <c r="AM31" s="615"/>
      <c r="AN31" s="615"/>
      <c r="AO31" s="615"/>
      <c r="AP31" s="615"/>
      <c r="AQ31" s="615"/>
    </row>
    <row r="32" spans="1:43" x14ac:dyDescent="0.2">
      <c r="A32" s="125"/>
      <c r="B32" s="242">
        <f t="shared" si="0"/>
        <v>0</v>
      </c>
      <c r="C32" s="58">
        <v>17</v>
      </c>
      <c r="D32" s="453" t="str">
        <f t="shared" si="1"/>
        <v>** NOT USED **</v>
      </c>
      <c r="E32" s="440">
        <f t="shared" si="6"/>
        <v>0</v>
      </c>
      <c r="F32" s="440">
        <f t="shared" si="6"/>
        <v>0</v>
      </c>
      <c r="G32" s="440">
        <f t="shared" si="6"/>
        <v>0</v>
      </c>
      <c r="H32" s="440">
        <f t="shared" si="6"/>
        <v>0</v>
      </c>
      <c r="I32" s="440">
        <f t="shared" si="6"/>
        <v>0</v>
      </c>
      <c r="J32" s="440">
        <f t="shared" si="6"/>
        <v>0</v>
      </c>
      <c r="K32" s="125"/>
      <c r="L32" s="440">
        <f t="shared" si="7"/>
        <v>0</v>
      </c>
      <c r="M32" s="440">
        <f t="shared" si="7"/>
        <v>0</v>
      </c>
      <c r="N32" s="440">
        <f t="shared" si="7"/>
        <v>0</v>
      </c>
      <c r="O32" s="440">
        <f t="shared" si="7"/>
        <v>0</v>
      </c>
      <c r="P32" s="440">
        <f t="shared" si="7"/>
        <v>0</v>
      </c>
      <c r="Q32" s="440">
        <f t="shared" si="7"/>
        <v>0</v>
      </c>
      <c r="R32" s="125"/>
      <c r="S32" s="615"/>
      <c r="T32" s="615"/>
      <c r="U32" s="615"/>
      <c r="V32" s="615"/>
      <c r="W32" s="615"/>
      <c r="X32" s="641"/>
      <c r="Y32" s="480">
        <f t="shared" si="4"/>
        <v>0</v>
      </c>
      <c r="Z32" s="7"/>
      <c r="AA32" s="7"/>
      <c r="AB32" s="240" t="str">
        <f t="shared" si="5"/>
        <v>** NOT USED **</v>
      </c>
      <c r="AC32" s="58">
        <v>17</v>
      </c>
      <c r="AD32" s="615"/>
      <c r="AE32" s="615"/>
      <c r="AF32" s="615"/>
      <c r="AG32" s="615"/>
      <c r="AH32" s="615"/>
      <c r="AI32" s="615"/>
      <c r="AJ32" s="615"/>
      <c r="AK32" s="615"/>
      <c r="AL32" s="615"/>
      <c r="AM32" s="615"/>
      <c r="AN32" s="615"/>
      <c r="AO32" s="615"/>
      <c r="AP32" s="615"/>
      <c r="AQ32" s="615"/>
    </row>
    <row r="33" spans="1:43" x14ac:dyDescent="0.2">
      <c r="A33" s="125"/>
      <c r="B33" s="242">
        <f t="shared" si="0"/>
        <v>0</v>
      </c>
      <c r="C33" s="58">
        <v>18</v>
      </c>
      <c r="D33" s="453" t="str">
        <f t="shared" si="1"/>
        <v>** NOT USED **</v>
      </c>
      <c r="E33" s="440">
        <f t="shared" si="6"/>
        <v>0</v>
      </c>
      <c r="F33" s="440">
        <f t="shared" si="6"/>
        <v>0</v>
      </c>
      <c r="G33" s="440">
        <f t="shared" si="6"/>
        <v>0</v>
      </c>
      <c r="H33" s="440">
        <f t="shared" si="6"/>
        <v>0</v>
      </c>
      <c r="I33" s="440">
        <f t="shared" si="6"/>
        <v>0</v>
      </c>
      <c r="J33" s="440">
        <f t="shared" si="6"/>
        <v>0</v>
      </c>
      <c r="K33" s="125"/>
      <c r="L33" s="440">
        <f t="shared" si="7"/>
        <v>0</v>
      </c>
      <c r="M33" s="440">
        <f t="shared" si="7"/>
        <v>0</v>
      </c>
      <c r="N33" s="440">
        <f t="shared" si="7"/>
        <v>0</v>
      </c>
      <c r="O33" s="440">
        <f t="shared" si="7"/>
        <v>0</v>
      </c>
      <c r="P33" s="440">
        <f t="shared" si="7"/>
        <v>0</v>
      </c>
      <c r="Q33" s="440">
        <f t="shared" si="7"/>
        <v>0</v>
      </c>
      <c r="R33" s="125"/>
      <c r="S33" s="615"/>
      <c r="T33" s="615"/>
      <c r="U33" s="615"/>
      <c r="V33" s="615"/>
      <c r="W33" s="615"/>
      <c r="X33" s="641"/>
      <c r="Y33" s="480">
        <f t="shared" si="4"/>
        <v>0</v>
      </c>
      <c r="Z33" s="7"/>
      <c r="AA33" s="7"/>
      <c r="AB33" s="240" t="str">
        <f t="shared" si="5"/>
        <v>** NOT USED **</v>
      </c>
      <c r="AC33" s="58">
        <v>18</v>
      </c>
      <c r="AD33" s="615"/>
      <c r="AE33" s="615"/>
      <c r="AF33" s="615"/>
      <c r="AG33" s="615"/>
      <c r="AH33" s="615"/>
      <c r="AI33" s="615"/>
      <c r="AJ33" s="615"/>
      <c r="AK33" s="615"/>
      <c r="AL33" s="615"/>
      <c r="AM33" s="615"/>
      <c r="AN33" s="615"/>
      <c r="AO33" s="615"/>
      <c r="AP33" s="615"/>
      <c r="AQ33" s="615"/>
    </row>
    <row r="34" spans="1:43" x14ac:dyDescent="0.2">
      <c r="A34" s="125"/>
      <c r="B34" s="242">
        <f t="shared" si="0"/>
        <v>0</v>
      </c>
      <c r="C34" s="58">
        <v>19</v>
      </c>
      <c r="D34" s="453" t="str">
        <f t="shared" si="1"/>
        <v>** NOT USED **</v>
      </c>
      <c r="E34" s="440">
        <f t="shared" si="6"/>
        <v>0</v>
      </c>
      <c r="F34" s="440">
        <f t="shared" si="6"/>
        <v>0</v>
      </c>
      <c r="G34" s="440">
        <f t="shared" si="6"/>
        <v>0</v>
      </c>
      <c r="H34" s="440">
        <f t="shared" si="6"/>
        <v>0</v>
      </c>
      <c r="I34" s="440">
        <f t="shared" si="6"/>
        <v>0</v>
      </c>
      <c r="J34" s="440">
        <f t="shared" si="6"/>
        <v>0</v>
      </c>
      <c r="K34" s="125"/>
      <c r="L34" s="440">
        <f t="shared" si="7"/>
        <v>0</v>
      </c>
      <c r="M34" s="440">
        <f t="shared" si="7"/>
        <v>0</v>
      </c>
      <c r="N34" s="440">
        <f t="shared" si="7"/>
        <v>0</v>
      </c>
      <c r="O34" s="440">
        <f t="shared" si="7"/>
        <v>0</v>
      </c>
      <c r="P34" s="440">
        <f t="shared" si="7"/>
        <v>0</v>
      </c>
      <c r="Q34" s="440">
        <f t="shared" si="7"/>
        <v>0</v>
      </c>
      <c r="R34" s="125"/>
      <c r="S34" s="615"/>
      <c r="T34" s="615"/>
      <c r="U34" s="615"/>
      <c r="V34" s="615"/>
      <c r="W34" s="615"/>
      <c r="X34" s="641"/>
      <c r="Y34" s="480">
        <f t="shared" si="4"/>
        <v>0</v>
      </c>
      <c r="Z34" s="7"/>
      <c r="AA34" s="7"/>
      <c r="AB34" s="240" t="str">
        <f t="shared" si="5"/>
        <v>** NOT USED **</v>
      </c>
      <c r="AC34" s="58">
        <v>19</v>
      </c>
      <c r="AD34" s="615"/>
      <c r="AE34" s="615"/>
      <c r="AF34" s="615"/>
      <c r="AG34" s="615"/>
      <c r="AH34" s="615"/>
      <c r="AI34" s="615"/>
      <c r="AJ34" s="615"/>
      <c r="AK34" s="615"/>
      <c r="AL34" s="615"/>
      <c r="AM34" s="615"/>
      <c r="AN34" s="615"/>
      <c r="AO34" s="615"/>
      <c r="AP34" s="615"/>
      <c r="AQ34" s="615"/>
    </row>
    <row r="35" spans="1:43" x14ac:dyDescent="0.2">
      <c r="A35" s="125"/>
      <c r="B35" s="242">
        <f t="shared" si="0"/>
        <v>0</v>
      </c>
      <c r="C35" s="58">
        <v>20</v>
      </c>
      <c r="D35" s="453" t="str">
        <f t="shared" si="1"/>
        <v>** NOT USED **</v>
      </c>
      <c r="E35" s="440">
        <f t="shared" si="6"/>
        <v>0</v>
      </c>
      <c r="F35" s="440">
        <f t="shared" si="6"/>
        <v>0</v>
      </c>
      <c r="G35" s="440">
        <f t="shared" si="6"/>
        <v>0</v>
      </c>
      <c r="H35" s="440">
        <f t="shared" si="6"/>
        <v>0</v>
      </c>
      <c r="I35" s="440">
        <f t="shared" si="6"/>
        <v>0</v>
      </c>
      <c r="J35" s="440">
        <f t="shared" si="6"/>
        <v>0</v>
      </c>
      <c r="K35" s="125"/>
      <c r="L35" s="440">
        <f t="shared" si="7"/>
        <v>0</v>
      </c>
      <c r="M35" s="440">
        <f t="shared" si="7"/>
        <v>0</v>
      </c>
      <c r="N35" s="440">
        <f t="shared" si="7"/>
        <v>0</v>
      </c>
      <c r="O35" s="440">
        <f t="shared" si="7"/>
        <v>0</v>
      </c>
      <c r="P35" s="440">
        <f t="shared" si="7"/>
        <v>0</v>
      </c>
      <c r="Q35" s="440">
        <f t="shared" si="7"/>
        <v>0</v>
      </c>
      <c r="R35" s="125"/>
      <c r="S35" s="615"/>
      <c r="T35" s="615"/>
      <c r="U35" s="615"/>
      <c r="V35" s="615"/>
      <c r="W35" s="615"/>
      <c r="X35" s="641"/>
      <c r="Y35" s="480">
        <f t="shared" si="4"/>
        <v>0</v>
      </c>
      <c r="Z35" s="7"/>
      <c r="AA35" s="7"/>
      <c r="AB35" s="240" t="str">
        <f t="shared" si="5"/>
        <v>** NOT USED **</v>
      </c>
      <c r="AC35" s="58">
        <v>20</v>
      </c>
      <c r="AD35" s="615"/>
      <c r="AE35" s="615"/>
      <c r="AF35" s="615"/>
      <c r="AG35" s="615"/>
      <c r="AH35" s="615"/>
      <c r="AI35" s="615"/>
      <c r="AJ35" s="615"/>
      <c r="AK35" s="615"/>
      <c r="AL35" s="615"/>
      <c r="AM35" s="615"/>
      <c r="AN35" s="615"/>
      <c r="AO35" s="615"/>
      <c r="AP35" s="615"/>
      <c r="AQ35" s="615"/>
    </row>
    <row r="36" spans="1:43" x14ac:dyDescent="0.2">
      <c r="A36" s="125"/>
      <c r="B36" s="125"/>
      <c r="C36" s="125"/>
      <c r="D36" s="62" t="s">
        <v>222</v>
      </c>
      <c r="E36" s="35">
        <f t="shared" ref="E36:J36" si="8">SUM(E16:E35)</f>
        <v>0</v>
      </c>
      <c r="F36" s="35">
        <f t="shared" si="8"/>
        <v>0</v>
      </c>
      <c r="G36" s="35">
        <f t="shared" si="8"/>
        <v>0</v>
      </c>
      <c r="H36" s="35">
        <f t="shared" si="8"/>
        <v>0</v>
      </c>
      <c r="I36" s="35">
        <f t="shared" si="8"/>
        <v>0</v>
      </c>
      <c r="J36" s="35">
        <f t="shared" si="8"/>
        <v>0</v>
      </c>
      <c r="K36" s="125"/>
      <c r="L36" s="35">
        <f t="shared" ref="L36:Q36" si="9">SUM(L16:L35)</f>
        <v>0</v>
      </c>
      <c r="M36" s="35">
        <f t="shared" si="9"/>
        <v>0</v>
      </c>
      <c r="N36" s="35">
        <f t="shared" si="9"/>
        <v>0</v>
      </c>
      <c r="O36" s="35">
        <f t="shared" si="9"/>
        <v>0</v>
      </c>
      <c r="P36" s="35">
        <f t="shared" si="9"/>
        <v>0</v>
      </c>
      <c r="Q36" s="35">
        <f t="shared" si="9"/>
        <v>0</v>
      </c>
      <c r="R36" s="125"/>
      <c r="S36" s="615"/>
      <c r="T36" s="615"/>
      <c r="U36" s="615"/>
      <c r="V36" s="615"/>
      <c r="W36" s="615"/>
      <c r="X36" s="641"/>
      <c r="Y36" s="615"/>
      <c r="Z36" s="641"/>
      <c r="AA36" s="641"/>
      <c r="AB36" s="615"/>
      <c r="AC36" s="615"/>
      <c r="AD36" s="615"/>
      <c r="AE36" s="615"/>
      <c r="AF36" s="615"/>
      <c r="AG36" s="615"/>
      <c r="AH36" s="615"/>
      <c r="AI36" s="615"/>
      <c r="AJ36" s="615"/>
      <c r="AK36" s="615"/>
      <c r="AL36" s="615"/>
      <c r="AM36" s="615"/>
      <c r="AN36" s="615"/>
      <c r="AO36" s="615"/>
      <c r="AP36" s="615"/>
      <c r="AQ36" s="615"/>
    </row>
    <row r="37" spans="1:43" x14ac:dyDescent="0.2">
      <c r="A37" s="125"/>
      <c r="B37" s="125"/>
      <c r="C37" s="125"/>
      <c r="D37" s="125"/>
      <c r="E37" s="125"/>
      <c r="F37" s="125"/>
      <c r="G37" s="125"/>
      <c r="H37" s="125"/>
      <c r="I37" s="125"/>
      <c r="J37" s="125"/>
      <c r="K37" s="125"/>
      <c r="L37" s="121"/>
      <c r="M37" s="121"/>
      <c r="N37" s="121"/>
      <c r="O37" s="121"/>
      <c r="P37" s="121"/>
      <c r="Q37" s="121"/>
      <c r="R37" s="125"/>
      <c r="S37" s="615"/>
      <c r="T37" s="615"/>
      <c r="U37" s="615"/>
      <c r="V37" s="615"/>
      <c r="W37" s="615"/>
      <c r="X37" s="641"/>
      <c r="Y37" s="641"/>
      <c r="Z37" s="641"/>
      <c r="AA37" s="641"/>
      <c r="AB37" s="615"/>
      <c r="AC37" s="615"/>
      <c r="AD37" s="615"/>
      <c r="AE37" s="615"/>
      <c r="AF37" s="615"/>
      <c r="AG37" s="615"/>
      <c r="AH37" s="615"/>
      <c r="AI37" s="615"/>
      <c r="AJ37" s="615"/>
      <c r="AK37" s="615"/>
      <c r="AL37" s="615"/>
      <c r="AM37" s="615"/>
      <c r="AN37" s="615"/>
      <c r="AO37" s="615"/>
      <c r="AP37" s="615"/>
      <c r="AQ37" s="615"/>
    </row>
    <row r="38" spans="1:43" x14ac:dyDescent="0.2">
      <c r="A38" s="125"/>
      <c r="B38" s="125"/>
      <c r="C38" s="125"/>
      <c r="D38" s="125"/>
      <c r="E38" s="81">
        <f>FirstYear</f>
        <v>2021</v>
      </c>
      <c r="F38" s="81">
        <f>E38+1</f>
        <v>2022</v>
      </c>
      <c r="G38" s="81">
        <f>F38+1</f>
        <v>2023</v>
      </c>
      <c r="H38" s="81">
        <f>G38+1</f>
        <v>2024</v>
      </c>
      <c r="I38" s="81">
        <f>H38+1</f>
        <v>2025</v>
      </c>
      <c r="J38" s="81">
        <f>I38+1</f>
        <v>2026</v>
      </c>
      <c r="K38" s="121"/>
      <c r="L38" s="121"/>
      <c r="M38" s="121"/>
      <c r="N38" s="121"/>
      <c r="O38" s="121"/>
      <c r="P38" s="121"/>
      <c r="Q38" s="121"/>
      <c r="R38" s="121"/>
      <c r="X38" s="641"/>
      <c r="Y38" s="641"/>
      <c r="Z38" s="641"/>
      <c r="AA38" s="641"/>
      <c r="AB38" s="615"/>
      <c r="AC38" s="615"/>
      <c r="AD38" s="615"/>
      <c r="AE38" s="615"/>
      <c r="AF38" s="615"/>
      <c r="AG38" s="615"/>
      <c r="AH38" s="615"/>
      <c r="AI38" s="615"/>
      <c r="AJ38" s="615"/>
      <c r="AK38" s="615"/>
      <c r="AL38" s="615"/>
      <c r="AM38" s="615"/>
      <c r="AN38" s="615"/>
      <c r="AO38" s="615"/>
      <c r="AP38" s="615"/>
      <c r="AQ38" s="615"/>
    </row>
    <row r="39" spans="1:43" x14ac:dyDescent="0.2">
      <c r="A39" s="125"/>
      <c r="B39" s="125"/>
      <c r="C39" s="125"/>
      <c r="D39" s="5" t="s">
        <v>232</v>
      </c>
      <c r="E39" s="40">
        <f t="shared" ref="E39:J39" si="10">E36+L36</f>
        <v>0</v>
      </c>
      <c r="F39" s="40">
        <f t="shared" si="10"/>
        <v>0</v>
      </c>
      <c r="G39" s="40">
        <f t="shared" si="10"/>
        <v>0</v>
      </c>
      <c r="H39" s="40">
        <f t="shared" si="10"/>
        <v>0</v>
      </c>
      <c r="I39" s="40">
        <f t="shared" si="10"/>
        <v>0</v>
      </c>
      <c r="J39" s="40">
        <f t="shared" si="10"/>
        <v>0</v>
      </c>
      <c r="K39" s="121"/>
      <c r="L39" s="121"/>
      <c r="M39" s="121"/>
      <c r="N39" s="121"/>
      <c r="O39" s="121"/>
      <c r="P39" s="121"/>
      <c r="Q39" s="121"/>
      <c r="R39" s="121"/>
      <c r="X39" s="7"/>
      <c r="Y39" s="7"/>
      <c r="Z39" s="7"/>
      <c r="AA39" s="7"/>
      <c r="AD39" s="615"/>
      <c r="AE39" s="615"/>
      <c r="AF39" s="615"/>
      <c r="AG39" s="615"/>
      <c r="AH39" s="615"/>
      <c r="AI39" s="615"/>
      <c r="AJ39" s="615"/>
      <c r="AK39" s="615"/>
      <c r="AL39" s="615"/>
      <c r="AM39" s="615"/>
      <c r="AN39" s="615"/>
      <c r="AO39" s="615"/>
      <c r="AP39" s="615"/>
      <c r="AQ39" s="615"/>
    </row>
    <row r="40" spans="1:43" x14ac:dyDescent="0.2">
      <c r="A40" s="125"/>
      <c r="B40" s="125"/>
      <c r="C40" s="125"/>
      <c r="D40" s="121"/>
      <c r="E40" s="121"/>
      <c r="F40" s="121"/>
      <c r="G40" s="121"/>
      <c r="H40" s="121"/>
      <c r="I40" s="121"/>
      <c r="J40" s="121"/>
      <c r="K40" s="121"/>
      <c r="L40" s="121"/>
      <c r="M40" s="121"/>
      <c r="N40" s="121"/>
      <c r="O40" s="121"/>
      <c r="P40" s="121"/>
      <c r="Q40" s="121"/>
      <c r="R40" s="121"/>
      <c r="X40" s="7"/>
      <c r="Y40" s="7"/>
      <c r="Z40" s="7"/>
      <c r="AA40" s="7"/>
      <c r="AD40" s="615"/>
      <c r="AE40" s="615"/>
      <c r="AF40" s="615"/>
      <c r="AG40" s="615"/>
      <c r="AH40" s="615"/>
      <c r="AI40" s="615"/>
      <c r="AJ40" s="615"/>
      <c r="AK40" s="615"/>
      <c r="AL40" s="615"/>
      <c r="AM40" s="615"/>
      <c r="AN40" s="615"/>
      <c r="AO40" s="615"/>
      <c r="AP40" s="615"/>
      <c r="AQ40" s="615"/>
    </row>
    <row r="41" spans="1:43" x14ac:dyDescent="0.2">
      <c r="A41" s="125"/>
      <c r="B41" s="125"/>
      <c r="C41" s="125"/>
      <c r="D41" s="121"/>
      <c r="E41" s="121"/>
      <c r="F41" s="121"/>
      <c r="G41" s="121"/>
      <c r="H41" s="121"/>
      <c r="I41" s="121"/>
      <c r="J41" s="121"/>
      <c r="K41" s="121"/>
      <c r="L41" s="121"/>
      <c r="M41" s="121"/>
      <c r="N41" s="121"/>
      <c r="O41" s="121"/>
      <c r="P41" s="121"/>
      <c r="Q41" s="121"/>
      <c r="R41" s="121"/>
      <c r="S41" s="323"/>
      <c r="T41" s="323"/>
      <c r="U41" s="323"/>
      <c r="V41" s="323"/>
      <c r="X41" s="7"/>
      <c r="Y41" s="7"/>
      <c r="Z41" s="7"/>
      <c r="AA41" s="7"/>
      <c r="AB41" s="323"/>
      <c r="AC41" s="323"/>
      <c r="AD41" s="615"/>
      <c r="AE41" s="615"/>
      <c r="AF41" s="615"/>
      <c r="AG41" s="615"/>
      <c r="AH41" s="615"/>
      <c r="AI41" s="615"/>
      <c r="AJ41" s="615"/>
      <c r="AK41" s="615"/>
      <c r="AL41" s="615"/>
      <c r="AM41" s="615"/>
      <c r="AN41" s="615"/>
      <c r="AO41" s="615"/>
      <c r="AP41" s="615"/>
      <c r="AQ41" s="615"/>
    </row>
    <row r="42" spans="1:43" ht="15.75" x14ac:dyDescent="0.2">
      <c r="A42" s="131"/>
      <c r="B42" s="131"/>
      <c r="C42" s="131"/>
      <c r="D42" s="123" t="s">
        <v>871</v>
      </c>
      <c r="E42" s="149"/>
      <c r="F42" s="124"/>
      <c r="G42" s="124"/>
      <c r="H42" s="124"/>
      <c r="I42" s="839" t="str">
        <f>IF(B68=0,MsgNotUsed,"")</f>
        <v>** NOT USED **</v>
      </c>
      <c r="J42" s="839"/>
      <c r="K42" s="124"/>
      <c r="L42" s="124"/>
      <c r="M42" s="124"/>
      <c r="N42" s="124"/>
      <c r="O42" s="124"/>
      <c r="P42" s="839"/>
      <c r="Q42" s="840"/>
      <c r="R42" s="124"/>
      <c r="S42" s="124"/>
      <c r="T42" s="124"/>
      <c r="U42" s="124"/>
      <c r="V42" s="124"/>
      <c r="W42" s="124"/>
      <c r="X42" s="124"/>
      <c r="Y42" s="124"/>
      <c r="Z42" s="124"/>
      <c r="AA42" s="124"/>
      <c r="AB42" s="124"/>
      <c r="AC42" s="124"/>
      <c r="AD42" s="124"/>
      <c r="AE42" s="124"/>
      <c r="AF42" s="124"/>
      <c r="AG42" s="124"/>
      <c r="AH42" s="124"/>
      <c r="AI42" s="124"/>
      <c r="AJ42" s="124"/>
      <c r="AK42" s="124"/>
      <c r="AL42" s="124"/>
      <c r="AM42" s="124"/>
      <c r="AN42" s="124"/>
      <c r="AO42" s="124"/>
      <c r="AP42" s="124"/>
      <c r="AQ42" s="124"/>
    </row>
    <row r="43" spans="1:43" hidden="1" outlineLevel="1" x14ac:dyDescent="0.2">
      <c r="A43" s="125"/>
      <c r="B43" s="125"/>
      <c r="C43" s="125"/>
      <c r="D43" s="657"/>
      <c r="E43" s="657"/>
      <c r="F43" s="657"/>
      <c r="G43" s="657"/>
      <c r="H43" s="657"/>
      <c r="I43" s="657"/>
      <c r="J43" s="657"/>
      <c r="K43" s="657"/>
      <c r="L43" s="657"/>
      <c r="M43" s="657"/>
      <c r="N43" s="657"/>
      <c r="O43" s="657"/>
      <c r="P43" s="657"/>
      <c r="Q43" s="657"/>
      <c r="R43" s="657"/>
      <c r="S43" s="657"/>
      <c r="T43" s="657"/>
      <c r="U43" s="657"/>
      <c r="V43" s="657"/>
      <c r="W43" s="657"/>
      <c r="X43" s="657"/>
      <c r="Y43" s="657"/>
      <c r="Z43" s="657"/>
      <c r="AA43" s="657"/>
      <c r="AB43" s="657"/>
      <c r="AC43" s="657"/>
      <c r="AD43" s="657"/>
      <c r="AE43" s="657"/>
      <c r="AF43" s="657"/>
      <c r="AG43" s="657"/>
      <c r="AH43" s="657"/>
      <c r="AI43" s="657"/>
      <c r="AJ43" s="657"/>
      <c r="AK43" s="657"/>
      <c r="AL43" s="657"/>
      <c r="AM43" s="657"/>
      <c r="AN43" s="657"/>
      <c r="AO43" s="657"/>
      <c r="AP43" s="657"/>
      <c r="AQ43" s="657"/>
    </row>
    <row r="44" spans="1:43" hidden="1" outlineLevel="1" x14ac:dyDescent="0.2">
      <c r="A44" s="125"/>
      <c r="B44" s="125"/>
      <c r="C44" s="125"/>
      <c r="D44" s="646" t="s">
        <v>831</v>
      </c>
      <c r="E44" s="657"/>
      <c r="F44" s="657"/>
      <c r="G44" s="657"/>
      <c r="H44" s="657"/>
      <c r="I44" s="657"/>
      <c r="J44" s="657"/>
      <c r="K44" s="657"/>
      <c r="L44" s="657"/>
      <c r="M44" s="657"/>
      <c r="N44" s="657"/>
      <c r="O44" s="657"/>
      <c r="P44" s="657"/>
      <c r="Q44" s="657"/>
      <c r="R44" s="657"/>
      <c r="S44" s="657"/>
      <c r="T44" s="657"/>
      <c r="U44" s="657"/>
      <c r="V44" s="657"/>
      <c r="W44" s="657"/>
      <c r="X44" s="641"/>
      <c r="Y44" s="641"/>
      <c r="Z44" s="641"/>
      <c r="AA44" s="641"/>
      <c r="AB44" s="615"/>
      <c r="AC44" s="615"/>
      <c r="AD44" s="615"/>
      <c r="AE44" s="615"/>
      <c r="AF44" s="615"/>
      <c r="AG44" s="615"/>
      <c r="AH44" s="615"/>
      <c r="AI44" s="615"/>
      <c r="AJ44" s="615"/>
      <c r="AK44" s="615"/>
      <c r="AL44" s="615"/>
      <c r="AM44" s="615"/>
      <c r="AN44" s="615"/>
      <c r="AO44" s="615"/>
      <c r="AP44" s="615"/>
      <c r="AQ44" s="615"/>
    </row>
    <row r="45" spans="1:43" hidden="1" outlineLevel="1" x14ac:dyDescent="0.2">
      <c r="A45" s="125"/>
      <c r="B45" s="125"/>
      <c r="C45" s="125"/>
      <c r="D45" s="657"/>
      <c r="E45" s="657"/>
      <c r="F45" s="657"/>
      <c r="G45" s="657"/>
      <c r="H45" s="657"/>
      <c r="I45" s="657"/>
      <c r="J45" s="657"/>
      <c r="K45" s="657"/>
      <c r="L45" s="657"/>
      <c r="M45" s="657"/>
      <c r="N45" s="657"/>
      <c r="O45" s="657"/>
      <c r="P45" s="657"/>
      <c r="Q45" s="657"/>
      <c r="R45" s="657"/>
      <c r="S45" s="657"/>
      <c r="T45" s="657"/>
      <c r="U45" s="657"/>
      <c r="V45" s="657"/>
      <c r="W45" s="657"/>
      <c r="X45" s="641"/>
      <c r="Y45" s="641"/>
      <c r="Z45" s="641"/>
      <c r="AA45" s="641"/>
      <c r="AB45" s="615"/>
      <c r="AC45" s="615"/>
      <c r="AD45" s="615"/>
      <c r="AE45" s="615"/>
      <c r="AF45" s="856" t="s">
        <v>225</v>
      </c>
      <c r="AG45" s="856"/>
      <c r="AH45" s="856"/>
      <c r="AI45" s="856"/>
      <c r="AJ45" s="856"/>
      <c r="AK45" s="856"/>
      <c r="AL45" s="856"/>
      <c r="AM45" s="856"/>
      <c r="AN45" s="856"/>
      <c r="AO45" s="856"/>
      <c r="AP45" s="856"/>
      <c r="AQ45" s="856"/>
    </row>
    <row r="46" spans="1:43" hidden="1" outlineLevel="1" x14ac:dyDescent="0.2">
      <c r="A46" s="125"/>
      <c r="B46" s="125"/>
      <c r="C46" s="125"/>
      <c r="D46" s="646"/>
      <c r="E46" s="830" t="s">
        <v>223</v>
      </c>
      <c r="F46" s="841"/>
      <c r="G46" s="841"/>
      <c r="H46" s="841"/>
      <c r="I46" s="841"/>
      <c r="J46" s="842"/>
      <c r="K46" s="162"/>
      <c r="L46" s="830" t="s">
        <v>224</v>
      </c>
      <c r="M46" s="841"/>
      <c r="N46" s="841"/>
      <c r="O46" s="841"/>
      <c r="P46" s="841"/>
      <c r="Q46" s="842"/>
      <c r="R46" s="125"/>
      <c r="S46" s="125"/>
      <c r="T46" s="125"/>
      <c r="U46" s="125"/>
      <c r="V46" s="125"/>
      <c r="W46" s="125"/>
      <c r="X46" s="641"/>
      <c r="Y46" s="641"/>
      <c r="Z46" s="641"/>
      <c r="AA46" s="641"/>
      <c r="AB46" s="615"/>
      <c r="AC46" s="615"/>
      <c r="AD46" s="615"/>
      <c r="AE46" s="615"/>
      <c r="AF46" s="855" t="str">
        <f>TxPhase1PxTotal</f>
        <v/>
      </c>
      <c r="AG46" s="855"/>
      <c r="AH46" s="855"/>
      <c r="AI46" s="855"/>
      <c r="AJ46" s="855"/>
      <c r="AK46" s="855"/>
      <c r="AL46" s="855" t="str">
        <f>TxPhase2PxTotal</f>
        <v/>
      </c>
      <c r="AM46" s="855"/>
      <c r="AN46" s="855"/>
      <c r="AO46" s="855"/>
      <c r="AP46" s="855"/>
      <c r="AQ46" s="855"/>
    </row>
    <row r="47" spans="1:43" hidden="1" outlineLevel="1" x14ac:dyDescent="0.2">
      <c r="A47" s="125"/>
      <c r="B47" s="125"/>
      <c r="C47" s="125"/>
      <c r="D47" s="66" t="s">
        <v>812</v>
      </c>
      <c r="E47" s="232">
        <f>FirstYear</f>
        <v>2021</v>
      </c>
      <c r="F47" s="232">
        <f>E47+1</f>
        <v>2022</v>
      </c>
      <c r="G47" s="232">
        <f>F47+1</f>
        <v>2023</v>
      </c>
      <c r="H47" s="232">
        <f>G47+1</f>
        <v>2024</v>
      </c>
      <c r="I47" s="232">
        <f>H47+1</f>
        <v>2025</v>
      </c>
      <c r="J47" s="232">
        <f>I47+1</f>
        <v>2026</v>
      </c>
      <c r="K47" s="125"/>
      <c r="L47" s="232">
        <f>FirstYear</f>
        <v>2021</v>
      </c>
      <c r="M47" s="232">
        <f>L47+1</f>
        <v>2022</v>
      </c>
      <c r="N47" s="232">
        <f>M47+1</f>
        <v>2023</v>
      </c>
      <c r="O47" s="232">
        <f>N47+1</f>
        <v>2024</v>
      </c>
      <c r="P47" s="232">
        <f>O47+1</f>
        <v>2025</v>
      </c>
      <c r="Q47" s="232">
        <f>P47+1</f>
        <v>2026</v>
      </c>
      <c r="R47" s="125"/>
      <c r="S47" s="125"/>
      <c r="T47" s="125"/>
      <c r="U47" s="125"/>
      <c r="V47" s="125"/>
      <c r="W47" s="125"/>
      <c r="X47" s="641"/>
      <c r="Y47" s="641"/>
      <c r="Z47" s="641"/>
      <c r="AA47" s="641"/>
      <c r="AB47" s="615"/>
      <c r="AC47" s="615"/>
      <c r="AD47" s="615"/>
      <c r="AE47" s="469"/>
      <c r="AF47" s="229">
        <f>FirstYear</f>
        <v>2021</v>
      </c>
      <c r="AG47" s="229">
        <f>AF47+1</f>
        <v>2022</v>
      </c>
      <c r="AH47" s="229">
        <f>AG47+1</f>
        <v>2023</v>
      </c>
      <c r="AI47" s="229">
        <f>AH47+1</f>
        <v>2024</v>
      </c>
      <c r="AJ47" s="229">
        <f>AI47+1</f>
        <v>2025</v>
      </c>
      <c r="AK47" s="229">
        <f>AJ47+1</f>
        <v>2026</v>
      </c>
      <c r="AL47" s="229">
        <f>FirstYear</f>
        <v>2021</v>
      </c>
      <c r="AM47" s="229">
        <f>AL47+1</f>
        <v>2022</v>
      </c>
      <c r="AN47" s="229">
        <f>AM47+1</f>
        <v>2023</v>
      </c>
      <c r="AO47" s="229">
        <f>AN47+1</f>
        <v>2024</v>
      </c>
      <c r="AP47" s="229">
        <f>AO47+1</f>
        <v>2025</v>
      </c>
      <c r="AQ47" s="229">
        <f>AP47+1</f>
        <v>2026</v>
      </c>
    </row>
    <row r="48" spans="1:43" hidden="1" outlineLevel="1" x14ac:dyDescent="0.2">
      <c r="A48" s="125"/>
      <c r="B48" s="291">
        <f t="shared" ref="B48:B67" si="11">IF(D48&lt;&gt;MsgNotUsed,1,0)</f>
        <v>0</v>
      </c>
      <c r="C48" s="58">
        <v>1</v>
      </c>
      <c r="D48" s="235" t="str">
        <f t="shared" ref="D48:D67" si="12">AB105</f>
        <v>** NOT USED **</v>
      </c>
      <c r="E48" s="32">
        <f t="shared" ref="E48:E67" si="13">IF(AND($D105&lt;&gt;"",$O105&lt;&gt;""),IF($AC105="C",AL48,AF48)*$O105*$R105,0)</f>
        <v>0</v>
      </c>
      <c r="F48" s="32">
        <f t="shared" ref="F48:F67" si="14">IF(AND($D105&lt;&gt;"",$O105&lt;&gt;""),IF($AC105="C",AM48,AG48)*$O105*$R105,0)</f>
        <v>0</v>
      </c>
      <c r="G48" s="32">
        <f t="shared" ref="G48:G67" si="15">IF(AND($D105&lt;&gt;"",$O105&lt;&gt;""),IF($AC105="C",AN48,AH48)*$O105*$R105,0)</f>
        <v>0</v>
      </c>
      <c r="H48" s="32">
        <f t="shared" ref="H48:H67" si="16">IF(AND($D105&lt;&gt;"",$O105&lt;&gt;""),IF($AC105="C",AO48,AI48)*$O105*$R105,0)</f>
        <v>0</v>
      </c>
      <c r="I48" s="32">
        <f t="shared" ref="I48:I67" si="17">IF(AND($D105&lt;&gt;"",$O105&lt;&gt;""),IF($AC105="C",AP48,AJ48)*$O105*$R105,0)</f>
        <v>0</v>
      </c>
      <c r="J48" s="32">
        <f t="shared" ref="J48:J67" si="18">IF(AND($D105&lt;&gt;"",$O105&lt;&gt;""),IF($AC105="C",AQ48,AK48)*$O105*$R105,0)</f>
        <v>0</v>
      </c>
      <c r="K48" s="125"/>
      <c r="L48" s="32">
        <f t="shared" ref="L48:L67" si="19">IF(AND($D105&lt;&gt;"",$O105&lt;&gt;""),IF($AC105="C",AL76,AF76)*$O105*$R105,0)</f>
        <v>0</v>
      </c>
      <c r="M48" s="32">
        <f t="shared" ref="M48:M67" si="20">IF(AND($D105&lt;&gt;"",$O105&lt;&gt;""),IF($AC105="C",AM76,AG76)*$O105*$R105,0)</f>
        <v>0</v>
      </c>
      <c r="N48" s="32">
        <f t="shared" ref="N48:N67" si="21">IF(AND($D105&lt;&gt;"",$O105&lt;&gt;""),IF($AC105="C",AN76,AH76)*$O105*$R105,0)</f>
        <v>0</v>
      </c>
      <c r="O48" s="32">
        <f t="shared" ref="O48:O67" si="22">IF(AND($D105&lt;&gt;"",$O105&lt;&gt;""),IF($AC105="C",AO76,AI76)*$O105*$R105,0)</f>
        <v>0</v>
      </c>
      <c r="P48" s="32">
        <f t="shared" ref="P48:P67" si="23">IF(AND($D105&lt;&gt;"",$O105&lt;&gt;""),IF($AC105="C",AP76,AJ76)*$O105*$R105,0)</f>
        <v>0</v>
      </c>
      <c r="Q48" s="32">
        <f t="shared" ref="Q48:Q67" si="24">IF(AND($D105&lt;&gt;"",$O105&lt;&gt;""),IF($AC105="C",AQ76,AK76)*$O105*$R105,0)</f>
        <v>0</v>
      </c>
      <c r="R48" s="125"/>
      <c r="S48" s="125"/>
      <c r="T48" s="125"/>
      <c r="U48" s="125"/>
      <c r="V48" s="125"/>
      <c r="W48" s="125"/>
      <c r="X48" s="641"/>
      <c r="Y48" s="641"/>
      <c r="Z48" s="641"/>
      <c r="AA48" s="641"/>
      <c r="AB48" s="615"/>
      <c r="AC48" s="615"/>
      <c r="AD48" s="615"/>
      <c r="AE48" s="299">
        <v>1</v>
      </c>
      <c r="AF48" s="514">
        <f t="shared" ref="AF48:AQ48" si="25">IF(OR(ScriptSourceCode=1,ScriptSourceCode=3),AF105-AF76,0)</f>
        <v>0</v>
      </c>
      <c r="AG48" s="514">
        <f t="shared" si="25"/>
        <v>0</v>
      </c>
      <c r="AH48" s="514">
        <f t="shared" si="25"/>
        <v>0</v>
      </c>
      <c r="AI48" s="514">
        <f t="shared" si="25"/>
        <v>0</v>
      </c>
      <c r="AJ48" s="514">
        <f t="shared" si="25"/>
        <v>0</v>
      </c>
      <c r="AK48" s="514">
        <f t="shared" si="25"/>
        <v>0</v>
      </c>
      <c r="AL48" s="514">
        <f t="shared" si="25"/>
        <v>0</v>
      </c>
      <c r="AM48" s="514">
        <f t="shared" si="25"/>
        <v>0</v>
      </c>
      <c r="AN48" s="514">
        <f t="shared" si="25"/>
        <v>0</v>
      </c>
      <c r="AO48" s="514">
        <f t="shared" si="25"/>
        <v>0</v>
      </c>
      <c r="AP48" s="514">
        <f t="shared" si="25"/>
        <v>0</v>
      </c>
      <c r="AQ48" s="514">
        <f t="shared" si="25"/>
        <v>0</v>
      </c>
    </row>
    <row r="49" spans="1:43" hidden="1" outlineLevel="1" x14ac:dyDescent="0.2">
      <c r="A49" s="125"/>
      <c r="B49" s="291">
        <f t="shared" si="11"/>
        <v>0</v>
      </c>
      <c r="C49" s="58">
        <v>2</v>
      </c>
      <c r="D49" s="281" t="str">
        <f t="shared" si="12"/>
        <v>** NOT USED **</v>
      </c>
      <c r="E49" s="32">
        <f t="shared" si="13"/>
        <v>0</v>
      </c>
      <c r="F49" s="32">
        <f t="shared" si="14"/>
        <v>0</v>
      </c>
      <c r="G49" s="32">
        <f t="shared" si="15"/>
        <v>0</v>
      </c>
      <c r="H49" s="32">
        <f t="shared" si="16"/>
        <v>0</v>
      </c>
      <c r="I49" s="32">
        <f t="shared" si="17"/>
        <v>0</v>
      </c>
      <c r="J49" s="32">
        <f t="shared" si="18"/>
        <v>0</v>
      </c>
      <c r="K49" s="125"/>
      <c r="L49" s="32">
        <f t="shared" si="19"/>
        <v>0</v>
      </c>
      <c r="M49" s="32">
        <f t="shared" si="20"/>
        <v>0</v>
      </c>
      <c r="N49" s="32">
        <f t="shared" si="21"/>
        <v>0</v>
      </c>
      <c r="O49" s="32">
        <f t="shared" si="22"/>
        <v>0</v>
      </c>
      <c r="P49" s="32">
        <f t="shared" si="23"/>
        <v>0</v>
      </c>
      <c r="Q49" s="32">
        <f t="shared" si="24"/>
        <v>0</v>
      </c>
      <c r="R49" s="125"/>
      <c r="S49" s="125"/>
      <c r="T49" s="125"/>
      <c r="U49" s="125"/>
      <c r="V49" s="125"/>
      <c r="W49" s="125"/>
      <c r="X49" s="641"/>
      <c r="Y49" s="641"/>
      <c r="Z49" s="641"/>
      <c r="AA49" s="641"/>
      <c r="AB49" s="615"/>
      <c r="AC49" s="615"/>
      <c r="AD49" s="615"/>
      <c r="AE49" s="299">
        <v>2</v>
      </c>
      <c r="AF49" s="514">
        <f t="shared" ref="AF49:AQ49" si="26">IF(OR(ScriptSourceCode=1,ScriptSourceCode=3),AF106-AF77,0)</f>
        <v>0</v>
      </c>
      <c r="AG49" s="514">
        <f t="shared" si="26"/>
        <v>0</v>
      </c>
      <c r="AH49" s="514">
        <f t="shared" si="26"/>
        <v>0</v>
      </c>
      <c r="AI49" s="514">
        <f t="shared" si="26"/>
        <v>0</v>
      </c>
      <c r="AJ49" s="514">
        <f t="shared" si="26"/>
        <v>0</v>
      </c>
      <c r="AK49" s="514">
        <f t="shared" si="26"/>
        <v>0</v>
      </c>
      <c r="AL49" s="514">
        <f t="shared" si="26"/>
        <v>0</v>
      </c>
      <c r="AM49" s="514">
        <f t="shared" si="26"/>
        <v>0</v>
      </c>
      <c r="AN49" s="514">
        <f t="shared" si="26"/>
        <v>0</v>
      </c>
      <c r="AO49" s="514">
        <f t="shared" si="26"/>
        <v>0</v>
      </c>
      <c r="AP49" s="514">
        <f t="shared" si="26"/>
        <v>0</v>
      </c>
      <c r="AQ49" s="514">
        <f t="shared" si="26"/>
        <v>0</v>
      </c>
    </row>
    <row r="50" spans="1:43" hidden="1" outlineLevel="1" x14ac:dyDescent="0.2">
      <c r="A50" s="125"/>
      <c r="B50" s="291">
        <f t="shared" si="11"/>
        <v>0</v>
      </c>
      <c r="C50" s="58">
        <v>3</v>
      </c>
      <c r="D50" s="281" t="str">
        <f t="shared" si="12"/>
        <v>** NOT USED **</v>
      </c>
      <c r="E50" s="32">
        <f t="shared" si="13"/>
        <v>0</v>
      </c>
      <c r="F50" s="32">
        <f t="shared" si="14"/>
        <v>0</v>
      </c>
      <c r="G50" s="32">
        <f t="shared" si="15"/>
        <v>0</v>
      </c>
      <c r="H50" s="32">
        <f t="shared" si="16"/>
        <v>0</v>
      </c>
      <c r="I50" s="32">
        <f t="shared" si="17"/>
        <v>0</v>
      </c>
      <c r="J50" s="32">
        <f t="shared" si="18"/>
        <v>0</v>
      </c>
      <c r="K50" s="125"/>
      <c r="L50" s="32">
        <f t="shared" si="19"/>
        <v>0</v>
      </c>
      <c r="M50" s="32">
        <f t="shared" si="20"/>
        <v>0</v>
      </c>
      <c r="N50" s="32">
        <f t="shared" si="21"/>
        <v>0</v>
      </c>
      <c r="O50" s="32">
        <f t="shared" si="22"/>
        <v>0</v>
      </c>
      <c r="P50" s="32">
        <f t="shared" si="23"/>
        <v>0</v>
      </c>
      <c r="Q50" s="32">
        <f t="shared" si="24"/>
        <v>0</v>
      </c>
      <c r="R50" s="125"/>
      <c r="S50" s="125"/>
      <c r="T50" s="125"/>
      <c r="U50" s="125"/>
      <c r="V50" s="125"/>
      <c r="W50" s="125"/>
      <c r="X50" s="641"/>
      <c r="Y50" s="641"/>
      <c r="Z50" s="641"/>
      <c r="AA50" s="641"/>
      <c r="AB50" s="615"/>
      <c r="AC50" s="615"/>
      <c r="AD50" s="615"/>
      <c r="AE50" s="299">
        <v>3</v>
      </c>
      <c r="AF50" s="514">
        <f t="shared" ref="AF50:AQ50" si="27">IF(OR(ScriptSourceCode=1,ScriptSourceCode=3),AF107-AF78,0)</f>
        <v>0</v>
      </c>
      <c r="AG50" s="514">
        <f t="shared" si="27"/>
        <v>0</v>
      </c>
      <c r="AH50" s="514">
        <f t="shared" si="27"/>
        <v>0</v>
      </c>
      <c r="AI50" s="514">
        <f t="shared" si="27"/>
        <v>0</v>
      </c>
      <c r="AJ50" s="514">
        <f t="shared" si="27"/>
        <v>0</v>
      </c>
      <c r="AK50" s="514">
        <f t="shared" si="27"/>
        <v>0</v>
      </c>
      <c r="AL50" s="514">
        <f t="shared" si="27"/>
        <v>0</v>
      </c>
      <c r="AM50" s="514">
        <f t="shared" si="27"/>
        <v>0</v>
      </c>
      <c r="AN50" s="514">
        <f t="shared" si="27"/>
        <v>0</v>
      </c>
      <c r="AO50" s="514">
        <f t="shared" si="27"/>
        <v>0</v>
      </c>
      <c r="AP50" s="514">
        <f t="shared" si="27"/>
        <v>0</v>
      </c>
      <c r="AQ50" s="514">
        <f t="shared" si="27"/>
        <v>0</v>
      </c>
    </row>
    <row r="51" spans="1:43" hidden="1" outlineLevel="1" x14ac:dyDescent="0.2">
      <c r="A51" s="125"/>
      <c r="B51" s="291">
        <f t="shared" si="11"/>
        <v>0</v>
      </c>
      <c r="C51" s="58">
        <v>4</v>
      </c>
      <c r="D51" s="281" t="str">
        <f t="shared" si="12"/>
        <v>** NOT USED **</v>
      </c>
      <c r="E51" s="32">
        <f t="shared" si="13"/>
        <v>0</v>
      </c>
      <c r="F51" s="32">
        <f t="shared" si="14"/>
        <v>0</v>
      </c>
      <c r="G51" s="32">
        <f t="shared" si="15"/>
        <v>0</v>
      </c>
      <c r="H51" s="32">
        <f t="shared" si="16"/>
        <v>0</v>
      </c>
      <c r="I51" s="32">
        <f t="shared" si="17"/>
        <v>0</v>
      </c>
      <c r="J51" s="32">
        <f t="shared" si="18"/>
        <v>0</v>
      </c>
      <c r="K51" s="125"/>
      <c r="L51" s="32">
        <f t="shared" si="19"/>
        <v>0</v>
      </c>
      <c r="M51" s="32">
        <f t="shared" si="20"/>
        <v>0</v>
      </c>
      <c r="N51" s="32">
        <f t="shared" si="21"/>
        <v>0</v>
      </c>
      <c r="O51" s="32">
        <f t="shared" si="22"/>
        <v>0</v>
      </c>
      <c r="P51" s="32">
        <f t="shared" si="23"/>
        <v>0</v>
      </c>
      <c r="Q51" s="32">
        <f t="shared" si="24"/>
        <v>0</v>
      </c>
      <c r="R51" s="125"/>
      <c r="S51" s="125"/>
      <c r="T51" s="125"/>
      <c r="U51" s="125"/>
      <c r="V51" s="125"/>
      <c r="W51" s="125"/>
      <c r="X51" s="641"/>
      <c r="Y51" s="641"/>
      <c r="Z51" s="641"/>
      <c r="AA51" s="641"/>
      <c r="AB51" s="615"/>
      <c r="AC51" s="615"/>
      <c r="AD51" s="615"/>
      <c r="AE51" s="299">
        <v>4</v>
      </c>
      <c r="AF51" s="514">
        <f t="shared" ref="AF51:AQ51" si="28">IF(OR(ScriptSourceCode=1,ScriptSourceCode=3),AF108-AF79,0)</f>
        <v>0</v>
      </c>
      <c r="AG51" s="514">
        <f t="shared" si="28"/>
        <v>0</v>
      </c>
      <c r="AH51" s="514">
        <f t="shared" si="28"/>
        <v>0</v>
      </c>
      <c r="AI51" s="514">
        <f t="shared" si="28"/>
        <v>0</v>
      </c>
      <c r="AJ51" s="514">
        <f t="shared" si="28"/>
        <v>0</v>
      </c>
      <c r="AK51" s="514">
        <f t="shared" si="28"/>
        <v>0</v>
      </c>
      <c r="AL51" s="514">
        <f t="shared" si="28"/>
        <v>0</v>
      </c>
      <c r="AM51" s="514">
        <f t="shared" si="28"/>
        <v>0</v>
      </c>
      <c r="AN51" s="514">
        <f t="shared" si="28"/>
        <v>0</v>
      </c>
      <c r="AO51" s="514">
        <f t="shared" si="28"/>
        <v>0</v>
      </c>
      <c r="AP51" s="514">
        <f t="shared" si="28"/>
        <v>0</v>
      </c>
      <c r="AQ51" s="514">
        <f t="shared" si="28"/>
        <v>0</v>
      </c>
    </row>
    <row r="52" spans="1:43" hidden="1" outlineLevel="1" x14ac:dyDescent="0.2">
      <c r="A52" s="125"/>
      <c r="B52" s="291">
        <f t="shared" si="11"/>
        <v>0</v>
      </c>
      <c r="C52" s="58">
        <v>5</v>
      </c>
      <c r="D52" s="281" t="str">
        <f t="shared" si="12"/>
        <v>** NOT USED **</v>
      </c>
      <c r="E52" s="32">
        <f t="shared" si="13"/>
        <v>0</v>
      </c>
      <c r="F52" s="32">
        <f t="shared" si="14"/>
        <v>0</v>
      </c>
      <c r="G52" s="32">
        <f t="shared" si="15"/>
        <v>0</v>
      </c>
      <c r="H52" s="32">
        <f t="shared" si="16"/>
        <v>0</v>
      </c>
      <c r="I52" s="32">
        <f t="shared" si="17"/>
        <v>0</v>
      </c>
      <c r="J52" s="32">
        <f t="shared" si="18"/>
        <v>0</v>
      </c>
      <c r="K52" s="125"/>
      <c r="L52" s="32">
        <f t="shared" si="19"/>
        <v>0</v>
      </c>
      <c r="M52" s="32">
        <f t="shared" si="20"/>
        <v>0</v>
      </c>
      <c r="N52" s="32">
        <f t="shared" si="21"/>
        <v>0</v>
      </c>
      <c r="O52" s="32">
        <f t="shared" si="22"/>
        <v>0</v>
      </c>
      <c r="P52" s="32">
        <f t="shared" si="23"/>
        <v>0</v>
      </c>
      <c r="Q52" s="32">
        <f t="shared" si="24"/>
        <v>0</v>
      </c>
      <c r="R52" s="125"/>
      <c r="S52" s="125"/>
      <c r="T52" s="125"/>
      <c r="U52" s="125"/>
      <c r="V52" s="125"/>
      <c r="W52" s="125"/>
      <c r="X52" s="641"/>
      <c r="Y52" s="641"/>
      <c r="Z52" s="641"/>
      <c r="AA52" s="641"/>
      <c r="AB52" s="615"/>
      <c r="AC52" s="615"/>
      <c r="AD52" s="615"/>
      <c r="AE52" s="299">
        <v>5</v>
      </c>
      <c r="AF52" s="514">
        <f t="shared" ref="AF52:AQ52" si="29">IF(OR(ScriptSourceCode=1,ScriptSourceCode=3),AF109-AF80,0)</f>
        <v>0</v>
      </c>
      <c r="AG52" s="514">
        <f t="shared" si="29"/>
        <v>0</v>
      </c>
      <c r="AH52" s="514">
        <f t="shared" si="29"/>
        <v>0</v>
      </c>
      <c r="AI52" s="514">
        <f t="shared" si="29"/>
        <v>0</v>
      </c>
      <c r="AJ52" s="514">
        <f t="shared" si="29"/>
        <v>0</v>
      </c>
      <c r="AK52" s="514">
        <f t="shared" si="29"/>
        <v>0</v>
      </c>
      <c r="AL52" s="514">
        <f t="shared" si="29"/>
        <v>0</v>
      </c>
      <c r="AM52" s="514">
        <f t="shared" si="29"/>
        <v>0</v>
      </c>
      <c r="AN52" s="514">
        <f t="shared" si="29"/>
        <v>0</v>
      </c>
      <c r="AO52" s="514">
        <f t="shared" si="29"/>
        <v>0</v>
      </c>
      <c r="AP52" s="514">
        <f t="shared" si="29"/>
        <v>0</v>
      </c>
      <c r="AQ52" s="514">
        <f t="shared" si="29"/>
        <v>0</v>
      </c>
    </row>
    <row r="53" spans="1:43" hidden="1" outlineLevel="1" x14ac:dyDescent="0.2">
      <c r="A53" s="125"/>
      <c r="B53" s="291">
        <f t="shared" si="11"/>
        <v>0</v>
      </c>
      <c r="C53" s="58">
        <v>6</v>
      </c>
      <c r="D53" s="281" t="str">
        <f t="shared" si="12"/>
        <v>** NOT USED **</v>
      </c>
      <c r="E53" s="32">
        <f t="shared" si="13"/>
        <v>0</v>
      </c>
      <c r="F53" s="32">
        <f t="shared" si="14"/>
        <v>0</v>
      </c>
      <c r="G53" s="32">
        <f t="shared" si="15"/>
        <v>0</v>
      </c>
      <c r="H53" s="32">
        <f t="shared" si="16"/>
        <v>0</v>
      </c>
      <c r="I53" s="32">
        <f t="shared" si="17"/>
        <v>0</v>
      </c>
      <c r="J53" s="32">
        <f t="shared" si="18"/>
        <v>0</v>
      </c>
      <c r="K53" s="125"/>
      <c r="L53" s="32">
        <f t="shared" si="19"/>
        <v>0</v>
      </c>
      <c r="M53" s="32">
        <f t="shared" si="20"/>
        <v>0</v>
      </c>
      <c r="N53" s="32">
        <f t="shared" si="21"/>
        <v>0</v>
      </c>
      <c r="O53" s="32">
        <f t="shared" si="22"/>
        <v>0</v>
      </c>
      <c r="P53" s="32">
        <f t="shared" si="23"/>
        <v>0</v>
      </c>
      <c r="Q53" s="32">
        <f t="shared" si="24"/>
        <v>0</v>
      </c>
      <c r="R53" s="125"/>
      <c r="S53" s="125"/>
      <c r="T53" s="125"/>
      <c r="U53" s="125"/>
      <c r="V53" s="125"/>
      <c r="W53" s="125"/>
      <c r="X53" s="641"/>
      <c r="Y53" s="641"/>
      <c r="Z53" s="641"/>
      <c r="AA53" s="641"/>
      <c r="AB53" s="615"/>
      <c r="AC53" s="615"/>
      <c r="AD53" s="615"/>
      <c r="AE53" s="299">
        <v>6</v>
      </c>
      <c r="AF53" s="514">
        <f t="shared" ref="AF53:AQ53" si="30">IF(OR(ScriptSourceCode=1,ScriptSourceCode=3),AF110-AF81,0)</f>
        <v>0</v>
      </c>
      <c r="AG53" s="514">
        <f t="shared" si="30"/>
        <v>0</v>
      </c>
      <c r="AH53" s="514">
        <f t="shared" si="30"/>
        <v>0</v>
      </c>
      <c r="AI53" s="514">
        <f t="shared" si="30"/>
        <v>0</v>
      </c>
      <c r="AJ53" s="514">
        <f t="shared" si="30"/>
        <v>0</v>
      </c>
      <c r="AK53" s="514">
        <f t="shared" si="30"/>
        <v>0</v>
      </c>
      <c r="AL53" s="514">
        <f t="shared" si="30"/>
        <v>0</v>
      </c>
      <c r="AM53" s="514">
        <f t="shared" si="30"/>
        <v>0</v>
      </c>
      <c r="AN53" s="514">
        <f t="shared" si="30"/>
        <v>0</v>
      </c>
      <c r="AO53" s="514">
        <f t="shared" si="30"/>
        <v>0</v>
      </c>
      <c r="AP53" s="514">
        <f t="shared" si="30"/>
        <v>0</v>
      </c>
      <c r="AQ53" s="514">
        <f t="shared" si="30"/>
        <v>0</v>
      </c>
    </row>
    <row r="54" spans="1:43" hidden="1" outlineLevel="1" x14ac:dyDescent="0.2">
      <c r="A54" s="125"/>
      <c r="B54" s="291">
        <f t="shared" si="11"/>
        <v>0</v>
      </c>
      <c r="C54" s="58">
        <v>7</v>
      </c>
      <c r="D54" s="281" t="str">
        <f t="shared" si="12"/>
        <v>** NOT USED **</v>
      </c>
      <c r="E54" s="32">
        <f t="shared" si="13"/>
        <v>0</v>
      </c>
      <c r="F54" s="32">
        <f t="shared" si="14"/>
        <v>0</v>
      </c>
      <c r="G54" s="32">
        <f t="shared" si="15"/>
        <v>0</v>
      </c>
      <c r="H54" s="32">
        <f t="shared" si="16"/>
        <v>0</v>
      </c>
      <c r="I54" s="32">
        <f t="shared" si="17"/>
        <v>0</v>
      </c>
      <c r="J54" s="32">
        <f t="shared" si="18"/>
        <v>0</v>
      </c>
      <c r="K54" s="125"/>
      <c r="L54" s="32">
        <f t="shared" si="19"/>
        <v>0</v>
      </c>
      <c r="M54" s="32">
        <f t="shared" si="20"/>
        <v>0</v>
      </c>
      <c r="N54" s="32">
        <f t="shared" si="21"/>
        <v>0</v>
      </c>
      <c r="O54" s="32">
        <f t="shared" si="22"/>
        <v>0</v>
      </c>
      <c r="P54" s="32">
        <f t="shared" si="23"/>
        <v>0</v>
      </c>
      <c r="Q54" s="32">
        <f t="shared" si="24"/>
        <v>0</v>
      </c>
      <c r="R54" s="125"/>
      <c r="S54" s="125"/>
      <c r="T54" s="125"/>
      <c r="U54" s="125"/>
      <c r="V54" s="125"/>
      <c r="W54" s="125"/>
      <c r="X54" s="641"/>
      <c r="Y54" s="641"/>
      <c r="Z54" s="641"/>
      <c r="AA54" s="641"/>
      <c r="AB54" s="615"/>
      <c r="AC54" s="615"/>
      <c r="AD54" s="615"/>
      <c r="AE54" s="299">
        <v>7</v>
      </c>
      <c r="AF54" s="514">
        <f t="shared" ref="AF54:AQ54" si="31">IF(OR(ScriptSourceCode=1,ScriptSourceCode=3),AF111-AF82,0)</f>
        <v>0</v>
      </c>
      <c r="AG54" s="514">
        <f t="shared" si="31"/>
        <v>0</v>
      </c>
      <c r="AH54" s="514">
        <f t="shared" si="31"/>
        <v>0</v>
      </c>
      <c r="AI54" s="514">
        <f t="shared" si="31"/>
        <v>0</v>
      </c>
      <c r="AJ54" s="514">
        <f t="shared" si="31"/>
        <v>0</v>
      </c>
      <c r="AK54" s="514">
        <f t="shared" si="31"/>
        <v>0</v>
      </c>
      <c r="AL54" s="514">
        <f t="shared" si="31"/>
        <v>0</v>
      </c>
      <c r="AM54" s="514">
        <f t="shared" si="31"/>
        <v>0</v>
      </c>
      <c r="AN54" s="514">
        <f t="shared" si="31"/>
        <v>0</v>
      </c>
      <c r="AO54" s="514">
        <f t="shared" si="31"/>
        <v>0</v>
      </c>
      <c r="AP54" s="514">
        <f t="shared" si="31"/>
        <v>0</v>
      </c>
      <c r="AQ54" s="514">
        <f t="shared" si="31"/>
        <v>0</v>
      </c>
    </row>
    <row r="55" spans="1:43" hidden="1" outlineLevel="1" x14ac:dyDescent="0.2">
      <c r="A55" s="125"/>
      <c r="B55" s="291">
        <f t="shared" si="11"/>
        <v>0</v>
      </c>
      <c r="C55" s="58">
        <v>8</v>
      </c>
      <c r="D55" s="281" t="str">
        <f t="shared" si="12"/>
        <v>** NOT USED **</v>
      </c>
      <c r="E55" s="32">
        <f t="shared" si="13"/>
        <v>0</v>
      </c>
      <c r="F55" s="32">
        <f t="shared" si="14"/>
        <v>0</v>
      </c>
      <c r="G55" s="32">
        <f t="shared" si="15"/>
        <v>0</v>
      </c>
      <c r="H55" s="32">
        <f t="shared" si="16"/>
        <v>0</v>
      </c>
      <c r="I55" s="32">
        <f t="shared" si="17"/>
        <v>0</v>
      </c>
      <c r="J55" s="32">
        <f t="shared" si="18"/>
        <v>0</v>
      </c>
      <c r="K55" s="125"/>
      <c r="L55" s="32">
        <f t="shared" si="19"/>
        <v>0</v>
      </c>
      <c r="M55" s="32">
        <f t="shared" si="20"/>
        <v>0</v>
      </c>
      <c r="N55" s="32">
        <f t="shared" si="21"/>
        <v>0</v>
      </c>
      <c r="O55" s="32">
        <f t="shared" si="22"/>
        <v>0</v>
      </c>
      <c r="P55" s="32">
        <f t="shared" si="23"/>
        <v>0</v>
      </c>
      <c r="Q55" s="32">
        <f t="shared" si="24"/>
        <v>0</v>
      </c>
      <c r="R55" s="125"/>
      <c r="S55" s="125"/>
      <c r="T55" s="125"/>
      <c r="U55" s="125"/>
      <c r="V55" s="125"/>
      <c r="W55" s="125"/>
      <c r="X55" s="641"/>
      <c r="Y55" s="641"/>
      <c r="Z55" s="641"/>
      <c r="AA55" s="641"/>
      <c r="AB55" s="615"/>
      <c r="AC55" s="615"/>
      <c r="AD55" s="615"/>
      <c r="AE55" s="299">
        <v>8</v>
      </c>
      <c r="AF55" s="514">
        <f t="shared" ref="AF55:AQ55" si="32">IF(OR(ScriptSourceCode=1,ScriptSourceCode=3),AF112-AF83,0)</f>
        <v>0</v>
      </c>
      <c r="AG55" s="514">
        <f t="shared" si="32"/>
        <v>0</v>
      </c>
      <c r="AH55" s="514">
        <f t="shared" si="32"/>
        <v>0</v>
      </c>
      <c r="AI55" s="514">
        <f t="shared" si="32"/>
        <v>0</v>
      </c>
      <c r="AJ55" s="514">
        <f t="shared" si="32"/>
        <v>0</v>
      </c>
      <c r="AK55" s="514">
        <f t="shared" si="32"/>
        <v>0</v>
      </c>
      <c r="AL55" s="514">
        <f t="shared" si="32"/>
        <v>0</v>
      </c>
      <c r="AM55" s="514">
        <f t="shared" si="32"/>
        <v>0</v>
      </c>
      <c r="AN55" s="514">
        <f t="shared" si="32"/>
        <v>0</v>
      </c>
      <c r="AO55" s="514">
        <f t="shared" si="32"/>
        <v>0</v>
      </c>
      <c r="AP55" s="514">
        <f t="shared" si="32"/>
        <v>0</v>
      </c>
      <c r="AQ55" s="514">
        <f t="shared" si="32"/>
        <v>0</v>
      </c>
    </row>
    <row r="56" spans="1:43" hidden="1" outlineLevel="1" x14ac:dyDescent="0.2">
      <c r="A56" s="125"/>
      <c r="B56" s="291">
        <f t="shared" si="11"/>
        <v>0</v>
      </c>
      <c r="C56" s="58">
        <v>9</v>
      </c>
      <c r="D56" s="281" t="str">
        <f t="shared" si="12"/>
        <v>** NOT USED **</v>
      </c>
      <c r="E56" s="32">
        <f t="shared" si="13"/>
        <v>0</v>
      </c>
      <c r="F56" s="32">
        <f t="shared" si="14"/>
        <v>0</v>
      </c>
      <c r="G56" s="32">
        <f t="shared" si="15"/>
        <v>0</v>
      </c>
      <c r="H56" s="32">
        <f t="shared" si="16"/>
        <v>0</v>
      </c>
      <c r="I56" s="32">
        <f t="shared" si="17"/>
        <v>0</v>
      </c>
      <c r="J56" s="32">
        <f t="shared" si="18"/>
        <v>0</v>
      </c>
      <c r="K56" s="125"/>
      <c r="L56" s="32">
        <f t="shared" si="19"/>
        <v>0</v>
      </c>
      <c r="M56" s="32">
        <f t="shared" si="20"/>
        <v>0</v>
      </c>
      <c r="N56" s="32">
        <f t="shared" si="21"/>
        <v>0</v>
      </c>
      <c r="O56" s="32">
        <f t="shared" si="22"/>
        <v>0</v>
      </c>
      <c r="P56" s="32">
        <f t="shared" si="23"/>
        <v>0</v>
      </c>
      <c r="Q56" s="32">
        <f t="shared" si="24"/>
        <v>0</v>
      </c>
      <c r="R56" s="125"/>
      <c r="S56" s="125"/>
      <c r="T56" s="125"/>
      <c r="U56" s="125"/>
      <c r="V56" s="125"/>
      <c r="W56" s="125"/>
      <c r="X56" s="641"/>
      <c r="Y56" s="641"/>
      <c r="Z56" s="641"/>
      <c r="AA56" s="641"/>
      <c r="AB56" s="615"/>
      <c r="AC56" s="615"/>
      <c r="AD56" s="615"/>
      <c r="AE56" s="299">
        <v>9</v>
      </c>
      <c r="AF56" s="514">
        <f t="shared" ref="AF56:AQ56" si="33">IF(OR(ScriptSourceCode=1,ScriptSourceCode=3),AF113-AF84,0)</f>
        <v>0</v>
      </c>
      <c r="AG56" s="514">
        <f t="shared" si="33"/>
        <v>0</v>
      </c>
      <c r="AH56" s="514">
        <f t="shared" si="33"/>
        <v>0</v>
      </c>
      <c r="AI56" s="514">
        <f t="shared" si="33"/>
        <v>0</v>
      </c>
      <c r="AJ56" s="514">
        <f t="shared" si="33"/>
        <v>0</v>
      </c>
      <c r="AK56" s="514">
        <f t="shared" si="33"/>
        <v>0</v>
      </c>
      <c r="AL56" s="514">
        <f t="shared" si="33"/>
        <v>0</v>
      </c>
      <c r="AM56" s="514">
        <f t="shared" si="33"/>
        <v>0</v>
      </c>
      <c r="AN56" s="514">
        <f t="shared" si="33"/>
        <v>0</v>
      </c>
      <c r="AO56" s="514">
        <f t="shared" si="33"/>
        <v>0</v>
      </c>
      <c r="AP56" s="514">
        <f t="shared" si="33"/>
        <v>0</v>
      </c>
      <c r="AQ56" s="514">
        <f t="shared" si="33"/>
        <v>0</v>
      </c>
    </row>
    <row r="57" spans="1:43" hidden="1" outlineLevel="1" x14ac:dyDescent="0.2">
      <c r="A57" s="125"/>
      <c r="B57" s="291">
        <f t="shared" si="11"/>
        <v>0</v>
      </c>
      <c r="C57" s="58">
        <v>10</v>
      </c>
      <c r="D57" s="281" t="str">
        <f t="shared" si="12"/>
        <v>** NOT USED **</v>
      </c>
      <c r="E57" s="32">
        <f t="shared" si="13"/>
        <v>0</v>
      </c>
      <c r="F57" s="32">
        <f t="shared" si="14"/>
        <v>0</v>
      </c>
      <c r="G57" s="32">
        <f t="shared" si="15"/>
        <v>0</v>
      </c>
      <c r="H57" s="32">
        <f t="shared" si="16"/>
        <v>0</v>
      </c>
      <c r="I57" s="32">
        <f t="shared" si="17"/>
        <v>0</v>
      </c>
      <c r="J57" s="32">
        <f t="shared" si="18"/>
        <v>0</v>
      </c>
      <c r="K57" s="125"/>
      <c r="L57" s="32">
        <f t="shared" si="19"/>
        <v>0</v>
      </c>
      <c r="M57" s="32">
        <f t="shared" si="20"/>
        <v>0</v>
      </c>
      <c r="N57" s="32">
        <f t="shared" si="21"/>
        <v>0</v>
      </c>
      <c r="O57" s="32">
        <f t="shared" si="22"/>
        <v>0</v>
      </c>
      <c r="P57" s="32">
        <f t="shared" si="23"/>
        <v>0</v>
      </c>
      <c r="Q57" s="32">
        <f t="shared" si="24"/>
        <v>0</v>
      </c>
      <c r="R57" s="125"/>
      <c r="S57" s="125"/>
      <c r="T57" s="125"/>
      <c r="U57" s="125"/>
      <c r="V57" s="125"/>
      <c r="W57" s="125"/>
      <c r="X57" s="641"/>
      <c r="Y57" s="641"/>
      <c r="Z57" s="641"/>
      <c r="AA57" s="641"/>
      <c r="AB57" s="615"/>
      <c r="AC57" s="615"/>
      <c r="AD57" s="615"/>
      <c r="AE57" s="299">
        <v>10</v>
      </c>
      <c r="AF57" s="514">
        <f t="shared" ref="AF57:AQ57" si="34">IF(OR(ScriptSourceCode=1,ScriptSourceCode=3),AF114-AF85,0)</f>
        <v>0</v>
      </c>
      <c r="AG57" s="514">
        <f t="shared" si="34"/>
        <v>0</v>
      </c>
      <c r="AH57" s="514">
        <f t="shared" si="34"/>
        <v>0</v>
      </c>
      <c r="AI57" s="514">
        <f t="shared" si="34"/>
        <v>0</v>
      </c>
      <c r="AJ57" s="514">
        <f t="shared" si="34"/>
        <v>0</v>
      </c>
      <c r="AK57" s="514">
        <f t="shared" si="34"/>
        <v>0</v>
      </c>
      <c r="AL57" s="514">
        <f t="shared" si="34"/>
        <v>0</v>
      </c>
      <c r="AM57" s="514">
        <f t="shared" si="34"/>
        <v>0</v>
      </c>
      <c r="AN57" s="514">
        <f t="shared" si="34"/>
        <v>0</v>
      </c>
      <c r="AO57" s="514">
        <f t="shared" si="34"/>
        <v>0</v>
      </c>
      <c r="AP57" s="514">
        <f t="shared" si="34"/>
        <v>0</v>
      </c>
      <c r="AQ57" s="514">
        <f t="shared" si="34"/>
        <v>0</v>
      </c>
    </row>
    <row r="58" spans="1:43" hidden="1" outlineLevel="1" x14ac:dyDescent="0.2">
      <c r="A58" s="125"/>
      <c r="B58" s="291">
        <f t="shared" si="11"/>
        <v>0</v>
      </c>
      <c r="C58" s="58">
        <v>11</v>
      </c>
      <c r="D58" s="295" t="str">
        <f t="shared" si="12"/>
        <v>** NOT USED **</v>
      </c>
      <c r="E58" s="32">
        <f t="shared" si="13"/>
        <v>0</v>
      </c>
      <c r="F58" s="32">
        <f t="shared" si="14"/>
        <v>0</v>
      </c>
      <c r="G58" s="32">
        <f t="shared" si="15"/>
        <v>0</v>
      </c>
      <c r="H58" s="32">
        <f t="shared" si="16"/>
        <v>0</v>
      </c>
      <c r="I58" s="32">
        <f t="shared" si="17"/>
        <v>0</v>
      </c>
      <c r="J58" s="32">
        <f t="shared" si="18"/>
        <v>0</v>
      </c>
      <c r="K58" s="125"/>
      <c r="L58" s="32">
        <f t="shared" si="19"/>
        <v>0</v>
      </c>
      <c r="M58" s="32">
        <f t="shared" si="20"/>
        <v>0</v>
      </c>
      <c r="N58" s="32">
        <f t="shared" si="21"/>
        <v>0</v>
      </c>
      <c r="O58" s="32">
        <f t="shared" si="22"/>
        <v>0</v>
      </c>
      <c r="P58" s="32">
        <f t="shared" si="23"/>
        <v>0</v>
      </c>
      <c r="Q58" s="32">
        <f t="shared" si="24"/>
        <v>0</v>
      </c>
      <c r="R58" s="125"/>
      <c r="S58" s="125"/>
      <c r="T58" s="125"/>
      <c r="U58" s="125"/>
      <c r="V58" s="125"/>
      <c r="W58" s="125"/>
      <c r="X58" s="641"/>
      <c r="Y58" s="641"/>
      <c r="Z58" s="641"/>
      <c r="AA58" s="641"/>
      <c r="AB58" s="615"/>
      <c r="AC58" s="615"/>
      <c r="AD58" s="615"/>
      <c r="AE58" s="299">
        <v>11</v>
      </c>
      <c r="AF58" s="514">
        <f t="shared" ref="AF58:AQ58" si="35">IF(OR(ScriptSourceCode=1,ScriptSourceCode=3),AF115-AF86,0)</f>
        <v>0</v>
      </c>
      <c r="AG58" s="514">
        <f t="shared" si="35"/>
        <v>0</v>
      </c>
      <c r="AH58" s="514">
        <f t="shared" si="35"/>
        <v>0</v>
      </c>
      <c r="AI58" s="514">
        <f t="shared" si="35"/>
        <v>0</v>
      </c>
      <c r="AJ58" s="514">
        <f t="shared" si="35"/>
        <v>0</v>
      </c>
      <c r="AK58" s="514">
        <f t="shared" si="35"/>
        <v>0</v>
      </c>
      <c r="AL58" s="514">
        <f t="shared" si="35"/>
        <v>0</v>
      </c>
      <c r="AM58" s="514">
        <f t="shared" si="35"/>
        <v>0</v>
      </c>
      <c r="AN58" s="514">
        <f t="shared" si="35"/>
        <v>0</v>
      </c>
      <c r="AO58" s="514">
        <f t="shared" si="35"/>
        <v>0</v>
      </c>
      <c r="AP58" s="514">
        <f t="shared" si="35"/>
        <v>0</v>
      </c>
      <c r="AQ58" s="514">
        <f t="shared" si="35"/>
        <v>0</v>
      </c>
    </row>
    <row r="59" spans="1:43" hidden="1" outlineLevel="1" x14ac:dyDescent="0.2">
      <c r="A59" s="125"/>
      <c r="B59" s="291">
        <f t="shared" si="11"/>
        <v>0</v>
      </c>
      <c r="C59" s="58">
        <v>12</v>
      </c>
      <c r="D59" s="295" t="str">
        <f t="shared" si="12"/>
        <v>** NOT USED **</v>
      </c>
      <c r="E59" s="32">
        <f t="shared" si="13"/>
        <v>0</v>
      </c>
      <c r="F59" s="32">
        <f t="shared" si="14"/>
        <v>0</v>
      </c>
      <c r="G59" s="32">
        <f t="shared" si="15"/>
        <v>0</v>
      </c>
      <c r="H59" s="32">
        <f t="shared" si="16"/>
        <v>0</v>
      </c>
      <c r="I59" s="32">
        <f t="shared" si="17"/>
        <v>0</v>
      </c>
      <c r="J59" s="32">
        <f t="shared" si="18"/>
        <v>0</v>
      </c>
      <c r="K59" s="125"/>
      <c r="L59" s="32">
        <f t="shared" si="19"/>
        <v>0</v>
      </c>
      <c r="M59" s="32">
        <f t="shared" si="20"/>
        <v>0</v>
      </c>
      <c r="N59" s="32">
        <f t="shared" si="21"/>
        <v>0</v>
      </c>
      <c r="O59" s="32">
        <f t="shared" si="22"/>
        <v>0</v>
      </c>
      <c r="P59" s="32">
        <f t="shared" si="23"/>
        <v>0</v>
      </c>
      <c r="Q59" s="32">
        <f t="shared" si="24"/>
        <v>0</v>
      </c>
      <c r="R59" s="125"/>
      <c r="S59" s="125"/>
      <c r="T59" s="125"/>
      <c r="U59" s="125"/>
      <c r="V59" s="125"/>
      <c r="W59" s="125"/>
      <c r="X59" s="641"/>
      <c r="Y59" s="641"/>
      <c r="Z59" s="641"/>
      <c r="AA59" s="641"/>
      <c r="AB59" s="615"/>
      <c r="AC59" s="615"/>
      <c r="AD59" s="615"/>
      <c r="AE59" s="299">
        <v>12</v>
      </c>
      <c r="AF59" s="514">
        <f t="shared" ref="AF59:AQ59" si="36">IF(OR(ScriptSourceCode=1,ScriptSourceCode=3),AF116-AF87,0)</f>
        <v>0</v>
      </c>
      <c r="AG59" s="514">
        <f t="shared" si="36"/>
        <v>0</v>
      </c>
      <c r="AH59" s="514">
        <f t="shared" si="36"/>
        <v>0</v>
      </c>
      <c r="AI59" s="514">
        <f t="shared" si="36"/>
        <v>0</v>
      </c>
      <c r="AJ59" s="514">
        <f t="shared" si="36"/>
        <v>0</v>
      </c>
      <c r="AK59" s="514">
        <f t="shared" si="36"/>
        <v>0</v>
      </c>
      <c r="AL59" s="514">
        <f t="shared" si="36"/>
        <v>0</v>
      </c>
      <c r="AM59" s="514">
        <f t="shared" si="36"/>
        <v>0</v>
      </c>
      <c r="AN59" s="514">
        <f t="shared" si="36"/>
        <v>0</v>
      </c>
      <c r="AO59" s="514">
        <f t="shared" si="36"/>
        <v>0</v>
      </c>
      <c r="AP59" s="514">
        <f t="shared" si="36"/>
        <v>0</v>
      </c>
      <c r="AQ59" s="514">
        <f t="shared" si="36"/>
        <v>0</v>
      </c>
    </row>
    <row r="60" spans="1:43" hidden="1" outlineLevel="1" x14ac:dyDescent="0.2">
      <c r="A60" s="125"/>
      <c r="B60" s="291">
        <f t="shared" si="11"/>
        <v>0</v>
      </c>
      <c r="C60" s="58">
        <v>13</v>
      </c>
      <c r="D60" s="295" t="str">
        <f t="shared" si="12"/>
        <v>** NOT USED **</v>
      </c>
      <c r="E60" s="32">
        <f t="shared" si="13"/>
        <v>0</v>
      </c>
      <c r="F60" s="32">
        <f t="shared" si="14"/>
        <v>0</v>
      </c>
      <c r="G60" s="32">
        <f t="shared" si="15"/>
        <v>0</v>
      </c>
      <c r="H60" s="32">
        <f t="shared" si="16"/>
        <v>0</v>
      </c>
      <c r="I60" s="32">
        <f t="shared" si="17"/>
        <v>0</v>
      </c>
      <c r="J60" s="32">
        <f t="shared" si="18"/>
        <v>0</v>
      </c>
      <c r="K60" s="125"/>
      <c r="L60" s="32">
        <f t="shared" si="19"/>
        <v>0</v>
      </c>
      <c r="M60" s="32">
        <f t="shared" si="20"/>
        <v>0</v>
      </c>
      <c r="N60" s="32">
        <f t="shared" si="21"/>
        <v>0</v>
      </c>
      <c r="O60" s="32">
        <f t="shared" si="22"/>
        <v>0</v>
      </c>
      <c r="P60" s="32">
        <f t="shared" si="23"/>
        <v>0</v>
      </c>
      <c r="Q60" s="32">
        <f t="shared" si="24"/>
        <v>0</v>
      </c>
      <c r="R60" s="125"/>
      <c r="S60" s="125"/>
      <c r="T60" s="125"/>
      <c r="U60" s="125"/>
      <c r="V60" s="125"/>
      <c r="W60" s="125"/>
      <c r="X60" s="641"/>
      <c r="Y60" s="641"/>
      <c r="Z60" s="641"/>
      <c r="AA60" s="641"/>
      <c r="AB60" s="615"/>
      <c r="AC60" s="615"/>
      <c r="AD60" s="615"/>
      <c r="AE60" s="299">
        <v>13</v>
      </c>
      <c r="AF60" s="514">
        <f t="shared" ref="AF60:AQ60" si="37">IF(OR(ScriptSourceCode=1,ScriptSourceCode=3),AF117-AF88,0)</f>
        <v>0</v>
      </c>
      <c r="AG60" s="514">
        <f t="shared" si="37"/>
        <v>0</v>
      </c>
      <c r="AH60" s="514">
        <f t="shared" si="37"/>
        <v>0</v>
      </c>
      <c r="AI60" s="514">
        <f t="shared" si="37"/>
        <v>0</v>
      </c>
      <c r="AJ60" s="514">
        <f t="shared" si="37"/>
        <v>0</v>
      </c>
      <c r="AK60" s="514">
        <f t="shared" si="37"/>
        <v>0</v>
      </c>
      <c r="AL60" s="514">
        <f t="shared" si="37"/>
        <v>0</v>
      </c>
      <c r="AM60" s="514">
        <f t="shared" si="37"/>
        <v>0</v>
      </c>
      <c r="AN60" s="514">
        <f t="shared" si="37"/>
        <v>0</v>
      </c>
      <c r="AO60" s="514">
        <f t="shared" si="37"/>
        <v>0</v>
      </c>
      <c r="AP60" s="514">
        <f t="shared" si="37"/>
        <v>0</v>
      </c>
      <c r="AQ60" s="514">
        <f t="shared" si="37"/>
        <v>0</v>
      </c>
    </row>
    <row r="61" spans="1:43" hidden="1" outlineLevel="1" x14ac:dyDescent="0.2">
      <c r="A61" s="125"/>
      <c r="B61" s="291">
        <f t="shared" si="11"/>
        <v>0</v>
      </c>
      <c r="C61" s="58">
        <v>14</v>
      </c>
      <c r="D61" s="295" t="str">
        <f t="shared" si="12"/>
        <v>** NOT USED **</v>
      </c>
      <c r="E61" s="32">
        <f t="shared" si="13"/>
        <v>0</v>
      </c>
      <c r="F61" s="32">
        <f t="shared" si="14"/>
        <v>0</v>
      </c>
      <c r="G61" s="32">
        <f t="shared" si="15"/>
        <v>0</v>
      </c>
      <c r="H61" s="32">
        <f t="shared" si="16"/>
        <v>0</v>
      </c>
      <c r="I61" s="32">
        <f t="shared" si="17"/>
        <v>0</v>
      </c>
      <c r="J61" s="32">
        <f t="shared" si="18"/>
        <v>0</v>
      </c>
      <c r="K61" s="125"/>
      <c r="L61" s="32">
        <f t="shared" si="19"/>
        <v>0</v>
      </c>
      <c r="M61" s="32">
        <f t="shared" si="20"/>
        <v>0</v>
      </c>
      <c r="N61" s="32">
        <f t="shared" si="21"/>
        <v>0</v>
      </c>
      <c r="O61" s="32">
        <f t="shared" si="22"/>
        <v>0</v>
      </c>
      <c r="P61" s="32">
        <f t="shared" si="23"/>
        <v>0</v>
      </c>
      <c r="Q61" s="32">
        <f t="shared" si="24"/>
        <v>0</v>
      </c>
      <c r="R61" s="125"/>
      <c r="S61" s="125"/>
      <c r="T61" s="125"/>
      <c r="U61" s="125"/>
      <c r="V61" s="125"/>
      <c r="W61" s="125"/>
      <c r="X61" s="641"/>
      <c r="Y61" s="641"/>
      <c r="Z61" s="641"/>
      <c r="AA61" s="641"/>
      <c r="AB61" s="615"/>
      <c r="AC61" s="615"/>
      <c r="AD61" s="615"/>
      <c r="AE61" s="299">
        <v>14</v>
      </c>
      <c r="AF61" s="514">
        <f t="shared" ref="AF61:AQ61" si="38">IF(OR(ScriptSourceCode=1,ScriptSourceCode=3),AF118-AF89,0)</f>
        <v>0</v>
      </c>
      <c r="AG61" s="514">
        <f t="shared" si="38"/>
        <v>0</v>
      </c>
      <c r="AH61" s="514">
        <f t="shared" si="38"/>
        <v>0</v>
      </c>
      <c r="AI61" s="514">
        <f t="shared" si="38"/>
        <v>0</v>
      </c>
      <c r="AJ61" s="514">
        <f t="shared" si="38"/>
        <v>0</v>
      </c>
      <c r="AK61" s="514">
        <f t="shared" si="38"/>
        <v>0</v>
      </c>
      <c r="AL61" s="514">
        <f t="shared" si="38"/>
        <v>0</v>
      </c>
      <c r="AM61" s="514">
        <f t="shared" si="38"/>
        <v>0</v>
      </c>
      <c r="AN61" s="514">
        <f t="shared" si="38"/>
        <v>0</v>
      </c>
      <c r="AO61" s="514">
        <f t="shared" si="38"/>
        <v>0</v>
      </c>
      <c r="AP61" s="514">
        <f t="shared" si="38"/>
        <v>0</v>
      </c>
      <c r="AQ61" s="514">
        <f t="shared" si="38"/>
        <v>0</v>
      </c>
    </row>
    <row r="62" spans="1:43" hidden="1" outlineLevel="1" x14ac:dyDescent="0.2">
      <c r="A62" s="125"/>
      <c r="B62" s="291">
        <f t="shared" si="11"/>
        <v>0</v>
      </c>
      <c r="C62" s="58">
        <v>15</v>
      </c>
      <c r="D62" s="295" t="str">
        <f t="shared" si="12"/>
        <v>** NOT USED **</v>
      </c>
      <c r="E62" s="32">
        <f t="shared" si="13"/>
        <v>0</v>
      </c>
      <c r="F62" s="32">
        <f t="shared" si="14"/>
        <v>0</v>
      </c>
      <c r="G62" s="32">
        <f t="shared" si="15"/>
        <v>0</v>
      </c>
      <c r="H62" s="32">
        <f t="shared" si="16"/>
        <v>0</v>
      </c>
      <c r="I62" s="32">
        <f t="shared" si="17"/>
        <v>0</v>
      </c>
      <c r="J62" s="32">
        <f t="shared" si="18"/>
        <v>0</v>
      </c>
      <c r="K62" s="125"/>
      <c r="L62" s="32">
        <f t="shared" si="19"/>
        <v>0</v>
      </c>
      <c r="M62" s="32">
        <f t="shared" si="20"/>
        <v>0</v>
      </c>
      <c r="N62" s="32">
        <f t="shared" si="21"/>
        <v>0</v>
      </c>
      <c r="O62" s="32">
        <f t="shared" si="22"/>
        <v>0</v>
      </c>
      <c r="P62" s="32">
        <f t="shared" si="23"/>
        <v>0</v>
      </c>
      <c r="Q62" s="32">
        <f t="shared" si="24"/>
        <v>0</v>
      </c>
      <c r="R62" s="125"/>
      <c r="S62" s="125"/>
      <c r="T62" s="125"/>
      <c r="U62" s="125"/>
      <c r="V62" s="125"/>
      <c r="W62" s="125"/>
      <c r="X62" s="641"/>
      <c r="Y62" s="641"/>
      <c r="Z62" s="641"/>
      <c r="AA62" s="641"/>
      <c r="AB62" s="615"/>
      <c r="AC62" s="615"/>
      <c r="AD62" s="615"/>
      <c r="AE62" s="299">
        <v>15</v>
      </c>
      <c r="AF62" s="514">
        <f t="shared" ref="AF62:AQ62" si="39">IF(OR(ScriptSourceCode=1,ScriptSourceCode=3),AF119-AF90,0)</f>
        <v>0</v>
      </c>
      <c r="AG62" s="514">
        <f t="shared" si="39"/>
        <v>0</v>
      </c>
      <c r="AH62" s="514">
        <f t="shared" si="39"/>
        <v>0</v>
      </c>
      <c r="AI62" s="514">
        <f t="shared" si="39"/>
        <v>0</v>
      </c>
      <c r="AJ62" s="514">
        <f t="shared" si="39"/>
        <v>0</v>
      </c>
      <c r="AK62" s="514">
        <f t="shared" si="39"/>
        <v>0</v>
      </c>
      <c r="AL62" s="514">
        <f t="shared" si="39"/>
        <v>0</v>
      </c>
      <c r="AM62" s="514">
        <f t="shared" si="39"/>
        <v>0</v>
      </c>
      <c r="AN62" s="514">
        <f t="shared" si="39"/>
        <v>0</v>
      </c>
      <c r="AO62" s="514">
        <f t="shared" si="39"/>
        <v>0</v>
      </c>
      <c r="AP62" s="514">
        <f t="shared" si="39"/>
        <v>0</v>
      </c>
      <c r="AQ62" s="514">
        <f t="shared" si="39"/>
        <v>0</v>
      </c>
    </row>
    <row r="63" spans="1:43" hidden="1" outlineLevel="1" x14ac:dyDescent="0.2">
      <c r="A63" s="125"/>
      <c r="B63" s="291">
        <f t="shared" si="11"/>
        <v>0</v>
      </c>
      <c r="C63" s="58">
        <v>16</v>
      </c>
      <c r="D63" s="295" t="str">
        <f t="shared" si="12"/>
        <v>** NOT USED **</v>
      </c>
      <c r="E63" s="32">
        <f t="shared" si="13"/>
        <v>0</v>
      </c>
      <c r="F63" s="32">
        <f t="shared" si="14"/>
        <v>0</v>
      </c>
      <c r="G63" s="32">
        <f t="shared" si="15"/>
        <v>0</v>
      </c>
      <c r="H63" s="32">
        <f t="shared" si="16"/>
        <v>0</v>
      </c>
      <c r="I63" s="32">
        <f t="shared" si="17"/>
        <v>0</v>
      </c>
      <c r="J63" s="32">
        <f t="shared" si="18"/>
        <v>0</v>
      </c>
      <c r="K63" s="125"/>
      <c r="L63" s="32">
        <f t="shared" si="19"/>
        <v>0</v>
      </c>
      <c r="M63" s="32">
        <f t="shared" si="20"/>
        <v>0</v>
      </c>
      <c r="N63" s="32">
        <f t="shared" si="21"/>
        <v>0</v>
      </c>
      <c r="O63" s="32">
        <f t="shared" si="22"/>
        <v>0</v>
      </c>
      <c r="P63" s="32">
        <f t="shared" si="23"/>
        <v>0</v>
      </c>
      <c r="Q63" s="32">
        <f t="shared" si="24"/>
        <v>0</v>
      </c>
      <c r="R63" s="125"/>
      <c r="S63" s="125"/>
      <c r="T63" s="125"/>
      <c r="U63" s="125"/>
      <c r="V63" s="125"/>
      <c r="W63" s="125"/>
      <c r="X63" s="641"/>
      <c r="Y63" s="641"/>
      <c r="Z63" s="641"/>
      <c r="AA63" s="641"/>
      <c r="AB63" s="615"/>
      <c r="AC63" s="615"/>
      <c r="AD63" s="615"/>
      <c r="AE63" s="299">
        <v>16</v>
      </c>
      <c r="AF63" s="514">
        <f t="shared" ref="AF63:AQ63" si="40">IF(OR(ScriptSourceCode=1,ScriptSourceCode=3),AF120-AF91,0)</f>
        <v>0</v>
      </c>
      <c r="AG63" s="514">
        <f t="shared" si="40"/>
        <v>0</v>
      </c>
      <c r="AH63" s="514">
        <f t="shared" si="40"/>
        <v>0</v>
      </c>
      <c r="AI63" s="514">
        <f t="shared" si="40"/>
        <v>0</v>
      </c>
      <c r="AJ63" s="514">
        <f t="shared" si="40"/>
        <v>0</v>
      </c>
      <c r="AK63" s="514">
        <f t="shared" si="40"/>
        <v>0</v>
      </c>
      <c r="AL63" s="514">
        <f t="shared" si="40"/>
        <v>0</v>
      </c>
      <c r="AM63" s="514">
        <f t="shared" si="40"/>
        <v>0</v>
      </c>
      <c r="AN63" s="514">
        <f t="shared" si="40"/>
        <v>0</v>
      </c>
      <c r="AO63" s="514">
        <f t="shared" si="40"/>
        <v>0</v>
      </c>
      <c r="AP63" s="514">
        <f t="shared" si="40"/>
        <v>0</v>
      </c>
      <c r="AQ63" s="514">
        <f t="shared" si="40"/>
        <v>0</v>
      </c>
    </row>
    <row r="64" spans="1:43" hidden="1" outlineLevel="1" x14ac:dyDescent="0.2">
      <c r="A64" s="125"/>
      <c r="B64" s="291">
        <f t="shared" si="11"/>
        <v>0</v>
      </c>
      <c r="C64" s="58">
        <v>17</v>
      </c>
      <c r="D64" s="295" t="str">
        <f t="shared" si="12"/>
        <v>** NOT USED **</v>
      </c>
      <c r="E64" s="32">
        <f t="shared" si="13"/>
        <v>0</v>
      </c>
      <c r="F64" s="32">
        <f t="shared" si="14"/>
        <v>0</v>
      </c>
      <c r="G64" s="32">
        <f t="shared" si="15"/>
        <v>0</v>
      </c>
      <c r="H64" s="32">
        <f t="shared" si="16"/>
        <v>0</v>
      </c>
      <c r="I64" s="32">
        <f t="shared" si="17"/>
        <v>0</v>
      </c>
      <c r="J64" s="32">
        <f t="shared" si="18"/>
        <v>0</v>
      </c>
      <c r="K64" s="125"/>
      <c r="L64" s="32">
        <f t="shared" si="19"/>
        <v>0</v>
      </c>
      <c r="M64" s="32">
        <f t="shared" si="20"/>
        <v>0</v>
      </c>
      <c r="N64" s="32">
        <f t="shared" si="21"/>
        <v>0</v>
      </c>
      <c r="O64" s="32">
        <f t="shared" si="22"/>
        <v>0</v>
      </c>
      <c r="P64" s="32">
        <f t="shared" si="23"/>
        <v>0</v>
      </c>
      <c r="Q64" s="32">
        <f t="shared" si="24"/>
        <v>0</v>
      </c>
      <c r="R64" s="125"/>
      <c r="S64" s="125"/>
      <c r="T64" s="125"/>
      <c r="U64" s="125"/>
      <c r="V64" s="125"/>
      <c r="W64" s="125"/>
      <c r="X64" s="641"/>
      <c r="Y64" s="641"/>
      <c r="Z64" s="641"/>
      <c r="AA64" s="641"/>
      <c r="AB64" s="615"/>
      <c r="AC64" s="615"/>
      <c r="AD64" s="615"/>
      <c r="AE64" s="299">
        <v>17</v>
      </c>
      <c r="AF64" s="514">
        <f t="shared" ref="AF64:AQ64" si="41">IF(OR(ScriptSourceCode=1,ScriptSourceCode=3),AF121-AF92,0)</f>
        <v>0</v>
      </c>
      <c r="AG64" s="514">
        <f t="shared" si="41"/>
        <v>0</v>
      </c>
      <c r="AH64" s="514">
        <f t="shared" si="41"/>
        <v>0</v>
      </c>
      <c r="AI64" s="514">
        <f t="shared" si="41"/>
        <v>0</v>
      </c>
      <c r="AJ64" s="514">
        <f t="shared" si="41"/>
        <v>0</v>
      </c>
      <c r="AK64" s="514">
        <f t="shared" si="41"/>
        <v>0</v>
      </c>
      <c r="AL64" s="514">
        <f t="shared" si="41"/>
        <v>0</v>
      </c>
      <c r="AM64" s="514">
        <f t="shared" si="41"/>
        <v>0</v>
      </c>
      <c r="AN64" s="514">
        <f t="shared" si="41"/>
        <v>0</v>
      </c>
      <c r="AO64" s="514">
        <f t="shared" si="41"/>
        <v>0</v>
      </c>
      <c r="AP64" s="514">
        <f t="shared" si="41"/>
        <v>0</v>
      </c>
      <c r="AQ64" s="514">
        <f t="shared" si="41"/>
        <v>0</v>
      </c>
    </row>
    <row r="65" spans="1:43" hidden="1" outlineLevel="1" x14ac:dyDescent="0.2">
      <c r="A65" s="125"/>
      <c r="B65" s="291">
        <f t="shared" si="11"/>
        <v>0</v>
      </c>
      <c r="C65" s="58">
        <v>18</v>
      </c>
      <c r="D65" s="295" t="str">
        <f t="shared" si="12"/>
        <v>** NOT USED **</v>
      </c>
      <c r="E65" s="32">
        <f t="shared" si="13"/>
        <v>0</v>
      </c>
      <c r="F65" s="32">
        <f t="shared" si="14"/>
        <v>0</v>
      </c>
      <c r="G65" s="32">
        <f t="shared" si="15"/>
        <v>0</v>
      </c>
      <c r="H65" s="32">
        <f t="shared" si="16"/>
        <v>0</v>
      </c>
      <c r="I65" s="32">
        <f t="shared" si="17"/>
        <v>0</v>
      </c>
      <c r="J65" s="32">
        <f t="shared" si="18"/>
        <v>0</v>
      </c>
      <c r="K65" s="125"/>
      <c r="L65" s="32">
        <f t="shared" si="19"/>
        <v>0</v>
      </c>
      <c r="M65" s="32">
        <f t="shared" si="20"/>
        <v>0</v>
      </c>
      <c r="N65" s="32">
        <f t="shared" si="21"/>
        <v>0</v>
      </c>
      <c r="O65" s="32">
        <f t="shared" si="22"/>
        <v>0</v>
      </c>
      <c r="P65" s="32">
        <f t="shared" si="23"/>
        <v>0</v>
      </c>
      <c r="Q65" s="32">
        <f t="shared" si="24"/>
        <v>0</v>
      </c>
      <c r="R65" s="125"/>
      <c r="S65" s="125"/>
      <c r="T65" s="125"/>
      <c r="U65" s="125"/>
      <c r="V65" s="125"/>
      <c r="W65" s="125"/>
      <c r="X65" s="641"/>
      <c r="Y65" s="641"/>
      <c r="Z65" s="641"/>
      <c r="AA65" s="641"/>
      <c r="AB65" s="615"/>
      <c r="AC65" s="615"/>
      <c r="AD65" s="615"/>
      <c r="AE65" s="299">
        <v>18</v>
      </c>
      <c r="AF65" s="514">
        <f t="shared" ref="AF65:AQ65" si="42">IF(OR(ScriptSourceCode=1,ScriptSourceCode=3),AF122-AF93,0)</f>
        <v>0</v>
      </c>
      <c r="AG65" s="514">
        <f t="shared" si="42"/>
        <v>0</v>
      </c>
      <c r="AH65" s="514">
        <f t="shared" si="42"/>
        <v>0</v>
      </c>
      <c r="AI65" s="514">
        <f t="shared" si="42"/>
        <v>0</v>
      </c>
      <c r="AJ65" s="514">
        <f t="shared" si="42"/>
        <v>0</v>
      </c>
      <c r="AK65" s="514">
        <f t="shared" si="42"/>
        <v>0</v>
      </c>
      <c r="AL65" s="514">
        <f t="shared" si="42"/>
        <v>0</v>
      </c>
      <c r="AM65" s="514">
        <f t="shared" si="42"/>
        <v>0</v>
      </c>
      <c r="AN65" s="514">
        <f t="shared" si="42"/>
        <v>0</v>
      </c>
      <c r="AO65" s="514">
        <f t="shared" si="42"/>
        <v>0</v>
      </c>
      <c r="AP65" s="514">
        <f t="shared" si="42"/>
        <v>0</v>
      </c>
      <c r="AQ65" s="514">
        <f t="shared" si="42"/>
        <v>0</v>
      </c>
    </row>
    <row r="66" spans="1:43" hidden="1" outlineLevel="1" x14ac:dyDescent="0.2">
      <c r="A66" s="125"/>
      <c r="B66" s="291">
        <f t="shared" si="11"/>
        <v>0</v>
      </c>
      <c r="C66" s="58">
        <v>19</v>
      </c>
      <c r="D66" s="295" t="str">
        <f t="shared" si="12"/>
        <v>** NOT USED **</v>
      </c>
      <c r="E66" s="32">
        <f t="shared" si="13"/>
        <v>0</v>
      </c>
      <c r="F66" s="32">
        <f t="shared" si="14"/>
        <v>0</v>
      </c>
      <c r="G66" s="32">
        <f t="shared" si="15"/>
        <v>0</v>
      </c>
      <c r="H66" s="32">
        <f t="shared" si="16"/>
        <v>0</v>
      </c>
      <c r="I66" s="32">
        <f t="shared" si="17"/>
        <v>0</v>
      </c>
      <c r="J66" s="32">
        <f t="shared" si="18"/>
        <v>0</v>
      </c>
      <c r="K66" s="125"/>
      <c r="L66" s="32">
        <f t="shared" si="19"/>
        <v>0</v>
      </c>
      <c r="M66" s="32">
        <f t="shared" si="20"/>
        <v>0</v>
      </c>
      <c r="N66" s="32">
        <f t="shared" si="21"/>
        <v>0</v>
      </c>
      <c r="O66" s="32">
        <f t="shared" si="22"/>
        <v>0</v>
      </c>
      <c r="P66" s="32">
        <f t="shared" si="23"/>
        <v>0</v>
      </c>
      <c r="Q66" s="32">
        <f t="shared" si="24"/>
        <v>0</v>
      </c>
      <c r="R66" s="125"/>
      <c r="S66" s="125"/>
      <c r="T66" s="125"/>
      <c r="U66" s="125"/>
      <c r="V66" s="125"/>
      <c r="W66" s="125"/>
      <c r="X66" s="641"/>
      <c r="Y66" s="641"/>
      <c r="Z66" s="641"/>
      <c r="AA66" s="641"/>
      <c r="AB66" s="615"/>
      <c r="AC66" s="615"/>
      <c r="AD66" s="615"/>
      <c r="AE66" s="299">
        <v>19</v>
      </c>
      <c r="AF66" s="514">
        <f t="shared" ref="AF66:AQ66" si="43">IF(OR(ScriptSourceCode=1,ScriptSourceCode=3),AF123-AF94,0)</f>
        <v>0</v>
      </c>
      <c r="AG66" s="514">
        <f t="shared" si="43"/>
        <v>0</v>
      </c>
      <c r="AH66" s="514">
        <f t="shared" si="43"/>
        <v>0</v>
      </c>
      <c r="AI66" s="514">
        <f t="shared" si="43"/>
        <v>0</v>
      </c>
      <c r="AJ66" s="514">
        <f t="shared" si="43"/>
        <v>0</v>
      </c>
      <c r="AK66" s="514">
        <f t="shared" si="43"/>
        <v>0</v>
      </c>
      <c r="AL66" s="514">
        <f t="shared" si="43"/>
        <v>0</v>
      </c>
      <c r="AM66" s="514">
        <f t="shared" si="43"/>
        <v>0</v>
      </c>
      <c r="AN66" s="514">
        <f t="shared" si="43"/>
        <v>0</v>
      </c>
      <c r="AO66" s="514">
        <f t="shared" si="43"/>
        <v>0</v>
      </c>
      <c r="AP66" s="514">
        <f t="shared" si="43"/>
        <v>0</v>
      </c>
      <c r="AQ66" s="514">
        <f t="shared" si="43"/>
        <v>0</v>
      </c>
    </row>
    <row r="67" spans="1:43" hidden="1" outlineLevel="1" x14ac:dyDescent="0.2">
      <c r="A67" s="125"/>
      <c r="B67" s="291">
        <f t="shared" si="11"/>
        <v>0</v>
      </c>
      <c r="C67" s="58">
        <v>20</v>
      </c>
      <c r="D67" s="295" t="str">
        <f t="shared" si="12"/>
        <v>** NOT USED **</v>
      </c>
      <c r="E67" s="32">
        <f t="shared" si="13"/>
        <v>0</v>
      </c>
      <c r="F67" s="32">
        <f t="shared" si="14"/>
        <v>0</v>
      </c>
      <c r="G67" s="32">
        <f t="shared" si="15"/>
        <v>0</v>
      </c>
      <c r="H67" s="32">
        <f t="shared" si="16"/>
        <v>0</v>
      </c>
      <c r="I67" s="32">
        <f t="shared" si="17"/>
        <v>0</v>
      </c>
      <c r="J67" s="32">
        <f t="shared" si="18"/>
        <v>0</v>
      </c>
      <c r="K67" s="125"/>
      <c r="L67" s="32">
        <f t="shared" si="19"/>
        <v>0</v>
      </c>
      <c r="M67" s="32">
        <f t="shared" si="20"/>
        <v>0</v>
      </c>
      <c r="N67" s="32">
        <f t="shared" si="21"/>
        <v>0</v>
      </c>
      <c r="O67" s="32">
        <f t="shared" si="22"/>
        <v>0</v>
      </c>
      <c r="P67" s="32">
        <f t="shared" si="23"/>
        <v>0</v>
      </c>
      <c r="Q67" s="32">
        <f t="shared" si="24"/>
        <v>0</v>
      </c>
      <c r="R67" s="125"/>
      <c r="S67" s="125"/>
      <c r="T67" s="125"/>
      <c r="U67" s="125"/>
      <c r="V67" s="125"/>
      <c r="W67" s="125"/>
      <c r="X67" s="641"/>
      <c r="Y67" s="641"/>
      <c r="Z67" s="641"/>
      <c r="AA67" s="641"/>
      <c r="AB67" s="615"/>
      <c r="AC67" s="615"/>
      <c r="AD67" s="615"/>
      <c r="AE67" s="299">
        <v>20</v>
      </c>
      <c r="AF67" s="514">
        <f t="shared" ref="AF67:AQ67" si="44">IF(OR(ScriptSourceCode=1,ScriptSourceCode=3),AF124-AF95,0)</f>
        <v>0</v>
      </c>
      <c r="AG67" s="514">
        <f t="shared" si="44"/>
        <v>0</v>
      </c>
      <c r="AH67" s="514">
        <f t="shared" si="44"/>
        <v>0</v>
      </c>
      <c r="AI67" s="514">
        <f t="shared" si="44"/>
        <v>0</v>
      </c>
      <c r="AJ67" s="514">
        <f t="shared" si="44"/>
        <v>0</v>
      </c>
      <c r="AK67" s="514">
        <f t="shared" si="44"/>
        <v>0</v>
      </c>
      <c r="AL67" s="514">
        <f t="shared" si="44"/>
        <v>0</v>
      </c>
      <c r="AM67" s="514">
        <f t="shared" si="44"/>
        <v>0</v>
      </c>
      <c r="AN67" s="514">
        <f t="shared" si="44"/>
        <v>0</v>
      </c>
      <c r="AO67" s="514">
        <f t="shared" si="44"/>
        <v>0</v>
      </c>
      <c r="AP67" s="514">
        <f t="shared" si="44"/>
        <v>0</v>
      </c>
      <c r="AQ67" s="514">
        <f t="shared" si="44"/>
        <v>0</v>
      </c>
    </row>
    <row r="68" spans="1:43" hidden="1" outlineLevel="1" x14ac:dyDescent="0.2">
      <c r="A68" s="125"/>
      <c r="B68" s="291">
        <f>SUM(B48:B67)</f>
        <v>0</v>
      </c>
      <c r="C68" s="125"/>
      <c r="D68" s="62" t="s">
        <v>222</v>
      </c>
      <c r="E68" s="35">
        <f t="shared" ref="E68:J68" si="45">SUM(E48:E67)</f>
        <v>0</v>
      </c>
      <c r="F68" s="35">
        <f t="shared" si="45"/>
        <v>0</v>
      </c>
      <c r="G68" s="35">
        <f t="shared" si="45"/>
        <v>0</v>
      </c>
      <c r="H68" s="35">
        <f t="shared" si="45"/>
        <v>0</v>
      </c>
      <c r="I68" s="35">
        <f t="shared" si="45"/>
        <v>0</v>
      </c>
      <c r="J68" s="35">
        <f t="shared" si="45"/>
        <v>0</v>
      </c>
      <c r="K68" s="125"/>
      <c r="L68" s="35">
        <f t="shared" ref="L68:Q68" si="46">SUM(L48:L67)</f>
        <v>0</v>
      </c>
      <c r="M68" s="35">
        <f t="shared" si="46"/>
        <v>0</v>
      </c>
      <c r="N68" s="35">
        <f t="shared" si="46"/>
        <v>0</v>
      </c>
      <c r="O68" s="35">
        <f t="shared" si="46"/>
        <v>0</v>
      </c>
      <c r="P68" s="35">
        <f t="shared" si="46"/>
        <v>0</v>
      </c>
      <c r="Q68" s="35">
        <f t="shared" si="46"/>
        <v>0</v>
      </c>
      <c r="R68" s="125"/>
      <c r="S68" s="125"/>
      <c r="T68" s="125"/>
      <c r="U68" s="125"/>
      <c r="V68" s="125"/>
      <c r="W68" s="125"/>
      <c r="X68" s="641"/>
      <c r="Y68" s="641"/>
      <c r="Z68" s="641"/>
      <c r="AA68" s="641"/>
      <c r="AB68" s="615"/>
      <c r="AC68" s="615"/>
      <c r="AD68" s="615"/>
    </row>
    <row r="69" spans="1:43" hidden="1" outlineLevel="1" x14ac:dyDescent="0.2">
      <c r="A69" s="125"/>
      <c r="B69" s="125"/>
      <c r="C69" s="125"/>
      <c r="D69" s="643"/>
      <c r="E69" s="702"/>
      <c r="F69" s="702"/>
      <c r="G69" s="702"/>
      <c r="H69" s="702"/>
      <c r="I69" s="702"/>
      <c r="J69" s="702"/>
      <c r="K69" s="125"/>
      <c r="L69" s="125"/>
      <c r="M69" s="125"/>
      <c r="N69" s="125"/>
      <c r="O69" s="125"/>
      <c r="P69" s="125"/>
      <c r="Q69" s="125"/>
      <c r="R69" s="125"/>
      <c r="S69" s="125"/>
      <c r="T69" s="125"/>
      <c r="U69" s="125"/>
      <c r="V69" s="125"/>
      <c r="W69" s="125"/>
      <c r="X69" s="641"/>
      <c r="Y69" s="641"/>
      <c r="Z69" s="641"/>
      <c r="AA69" s="641"/>
      <c r="AB69" s="615"/>
      <c r="AC69" s="615"/>
      <c r="AD69" s="615"/>
    </row>
    <row r="70" spans="1:43" collapsed="1" x14ac:dyDescent="0.2">
      <c r="A70" s="125"/>
      <c r="B70" s="125"/>
      <c r="C70" s="125"/>
      <c r="D70" s="125"/>
      <c r="E70" s="125"/>
      <c r="F70" s="125"/>
      <c r="G70" s="125"/>
      <c r="H70" s="125"/>
      <c r="I70" s="125"/>
      <c r="J70" s="125"/>
      <c r="K70" s="125"/>
      <c r="L70" s="125"/>
      <c r="M70" s="125"/>
      <c r="N70" s="125"/>
      <c r="O70" s="125"/>
      <c r="P70" s="125"/>
      <c r="Q70" s="125"/>
      <c r="R70" s="125"/>
      <c r="S70" s="615"/>
      <c r="T70" s="615"/>
      <c r="U70" s="615"/>
      <c r="V70" s="615"/>
      <c r="W70" s="615"/>
      <c r="X70" s="641"/>
      <c r="Y70" s="641"/>
      <c r="Z70" s="641"/>
      <c r="AA70" s="641"/>
      <c r="AB70" s="615"/>
      <c r="AC70" s="615"/>
      <c r="AD70" s="615"/>
    </row>
    <row r="71" spans="1:43" ht="15.75" x14ac:dyDescent="0.2">
      <c r="A71" s="131"/>
      <c r="B71" s="131"/>
      <c r="C71" s="131"/>
      <c r="D71" s="123" t="s">
        <v>919</v>
      </c>
      <c r="E71" s="149"/>
      <c r="F71" s="124"/>
      <c r="G71" s="124"/>
      <c r="H71" s="124"/>
      <c r="I71" s="839" t="str">
        <f>IF(B97=0,MsgNotUsed,"")</f>
        <v>** NOT USED **</v>
      </c>
      <c r="J71" s="839"/>
      <c r="K71" s="124"/>
      <c r="L71" s="124"/>
      <c r="M71" s="124"/>
      <c r="N71" s="124"/>
      <c r="O71" s="124"/>
      <c r="P71" s="839"/>
      <c r="Q71" s="840"/>
      <c r="R71" s="124"/>
      <c r="S71" s="124"/>
      <c r="T71" s="124"/>
      <c r="U71" s="124"/>
      <c r="V71" s="124"/>
      <c r="W71" s="124"/>
      <c r="X71" s="124"/>
      <c r="Y71" s="124"/>
      <c r="Z71" s="124"/>
      <c r="AA71" s="124"/>
      <c r="AB71" s="124"/>
      <c r="AC71" s="124"/>
      <c r="AD71" s="124"/>
      <c r="AE71" s="124"/>
      <c r="AF71" s="124"/>
      <c r="AG71" s="124"/>
      <c r="AH71" s="124"/>
      <c r="AI71" s="124"/>
      <c r="AJ71" s="124"/>
      <c r="AK71" s="124"/>
      <c r="AL71" s="124"/>
      <c r="AM71" s="124"/>
      <c r="AN71" s="124"/>
      <c r="AO71" s="124"/>
      <c r="AP71" s="124"/>
      <c r="AQ71" s="124"/>
    </row>
    <row r="72" spans="1:43" hidden="1" outlineLevel="1" x14ac:dyDescent="0.2">
      <c r="A72" s="125"/>
      <c r="B72" s="125"/>
      <c r="C72" s="125"/>
      <c r="D72" s="657"/>
      <c r="E72" s="657"/>
      <c r="F72" s="657"/>
      <c r="G72" s="657"/>
      <c r="H72" s="657"/>
      <c r="I72" s="657"/>
      <c r="J72" s="657"/>
      <c r="K72" s="657"/>
      <c r="L72" s="657"/>
      <c r="M72" s="657"/>
      <c r="N72" s="657"/>
      <c r="O72" s="657"/>
      <c r="P72" s="657"/>
      <c r="Q72" s="657"/>
      <c r="R72" s="657"/>
      <c r="S72" s="657"/>
      <c r="T72" s="657"/>
      <c r="U72" s="657"/>
      <c r="V72" s="657"/>
      <c r="W72" s="657"/>
      <c r="X72" s="657"/>
      <c r="Y72" s="657"/>
      <c r="Z72" s="657"/>
      <c r="AA72" s="657"/>
      <c r="AB72" s="657"/>
      <c r="AC72" s="657"/>
      <c r="AD72" s="657"/>
      <c r="AE72" s="657"/>
      <c r="AF72" s="657"/>
      <c r="AG72" s="657"/>
      <c r="AH72" s="657"/>
      <c r="AI72" s="657"/>
      <c r="AJ72" s="657"/>
      <c r="AK72" s="657"/>
      <c r="AL72" s="657"/>
      <c r="AM72" s="657"/>
      <c r="AN72" s="657"/>
      <c r="AO72" s="657"/>
      <c r="AP72" s="657"/>
      <c r="AQ72" s="657"/>
    </row>
    <row r="73" spans="1:43" hidden="1" outlineLevel="1" x14ac:dyDescent="0.2">
      <c r="A73" s="125"/>
      <c r="B73" s="125"/>
      <c r="C73" s="125"/>
      <c r="D73" s="646" t="s">
        <v>929</v>
      </c>
      <c r="E73" s="657"/>
      <c r="F73" s="657"/>
      <c r="G73" s="657"/>
      <c r="H73" s="657"/>
      <c r="I73" s="657"/>
      <c r="J73" s="657"/>
      <c r="K73" s="657"/>
      <c r="L73" s="657"/>
      <c r="M73" s="657"/>
      <c r="N73" s="657"/>
      <c r="O73" s="657"/>
      <c r="P73" s="657"/>
      <c r="Q73" s="657"/>
      <c r="R73" s="657"/>
      <c r="S73" s="657"/>
      <c r="T73" s="657"/>
      <c r="U73" s="657"/>
      <c r="V73" s="657"/>
      <c r="W73" s="657"/>
      <c r="X73" s="641"/>
      <c r="Y73" s="641"/>
      <c r="Z73" s="641"/>
      <c r="AA73" s="641"/>
      <c r="AB73" s="615"/>
      <c r="AC73" s="615"/>
      <c r="AD73" s="615"/>
      <c r="AE73" s="615"/>
      <c r="AF73" s="856" t="s">
        <v>226</v>
      </c>
      <c r="AG73" s="856"/>
      <c r="AH73" s="856"/>
      <c r="AI73" s="856"/>
      <c r="AJ73" s="856"/>
      <c r="AK73" s="856"/>
      <c r="AL73" s="856"/>
      <c r="AM73" s="856"/>
      <c r="AN73" s="856"/>
      <c r="AO73" s="856"/>
      <c r="AP73" s="856"/>
      <c r="AQ73" s="856"/>
    </row>
    <row r="74" spans="1:43" hidden="1" outlineLevel="1" x14ac:dyDescent="0.2">
      <c r="A74" s="125"/>
      <c r="B74" s="125"/>
      <c r="C74" s="125"/>
      <c r="D74" s="657"/>
      <c r="E74" s="657"/>
      <c r="F74" s="657"/>
      <c r="G74" s="657"/>
      <c r="H74" s="657"/>
      <c r="I74" s="657"/>
      <c r="J74" s="657"/>
      <c r="K74" s="657"/>
      <c r="L74" s="657"/>
      <c r="M74" s="657"/>
      <c r="N74" s="657"/>
      <c r="O74" s="657"/>
      <c r="P74" s="657"/>
      <c r="Q74" s="657"/>
      <c r="R74" s="657"/>
      <c r="S74" s="657"/>
      <c r="T74" s="657"/>
      <c r="U74" s="657"/>
      <c r="V74" s="657"/>
      <c r="W74" s="657"/>
      <c r="X74" s="641"/>
      <c r="Y74" s="641"/>
      <c r="Z74" s="641"/>
      <c r="AA74" s="641"/>
      <c r="AB74" s="615"/>
      <c r="AC74" s="615"/>
      <c r="AD74" s="615"/>
      <c r="AE74" s="615"/>
      <c r="AF74" s="855" t="str">
        <f>AF46</f>
        <v/>
      </c>
      <c r="AG74" s="855"/>
      <c r="AH74" s="855"/>
      <c r="AI74" s="855"/>
      <c r="AJ74" s="855"/>
      <c r="AK74" s="855"/>
      <c r="AL74" s="855" t="str">
        <f>AL46</f>
        <v/>
      </c>
      <c r="AM74" s="855"/>
      <c r="AN74" s="855"/>
      <c r="AO74" s="855"/>
      <c r="AP74" s="855"/>
      <c r="AQ74" s="855"/>
    </row>
    <row r="75" spans="1:43" hidden="1" outlineLevel="1" x14ac:dyDescent="0.2">
      <c r="A75" s="125"/>
      <c r="B75" s="125"/>
      <c r="C75" s="125"/>
      <c r="D75" s="646"/>
      <c r="E75" s="830" t="s">
        <v>223</v>
      </c>
      <c r="F75" s="841"/>
      <c r="G75" s="841"/>
      <c r="H75" s="841"/>
      <c r="I75" s="841"/>
      <c r="J75" s="842"/>
      <c r="K75" s="162"/>
      <c r="L75" s="830" t="s">
        <v>224</v>
      </c>
      <c r="M75" s="841"/>
      <c r="N75" s="841"/>
      <c r="O75" s="841"/>
      <c r="P75" s="841"/>
      <c r="Q75" s="842"/>
      <c r="R75" s="125"/>
      <c r="S75" s="125"/>
      <c r="T75" s="125"/>
      <c r="U75" s="125"/>
      <c r="V75" s="125"/>
      <c r="W75" s="125"/>
      <c r="X75" s="641"/>
      <c r="Y75" s="641"/>
      <c r="Z75" s="641"/>
      <c r="AA75" s="641"/>
      <c r="AB75" s="615"/>
      <c r="AC75" s="615"/>
      <c r="AD75" s="615"/>
      <c r="AE75" s="615"/>
      <c r="AF75" s="229">
        <f>FirstYear</f>
        <v>2021</v>
      </c>
      <c r="AG75" s="229">
        <f>AF75+1</f>
        <v>2022</v>
      </c>
      <c r="AH75" s="229">
        <f>AG75+1</f>
        <v>2023</v>
      </c>
      <c r="AI75" s="229">
        <f>AH75+1</f>
        <v>2024</v>
      </c>
      <c r="AJ75" s="229">
        <f>AI75+1</f>
        <v>2025</v>
      </c>
      <c r="AK75" s="229">
        <f>AJ75+1</f>
        <v>2026</v>
      </c>
      <c r="AL75" s="229">
        <f>FirstYear</f>
        <v>2021</v>
      </c>
      <c r="AM75" s="229">
        <f>AL75+1</f>
        <v>2022</v>
      </c>
      <c r="AN75" s="229">
        <f>AM75+1</f>
        <v>2023</v>
      </c>
      <c r="AO75" s="229">
        <f>AN75+1</f>
        <v>2024</v>
      </c>
      <c r="AP75" s="229">
        <f>AO75+1</f>
        <v>2025</v>
      </c>
      <c r="AQ75" s="229">
        <f>AP75+1</f>
        <v>2026</v>
      </c>
    </row>
    <row r="76" spans="1:43" hidden="1" outlineLevel="1" x14ac:dyDescent="0.2">
      <c r="A76" s="125"/>
      <c r="B76" s="125"/>
      <c r="C76" s="125"/>
      <c r="D76" s="66" t="s">
        <v>812</v>
      </c>
      <c r="E76" s="278">
        <f>FirstYear</f>
        <v>2021</v>
      </c>
      <c r="F76" s="278">
        <f>E76+1</f>
        <v>2022</v>
      </c>
      <c r="G76" s="278">
        <f>F76+1</f>
        <v>2023</v>
      </c>
      <c r="H76" s="278">
        <f>G76+1</f>
        <v>2024</v>
      </c>
      <c r="I76" s="278">
        <f>H76+1</f>
        <v>2025</v>
      </c>
      <c r="J76" s="278">
        <f>I76+1</f>
        <v>2026</v>
      </c>
      <c r="K76" s="125"/>
      <c r="L76" s="278">
        <f>FirstYear</f>
        <v>2021</v>
      </c>
      <c r="M76" s="278">
        <f>L76+1</f>
        <v>2022</v>
      </c>
      <c r="N76" s="278">
        <f>M76+1</f>
        <v>2023</v>
      </c>
      <c r="O76" s="278">
        <f>N76+1</f>
        <v>2024</v>
      </c>
      <c r="P76" s="278">
        <f>O76+1</f>
        <v>2025</v>
      </c>
      <c r="Q76" s="278">
        <f>P76+1</f>
        <v>2026</v>
      </c>
      <c r="R76" s="125"/>
      <c r="S76" s="125"/>
      <c r="T76" s="125"/>
      <c r="U76" s="125"/>
      <c r="V76" s="125"/>
      <c r="W76" s="125"/>
      <c r="X76" s="641"/>
      <c r="Y76" s="641"/>
      <c r="Z76" s="641"/>
      <c r="AA76" s="641"/>
      <c r="AB76" s="615"/>
      <c r="AC76" s="615"/>
      <c r="AD76" s="615"/>
      <c r="AE76" s="299">
        <v>1</v>
      </c>
      <c r="AF76" s="514">
        <f t="shared" ref="AF76:AK85" si="47">IF(OR(ScriptSourceCode=1,ScriptSourceCode=3),IF($AE105&lt;&gt;0,ROUND(AF105*INDEX(PxTxPhase1Adj,$AE105,9),0),0),0)</f>
        <v>0</v>
      </c>
      <c r="AG76" s="514">
        <f t="shared" si="47"/>
        <v>0</v>
      </c>
      <c r="AH76" s="514">
        <f t="shared" si="47"/>
        <v>0</v>
      </c>
      <c r="AI76" s="514">
        <f t="shared" si="47"/>
        <v>0</v>
      </c>
      <c r="AJ76" s="514">
        <f t="shared" si="47"/>
        <v>0</v>
      </c>
      <c r="AK76" s="514">
        <f t="shared" si="47"/>
        <v>0</v>
      </c>
      <c r="AL76" s="514">
        <f t="shared" ref="AL76:AQ85" si="48">IF(OR(ScriptSourceCode=1,ScriptSourceCode=3),IF($AE105&lt;&gt;0,ROUND(AL105*INDEX(PxTxPhase2Adj,$AE105,9),0),0),0)</f>
        <v>0</v>
      </c>
      <c r="AM76" s="514">
        <f t="shared" si="48"/>
        <v>0</v>
      </c>
      <c r="AN76" s="514">
        <f t="shared" si="48"/>
        <v>0</v>
      </c>
      <c r="AO76" s="514">
        <f t="shared" si="48"/>
        <v>0</v>
      </c>
      <c r="AP76" s="514">
        <f t="shared" si="48"/>
        <v>0</v>
      </c>
      <c r="AQ76" s="514">
        <f t="shared" si="48"/>
        <v>0</v>
      </c>
    </row>
    <row r="77" spans="1:43" hidden="1" outlineLevel="1" x14ac:dyDescent="0.2">
      <c r="A77" s="125"/>
      <c r="B77" s="291">
        <f t="shared" ref="B77:B96" si="49">IF(D77&lt;&gt;MsgNotUsed,1,0)</f>
        <v>0</v>
      </c>
      <c r="C77" s="58">
        <v>1</v>
      </c>
      <c r="D77" s="281" t="str">
        <f t="shared" ref="D77:D96" si="50">IF(D133&lt;&gt;"",AB133,IF(ScriptSourceCode&lt;&gt;1,INDEX(PBSScriptsOld,C77,1),MsgNotUsed))</f>
        <v>** NOT USED **</v>
      </c>
      <c r="E77" s="32">
        <f>IF($D133&lt;&gt;"",F192,IF(MarketImpact=0,'2e. Scripts - market'!D16,0))</f>
        <v>0</v>
      </c>
      <c r="F77" s="32">
        <f>IF($D133&lt;&gt;"",G192,IF(MarketImpact=0,'2e. Scripts - market'!E16,0))</f>
        <v>0</v>
      </c>
      <c r="G77" s="32">
        <f>IF($D133&lt;&gt;"",H192,IF(MarketImpact=0,'2e. Scripts - market'!F16,0))</f>
        <v>0</v>
      </c>
      <c r="H77" s="32">
        <f>IF($D133&lt;&gt;"",I192,IF(MarketImpact=0,'2e. Scripts - market'!G16,0))</f>
        <v>0</v>
      </c>
      <c r="I77" s="32">
        <f>IF($D133&lt;&gt;"",J192,IF(MarketImpact=0,'2e. Scripts - market'!H16,0))</f>
        <v>0</v>
      </c>
      <c r="J77" s="32">
        <f>IF($D133&lt;&gt;"",K192,IF(MarketImpact=0,'2e. Scripts - market'!I16,0))</f>
        <v>0</v>
      </c>
      <c r="K77" s="125"/>
      <c r="L77" s="32">
        <f>IF($D133&lt;&gt;"",F193,IF(MarketImpact=0,'2e. Scripts - market'!K16,0))</f>
        <v>0</v>
      </c>
      <c r="M77" s="32">
        <f>IF($D133&lt;&gt;"",G193,IF(MarketImpact=0,'2e. Scripts - market'!L16,0))</f>
        <v>0</v>
      </c>
      <c r="N77" s="32">
        <f>IF($D133&lt;&gt;"",H193,IF(MarketImpact=0,'2e. Scripts - market'!M16,0))</f>
        <v>0</v>
      </c>
      <c r="O77" s="32">
        <f>IF($D133&lt;&gt;"",I193,IF(MarketImpact=0,'2e. Scripts - market'!N16,0))</f>
        <v>0</v>
      </c>
      <c r="P77" s="32">
        <f>IF($D133&lt;&gt;"",J193,IF(MarketImpact=0,'2e. Scripts - market'!O16,0))</f>
        <v>0</v>
      </c>
      <c r="Q77" s="32">
        <f>IF($D133&lt;&gt;"",K193,IF(MarketImpact=0,'2e. Scripts - market'!P16,0))</f>
        <v>0</v>
      </c>
      <c r="R77" s="125"/>
      <c r="S77" s="125"/>
      <c r="T77" s="125"/>
      <c r="U77" s="125"/>
      <c r="V77" s="125"/>
      <c r="W77" s="125"/>
      <c r="X77" s="641"/>
      <c r="Y77" s="641"/>
      <c r="Z77" s="641"/>
      <c r="AA77" s="641"/>
      <c r="AB77" s="615"/>
      <c r="AC77" s="615"/>
      <c r="AD77" s="615"/>
      <c r="AE77" s="299">
        <v>2</v>
      </c>
      <c r="AF77" s="514">
        <f t="shared" si="47"/>
        <v>0</v>
      </c>
      <c r="AG77" s="514">
        <f t="shared" si="47"/>
        <v>0</v>
      </c>
      <c r="AH77" s="514">
        <f t="shared" si="47"/>
        <v>0</v>
      </c>
      <c r="AI77" s="514">
        <f t="shared" si="47"/>
        <v>0</v>
      </c>
      <c r="AJ77" s="514">
        <f t="shared" si="47"/>
        <v>0</v>
      </c>
      <c r="AK77" s="514">
        <f t="shared" si="47"/>
        <v>0</v>
      </c>
      <c r="AL77" s="514">
        <f t="shared" si="48"/>
        <v>0</v>
      </c>
      <c r="AM77" s="514">
        <f t="shared" si="48"/>
        <v>0</v>
      </c>
      <c r="AN77" s="514">
        <f t="shared" si="48"/>
        <v>0</v>
      </c>
      <c r="AO77" s="514">
        <f t="shared" si="48"/>
        <v>0</v>
      </c>
      <c r="AP77" s="514">
        <f t="shared" si="48"/>
        <v>0</v>
      </c>
      <c r="AQ77" s="514">
        <f t="shared" si="48"/>
        <v>0</v>
      </c>
    </row>
    <row r="78" spans="1:43" hidden="1" outlineLevel="1" x14ac:dyDescent="0.2">
      <c r="A78" s="125"/>
      <c r="B78" s="291">
        <f t="shared" si="49"/>
        <v>0</v>
      </c>
      <c r="C78" s="58">
        <v>2</v>
      </c>
      <c r="D78" s="541" t="str">
        <f t="shared" si="50"/>
        <v>** NOT USED **</v>
      </c>
      <c r="E78" s="32">
        <f>IF($D134&lt;&gt;"",F204,IF(MarketImpact=0,'2e. Scripts - market'!D17,0))</f>
        <v>0</v>
      </c>
      <c r="F78" s="32">
        <f>IF($D134&lt;&gt;"",G204,IF(MarketImpact=0,'2e. Scripts - market'!E17,0))</f>
        <v>0</v>
      </c>
      <c r="G78" s="32">
        <f>IF($D134&lt;&gt;"",H204,IF(MarketImpact=0,'2e. Scripts - market'!F17,0))</f>
        <v>0</v>
      </c>
      <c r="H78" s="32">
        <f>IF($D134&lt;&gt;"",I204,IF(MarketImpact=0,'2e. Scripts - market'!G17,0))</f>
        <v>0</v>
      </c>
      <c r="I78" s="32">
        <f>IF($D134&lt;&gt;"",J204,IF(MarketImpact=0,'2e. Scripts - market'!H17,0))</f>
        <v>0</v>
      </c>
      <c r="J78" s="32">
        <f>IF($D134&lt;&gt;"",K204,IF(MarketImpact=0,'2e. Scripts - market'!I17,0))</f>
        <v>0</v>
      </c>
      <c r="K78" s="125"/>
      <c r="L78" s="32">
        <f>IF($D134&lt;&gt;"",F205,IF(MarketImpact=0,'2e. Scripts - market'!K17,0))</f>
        <v>0</v>
      </c>
      <c r="M78" s="32">
        <f>IF($D134&lt;&gt;"",G205,IF(MarketImpact=0,'2e. Scripts - market'!L17,0))</f>
        <v>0</v>
      </c>
      <c r="N78" s="32">
        <f>IF($D134&lt;&gt;"",H205,IF(MarketImpact=0,'2e. Scripts - market'!M17,0))</f>
        <v>0</v>
      </c>
      <c r="O78" s="32">
        <f>IF($D134&lt;&gt;"",I205,IF(MarketImpact=0,'2e. Scripts - market'!N17,0))</f>
        <v>0</v>
      </c>
      <c r="P78" s="32">
        <f>IF($D134&lt;&gt;"",J205,IF(MarketImpact=0,'2e. Scripts - market'!O17,0))</f>
        <v>0</v>
      </c>
      <c r="Q78" s="32">
        <f>IF($D134&lt;&gt;"",K205,IF(MarketImpact=0,'2e. Scripts - market'!P17,0))</f>
        <v>0</v>
      </c>
      <c r="R78" s="125"/>
      <c r="S78" s="125"/>
      <c r="T78" s="125"/>
      <c r="U78" s="125"/>
      <c r="V78" s="125"/>
      <c r="W78" s="125"/>
      <c r="X78" s="641"/>
      <c r="Y78" s="641"/>
      <c r="Z78" s="641"/>
      <c r="AA78" s="641"/>
      <c r="AB78" s="615"/>
      <c r="AC78" s="615"/>
      <c r="AD78" s="615"/>
      <c r="AE78" s="299">
        <v>3</v>
      </c>
      <c r="AF78" s="514">
        <f t="shared" si="47"/>
        <v>0</v>
      </c>
      <c r="AG78" s="514">
        <f t="shared" si="47"/>
        <v>0</v>
      </c>
      <c r="AH78" s="514">
        <f t="shared" si="47"/>
        <v>0</v>
      </c>
      <c r="AI78" s="514">
        <f t="shared" si="47"/>
        <v>0</v>
      </c>
      <c r="AJ78" s="514">
        <f t="shared" si="47"/>
        <v>0</v>
      </c>
      <c r="AK78" s="514">
        <f t="shared" si="47"/>
        <v>0</v>
      </c>
      <c r="AL78" s="514">
        <f t="shared" si="48"/>
        <v>0</v>
      </c>
      <c r="AM78" s="514">
        <f t="shared" si="48"/>
        <v>0</v>
      </c>
      <c r="AN78" s="514">
        <f t="shared" si="48"/>
        <v>0</v>
      </c>
      <c r="AO78" s="514">
        <f t="shared" si="48"/>
        <v>0</v>
      </c>
      <c r="AP78" s="514">
        <f t="shared" si="48"/>
        <v>0</v>
      </c>
      <c r="AQ78" s="514">
        <f t="shared" si="48"/>
        <v>0</v>
      </c>
    </row>
    <row r="79" spans="1:43" hidden="1" outlineLevel="1" x14ac:dyDescent="0.2">
      <c r="A79" s="125"/>
      <c r="B79" s="291">
        <f t="shared" si="49"/>
        <v>0</v>
      </c>
      <c r="C79" s="58">
        <v>3</v>
      </c>
      <c r="D79" s="541" t="str">
        <f t="shared" si="50"/>
        <v>** NOT USED **</v>
      </c>
      <c r="E79" s="32">
        <f>IF($D135&lt;&gt;"",F216,IF(MarketImpact=0,'2e. Scripts - market'!D18,0))</f>
        <v>0</v>
      </c>
      <c r="F79" s="32">
        <f>IF($D135&lt;&gt;"",G216,IF(MarketImpact=0,'2e. Scripts - market'!E18,0))</f>
        <v>0</v>
      </c>
      <c r="G79" s="32">
        <f>IF($D135&lt;&gt;"",H216,IF(MarketImpact=0,'2e. Scripts - market'!F18,0))</f>
        <v>0</v>
      </c>
      <c r="H79" s="32">
        <f>IF($D135&lt;&gt;"",I216,IF(MarketImpact=0,'2e. Scripts - market'!G18,0))</f>
        <v>0</v>
      </c>
      <c r="I79" s="32">
        <f>IF($D135&lt;&gt;"",J216,IF(MarketImpact=0,'2e. Scripts - market'!H18,0))</f>
        <v>0</v>
      </c>
      <c r="J79" s="32">
        <f>IF($D135&lt;&gt;"",K216,IF(MarketImpact=0,'2e. Scripts - market'!I18,0))</f>
        <v>0</v>
      </c>
      <c r="K79" s="125"/>
      <c r="L79" s="32">
        <f>IF($D135&lt;&gt;"",F217,IF(MarketImpact=0,'2e. Scripts - market'!K18,0))</f>
        <v>0</v>
      </c>
      <c r="M79" s="32">
        <f>IF($D135&lt;&gt;"",G217,IF(MarketImpact=0,'2e. Scripts - market'!L18,0))</f>
        <v>0</v>
      </c>
      <c r="N79" s="32">
        <f>IF($D135&lt;&gt;"",H217,IF(MarketImpact=0,'2e. Scripts - market'!M18,0))</f>
        <v>0</v>
      </c>
      <c r="O79" s="32">
        <f>IF($D135&lt;&gt;"",I217,IF(MarketImpact=0,'2e. Scripts - market'!N18,0))</f>
        <v>0</v>
      </c>
      <c r="P79" s="32">
        <f>IF($D135&lt;&gt;"",J217,IF(MarketImpact=0,'2e. Scripts - market'!O18,0))</f>
        <v>0</v>
      </c>
      <c r="Q79" s="32">
        <f>IF($D135&lt;&gt;"",K217,IF(MarketImpact=0,'2e. Scripts - market'!P18,0))</f>
        <v>0</v>
      </c>
      <c r="R79" s="125"/>
      <c r="S79" s="125"/>
      <c r="T79" s="125"/>
      <c r="U79" s="125"/>
      <c r="V79" s="125"/>
      <c r="W79" s="125"/>
      <c r="X79" s="641"/>
      <c r="Y79" s="641"/>
      <c r="Z79" s="641"/>
      <c r="AA79" s="641"/>
      <c r="AB79" s="615"/>
      <c r="AC79" s="615"/>
      <c r="AD79" s="615"/>
      <c r="AE79" s="299">
        <v>4</v>
      </c>
      <c r="AF79" s="514">
        <f t="shared" si="47"/>
        <v>0</v>
      </c>
      <c r="AG79" s="514">
        <f t="shared" si="47"/>
        <v>0</v>
      </c>
      <c r="AH79" s="514">
        <f t="shared" si="47"/>
        <v>0</v>
      </c>
      <c r="AI79" s="514">
        <f t="shared" si="47"/>
        <v>0</v>
      </c>
      <c r="AJ79" s="514">
        <f t="shared" si="47"/>
        <v>0</v>
      </c>
      <c r="AK79" s="514">
        <f t="shared" si="47"/>
        <v>0</v>
      </c>
      <c r="AL79" s="514">
        <f t="shared" si="48"/>
        <v>0</v>
      </c>
      <c r="AM79" s="514">
        <f t="shared" si="48"/>
        <v>0</v>
      </c>
      <c r="AN79" s="514">
        <f t="shared" si="48"/>
        <v>0</v>
      </c>
      <c r="AO79" s="514">
        <f t="shared" si="48"/>
        <v>0</v>
      </c>
      <c r="AP79" s="514">
        <f t="shared" si="48"/>
        <v>0</v>
      </c>
      <c r="AQ79" s="514">
        <f t="shared" si="48"/>
        <v>0</v>
      </c>
    </row>
    <row r="80" spans="1:43" hidden="1" outlineLevel="1" x14ac:dyDescent="0.2">
      <c r="A80" s="125"/>
      <c r="B80" s="291">
        <f t="shared" si="49"/>
        <v>0</v>
      </c>
      <c r="C80" s="58">
        <v>4</v>
      </c>
      <c r="D80" s="541" t="str">
        <f t="shared" si="50"/>
        <v>** NOT USED **</v>
      </c>
      <c r="E80" s="32">
        <f>IF($D136&lt;&gt;"",F228,IF(MarketImpact=0,'2e. Scripts - market'!D19,0))</f>
        <v>0</v>
      </c>
      <c r="F80" s="32">
        <f>IF($D136&lt;&gt;"",G228,IF(MarketImpact=0,'2e. Scripts - market'!E19,0))</f>
        <v>0</v>
      </c>
      <c r="G80" s="32">
        <f>IF($D136&lt;&gt;"",H228,IF(MarketImpact=0,'2e. Scripts - market'!F19,0))</f>
        <v>0</v>
      </c>
      <c r="H80" s="32">
        <f>IF($D136&lt;&gt;"",I228,IF(MarketImpact=0,'2e. Scripts - market'!G19,0))</f>
        <v>0</v>
      </c>
      <c r="I80" s="32">
        <f>IF($D136&lt;&gt;"",J228,IF(MarketImpact=0,'2e. Scripts - market'!H19,0))</f>
        <v>0</v>
      </c>
      <c r="J80" s="32">
        <f>IF($D136&lt;&gt;"",K228,IF(MarketImpact=0,'2e. Scripts - market'!I19,0))</f>
        <v>0</v>
      </c>
      <c r="K80" s="125"/>
      <c r="L80" s="32">
        <f>IF($D136&lt;&gt;"",F229,IF(MarketImpact=0,'2e. Scripts - market'!K19,0))</f>
        <v>0</v>
      </c>
      <c r="M80" s="32">
        <f>IF($D136&lt;&gt;"",G229,IF(MarketImpact=0,'2e. Scripts - market'!L19,0))</f>
        <v>0</v>
      </c>
      <c r="N80" s="32">
        <f>IF($D136&lt;&gt;"",H229,IF(MarketImpact=0,'2e. Scripts - market'!M19,0))</f>
        <v>0</v>
      </c>
      <c r="O80" s="32">
        <f>IF($D136&lt;&gt;"",I229,IF(MarketImpact=0,'2e. Scripts - market'!N19,0))</f>
        <v>0</v>
      </c>
      <c r="P80" s="32">
        <f>IF($D136&lt;&gt;"",J229,IF(MarketImpact=0,'2e. Scripts - market'!O19,0))</f>
        <v>0</v>
      </c>
      <c r="Q80" s="32">
        <f>IF($D136&lt;&gt;"",K229,IF(MarketImpact=0,'2e. Scripts - market'!P19,0))</f>
        <v>0</v>
      </c>
      <c r="R80" s="125"/>
      <c r="S80" s="125"/>
      <c r="T80" s="125"/>
      <c r="U80" s="125"/>
      <c r="V80" s="125"/>
      <c r="W80" s="125"/>
      <c r="X80" s="641"/>
      <c r="Y80" s="641"/>
      <c r="Z80" s="641"/>
      <c r="AA80" s="641"/>
      <c r="AB80" s="615"/>
      <c r="AC80" s="615"/>
      <c r="AD80" s="615"/>
      <c r="AE80" s="299">
        <v>5</v>
      </c>
      <c r="AF80" s="514">
        <f t="shared" si="47"/>
        <v>0</v>
      </c>
      <c r="AG80" s="514">
        <f t="shared" si="47"/>
        <v>0</v>
      </c>
      <c r="AH80" s="514">
        <f t="shared" si="47"/>
        <v>0</v>
      </c>
      <c r="AI80" s="514">
        <f t="shared" si="47"/>
        <v>0</v>
      </c>
      <c r="AJ80" s="514">
        <f t="shared" si="47"/>
        <v>0</v>
      </c>
      <c r="AK80" s="514">
        <f t="shared" si="47"/>
        <v>0</v>
      </c>
      <c r="AL80" s="514">
        <f t="shared" si="48"/>
        <v>0</v>
      </c>
      <c r="AM80" s="514">
        <f t="shared" si="48"/>
        <v>0</v>
      </c>
      <c r="AN80" s="514">
        <f t="shared" si="48"/>
        <v>0</v>
      </c>
      <c r="AO80" s="514">
        <f t="shared" si="48"/>
        <v>0</v>
      </c>
      <c r="AP80" s="514">
        <f t="shared" si="48"/>
        <v>0</v>
      </c>
      <c r="AQ80" s="514">
        <f t="shared" si="48"/>
        <v>0</v>
      </c>
    </row>
    <row r="81" spans="1:43" hidden="1" outlineLevel="1" x14ac:dyDescent="0.2">
      <c r="A81" s="125"/>
      <c r="B81" s="291">
        <f t="shared" si="49"/>
        <v>0</v>
      </c>
      <c r="C81" s="58">
        <v>5</v>
      </c>
      <c r="D81" s="541" t="str">
        <f t="shared" si="50"/>
        <v>** NOT USED **</v>
      </c>
      <c r="E81" s="32">
        <f>IF($D137&lt;&gt;"",F240,IF(MarketImpact=0,'2e. Scripts - market'!D20,0))</f>
        <v>0</v>
      </c>
      <c r="F81" s="32">
        <f>IF($D137&lt;&gt;"",G240,IF(MarketImpact=0,'2e. Scripts - market'!E20,0))</f>
        <v>0</v>
      </c>
      <c r="G81" s="32">
        <f>IF($D137&lt;&gt;"",H240,IF(MarketImpact=0,'2e. Scripts - market'!F20,0))</f>
        <v>0</v>
      </c>
      <c r="H81" s="32">
        <f>IF($D137&lt;&gt;"",I240,IF(MarketImpact=0,'2e. Scripts - market'!G20,0))</f>
        <v>0</v>
      </c>
      <c r="I81" s="32">
        <f>IF($D137&lt;&gt;"",J240,IF(MarketImpact=0,'2e. Scripts - market'!H20,0))</f>
        <v>0</v>
      </c>
      <c r="J81" s="32">
        <f>IF($D137&lt;&gt;"",K240,IF(MarketImpact=0,'2e. Scripts - market'!I20,0))</f>
        <v>0</v>
      </c>
      <c r="K81" s="125"/>
      <c r="L81" s="32">
        <f>IF($D137&lt;&gt;"",F241,IF(MarketImpact=0,'2e. Scripts - market'!K20,0))</f>
        <v>0</v>
      </c>
      <c r="M81" s="32">
        <f>IF($D137&lt;&gt;"",G241,IF(MarketImpact=0,'2e. Scripts - market'!L20,0))</f>
        <v>0</v>
      </c>
      <c r="N81" s="32">
        <f>IF($D137&lt;&gt;"",H241,IF(MarketImpact=0,'2e. Scripts - market'!M20,0))</f>
        <v>0</v>
      </c>
      <c r="O81" s="32">
        <f>IF($D137&lt;&gt;"",I241,IF(MarketImpact=0,'2e. Scripts - market'!N20,0))</f>
        <v>0</v>
      </c>
      <c r="P81" s="32">
        <f>IF($D137&lt;&gt;"",J241,IF(MarketImpact=0,'2e. Scripts - market'!O20,0))</f>
        <v>0</v>
      </c>
      <c r="Q81" s="32">
        <f>IF($D137&lt;&gt;"",K241,IF(MarketImpact=0,'2e. Scripts - market'!P20,0))</f>
        <v>0</v>
      </c>
      <c r="R81" s="125"/>
      <c r="S81" s="125"/>
      <c r="T81" s="125"/>
      <c r="U81" s="125"/>
      <c r="V81" s="125"/>
      <c r="W81" s="125"/>
      <c r="X81" s="641"/>
      <c r="Y81" s="641"/>
      <c r="Z81" s="641"/>
      <c r="AA81" s="641"/>
      <c r="AB81" s="615"/>
      <c r="AC81" s="615"/>
      <c r="AD81" s="615"/>
      <c r="AE81" s="299">
        <v>6</v>
      </c>
      <c r="AF81" s="514">
        <f t="shared" si="47"/>
        <v>0</v>
      </c>
      <c r="AG81" s="514">
        <f t="shared" si="47"/>
        <v>0</v>
      </c>
      <c r="AH81" s="514">
        <f t="shared" si="47"/>
        <v>0</v>
      </c>
      <c r="AI81" s="514">
        <f t="shared" si="47"/>
        <v>0</v>
      </c>
      <c r="AJ81" s="514">
        <f t="shared" si="47"/>
        <v>0</v>
      </c>
      <c r="AK81" s="514">
        <f t="shared" si="47"/>
        <v>0</v>
      </c>
      <c r="AL81" s="514">
        <f t="shared" si="48"/>
        <v>0</v>
      </c>
      <c r="AM81" s="514">
        <f t="shared" si="48"/>
        <v>0</v>
      </c>
      <c r="AN81" s="514">
        <f t="shared" si="48"/>
        <v>0</v>
      </c>
      <c r="AO81" s="514">
        <f t="shared" si="48"/>
        <v>0</v>
      </c>
      <c r="AP81" s="514">
        <f t="shared" si="48"/>
        <v>0</v>
      </c>
      <c r="AQ81" s="514">
        <f t="shared" si="48"/>
        <v>0</v>
      </c>
    </row>
    <row r="82" spans="1:43" hidden="1" outlineLevel="1" x14ac:dyDescent="0.2">
      <c r="A82" s="125"/>
      <c r="B82" s="291">
        <f t="shared" si="49"/>
        <v>0</v>
      </c>
      <c r="C82" s="58">
        <v>6</v>
      </c>
      <c r="D82" s="541" t="str">
        <f t="shared" si="50"/>
        <v>** NOT USED **</v>
      </c>
      <c r="E82" s="32">
        <f>IF($D138&lt;&gt;"",F252,IF(MarketImpact=0,'2e. Scripts - market'!D21,0))</f>
        <v>0</v>
      </c>
      <c r="F82" s="32">
        <f>IF($D138&lt;&gt;"",G252,IF(MarketImpact=0,'2e. Scripts - market'!E21,0))</f>
        <v>0</v>
      </c>
      <c r="G82" s="32">
        <f>IF($D138&lt;&gt;"",H252,IF(MarketImpact=0,'2e. Scripts - market'!F21,0))</f>
        <v>0</v>
      </c>
      <c r="H82" s="32">
        <f>IF($D138&lt;&gt;"",I252,IF(MarketImpact=0,'2e. Scripts - market'!G21,0))</f>
        <v>0</v>
      </c>
      <c r="I82" s="32">
        <f>IF($D138&lt;&gt;"",J252,IF(MarketImpact=0,'2e. Scripts - market'!H21,0))</f>
        <v>0</v>
      </c>
      <c r="J82" s="32">
        <f>IF($D138&lt;&gt;"",K252,IF(MarketImpact=0,'2e. Scripts - market'!I21,0))</f>
        <v>0</v>
      </c>
      <c r="K82" s="125"/>
      <c r="L82" s="32">
        <f>IF($D138&lt;&gt;"",F253,IF(MarketImpact=0,'2e. Scripts - market'!K21,0))</f>
        <v>0</v>
      </c>
      <c r="M82" s="32">
        <f>IF($D138&lt;&gt;"",G253,IF(MarketImpact=0,'2e. Scripts - market'!L21,0))</f>
        <v>0</v>
      </c>
      <c r="N82" s="32">
        <f>IF($D138&lt;&gt;"",H253,IF(MarketImpact=0,'2e. Scripts - market'!M21,0))</f>
        <v>0</v>
      </c>
      <c r="O82" s="32">
        <f>IF($D138&lt;&gt;"",I253,IF(MarketImpact=0,'2e. Scripts - market'!N21,0))</f>
        <v>0</v>
      </c>
      <c r="P82" s="32">
        <f>IF($D138&lt;&gt;"",J253,IF(MarketImpact=0,'2e. Scripts - market'!O21,0))</f>
        <v>0</v>
      </c>
      <c r="Q82" s="32">
        <f>IF($D138&lt;&gt;"",K253,IF(MarketImpact=0,'2e. Scripts - market'!P21,0))</f>
        <v>0</v>
      </c>
      <c r="R82" s="125"/>
      <c r="S82" s="125"/>
      <c r="T82" s="125"/>
      <c r="U82" s="125"/>
      <c r="V82" s="125"/>
      <c r="W82" s="125"/>
      <c r="X82" s="641"/>
      <c r="Y82" s="641"/>
      <c r="Z82" s="641"/>
      <c r="AA82" s="641"/>
      <c r="AB82" s="615"/>
      <c r="AC82" s="615"/>
      <c r="AD82" s="615"/>
      <c r="AE82" s="299">
        <v>7</v>
      </c>
      <c r="AF82" s="514">
        <f t="shared" si="47"/>
        <v>0</v>
      </c>
      <c r="AG82" s="514">
        <f t="shared" si="47"/>
        <v>0</v>
      </c>
      <c r="AH82" s="514">
        <f t="shared" si="47"/>
        <v>0</v>
      </c>
      <c r="AI82" s="514">
        <f t="shared" si="47"/>
        <v>0</v>
      </c>
      <c r="AJ82" s="514">
        <f t="shared" si="47"/>
        <v>0</v>
      </c>
      <c r="AK82" s="514">
        <f t="shared" si="47"/>
        <v>0</v>
      </c>
      <c r="AL82" s="514">
        <f t="shared" si="48"/>
        <v>0</v>
      </c>
      <c r="AM82" s="514">
        <f t="shared" si="48"/>
        <v>0</v>
      </c>
      <c r="AN82" s="514">
        <f t="shared" si="48"/>
        <v>0</v>
      </c>
      <c r="AO82" s="514">
        <f t="shared" si="48"/>
        <v>0</v>
      </c>
      <c r="AP82" s="514">
        <f t="shared" si="48"/>
        <v>0</v>
      </c>
      <c r="AQ82" s="514">
        <f t="shared" si="48"/>
        <v>0</v>
      </c>
    </row>
    <row r="83" spans="1:43" hidden="1" outlineLevel="1" x14ac:dyDescent="0.2">
      <c r="A83" s="125"/>
      <c r="B83" s="291">
        <f t="shared" si="49"/>
        <v>0</v>
      </c>
      <c r="C83" s="58">
        <v>7</v>
      </c>
      <c r="D83" s="541" t="str">
        <f t="shared" si="50"/>
        <v>** NOT USED **</v>
      </c>
      <c r="E83" s="32">
        <f>IF($D139&lt;&gt;"",F264,IF(MarketImpact=0,'2e. Scripts - market'!D22,0))</f>
        <v>0</v>
      </c>
      <c r="F83" s="32">
        <f>IF($D139&lt;&gt;"",G264,IF(MarketImpact=0,'2e. Scripts - market'!E22,0))</f>
        <v>0</v>
      </c>
      <c r="G83" s="32">
        <f>IF($D139&lt;&gt;"",H264,IF(MarketImpact=0,'2e. Scripts - market'!F22,0))</f>
        <v>0</v>
      </c>
      <c r="H83" s="32">
        <f>IF($D139&lt;&gt;"",I264,IF(MarketImpact=0,'2e. Scripts - market'!G22,0))</f>
        <v>0</v>
      </c>
      <c r="I83" s="32">
        <f>IF($D139&lt;&gt;"",J264,IF(MarketImpact=0,'2e. Scripts - market'!H22,0))</f>
        <v>0</v>
      </c>
      <c r="J83" s="32">
        <f>IF($D139&lt;&gt;"",K264,IF(MarketImpact=0,'2e. Scripts - market'!I22,0))</f>
        <v>0</v>
      </c>
      <c r="K83" s="125"/>
      <c r="L83" s="32">
        <f>IF($D139&lt;&gt;"",F265,IF(MarketImpact=0,'2e. Scripts - market'!K22,0))</f>
        <v>0</v>
      </c>
      <c r="M83" s="32">
        <f>IF($D139&lt;&gt;"",G265,IF(MarketImpact=0,'2e. Scripts - market'!L22,0))</f>
        <v>0</v>
      </c>
      <c r="N83" s="32">
        <f>IF($D139&lt;&gt;"",H265,IF(MarketImpact=0,'2e. Scripts - market'!M22,0))</f>
        <v>0</v>
      </c>
      <c r="O83" s="32">
        <f>IF($D139&lt;&gt;"",I265,IF(MarketImpact=0,'2e. Scripts - market'!N22,0))</f>
        <v>0</v>
      </c>
      <c r="P83" s="32">
        <f>IF($D139&lt;&gt;"",J265,IF(MarketImpact=0,'2e. Scripts - market'!O22,0))</f>
        <v>0</v>
      </c>
      <c r="Q83" s="32">
        <f>IF($D139&lt;&gt;"",K265,IF(MarketImpact=0,'2e. Scripts - market'!P22,0))</f>
        <v>0</v>
      </c>
      <c r="R83" s="125"/>
      <c r="S83" s="125"/>
      <c r="T83" s="125"/>
      <c r="U83" s="125"/>
      <c r="V83" s="125"/>
      <c r="W83" s="125"/>
      <c r="X83" s="641"/>
      <c r="Y83" s="641"/>
      <c r="Z83" s="641"/>
      <c r="AA83" s="641"/>
      <c r="AB83" s="615"/>
      <c r="AC83" s="615"/>
      <c r="AD83" s="615"/>
      <c r="AE83" s="299">
        <v>8</v>
      </c>
      <c r="AF83" s="514">
        <f t="shared" si="47"/>
        <v>0</v>
      </c>
      <c r="AG83" s="514">
        <f t="shared" si="47"/>
        <v>0</v>
      </c>
      <c r="AH83" s="514">
        <f t="shared" si="47"/>
        <v>0</v>
      </c>
      <c r="AI83" s="514">
        <f t="shared" si="47"/>
        <v>0</v>
      </c>
      <c r="AJ83" s="514">
        <f t="shared" si="47"/>
        <v>0</v>
      </c>
      <c r="AK83" s="514">
        <f t="shared" si="47"/>
        <v>0</v>
      </c>
      <c r="AL83" s="514">
        <f t="shared" si="48"/>
        <v>0</v>
      </c>
      <c r="AM83" s="514">
        <f t="shared" si="48"/>
        <v>0</v>
      </c>
      <c r="AN83" s="514">
        <f t="shared" si="48"/>
        <v>0</v>
      </c>
      <c r="AO83" s="514">
        <f t="shared" si="48"/>
        <v>0</v>
      </c>
      <c r="AP83" s="514">
        <f t="shared" si="48"/>
        <v>0</v>
      </c>
      <c r="AQ83" s="514">
        <f t="shared" si="48"/>
        <v>0</v>
      </c>
    </row>
    <row r="84" spans="1:43" hidden="1" outlineLevel="1" x14ac:dyDescent="0.2">
      <c r="A84" s="125"/>
      <c r="B84" s="291">
        <f t="shared" si="49"/>
        <v>0</v>
      </c>
      <c r="C84" s="58">
        <v>8</v>
      </c>
      <c r="D84" s="541" t="str">
        <f t="shared" si="50"/>
        <v>** NOT USED **</v>
      </c>
      <c r="E84" s="32">
        <f>IF($D140&lt;&gt;"",F276,IF(MarketImpact=0,'2e. Scripts - market'!D23,0))</f>
        <v>0</v>
      </c>
      <c r="F84" s="32">
        <f>IF($D140&lt;&gt;"",G276,IF(MarketImpact=0,'2e. Scripts - market'!E23,0))</f>
        <v>0</v>
      </c>
      <c r="G84" s="32">
        <f>IF($D140&lt;&gt;"",H276,IF(MarketImpact=0,'2e. Scripts - market'!F23,0))</f>
        <v>0</v>
      </c>
      <c r="H84" s="32">
        <f>IF($D140&lt;&gt;"",I276,IF(MarketImpact=0,'2e. Scripts - market'!G23,0))</f>
        <v>0</v>
      </c>
      <c r="I84" s="32">
        <f>IF($D140&lt;&gt;"",J276,IF(MarketImpact=0,'2e. Scripts - market'!H23,0))</f>
        <v>0</v>
      </c>
      <c r="J84" s="32">
        <f>IF($D140&lt;&gt;"",K276,IF(MarketImpact=0,'2e. Scripts - market'!I23,0))</f>
        <v>0</v>
      </c>
      <c r="K84" s="125"/>
      <c r="L84" s="32">
        <f>IF($D140&lt;&gt;"",F277,IF(MarketImpact=0,'2e. Scripts - market'!K23,0))</f>
        <v>0</v>
      </c>
      <c r="M84" s="32">
        <f>IF($D140&lt;&gt;"",G277,IF(MarketImpact=0,'2e. Scripts - market'!L23,0))</f>
        <v>0</v>
      </c>
      <c r="N84" s="32">
        <f>IF($D140&lt;&gt;"",H277,IF(MarketImpact=0,'2e. Scripts - market'!M23,0))</f>
        <v>0</v>
      </c>
      <c r="O84" s="32">
        <f>IF($D140&lt;&gt;"",I277,IF(MarketImpact=0,'2e. Scripts - market'!N23,0))</f>
        <v>0</v>
      </c>
      <c r="P84" s="32">
        <f>IF($D140&lt;&gt;"",J277,IF(MarketImpact=0,'2e. Scripts - market'!O23,0))</f>
        <v>0</v>
      </c>
      <c r="Q84" s="32">
        <f>IF($D140&lt;&gt;"",K277,IF(MarketImpact=0,'2e. Scripts - market'!P23,0))</f>
        <v>0</v>
      </c>
      <c r="R84" s="125"/>
      <c r="S84" s="125"/>
      <c r="T84" s="125"/>
      <c r="U84" s="125"/>
      <c r="V84" s="125"/>
      <c r="W84" s="125"/>
      <c r="X84" s="641"/>
      <c r="Y84" s="641"/>
      <c r="Z84" s="641"/>
      <c r="AA84" s="641"/>
      <c r="AB84" s="615"/>
      <c r="AC84" s="615"/>
      <c r="AD84" s="615"/>
      <c r="AE84" s="299">
        <v>9</v>
      </c>
      <c r="AF84" s="514">
        <f t="shared" si="47"/>
        <v>0</v>
      </c>
      <c r="AG84" s="514">
        <f t="shared" si="47"/>
        <v>0</v>
      </c>
      <c r="AH84" s="514">
        <f t="shared" si="47"/>
        <v>0</v>
      </c>
      <c r="AI84" s="514">
        <f t="shared" si="47"/>
        <v>0</v>
      </c>
      <c r="AJ84" s="514">
        <f t="shared" si="47"/>
        <v>0</v>
      </c>
      <c r="AK84" s="514">
        <f t="shared" si="47"/>
        <v>0</v>
      </c>
      <c r="AL84" s="514">
        <f t="shared" si="48"/>
        <v>0</v>
      </c>
      <c r="AM84" s="514">
        <f t="shared" si="48"/>
        <v>0</v>
      </c>
      <c r="AN84" s="514">
        <f t="shared" si="48"/>
        <v>0</v>
      </c>
      <c r="AO84" s="514">
        <f t="shared" si="48"/>
        <v>0</v>
      </c>
      <c r="AP84" s="514">
        <f t="shared" si="48"/>
        <v>0</v>
      </c>
      <c r="AQ84" s="514">
        <f t="shared" si="48"/>
        <v>0</v>
      </c>
    </row>
    <row r="85" spans="1:43" hidden="1" outlineLevel="1" x14ac:dyDescent="0.2">
      <c r="A85" s="125"/>
      <c r="B85" s="291">
        <f t="shared" si="49"/>
        <v>0</v>
      </c>
      <c r="C85" s="58">
        <v>9</v>
      </c>
      <c r="D85" s="541" t="str">
        <f t="shared" si="50"/>
        <v>** NOT USED **</v>
      </c>
      <c r="E85" s="32">
        <f>IF($D141&lt;&gt;"",F288,IF(MarketImpact=0,'2e. Scripts - market'!D24,0))</f>
        <v>0</v>
      </c>
      <c r="F85" s="32">
        <f>IF($D141&lt;&gt;"",G288,IF(MarketImpact=0,'2e. Scripts - market'!E24,0))</f>
        <v>0</v>
      </c>
      <c r="G85" s="32">
        <f>IF($D141&lt;&gt;"",H288,IF(MarketImpact=0,'2e. Scripts - market'!F24,0))</f>
        <v>0</v>
      </c>
      <c r="H85" s="32">
        <f>IF($D141&lt;&gt;"",I288,IF(MarketImpact=0,'2e. Scripts - market'!G24,0))</f>
        <v>0</v>
      </c>
      <c r="I85" s="32">
        <f>IF($D141&lt;&gt;"",J288,IF(MarketImpact=0,'2e. Scripts - market'!H24,0))</f>
        <v>0</v>
      </c>
      <c r="J85" s="32">
        <f>IF($D141&lt;&gt;"",K288,IF(MarketImpact=0,'2e. Scripts - market'!I24,0))</f>
        <v>0</v>
      </c>
      <c r="K85" s="125"/>
      <c r="L85" s="32">
        <f>IF($D141&lt;&gt;"",F289,IF(MarketImpact=0,'2e. Scripts - market'!K24,0))</f>
        <v>0</v>
      </c>
      <c r="M85" s="32">
        <f>IF($D141&lt;&gt;"",G289,IF(MarketImpact=0,'2e. Scripts - market'!L24,0))</f>
        <v>0</v>
      </c>
      <c r="N85" s="32">
        <f>IF($D141&lt;&gt;"",H289,IF(MarketImpact=0,'2e. Scripts - market'!M24,0))</f>
        <v>0</v>
      </c>
      <c r="O85" s="32">
        <f>IF($D141&lt;&gt;"",I289,IF(MarketImpact=0,'2e. Scripts - market'!N24,0))</f>
        <v>0</v>
      </c>
      <c r="P85" s="32">
        <f>IF($D141&lt;&gt;"",J289,IF(MarketImpact=0,'2e. Scripts - market'!O24,0))</f>
        <v>0</v>
      </c>
      <c r="Q85" s="32">
        <f>IF($D141&lt;&gt;"",K289,IF(MarketImpact=0,'2e. Scripts - market'!P24,0))</f>
        <v>0</v>
      </c>
      <c r="R85" s="125"/>
      <c r="S85" s="125"/>
      <c r="T85" s="125"/>
      <c r="U85" s="125"/>
      <c r="V85" s="125"/>
      <c r="W85" s="125"/>
      <c r="X85" s="641"/>
      <c r="Y85" s="641"/>
      <c r="Z85" s="641"/>
      <c r="AA85" s="641"/>
      <c r="AB85" s="615"/>
      <c r="AC85" s="615"/>
      <c r="AD85" s="615"/>
      <c r="AE85" s="299">
        <v>10</v>
      </c>
      <c r="AF85" s="514">
        <f t="shared" si="47"/>
        <v>0</v>
      </c>
      <c r="AG85" s="514">
        <f t="shared" si="47"/>
        <v>0</v>
      </c>
      <c r="AH85" s="514">
        <f t="shared" si="47"/>
        <v>0</v>
      </c>
      <c r="AI85" s="514">
        <f t="shared" si="47"/>
        <v>0</v>
      </c>
      <c r="AJ85" s="514">
        <f t="shared" si="47"/>
        <v>0</v>
      </c>
      <c r="AK85" s="514">
        <f t="shared" si="47"/>
        <v>0</v>
      </c>
      <c r="AL85" s="514">
        <f t="shared" si="48"/>
        <v>0</v>
      </c>
      <c r="AM85" s="514">
        <f t="shared" si="48"/>
        <v>0</v>
      </c>
      <c r="AN85" s="514">
        <f t="shared" si="48"/>
        <v>0</v>
      </c>
      <c r="AO85" s="514">
        <f t="shared" si="48"/>
        <v>0</v>
      </c>
      <c r="AP85" s="514">
        <f t="shared" si="48"/>
        <v>0</v>
      </c>
      <c r="AQ85" s="514">
        <f t="shared" si="48"/>
        <v>0</v>
      </c>
    </row>
    <row r="86" spans="1:43" hidden="1" outlineLevel="1" x14ac:dyDescent="0.2">
      <c r="A86" s="125"/>
      <c r="B86" s="291">
        <f t="shared" si="49"/>
        <v>0</v>
      </c>
      <c r="C86" s="58">
        <v>10</v>
      </c>
      <c r="D86" s="541" t="str">
        <f t="shared" si="50"/>
        <v>** NOT USED **</v>
      </c>
      <c r="E86" s="32">
        <f>IF($D142&lt;&gt;"",F300,IF(MarketImpact=0,'2e. Scripts - market'!D25,0))</f>
        <v>0</v>
      </c>
      <c r="F86" s="32">
        <f>IF($D142&lt;&gt;"",G300,IF(MarketImpact=0,'2e. Scripts - market'!E25,0))</f>
        <v>0</v>
      </c>
      <c r="G86" s="32">
        <f>IF($D142&lt;&gt;"",H300,IF(MarketImpact=0,'2e. Scripts - market'!F25,0))</f>
        <v>0</v>
      </c>
      <c r="H86" s="32">
        <f>IF($D142&lt;&gt;"",I300,IF(MarketImpact=0,'2e. Scripts - market'!G25,0))</f>
        <v>0</v>
      </c>
      <c r="I86" s="32">
        <f>IF($D142&lt;&gt;"",J300,IF(MarketImpact=0,'2e. Scripts - market'!H25,0))</f>
        <v>0</v>
      </c>
      <c r="J86" s="32">
        <f>IF($D142&lt;&gt;"",K300,IF(MarketImpact=0,'2e. Scripts - market'!I25,0))</f>
        <v>0</v>
      </c>
      <c r="K86" s="125"/>
      <c r="L86" s="32">
        <f>IF($D142&lt;&gt;"",F301,IF(MarketImpact=0,'2e. Scripts - market'!K25,0))</f>
        <v>0</v>
      </c>
      <c r="M86" s="32">
        <f>IF($D142&lt;&gt;"",G301,IF(MarketImpact=0,'2e. Scripts - market'!L25,0))</f>
        <v>0</v>
      </c>
      <c r="N86" s="32">
        <f>IF($D142&lt;&gt;"",H301,IF(MarketImpact=0,'2e. Scripts - market'!M25,0))</f>
        <v>0</v>
      </c>
      <c r="O86" s="32">
        <f>IF($D142&lt;&gt;"",I301,IF(MarketImpact=0,'2e. Scripts - market'!N25,0))</f>
        <v>0</v>
      </c>
      <c r="P86" s="32">
        <f>IF($D142&lt;&gt;"",J301,IF(MarketImpact=0,'2e. Scripts - market'!O25,0))</f>
        <v>0</v>
      </c>
      <c r="Q86" s="32">
        <f>IF($D142&lt;&gt;"",K301,IF(MarketImpact=0,'2e. Scripts - market'!P25,0))</f>
        <v>0</v>
      </c>
      <c r="R86" s="125"/>
      <c r="S86" s="125"/>
      <c r="T86" s="125"/>
      <c r="U86" s="125"/>
      <c r="V86" s="125"/>
      <c r="W86" s="125"/>
      <c r="X86" s="641"/>
      <c r="Y86" s="641"/>
      <c r="Z86" s="641"/>
      <c r="AA86" s="641"/>
      <c r="AB86" s="615"/>
      <c r="AC86" s="615"/>
      <c r="AD86" s="615"/>
      <c r="AE86" s="299">
        <v>11</v>
      </c>
      <c r="AF86" s="514">
        <f t="shared" ref="AF86:AK95" si="51">IF(OR(ScriptSourceCode=1,ScriptSourceCode=3),IF($AE115&lt;&gt;0,ROUND(AF115*INDEX(PxTxPhase1Adj,$AE115,9),0),0),0)</f>
        <v>0</v>
      </c>
      <c r="AG86" s="514">
        <f t="shared" si="51"/>
        <v>0</v>
      </c>
      <c r="AH86" s="514">
        <f t="shared" si="51"/>
        <v>0</v>
      </c>
      <c r="AI86" s="514">
        <f t="shared" si="51"/>
        <v>0</v>
      </c>
      <c r="AJ86" s="514">
        <f t="shared" si="51"/>
        <v>0</v>
      </c>
      <c r="AK86" s="514">
        <f t="shared" si="51"/>
        <v>0</v>
      </c>
      <c r="AL86" s="514">
        <f t="shared" ref="AL86:AQ95" si="52">IF(OR(ScriptSourceCode=1,ScriptSourceCode=3),IF($AE115&lt;&gt;0,ROUND(AL115*INDEX(PxTxPhase2Adj,$AE115,9),0),0),0)</f>
        <v>0</v>
      </c>
      <c r="AM86" s="514">
        <f t="shared" si="52"/>
        <v>0</v>
      </c>
      <c r="AN86" s="514">
        <f t="shared" si="52"/>
        <v>0</v>
      </c>
      <c r="AO86" s="514">
        <f t="shared" si="52"/>
        <v>0</v>
      </c>
      <c r="AP86" s="514">
        <f t="shared" si="52"/>
        <v>0</v>
      </c>
      <c r="AQ86" s="514">
        <f t="shared" si="52"/>
        <v>0</v>
      </c>
    </row>
    <row r="87" spans="1:43" hidden="1" outlineLevel="1" x14ac:dyDescent="0.2">
      <c r="A87" s="125"/>
      <c r="B87" s="291">
        <f t="shared" si="49"/>
        <v>0</v>
      </c>
      <c r="C87" s="58">
        <v>11</v>
      </c>
      <c r="D87" s="541" t="str">
        <f t="shared" si="50"/>
        <v>** NOT USED **</v>
      </c>
      <c r="E87" s="32">
        <f>IF($D143&lt;&gt;"",F312,IF(MarketImpact=0,'2e. Scripts - market'!D26,0))</f>
        <v>0</v>
      </c>
      <c r="F87" s="32">
        <f>IF($D143&lt;&gt;"",G312,IF(MarketImpact=0,'2e. Scripts - market'!E26,0))</f>
        <v>0</v>
      </c>
      <c r="G87" s="32">
        <f>IF($D143&lt;&gt;"",H312,IF(MarketImpact=0,'2e. Scripts - market'!F26,0))</f>
        <v>0</v>
      </c>
      <c r="H87" s="32">
        <f>IF($D143&lt;&gt;"",I312,IF(MarketImpact=0,'2e. Scripts - market'!G26,0))</f>
        <v>0</v>
      </c>
      <c r="I87" s="32">
        <f>IF($D143&lt;&gt;"",J312,IF(MarketImpact=0,'2e. Scripts - market'!H26,0))</f>
        <v>0</v>
      </c>
      <c r="J87" s="32">
        <f>IF($D143&lt;&gt;"",K312,IF(MarketImpact=0,'2e. Scripts - market'!I26,0))</f>
        <v>0</v>
      </c>
      <c r="K87" s="125"/>
      <c r="L87" s="32">
        <f>IF($D143&lt;&gt;"",F313,IF(MarketImpact=0,'2e. Scripts - market'!K26,0))</f>
        <v>0</v>
      </c>
      <c r="M87" s="32">
        <f>IF($D143&lt;&gt;"",G313,IF(MarketImpact=0,'2e. Scripts - market'!L26,0))</f>
        <v>0</v>
      </c>
      <c r="N87" s="32">
        <f>IF($D143&lt;&gt;"",H313,IF(MarketImpact=0,'2e. Scripts - market'!M26,0))</f>
        <v>0</v>
      </c>
      <c r="O87" s="32">
        <f>IF($D143&lt;&gt;"",I313,IF(MarketImpact=0,'2e. Scripts - market'!N26,0))</f>
        <v>0</v>
      </c>
      <c r="P87" s="32">
        <f>IF($D143&lt;&gt;"",J313,IF(MarketImpact=0,'2e. Scripts - market'!O26,0))</f>
        <v>0</v>
      </c>
      <c r="Q87" s="32">
        <f>IF($D143&lt;&gt;"",K313,IF(MarketImpact=0,'2e. Scripts - market'!P26,0))</f>
        <v>0</v>
      </c>
      <c r="R87" s="125"/>
      <c r="S87" s="125"/>
      <c r="T87" s="125"/>
      <c r="U87" s="125"/>
      <c r="V87" s="125"/>
      <c r="W87" s="125"/>
      <c r="X87" s="641"/>
      <c r="Y87" s="641"/>
      <c r="Z87" s="641"/>
      <c r="AA87" s="641"/>
      <c r="AB87" s="615"/>
      <c r="AC87" s="615"/>
      <c r="AD87" s="615"/>
      <c r="AE87" s="299">
        <v>12</v>
      </c>
      <c r="AF87" s="514">
        <f t="shared" si="51"/>
        <v>0</v>
      </c>
      <c r="AG87" s="514">
        <f t="shared" si="51"/>
        <v>0</v>
      </c>
      <c r="AH87" s="514">
        <f t="shared" si="51"/>
        <v>0</v>
      </c>
      <c r="AI87" s="514">
        <f t="shared" si="51"/>
        <v>0</v>
      </c>
      <c r="AJ87" s="514">
        <f t="shared" si="51"/>
        <v>0</v>
      </c>
      <c r="AK87" s="514">
        <f t="shared" si="51"/>
        <v>0</v>
      </c>
      <c r="AL87" s="514">
        <f t="shared" si="52"/>
        <v>0</v>
      </c>
      <c r="AM87" s="514">
        <f t="shared" si="52"/>
        <v>0</v>
      </c>
      <c r="AN87" s="514">
        <f t="shared" si="52"/>
        <v>0</v>
      </c>
      <c r="AO87" s="514">
        <f t="shared" si="52"/>
        <v>0</v>
      </c>
      <c r="AP87" s="514">
        <f t="shared" si="52"/>
        <v>0</v>
      </c>
      <c r="AQ87" s="514">
        <f t="shared" si="52"/>
        <v>0</v>
      </c>
    </row>
    <row r="88" spans="1:43" hidden="1" outlineLevel="1" x14ac:dyDescent="0.2">
      <c r="A88" s="125"/>
      <c r="B88" s="291">
        <f t="shared" si="49"/>
        <v>0</v>
      </c>
      <c r="C88" s="58">
        <v>12</v>
      </c>
      <c r="D88" s="541" t="str">
        <f t="shared" si="50"/>
        <v>** NOT USED **</v>
      </c>
      <c r="E88" s="32">
        <f>IF($D144&lt;&gt;"",F324,IF(MarketImpact=0,'2e. Scripts - market'!D27,0))</f>
        <v>0</v>
      </c>
      <c r="F88" s="32">
        <f>IF($D144&lt;&gt;"",G324,IF(MarketImpact=0,'2e. Scripts - market'!E27,0))</f>
        <v>0</v>
      </c>
      <c r="G88" s="32">
        <f>IF($D144&lt;&gt;"",H324,IF(MarketImpact=0,'2e. Scripts - market'!F27,0))</f>
        <v>0</v>
      </c>
      <c r="H88" s="32">
        <f>IF($D144&lt;&gt;"",I324,IF(MarketImpact=0,'2e. Scripts - market'!G27,0))</f>
        <v>0</v>
      </c>
      <c r="I88" s="32">
        <f>IF($D144&lt;&gt;"",J324,IF(MarketImpact=0,'2e. Scripts - market'!H27,0))</f>
        <v>0</v>
      </c>
      <c r="J88" s="32">
        <f>IF($D144&lt;&gt;"",K324,IF(MarketImpact=0,'2e. Scripts - market'!I27,0))</f>
        <v>0</v>
      </c>
      <c r="K88" s="125"/>
      <c r="L88" s="32">
        <f>IF($D144&lt;&gt;"",F325,IF(MarketImpact=0,'2e. Scripts - market'!K27,0))</f>
        <v>0</v>
      </c>
      <c r="M88" s="32">
        <f>IF($D144&lt;&gt;"",G325,IF(MarketImpact=0,'2e. Scripts - market'!L27,0))</f>
        <v>0</v>
      </c>
      <c r="N88" s="32">
        <f>IF($D144&lt;&gt;"",H325,IF(MarketImpact=0,'2e. Scripts - market'!M27,0))</f>
        <v>0</v>
      </c>
      <c r="O88" s="32">
        <f>IF($D144&lt;&gt;"",I325,IF(MarketImpact=0,'2e. Scripts - market'!N27,0))</f>
        <v>0</v>
      </c>
      <c r="P88" s="32">
        <f>IF($D144&lt;&gt;"",J325,IF(MarketImpact=0,'2e. Scripts - market'!O27,0))</f>
        <v>0</v>
      </c>
      <c r="Q88" s="32">
        <f>IF($D144&lt;&gt;"",K325,IF(MarketImpact=0,'2e. Scripts - market'!P27,0))</f>
        <v>0</v>
      </c>
      <c r="R88" s="125"/>
      <c r="S88" s="125"/>
      <c r="T88" s="125"/>
      <c r="U88" s="125"/>
      <c r="V88" s="125"/>
      <c r="W88" s="125"/>
      <c r="X88" s="641"/>
      <c r="Y88" s="641"/>
      <c r="Z88" s="641"/>
      <c r="AA88" s="641"/>
      <c r="AB88" s="615"/>
      <c r="AC88" s="615"/>
      <c r="AD88" s="615"/>
      <c r="AE88" s="299">
        <v>13</v>
      </c>
      <c r="AF88" s="514">
        <f t="shared" si="51"/>
        <v>0</v>
      </c>
      <c r="AG88" s="514">
        <f t="shared" si="51"/>
        <v>0</v>
      </c>
      <c r="AH88" s="514">
        <f t="shared" si="51"/>
        <v>0</v>
      </c>
      <c r="AI88" s="514">
        <f t="shared" si="51"/>
        <v>0</v>
      </c>
      <c r="AJ88" s="514">
        <f t="shared" si="51"/>
        <v>0</v>
      </c>
      <c r="AK88" s="514">
        <f t="shared" si="51"/>
        <v>0</v>
      </c>
      <c r="AL88" s="514">
        <f t="shared" si="52"/>
        <v>0</v>
      </c>
      <c r="AM88" s="514">
        <f t="shared" si="52"/>
        <v>0</v>
      </c>
      <c r="AN88" s="514">
        <f t="shared" si="52"/>
        <v>0</v>
      </c>
      <c r="AO88" s="514">
        <f t="shared" si="52"/>
        <v>0</v>
      </c>
      <c r="AP88" s="514">
        <f t="shared" si="52"/>
        <v>0</v>
      </c>
      <c r="AQ88" s="514">
        <f t="shared" si="52"/>
        <v>0</v>
      </c>
    </row>
    <row r="89" spans="1:43" hidden="1" outlineLevel="1" x14ac:dyDescent="0.2">
      <c r="A89" s="125"/>
      <c r="B89" s="291">
        <f t="shared" si="49"/>
        <v>0</v>
      </c>
      <c r="C89" s="58">
        <v>13</v>
      </c>
      <c r="D89" s="541" t="str">
        <f t="shared" si="50"/>
        <v>** NOT USED **</v>
      </c>
      <c r="E89" s="32">
        <f>IF($D145&lt;&gt;"",F336,IF(MarketImpact=0,'2e. Scripts - market'!D28,0))</f>
        <v>0</v>
      </c>
      <c r="F89" s="32">
        <f>IF($D145&lt;&gt;"",G336,IF(MarketImpact=0,'2e. Scripts - market'!E28,0))</f>
        <v>0</v>
      </c>
      <c r="G89" s="32">
        <f>IF($D145&lt;&gt;"",H336,IF(MarketImpact=0,'2e. Scripts - market'!F28,0))</f>
        <v>0</v>
      </c>
      <c r="H89" s="32">
        <f>IF($D145&lt;&gt;"",I336,IF(MarketImpact=0,'2e. Scripts - market'!G28,0))</f>
        <v>0</v>
      </c>
      <c r="I89" s="32">
        <f>IF($D145&lt;&gt;"",J336,IF(MarketImpact=0,'2e. Scripts - market'!H28,0))</f>
        <v>0</v>
      </c>
      <c r="J89" s="32">
        <f>IF($D145&lt;&gt;"",K336,IF(MarketImpact=0,'2e. Scripts - market'!I28,0))</f>
        <v>0</v>
      </c>
      <c r="K89" s="125"/>
      <c r="L89" s="32">
        <f>IF($D145&lt;&gt;"",F337,IF(MarketImpact=0,'2e. Scripts - market'!K28,0))</f>
        <v>0</v>
      </c>
      <c r="M89" s="32">
        <f>IF($D145&lt;&gt;"",G337,IF(MarketImpact=0,'2e. Scripts - market'!L28,0))</f>
        <v>0</v>
      </c>
      <c r="N89" s="32">
        <f>IF($D145&lt;&gt;"",H337,IF(MarketImpact=0,'2e. Scripts - market'!M28,0))</f>
        <v>0</v>
      </c>
      <c r="O89" s="32">
        <f>IF($D145&lt;&gt;"",I337,IF(MarketImpact=0,'2e. Scripts - market'!N28,0))</f>
        <v>0</v>
      </c>
      <c r="P89" s="32">
        <f>IF($D145&lt;&gt;"",J337,IF(MarketImpact=0,'2e. Scripts - market'!O28,0))</f>
        <v>0</v>
      </c>
      <c r="Q89" s="32">
        <f>IF($D145&lt;&gt;"",K337,IF(MarketImpact=0,'2e. Scripts - market'!P28,0))</f>
        <v>0</v>
      </c>
      <c r="R89" s="125"/>
      <c r="S89" s="125"/>
      <c r="T89" s="125"/>
      <c r="U89" s="125"/>
      <c r="V89" s="125"/>
      <c r="W89" s="125"/>
      <c r="X89" s="641"/>
      <c r="Y89" s="641"/>
      <c r="Z89" s="641"/>
      <c r="AA89" s="641"/>
      <c r="AB89" s="615"/>
      <c r="AC89" s="615"/>
      <c r="AD89" s="615"/>
      <c r="AE89" s="299">
        <v>14</v>
      </c>
      <c r="AF89" s="514">
        <f t="shared" si="51"/>
        <v>0</v>
      </c>
      <c r="AG89" s="514">
        <f t="shared" si="51"/>
        <v>0</v>
      </c>
      <c r="AH89" s="514">
        <f t="shared" si="51"/>
        <v>0</v>
      </c>
      <c r="AI89" s="514">
        <f t="shared" si="51"/>
        <v>0</v>
      </c>
      <c r="AJ89" s="514">
        <f t="shared" si="51"/>
        <v>0</v>
      </c>
      <c r="AK89" s="514">
        <f t="shared" si="51"/>
        <v>0</v>
      </c>
      <c r="AL89" s="514">
        <f t="shared" si="52"/>
        <v>0</v>
      </c>
      <c r="AM89" s="514">
        <f t="shared" si="52"/>
        <v>0</v>
      </c>
      <c r="AN89" s="514">
        <f t="shared" si="52"/>
        <v>0</v>
      </c>
      <c r="AO89" s="514">
        <f t="shared" si="52"/>
        <v>0</v>
      </c>
      <c r="AP89" s="514">
        <f t="shared" si="52"/>
        <v>0</v>
      </c>
      <c r="AQ89" s="514">
        <f t="shared" si="52"/>
        <v>0</v>
      </c>
    </row>
    <row r="90" spans="1:43" hidden="1" outlineLevel="1" x14ac:dyDescent="0.2">
      <c r="A90" s="125"/>
      <c r="B90" s="291">
        <f t="shared" si="49"/>
        <v>0</v>
      </c>
      <c r="C90" s="58">
        <v>14</v>
      </c>
      <c r="D90" s="541" t="str">
        <f t="shared" si="50"/>
        <v>** NOT USED **</v>
      </c>
      <c r="E90" s="32">
        <f>IF($D146&lt;&gt;"",F348,IF(MarketImpact=0,'2e. Scripts - market'!D29,0))</f>
        <v>0</v>
      </c>
      <c r="F90" s="32">
        <f>IF($D146&lt;&gt;"",G348,IF(MarketImpact=0,'2e. Scripts - market'!E29,0))</f>
        <v>0</v>
      </c>
      <c r="G90" s="32">
        <f>IF($D146&lt;&gt;"",H348,IF(MarketImpact=0,'2e. Scripts - market'!F29,0))</f>
        <v>0</v>
      </c>
      <c r="H90" s="32">
        <f>IF($D146&lt;&gt;"",I348,IF(MarketImpact=0,'2e. Scripts - market'!G29,0))</f>
        <v>0</v>
      </c>
      <c r="I90" s="32">
        <f>IF($D146&lt;&gt;"",J348,IF(MarketImpact=0,'2e. Scripts - market'!H29,0))</f>
        <v>0</v>
      </c>
      <c r="J90" s="32">
        <f>IF($D146&lt;&gt;"",K348,IF(MarketImpact=0,'2e. Scripts - market'!I29,0))</f>
        <v>0</v>
      </c>
      <c r="K90" s="125"/>
      <c r="L90" s="32">
        <f>IF($D146&lt;&gt;"",F349,IF(MarketImpact=0,'2e. Scripts - market'!K29,0))</f>
        <v>0</v>
      </c>
      <c r="M90" s="32">
        <f>IF($D146&lt;&gt;"",G349,IF(MarketImpact=0,'2e. Scripts - market'!L29,0))</f>
        <v>0</v>
      </c>
      <c r="N90" s="32">
        <f>IF($D146&lt;&gt;"",H349,IF(MarketImpact=0,'2e. Scripts - market'!M29,0))</f>
        <v>0</v>
      </c>
      <c r="O90" s="32">
        <f>IF($D146&lt;&gt;"",I349,IF(MarketImpact=0,'2e. Scripts - market'!N29,0))</f>
        <v>0</v>
      </c>
      <c r="P90" s="32">
        <f>IF($D146&lt;&gt;"",J349,IF(MarketImpact=0,'2e. Scripts - market'!O29,0))</f>
        <v>0</v>
      </c>
      <c r="Q90" s="32">
        <f>IF($D146&lt;&gt;"",K349,IF(MarketImpact=0,'2e. Scripts - market'!P29,0))</f>
        <v>0</v>
      </c>
      <c r="R90" s="125"/>
      <c r="S90" s="125"/>
      <c r="T90" s="125"/>
      <c r="U90" s="125"/>
      <c r="V90" s="125"/>
      <c r="W90" s="125"/>
      <c r="X90" s="641"/>
      <c r="Y90" s="641"/>
      <c r="Z90" s="641"/>
      <c r="AA90" s="641"/>
      <c r="AB90" s="615"/>
      <c r="AC90" s="615"/>
      <c r="AD90" s="615"/>
      <c r="AE90" s="299">
        <v>15</v>
      </c>
      <c r="AF90" s="514">
        <f t="shared" si="51"/>
        <v>0</v>
      </c>
      <c r="AG90" s="514">
        <f t="shared" si="51"/>
        <v>0</v>
      </c>
      <c r="AH90" s="514">
        <f t="shared" si="51"/>
        <v>0</v>
      </c>
      <c r="AI90" s="514">
        <f t="shared" si="51"/>
        <v>0</v>
      </c>
      <c r="AJ90" s="514">
        <f t="shared" si="51"/>
        <v>0</v>
      </c>
      <c r="AK90" s="514">
        <f t="shared" si="51"/>
        <v>0</v>
      </c>
      <c r="AL90" s="514">
        <f t="shared" si="52"/>
        <v>0</v>
      </c>
      <c r="AM90" s="514">
        <f t="shared" si="52"/>
        <v>0</v>
      </c>
      <c r="AN90" s="514">
        <f t="shared" si="52"/>
        <v>0</v>
      </c>
      <c r="AO90" s="514">
        <f t="shared" si="52"/>
        <v>0</v>
      </c>
      <c r="AP90" s="514">
        <f t="shared" si="52"/>
        <v>0</v>
      </c>
      <c r="AQ90" s="514">
        <f t="shared" si="52"/>
        <v>0</v>
      </c>
    </row>
    <row r="91" spans="1:43" hidden="1" outlineLevel="1" x14ac:dyDescent="0.2">
      <c r="A91" s="125"/>
      <c r="B91" s="291">
        <f t="shared" si="49"/>
        <v>0</v>
      </c>
      <c r="C91" s="58">
        <v>15</v>
      </c>
      <c r="D91" s="541" t="str">
        <f t="shared" si="50"/>
        <v>** NOT USED **</v>
      </c>
      <c r="E91" s="32">
        <f>IF($D147&lt;&gt;"",F360,IF(MarketImpact=0,'2e. Scripts - market'!D30,0))</f>
        <v>0</v>
      </c>
      <c r="F91" s="32">
        <f>IF($D147&lt;&gt;"",G360,IF(MarketImpact=0,'2e. Scripts - market'!E30,0))</f>
        <v>0</v>
      </c>
      <c r="G91" s="32">
        <f>IF($D147&lt;&gt;"",H360,IF(MarketImpact=0,'2e. Scripts - market'!F30,0))</f>
        <v>0</v>
      </c>
      <c r="H91" s="32">
        <f>IF($D147&lt;&gt;"",I360,IF(MarketImpact=0,'2e. Scripts - market'!G30,0))</f>
        <v>0</v>
      </c>
      <c r="I91" s="32">
        <f>IF($D147&lt;&gt;"",J360,IF(MarketImpact=0,'2e. Scripts - market'!H30,0))</f>
        <v>0</v>
      </c>
      <c r="J91" s="32">
        <f>IF($D147&lt;&gt;"",K360,IF(MarketImpact=0,'2e. Scripts - market'!I30,0))</f>
        <v>0</v>
      </c>
      <c r="K91" s="125"/>
      <c r="L91" s="32">
        <f>IF($D147&lt;&gt;"",F361,IF(MarketImpact=0,'2e. Scripts - market'!K30,0))</f>
        <v>0</v>
      </c>
      <c r="M91" s="32">
        <f>IF($D147&lt;&gt;"",G361,IF(MarketImpact=0,'2e. Scripts - market'!L30,0))</f>
        <v>0</v>
      </c>
      <c r="N91" s="32">
        <f>IF($D147&lt;&gt;"",H361,IF(MarketImpact=0,'2e. Scripts - market'!M30,0))</f>
        <v>0</v>
      </c>
      <c r="O91" s="32">
        <f>IF($D147&lt;&gt;"",I361,IF(MarketImpact=0,'2e. Scripts - market'!N30,0))</f>
        <v>0</v>
      </c>
      <c r="P91" s="32">
        <f>IF($D147&lt;&gt;"",J361,IF(MarketImpact=0,'2e. Scripts - market'!O30,0))</f>
        <v>0</v>
      </c>
      <c r="Q91" s="32">
        <f>IF($D147&lt;&gt;"",K361,IF(MarketImpact=0,'2e. Scripts - market'!P30,0))</f>
        <v>0</v>
      </c>
      <c r="R91" s="125"/>
      <c r="S91" s="125"/>
      <c r="T91" s="125"/>
      <c r="U91" s="125"/>
      <c r="V91" s="125"/>
      <c r="W91" s="125"/>
      <c r="X91" s="641"/>
      <c r="Y91" s="641"/>
      <c r="Z91" s="641"/>
      <c r="AA91" s="641"/>
      <c r="AB91" s="615"/>
      <c r="AC91" s="615"/>
      <c r="AD91" s="615"/>
      <c r="AE91" s="299">
        <v>16</v>
      </c>
      <c r="AF91" s="514">
        <f t="shared" si="51"/>
        <v>0</v>
      </c>
      <c r="AG91" s="514">
        <f t="shared" si="51"/>
        <v>0</v>
      </c>
      <c r="AH91" s="514">
        <f t="shared" si="51"/>
        <v>0</v>
      </c>
      <c r="AI91" s="514">
        <f t="shared" si="51"/>
        <v>0</v>
      </c>
      <c r="AJ91" s="514">
        <f t="shared" si="51"/>
        <v>0</v>
      </c>
      <c r="AK91" s="514">
        <f t="shared" si="51"/>
        <v>0</v>
      </c>
      <c r="AL91" s="514">
        <f t="shared" si="52"/>
        <v>0</v>
      </c>
      <c r="AM91" s="514">
        <f t="shared" si="52"/>
        <v>0</v>
      </c>
      <c r="AN91" s="514">
        <f t="shared" si="52"/>
        <v>0</v>
      </c>
      <c r="AO91" s="514">
        <f t="shared" si="52"/>
        <v>0</v>
      </c>
      <c r="AP91" s="514">
        <f t="shared" si="52"/>
        <v>0</v>
      </c>
      <c r="AQ91" s="514">
        <f t="shared" si="52"/>
        <v>0</v>
      </c>
    </row>
    <row r="92" spans="1:43" hidden="1" outlineLevel="1" x14ac:dyDescent="0.2">
      <c r="A92" s="125"/>
      <c r="B92" s="291">
        <f t="shared" si="49"/>
        <v>0</v>
      </c>
      <c r="C92" s="58">
        <v>16</v>
      </c>
      <c r="D92" s="541" t="str">
        <f t="shared" si="50"/>
        <v>** NOT USED **</v>
      </c>
      <c r="E92" s="32">
        <f>IF($D148&lt;&gt;"",F372,IF(MarketImpact=0,'2e. Scripts - market'!D31,0))</f>
        <v>0</v>
      </c>
      <c r="F92" s="32">
        <f>IF($D148&lt;&gt;"",G372,IF(MarketImpact=0,'2e. Scripts - market'!E31,0))</f>
        <v>0</v>
      </c>
      <c r="G92" s="32">
        <f>IF($D148&lt;&gt;"",H372,IF(MarketImpact=0,'2e. Scripts - market'!F31,0))</f>
        <v>0</v>
      </c>
      <c r="H92" s="32">
        <f>IF($D148&lt;&gt;"",I372,IF(MarketImpact=0,'2e. Scripts - market'!G31,0))</f>
        <v>0</v>
      </c>
      <c r="I92" s="32">
        <f>IF($D148&lt;&gt;"",J372,IF(MarketImpact=0,'2e. Scripts - market'!H31,0))</f>
        <v>0</v>
      </c>
      <c r="J92" s="32">
        <f>IF($D148&lt;&gt;"",K372,IF(MarketImpact=0,'2e. Scripts - market'!I31,0))</f>
        <v>0</v>
      </c>
      <c r="K92" s="125"/>
      <c r="L92" s="32">
        <f>IF($D148&lt;&gt;"",F373,IF(MarketImpact=0,'2e. Scripts - market'!K31,0))</f>
        <v>0</v>
      </c>
      <c r="M92" s="32">
        <f>IF($D148&lt;&gt;"",G373,IF(MarketImpact=0,'2e. Scripts - market'!L31,0))</f>
        <v>0</v>
      </c>
      <c r="N92" s="32">
        <f>IF($D148&lt;&gt;"",H373,IF(MarketImpact=0,'2e. Scripts - market'!M31,0))</f>
        <v>0</v>
      </c>
      <c r="O92" s="32">
        <f>IF($D148&lt;&gt;"",I373,IF(MarketImpact=0,'2e. Scripts - market'!N31,0))</f>
        <v>0</v>
      </c>
      <c r="P92" s="32">
        <f>IF($D148&lt;&gt;"",J373,IF(MarketImpact=0,'2e. Scripts - market'!O31,0))</f>
        <v>0</v>
      </c>
      <c r="Q92" s="32">
        <f>IF($D148&lt;&gt;"",K373,IF(MarketImpact=0,'2e. Scripts - market'!P31,0))</f>
        <v>0</v>
      </c>
      <c r="R92" s="125"/>
      <c r="S92" s="125"/>
      <c r="T92" s="125"/>
      <c r="U92" s="125"/>
      <c r="V92" s="125"/>
      <c r="W92" s="125"/>
      <c r="X92" s="641"/>
      <c r="Y92" s="641"/>
      <c r="Z92" s="641"/>
      <c r="AA92" s="641"/>
      <c r="AB92" s="615"/>
      <c r="AC92" s="615"/>
      <c r="AD92" s="615"/>
      <c r="AE92" s="299">
        <v>17</v>
      </c>
      <c r="AF92" s="514">
        <f t="shared" si="51"/>
        <v>0</v>
      </c>
      <c r="AG92" s="514">
        <f t="shared" si="51"/>
        <v>0</v>
      </c>
      <c r="AH92" s="514">
        <f t="shared" si="51"/>
        <v>0</v>
      </c>
      <c r="AI92" s="514">
        <f t="shared" si="51"/>
        <v>0</v>
      </c>
      <c r="AJ92" s="514">
        <f t="shared" si="51"/>
        <v>0</v>
      </c>
      <c r="AK92" s="514">
        <f t="shared" si="51"/>
        <v>0</v>
      </c>
      <c r="AL92" s="514">
        <f t="shared" si="52"/>
        <v>0</v>
      </c>
      <c r="AM92" s="514">
        <f t="shared" si="52"/>
        <v>0</v>
      </c>
      <c r="AN92" s="514">
        <f t="shared" si="52"/>
        <v>0</v>
      </c>
      <c r="AO92" s="514">
        <f t="shared" si="52"/>
        <v>0</v>
      </c>
      <c r="AP92" s="514">
        <f t="shared" si="52"/>
        <v>0</v>
      </c>
      <c r="AQ92" s="514">
        <f t="shared" si="52"/>
        <v>0</v>
      </c>
    </row>
    <row r="93" spans="1:43" hidden="1" outlineLevel="1" x14ac:dyDescent="0.2">
      <c r="A93" s="125"/>
      <c r="B93" s="291">
        <f t="shared" si="49"/>
        <v>0</v>
      </c>
      <c r="C93" s="58">
        <v>17</v>
      </c>
      <c r="D93" s="541" t="str">
        <f t="shared" si="50"/>
        <v>** NOT USED **</v>
      </c>
      <c r="E93" s="32">
        <f>IF($D149&lt;&gt;"",F384,IF(MarketImpact=0,'2e. Scripts - market'!D32,0))</f>
        <v>0</v>
      </c>
      <c r="F93" s="32">
        <f>IF($D149&lt;&gt;"",G384,IF(MarketImpact=0,'2e. Scripts - market'!E32,0))</f>
        <v>0</v>
      </c>
      <c r="G93" s="32">
        <f>IF($D149&lt;&gt;"",H384,IF(MarketImpact=0,'2e. Scripts - market'!F32,0))</f>
        <v>0</v>
      </c>
      <c r="H93" s="32">
        <f>IF($D149&lt;&gt;"",I384,IF(MarketImpact=0,'2e. Scripts - market'!G32,0))</f>
        <v>0</v>
      </c>
      <c r="I93" s="32">
        <f>IF($D149&lt;&gt;"",J384,IF(MarketImpact=0,'2e. Scripts - market'!H32,0))</f>
        <v>0</v>
      </c>
      <c r="J93" s="32">
        <f>IF($D149&lt;&gt;"",K384,IF(MarketImpact=0,'2e. Scripts - market'!I32,0))</f>
        <v>0</v>
      </c>
      <c r="K93" s="125"/>
      <c r="L93" s="32">
        <f>IF($D149&lt;&gt;"",F385,IF(MarketImpact=0,'2e. Scripts - market'!K32,0))</f>
        <v>0</v>
      </c>
      <c r="M93" s="32">
        <f>IF($D149&lt;&gt;"",G385,IF(MarketImpact=0,'2e. Scripts - market'!L32,0))</f>
        <v>0</v>
      </c>
      <c r="N93" s="32">
        <f>IF($D149&lt;&gt;"",H385,IF(MarketImpact=0,'2e. Scripts - market'!M32,0))</f>
        <v>0</v>
      </c>
      <c r="O93" s="32">
        <f>IF($D149&lt;&gt;"",I385,IF(MarketImpact=0,'2e. Scripts - market'!N32,0))</f>
        <v>0</v>
      </c>
      <c r="P93" s="32">
        <f>IF($D149&lt;&gt;"",J385,IF(MarketImpact=0,'2e. Scripts - market'!O32,0))</f>
        <v>0</v>
      </c>
      <c r="Q93" s="32">
        <f>IF($D149&lt;&gt;"",K385,IF(MarketImpact=0,'2e. Scripts - market'!P32,0))</f>
        <v>0</v>
      </c>
      <c r="R93" s="125"/>
      <c r="S93" s="125"/>
      <c r="T93" s="125"/>
      <c r="U93" s="125"/>
      <c r="V93" s="125"/>
      <c r="W93" s="125"/>
      <c r="X93" s="641"/>
      <c r="Y93" s="641"/>
      <c r="Z93" s="641"/>
      <c r="AA93" s="641"/>
      <c r="AB93" s="615"/>
      <c r="AC93" s="615"/>
      <c r="AD93" s="615"/>
      <c r="AE93" s="299">
        <v>18</v>
      </c>
      <c r="AF93" s="514">
        <f t="shared" si="51"/>
        <v>0</v>
      </c>
      <c r="AG93" s="514">
        <f t="shared" si="51"/>
        <v>0</v>
      </c>
      <c r="AH93" s="514">
        <f t="shared" si="51"/>
        <v>0</v>
      </c>
      <c r="AI93" s="514">
        <f t="shared" si="51"/>
        <v>0</v>
      </c>
      <c r="AJ93" s="514">
        <f t="shared" si="51"/>
        <v>0</v>
      </c>
      <c r="AK93" s="514">
        <f t="shared" si="51"/>
        <v>0</v>
      </c>
      <c r="AL93" s="514">
        <f t="shared" si="52"/>
        <v>0</v>
      </c>
      <c r="AM93" s="514">
        <f t="shared" si="52"/>
        <v>0</v>
      </c>
      <c r="AN93" s="514">
        <f t="shared" si="52"/>
        <v>0</v>
      </c>
      <c r="AO93" s="514">
        <f t="shared" si="52"/>
        <v>0</v>
      </c>
      <c r="AP93" s="514">
        <f t="shared" si="52"/>
        <v>0</v>
      </c>
      <c r="AQ93" s="514">
        <f t="shared" si="52"/>
        <v>0</v>
      </c>
    </row>
    <row r="94" spans="1:43" hidden="1" outlineLevel="1" x14ac:dyDescent="0.2">
      <c r="A94" s="125"/>
      <c r="B94" s="291">
        <f t="shared" si="49"/>
        <v>0</v>
      </c>
      <c r="C94" s="58">
        <v>18</v>
      </c>
      <c r="D94" s="541" t="str">
        <f t="shared" si="50"/>
        <v>** NOT USED **</v>
      </c>
      <c r="E94" s="32">
        <f>IF($D150&lt;&gt;"",F396,IF(MarketImpact=0,'2e. Scripts - market'!D33,0))</f>
        <v>0</v>
      </c>
      <c r="F94" s="32">
        <f>IF($D150&lt;&gt;"",G396,IF(MarketImpact=0,'2e. Scripts - market'!E33,0))</f>
        <v>0</v>
      </c>
      <c r="G94" s="32">
        <f>IF($D150&lt;&gt;"",H396,IF(MarketImpact=0,'2e. Scripts - market'!F33,0))</f>
        <v>0</v>
      </c>
      <c r="H94" s="32">
        <f>IF($D150&lt;&gt;"",I396,IF(MarketImpact=0,'2e. Scripts - market'!G33,0))</f>
        <v>0</v>
      </c>
      <c r="I94" s="32">
        <f>IF($D150&lt;&gt;"",J396,IF(MarketImpact=0,'2e. Scripts - market'!H33,0))</f>
        <v>0</v>
      </c>
      <c r="J94" s="32">
        <f>IF($D150&lt;&gt;"",K396,IF(MarketImpact=0,'2e. Scripts - market'!I33,0))</f>
        <v>0</v>
      </c>
      <c r="K94" s="125"/>
      <c r="L94" s="32">
        <f>IF($D150&lt;&gt;"",F397,IF(MarketImpact=0,'2e. Scripts - market'!K33,0))</f>
        <v>0</v>
      </c>
      <c r="M94" s="32">
        <f>IF($D150&lt;&gt;"",G397,IF(MarketImpact=0,'2e. Scripts - market'!L33,0))</f>
        <v>0</v>
      </c>
      <c r="N94" s="32">
        <f>IF($D150&lt;&gt;"",H397,IF(MarketImpact=0,'2e. Scripts - market'!M33,0))</f>
        <v>0</v>
      </c>
      <c r="O94" s="32">
        <f>IF($D150&lt;&gt;"",I397,IF(MarketImpact=0,'2e. Scripts - market'!N33,0))</f>
        <v>0</v>
      </c>
      <c r="P94" s="32">
        <f>IF($D150&lt;&gt;"",J397,IF(MarketImpact=0,'2e. Scripts - market'!O33,0))</f>
        <v>0</v>
      </c>
      <c r="Q94" s="32">
        <f>IF($D150&lt;&gt;"",K397,IF(MarketImpact=0,'2e. Scripts - market'!P33,0))</f>
        <v>0</v>
      </c>
      <c r="R94" s="125"/>
      <c r="S94" s="125"/>
      <c r="T94" s="125"/>
      <c r="U94" s="125"/>
      <c r="V94" s="125"/>
      <c r="W94" s="125"/>
      <c r="X94" s="641"/>
      <c r="Y94" s="641"/>
      <c r="Z94" s="641"/>
      <c r="AA94" s="641"/>
      <c r="AB94" s="615"/>
      <c r="AC94" s="615"/>
      <c r="AD94" s="615"/>
      <c r="AE94" s="299">
        <v>19</v>
      </c>
      <c r="AF94" s="514">
        <f t="shared" si="51"/>
        <v>0</v>
      </c>
      <c r="AG94" s="514">
        <f t="shared" si="51"/>
        <v>0</v>
      </c>
      <c r="AH94" s="514">
        <f t="shared" si="51"/>
        <v>0</v>
      </c>
      <c r="AI94" s="514">
        <f t="shared" si="51"/>
        <v>0</v>
      </c>
      <c r="AJ94" s="514">
        <f t="shared" si="51"/>
        <v>0</v>
      </c>
      <c r="AK94" s="514">
        <f t="shared" si="51"/>
        <v>0</v>
      </c>
      <c r="AL94" s="514">
        <f t="shared" si="52"/>
        <v>0</v>
      </c>
      <c r="AM94" s="514">
        <f t="shared" si="52"/>
        <v>0</v>
      </c>
      <c r="AN94" s="514">
        <f t="shared" si="52"/>
        <v>0</v>
      </c>
      <c r="AO94" s="514">
        <f t="shared" si="52"/>
        <v>0</v>
      </c>
      <c r="AP94" s="514">
        <f t="shared" si="52"/>
        <v>0</v>
      </c>
      <c r="AQ94" s="514">
        <f t="shared" si="52"/>
        <v>0</v>
      </c>
    </row>
    <row r="95" spans="1:43" hidden="1" outlineLevel="1" x14ac:dyDescent="0.2">
      <c r="A95" s="125"/>
      <c r="B95" s="291">
        <f t="shared" si="49"/>
        <v>0</v>
      </c>
      <c r="C95" s="58">
        <v>19</v>
      </c>
      <c r="D95" s="541" t="str">
        <f t="shared" si="50"/>
        <v>** NOT USED **</v>
      </c>
      <c r="E95" s="32">
        <f>IF($D151&lt;&gt;"",F408,IF(MarketImpact=0,'2e. Scripts - market'!D34,0))</f>
        <v>0</v>
      </c>
      <c r="F95" s="32">
        <f>IF($D151&lt;&gt;"",G408,IF(MarketImpact=0,'2e. Scripts - market'!E34,0))</f>
        <v>0</v>
      </c>
      <c r="G95" s="32">
        <f>IF($D151&lt;&gt;"",H408,IF(MarketImpact=0,'2e. Scripts - market'!F34,0))</f>
        <v>0</v>
      </c>
      <c r="H95" s="32">
        <f>IF($D151&lt;&gt;"",I408,IF(MarketImpact=0,'2e. Scripts - market'!G34,0))</f>
        <v>0</v>
      </c>
      <c r="I95" s="32">
        <f>IF($D151&lt;&gt;"",J408,IF(MarketImpact=0,'2e. Scripts - market'!H34,0))</f>
        <v>0</v>
      </c>
      <c r="J95" s="32">
        <f>IF($D151&lt;&gt;"",K408,IF(MarketImpact=0,'2e. Scripts - market'!I34,0))</f>
        <v>0</v>
      </c>
      <c r="K95" s="125"/>
      <c r="L95" s="32">
        <f>IF($D151&lt;&gt;"",F409,IF(MarketImpact=0,'2e. Scripts - market'!K34,0))</f>
        <v>0</v>
      </c>
      <c r="M95" s="32">
        <f>IF($D151&lt;&gt;"",G409,IF(MarketImpact=0,'2e. Scripts - market'!L34,0))</f>
        <v>0</v>
      </c>
      <c r="N95" s="32">
        <f>IF($D151&lt;&gt;"",H409,IF(MarketImpact=0,'2e. Scripts - market'!M34,0))</f>
        <v>0</v>
      </c>
      <c r="O95" s="32">
        <f>IF($D151&lt;&gt;"",I409,IF(MarketImpact=0,'2e. Scripts - market'!N34,0))</f>
        <v>0</v>
      </c>
      <c r="P95" s="32">
        <f>IF($D151&lt;&gt;"",J409,IF(MarketImpact=0,'2e. Scripts - market'!O34,0))</f>
        <v>0</v>
      </c>
      <c r="Q95" s="32">
        <f>IF($D151&lt;&gt;"",K409,IF(MarketImpact=0,'2e. Scripts - market'!P34,0))</f>
        <v>0</v>
      </c>
      <c r="R95" s="125"/>
      <c r="S95" s="125"/>
      <c r="T95" s="125"/>
      <c r="U95" s="125"/>
      <c r="V95" s="125"/>
      <c r="W95" s="125"/>
      <c r="X95" s="641"/>
      <c r="Y95" s="641"/>
      <c r="Z95" s="641"/>
      <c r="AA95" s="641"/>
      <c r="AB95" s="615"/>
      <c r="AC95" s="615"/>
      <c r="AD95" s="615"/>
      <c r="AE95" s="299">
        <v>20</v>
      </c>
      <c r="AF95" s="514">
        <f t="shared" si="51"/>
        <v>0</v>
      </c>
      <c r="AG95" s="514">
        <f t="shared" si="51"/>
        <v>0</v>
      </c>
      <c r="AH95" s="514">
        <f t="shared" si="51"/>
        <v>0</v>
      </c>
      <c r="AI95" s="514">
        <f t="shared" si="51"/>
        <v>0</v>
      </c>
      <c r="AJ95" s="514">
        <f t="shared" si="51"/>
        <v>0</v>
      </c>
      <c r="AK95" s="514">
        <f t="shared" si="51"/>
        <v>0</v>
      </c>
      <c r="AL95" s="514">
        <f t="shared" si="52"/>
        <v>0</v>
      </c>
      <c r="AM95" s="514">
        <f t="shared" si="52"/>
        <v>0</v>
      </c>
      <c r="AN95" s="514">
        <f t="shared" si="52"/>
        <v>0</v>
      </c>
      <c r="AO95" s="514">
        <f t="shared" si="52"/>
        <v>0</v>
      </c>
      <c r="AP95" s="514">
        <f t="shared" si="52"/>
        <v>0</v>
      </c>
      <c r="AQ95" s="514">
        <f t="shared" si="52"/>
        <v>0</v>
      </c>
    </row>
    <row r="96" spans="1:43" hidden="1" outlineLevel="1" x14ac:dyDescent="0.2">
      <c r="A96" s="125"/>
      <c r="B96" s="291">
        <f t="shared" si="49"/>
        <v>0</v>
      </c>
      <c r="C96" s="58">
        <v>20</v>
      </c>
      <c r="D96" s="541" t="str">
        <f t="shared" si="50"/>
        <v>** NOT USED **</v>
      </c>
      <c r="E96" s="32">
        <f>IF($D152&lt;&gt;"",F420,IF(MarketImpact=0,'2e. Scripts - market'!D35,0))</f>
        <v>0</v>
      </c>
      <c r="F96" s="32">
        <f>IF($D152&lt;&gt;"",G420,IF(MarketImpact=0,'2e. Scripts - market'!E35,0))</f>
        <v>0</v>
      </c>
      <c r="G96" s="32">
        <f>IF($D152&lt;&gt;"",H420,IF(MarketImpact=0,'2e. Scripts - market'!F35,0))</f>
        <v>0</v>
      </c>
      <c r="H96" s="32">
        <f>IF($D152&lt;&gt;"",I420,IF(MarketImpact=0,'2e. Scripts - market'!G35,0))</f>
        <v>0</v>
      </c>
      <c r="I96" s="32">
        <f>IF($D152&lt;&gt;"",J420,IF(MarketImpact=0,'2e. Scripts - market'!H35,0))</f>
        <v>0</v>
      </c>
      <c r="J96" s="32">
        <f>IF($D152&lt;&gt;"",K420,IF(MarketImpact=0,'2e. Scripts - market'!I35,0))</f>
        <v>0</v>
      </c>
      <c r="K96" s="125"/>
      <c r="L96" s="32">
        <f>IF($D152&lt;&gt;"",F421,IF(MarketImpact=0,'2e. Scripts - market'!K35,0))</f>
        <v>0</v>
      </c>
      <c r="M96" s="32">
        <f>IF($D152&lt;&gt;"",G421,IF(MarketImpact=0,'2e. Scripts - market'!L35,0))</f>
        <v>0</v>
      </c>
      <c r="N96" s="32">
        <f>IF($D152&lt;&gt;"",H421,IF(MarketImpact=0,'2e. Scripts - market'!M35,0))</f>
        <v>0</v>
      </c>
      <c r="O96" s="32">
        <f>IF($D152&lt;&gt;"",I421,IF(MarketImpact=0,'2e. Scripts - market'!N35,0))</f>
        <v>0</v>
      </c>
      <c r="P96" s="32">
        <f>IF($D152&lt;&gt;"",J421,IF(MarketImpact=0,'2e. Scripts - market'!O35,0))</f>
        <v>0</v>
      </c>
      <c r="Q96" s="32">
        <f>IF($D152&lt;&gt;"",K421,IF(MarketImpact=0,'2e. Scripts - market'!P35,0))</f>
        <v>0</v>
      </c>
      <c r="R96" s="125"/>
      <c r="S96" s="125"/>
      <c r="T96" s="125"/>
      <c r="U96" s="125"/>
      <c r="V96" s="125"/>
      <c r="W96" s="125"/>
      <c r="X96" s="641"/>
      <c r="Y96" s="641"/>
      <c r="Z96" s="641"/>
      <c r="AA96" s="641"/>
      <c r="AB96" s="615"/>
      <c r="AC96" s="615"/>
      <c r="AD96" s="615"/>
    </row>
    <row r="97" spans="1:43" hidden="1" outlineLevel="1" x14ac:dyDescent="0.2">
      <c r="A97" s="125"/>
      <c r="B97" s="291">
        <f>SUM(B77:B96)</f>
        <v>0</v>
      </c>
      <c r="C97" s="615"/>
      <c r="D97" s="62" t="s">
        <v>222</v>
      </c>
      <c r="E97" s="35">
        <f t="shared" ref="E97:J97" si="53">SUM(E77:E96)</f>
        <v>0</v>
      </c>
      <c r="F97" s="35">
        <f t="shared" si="53"/>
        <v>0</v>
      </c>
      <c r="G97" s="35">
        <f t="shared" si="53"/>
        <v>0</v>
      </c>
      <c r="H97" s="35">
        <f t="shared" si="53"/>
        <v>0</v>
      </c>
      <c r="I97" s="35">
        <f t="shared" si="53"/>
        <v>0</v>
      </c>
      <c r="J97" s="35">
        <f t="shared" si="53"/>
        <v>0</v>
      </c>
      <c r="K97" s="125"/>
      <c r="L97" s="35">
        <f t="shared" ref="L97:Q97" si="54">SUM(L77:L96)</f>
        <v>0</v>
      </c>
      <c r="M97" s="35">
        <f t="shared" si="54"/>
        <v>0</v>
      </c>
      <c r="N97" s="35">
        <f t="shared" si="54"/>
        <v>0</v>
      </c>
      <c r="O97" s="35">
        <f t="shared" si="54"/>
        <v>0</v>
      </c>
      <c r="P97" s="35">
        <f t="shared" si="54"/>
        <v>0</v>
      </c>
      <c r="Q97" s="35">
        <f t="shared" si="54"/>
        <v>0</v>
      </c>
      <c r="R97" s="125"/>
      <c r="S97" s="125"/>
      <c r="T97" s="125"/>
      <c r="U97" s="125"/>
      <c r="V97" s="125"/>
      <c r="W97" s="125"/>
      <c r="X97" s="641"/>
      <c r="Y97" s="641"/>
      <c r="Z97" s="641"/>
      <c r="AA97" s="641"/>
      <c r="AB97" s="615"/>
      <c r="AC97" s="615"/>
      <c r="AD97" s="615"/>
    </row>
    <row r="98" spans="1:43" hidden="1" outlineLevel="1" x14ac:dyDescent="0.2">
      <c r="A98" s="125"/>
      <c r="B98" s="125"/>
      <c r="C98" s="125"/>
      <c r="D98" s="643"/>
      <c r="E98" s="702"/>
      <c r="F98" s="702"/>
      <c r="G98" s="702"/>
      <c r="H98" s="702"/>
      <c r="I98" s="702"/>
      <c r="J98" s="702"/>
      <c r="K98" s="125"/>
      <c r="L98" s="125"/>
      <c r="M98" s="125"/>
      <c r="N98" s="125"/>
      <c r="O98" s="125"/>
      <c r="P98" s="125"/>
      <c r="Q98" s="125"/>
      <c r="R98" s="125"/>
      <c r="S98" s="125"/>
      <c r="T98" s="125"/>
      <c r="U98" s="125"/>
      <c r="V98" s="125"/>
      <c r="W98" s="125"/>
      <c r="X98" s="641"/>
      <c r="Y98" s="641"/>
      <c r="Z98" s="641"/>
      <c r="AA98" s="641"/>
      <c r="AB98" s="615"/>
      <c r="AC98" s="615"/>
      <c r="AD98" s="615"/>
    </row>
    <row r="99" spans="1:43" collapsed="1" x14ac:dyDescent="0.2">
      <c r="A99" s="125"/>
      <c r="B99" s="125"/>
      <c r="C99" s="125"/>
      <c r="D99" s="643"/>
      <c r="E99" s="702"/>
      <c r="F99" s="702"/>
      <c r="G99" s="702"/>
      <c r="H99" s="702"/>
      <c r="I99" s="702"/>
      <c r="J99" s="702"/>
      <c r="K99" s="125"/>
      <c r="L99" s="125"/>
      <c r="M99" s="125"/>
      <c r="N99" s="125"/>
      <c r="O99" s="125"/>
      <c r="P99" s="125"/>
      <c r="Q99" s="125"/>
      <c r="R99" s="125"/>
      <c r="S99" s="125"/>
      <c r="T99" s="125"/>
      <c r="U99" s="125"/>
      <c r="V99" s="125"/>
      <c r="W99" s="125"/>
      <c r="X99" s="641"/>
      <c r="Y99" s="641"/>
      <c r="Z99" s="641"/>
      <c r="AA99" s="641"/>
      <c r="AB99" s="615"/>
      <c r="AC99" s="615"/>
      <c r="AD99" s="615"/>
    </row>
    <row r="100" spans="1:43" ht="15.75" x14ac:dyDescent="0.2">
      <c r="A100" s="125"/>
      <c r="B100" s="125"/>
      <c r="C100" s="125"/>
      <c r="D100" s="123" t="s">
        <v>920</v>
      </c>
      <c r="E100" s="142"/>
      <c r="F100" s="127"/>
      <c r="G100" s="127"/>
      <c r="H100" s="127"/>
      <c r="I100" s="839" t="str">
        <f>IF(C125=0,MsgNotUsed,"")</f>
        <v>** NOT USED **</v>
      </c>
      <c r="J100" s="839"/>
      <c r="K100" s="127"/>
      <c r="L100" s="127"/>
      <c r="M100" s="127"/>
      <c r="N100" s="127"/>
      <c r="O100" s="127"/>
      <c r="P100" s="127"/>
      <c r="Q100" s="127"/>
      <c r="R100" s="124"/>
      <c r="S100" s="124"/>
      <c r="T100" s="124"/>
      <c r="U100" s="124"/>
      <c r="V100" s="124"/>
      <c r="W100" s="124"/>
      <c r="X100" s="124"/>
      <c r="Y100" s="124"/>
      <c r="Z100" s="124"/>
      <c r="AA100" s="124"/>
      <c r="AB100" s="124"/>
      <c r="AC100" s="124"/>
      <c r="AD100" s="124"/>
      <c r="AE100" s="124"/>
      <c r="AF100" s="124"/>
      <c r="AG100" s="124"/>
      <c r="AH100" s="124"/>
      <c r="AI100" s="124"/>
      <c r="AJ100" s="124"/>
      <c r="AK100" s="124"/>
      <c r="AL100" s="124"/>
      <c r="AM100" s="124"/>
      <c r="AN100" s="124"/>
      <c r="AO100" s="124"/>
      <c r="AP100" s="124"/>
      <c r="AQ100" s="124"/>
    </row>
    <row r="101" spans="1:43" ht="15.75" hidden="1" outlineLevel="1" x14ac:dyDescent="0.2">
      <c r="A101" s="125"/>
      <c r="B101" s="125"/>
      <c r="C101" s="125"/>
      <c r="D101" s="655"/>
      <c r="E101" s="656"/>
      <c r="F101" s="125"/>
      <c r="G101" s="125"/>
      <c r="H101" s="125"/>
      <c r="I101" s="806" t="str">
        <f>IF(AND(B125&gt;0,C153&gt;0),"The services below may conflict with the market-share volumes from Section 2.","")</f>
        <v/>
      </c>
      <c r="J101" s="806"/>
      <c r="K101" s="806"/>
      <c r="L101" s="806"/>
      <c r="M101" s="806"/>
      <c r="N101" s="806"/>
      <c r="O101" s="806"/>
      <c r="P101" s="615"/>
      <c r="Q101" s="615"/>
      <c r="R101" s="615"/>
      <c r="S101" s="125"/>
      <c r="T101" s="125"/>
      <c r="U101" s="125"/>
      <c r="V101" s="125"/>
      <c r="W101" s="125"/>
      <c r="X101" s="125"/>
      <c r="Y101" s="125"/>
      <c r="Z101" s="125"/>
      <c r="AA101" s="125"/>
      <c r="AB101" s="125"/>
      <c r="AC101" s="125"/>
      <c r="AD101" s="125"/>
      <c r="AE101" s="125"/>
      <c r="AF101" s="856" t="s">
        <v>519</v>
      </c>
      <c r="AG101" s="856"/>
      <c r="AH101" s="856"/>
      <c r="AI101" s="856"/>
      <c r="AJ101" s="856"/>
      <c r="AK101" s="856"/>
      <c r="AL101" s="856"/>
      <c r="AM101" s="856"/>
      <c r="AN101" s="856"/>
      <c r="AO101" s="856"/>
      <c r="AP101" s="856"/>
      <c r="AQ101" s="856"/>
    </row>
    <row r="102" spans="1:43" hidden="1" outlineLevel="1" x14ac:dyDescent="0.2">
      <c r="A102" s="125"/>
      <c r="B102" s="125"/>
      <c r="C102" s="125"/>
      <c r="D102" s="162" t="s">
        <v>954</v>
      </c>
      <c r="E102" s="656"/>
      <c r="F102" s="125"/>
      <c r="G102" s="125"/>
      <c r="H102" s="125"/>
      <c r="I102" s="615"/>
      <c r="J102" s="615"/>
      <c r="K102" s="615"/>
      <c r="L102" s="615"/>
      <c r="M102" s="615"/>
      <c r="N102" s="615"/>
      <c r="O102" s="615"/>
      <c r="P102" s="703"/>
      <c r="Q102" s="615"/>
      <c r="R102" s="875"/>
      <c r="S102" s="875"/>
      <c r="T102" s="875"/>
      <c r="U102" s="875"/>
      <c r="V102" s="703"/>
      <c r="W102" s="703"/>
      <c r="X102" s="641"/>
      <c r="Y102" s="641"/>
      <c r="Z102" s="641"/>
      <c r="AA102" s="641"/>
      <c r="AB102" s="615"/>
      <c r="AC102" s="615"/>
      <c r="AD102" s="615"/>
      <c r="AE102" s="615"/>
      <c r="AF102" s="141">
        <v>1</v>
      </c>
      <c r="AG102" s="141">
        <v>2</v>
      </c>
      <c r="AH102" s="141">
        <v>3</v>
      </c>
      <c r="AI102" s="141">
        <v>4</v>
      </c>
      <c r="AJ102" s="141">
        <v>5</v>
      </c>
      <c r="AK102" s="141">
        <v>6</v>
      </c>
      <c r="AL102" s="141">
        <v>1</v>
      </c>
      <c r="AM102" s="141">
        <v>2</v>
      </c>
      <c r="AN102" s="141">
        <v>3</v>
      </c>
      <c r="AO102" s="141">
        <v>4</v>
      </c>
      <c r="AP102" s="141">
        <v>5</v>
      </c>
      <c r="AQ102" s="141">
        <v>6</v>
      </c>
    </row>
    <row r="103" spans="1:43" hidden="1" outlineLevel="1" x14ac:dyDescent="0.2">
      <c r="A103" s="125"/>
      <c r="B103" s="125"/>
      <c r="C103" s="125"/>
      <c r="D103" s="162"/>
      <c r="E103" s="656"/>
      <c r="F103" s="125"/>
      <c r="G103" s="125"/>
      <c r="H103" s="125"/>
      <c r="I103" s="125"/>
      <c r="J103" s="125"/>
      <c r="K103" s="125"/>
      <c r="L103" s="125"/>
      <c r="M103" s="125"/>
      <c r="N103" s="125"/>
      <c r="O103" s="125"/>
      <c r="P103" s="125"/>
      <c r="Q103" s="125"/>
      <c r="R103" s="125"/>
      <c r="S103" s="125"/>
      <c r="T103" s="125"/>
      <c r="U103" s="125"/>
      <c r="V103" s="125"/>
      <c r="W103" s="125"/>
      <c r="X103" s="641"/>
      <c r="Y103" s="641"/>
      <c r="Z103" s="641"/>
      <c r="AA103" s="641"/>
      <c r="AB103" s="125"/>
      <c r="AC103" s="125"/>
      <c r="AD103" s="125"/>
      <c r="AE103" s="125"/>
      <c r="AF103" s="855" t="str">
        <f>AF74</f>
        <v/>
      </c>
      <c r="AG103" s="855"/>
      <c r="AH103" s="855"/>
      <c r="AI103" s="855"/>
      <c r="AJ103" s="855"/>
      <c r="AK103" s="855"/>
      <c r="AL103" s="855" t="str">
        <f>AL46</f>
        <v/>
      </c>
      <c r="AM103" s="855"/>
      <c r="AN103" s="855"/>
      <c r="AO103" s="855"/>
      <c r="AP103" s="855"/>
      <c r="AQ103" s="855"/>
    </row>
    <row r="104" spans="1:43" ht="25.5" hidden="1" outlineLevel="1" x14ac:dyDescent="0.2">
      <c r="A104" s="125"/>
      <c r="B104" s="125"/>
      <c r="C104" s="125"/>
      <c r="D104" s="233" t="s">
        <v>813</v>
      </c>
      <c r="E104" s="830" t="s">
        <v>110</v>
      </c>
      <c r="F104" s="831"/>
      <c r="G104" s="832"/>
      <c r="H104" s="279" t="s">
        <v>109</v>
      </c>
      <c r="I104" s="233" t="s">
        <v>56</v>
      </c>
      <c r="J104" s="233" t="s">
        <v>302</v>
      </c>
      <c r="K104" s="233" t="s">
        <v>119</v>
      </c>
      <c r="L104" s="233" t="s">
        <v>375</v>
      </c>
      <c r="M104" s="233" t="s">
        <v>374</v>
      </c>
      <c r="N104" s="67" t="s">
        <v>367</v>
      </c>
      <c r="O104" s="67" t="str">
        <f>"Scripts / " &amp; IF(TxDuration=1,"year","treatment")</f>
        <v>Scripts / treatment</v>
      </c>
      <c r="P104" s="67" t="s">
        <v>756</v>
      </c>
      <c r="Q104" s="67" t="s">
        <v>254</v>
      </c>
      <c r="R104" s="233" t="s">
        <v>364</v>
      </c>
      <c r="S104" s="827" t="s">
        <v>1191</v>
      </c>
      <c r="T104" s="827"/>
      <c r="U104" s="827"/>
      <c r="V104" s="827"/>
      <c r="W104" s="827"/>
      <c r="X104" s="7"/>
      <c r="Y104" s="7"/>
      <c r="Z104" s="7"/>
      <c r="AA104" s="7"/>
      <c r="AB104" s="234" t="s">
        <v>279</v>
      </c>
      <c r="AC104" s="228" t="s">
        <v>291</v>
      </c>
      <c r="AD104" s="230" t="s">
        <v>426</v>
      </c>
      <c r="AE104" s="231" t="s">
        <v>1192</v>
      </c>
      <c r="AF104" s="229">
        <f>FirstYear</f>
        <v>2021</v>
      </c>
      <c r="AG104" s="229">
        <f>AF104+1</f>
        <v>2022</v>
      </c>
      <c r="AH104" s="229">
        <f>AG104+1</f>
        <v>2023</v>
      </c>
      <c r="AI104" s="229">
        <f>AH104+1</f>
        <v>2024</v>
      </c>
      <c r="AJ104" s="229">
        <f>AI104+1</f>
        <v>2025</v>
      </c>
      <c r="AK104" s="229">
        <f>AJ104+1</f>
        <v>2026</v>
      </c>
      <c r="AL104" s="229">
        <f>FirstYear</f>
        <v>2021</v>
      </c>
      <c r="AM104" s="229">
        <f>AL104+1</f>
        <v>2022</v>
      </c>
      <c r="AN104" s="229">
        <f>AM104+1</f>
        <v>2023</v>
      </c>
      <c r="AO104" s="229">
        <f>AN104+1</f>
        <v>2024</v>
      </c>
      <c r="AP104" s="229">
        <f>AO104+1</f>
        <v>2025</v>
      </c>
      <c r="AQ104" s="229">
        <f>AP104+1</f>
        <v>2026</v>
      </c>
    </row>
    <row r="105" spans="1:43" hidden="1" outlineLevel="1" x14ac:dyDescent="0.2">
      <c r="A105" s="701"/>
      <c r="B105" s="291">
        <f>IF(AND(D105&lt;&gt;"",D133&lt;&gt;""),1,0)</f>
        <v>0</v>
      </c>
      <c r="C105" s="298">
        <v>1</v>
      </c>
      <c r="D105" s="237"/>
      <c r="E105" s="847"/>
      <c r="F105" s="848"/>
      <c r="G105" s="849"/>
      <c r="H105" s="290"/>
      <c r="I105" s="266"/>
      <c r="J105" s="152"/>
      <c r="K105" s="151"/>
      <c r="L105" s="522"/>
      <c r="M105" s="266"/>
      <c r="N105" s="241"/>
      <c r="O105" s="154" t="str">
        <f>IF(AND(K105&lt;&gt;0,N105&lt;&gt;0,K105&lt;&gt;0,N105&lt;&gt;0),L105/(K105/N105)*J105,"")</f>
        <v/>
      </c>
      <c r="P105" s="476"/>
      <c r="Q105" s="356"/>
      <c r="R105" s="152"/>
      <c r="S105" s="851"/>
      <c r="T105" s="851"/>
      <c r="U105" s="851"/>
      <c r="V105" s="851"/>
      <c r="W105" s="851"/>
      <c r="Y105" s="365"/>
      <c r="Z105" s="365"/>
      <c r="AA105" s="58">
        <v>1</v>
      </c>
      <c r="AB105" s="71" t="str">
        <f t="shared" ref="AB105:AB124" si="55">IF(D105&lt;&gt;"",CONCATENATE(H105," - ",D105," ",E105, " - ",I105),MsgNotUsed)</f>
        <v>** NOT USED **</v>
      </c>
      <c r="AC105" s="470" t="str">
        <f t="shared" ref="AC105:AC124" si="56">IF(I105&lt;&gt;"",VLOOKUP(I105,TPShortCode,3,FALSE),"")</f>
        <v/>
      </c>
      <c r="AD105" s="240">
        <f t="shared" ref="AD105:AD124" si="57">IF(Q105="Decrease",-1,IF(Q105="Increase",1,0))</f>
        <v>0</v>
      </c>
      <c r="AE105" s="611">
        <f t="shared" ref="AE105:AE124" ca="1" si="58">IFERROR(MATCH(S105,DTGPops,0),0)</f>
        <v>0</v>
      </c>
      <c r="AF105" s="514">
        <f t="shared" ref="AF105:AK114" ca="1" si="59">IF($AE105&lt;&gt;0,INDEX(PxTxPhase1Adj,$AE105,AF$102)*$AD105,0)</f>
        <v>0</v>
      </c>
      <c r="AG105" s="514">
        <f t="shared" ca="1" si="59"/>
        <v>0</v>
      </c>
      <c r="AH105" s="514">
        <f t="shared" ca="1" si="59"/>
        <v>0</v>
      </c>
      <c r="AI105" s="514">
        <f t="shared" ca="1" si="59"/>
        <v>0</v>
      </c>
      <c r="AJ105" s="514">
        <f t="shared" ca="1" si="59"/>
        <v>0</v>
      </c>
      <c r="AK105" s="514">
        <f t="shared" ca="1" si="59"/>
        <v>0</v>
      </c>
      <c r="AL105" s="514">
        <f t="shared" ref="AL105:AQ114" ca="1" si="60">IF($AE105&lt;&gt;0,INDEX(PxTxPhase2Adj,$AE105,AL$102)*$AD105,0)</f>
        <v>0</v>
      </c>
      <c r="AM105" s="514">
        <f t="shared" ca="1" si="60"/>
        <v>0</v>
      </c>
      <c r="AN105" s="514">
        <f t="shared" ca="1" si="60"/>
        <v>0</v>
      </c>
      <c r="AO105" s="514">
        <f t="shared" ca="1" si="60"/>
        <v>0</v>
      </c>
      <c r="AP105" s="514">
        <f t="shared" ca="1" si="60"/>
        <v>0</v>
      </c>
      <c r="AQ105" s="514">
        <f t="shared" ca="1" si="60"/>
        <v>0</v>
      </c>
    </row>
    <row r="106" spans="1:43" hidden="1" outlineLevel="1" x14ac:dyDescent="0.2">
      <c r="A106" s="701"/>
      <c r="B106" s="291">
        <f t="shared" ref="B106:B124" si="61">IF(AND(D106&lt;&gt;"",D134&lt;&gt;""),1,0)</f>
        <v>0</v>
      </c>
      <c r="C106" s="298">
        <v>2</v>
      </c>
      <c r="D106" s="237"/>
      <c r="E106" s="847"/>
      <c r="F106" s="848"/>
      <c r="G106" s="849"/>
      <c r="H106" s="290"/>
      <c r="I106" s="266"/>
      <c r="J106" s="152"/>
      <c r="K106" s="151"/>
      <c r="L106" s="522"/>
      <c r="M106" s="266"/>
      <c r="N106" s="241"/>
      <c r="O106" s="154" t="str">
        <f t="shared" ref="O106:O124" si="62">IF(AND(K106&lt;&gt;"",N106&lt;&gt;"",K106&lt;&gt;0,N106&lt;&gt;0),L106/(K106/N106)*J106,"")</f>
        <v/>
      </c>
      <c r="P106" s="476"/>
      <c r="Q106" s="356"/>
      <c r="R106" s="152"/>
      <c r="S106" s="851"/>
      <c r="T106" s="851"/>
      <c r="U106" s="851"/>
      <c r="V106" s="851"/>
      <c r="W106" s="851"/>
      <c r="Y106" s="365"/>
      <c r="Z106" s="365"/>
      <c r="AA106" s="58">
        <v>2</v>
      </c>
      <c r="AB106" s="71" t="str">
        <f t="shared" si="55"/>
        <v>** NOT USED **</v>
      </c>
      <c r="AC106" s="470" t="str">
        <f t="shared" si="56"/>
        <v/>
      </c>
      <c r="AD106" s="240">
        <f t="shared" si="57"/>
        <v>0</v>
      </c>
      <c r="AE106" s="634">
        <f t="shared" ca="1" si="58"/>
        <v>0</v>
      </c>
      <c r="AF106" s="514">
        <f t="shared" ca="1" si="59"/>
        <v>0</v>
      </c>
      <c r="AG106" s="514">
        <f t="shared" ca="1" si="59"/>
        <v>0</v>
      </c>
      <c r="AH106" s="514">
        <f t="shared" ca="1" si="59"/>
        <v>0</v>
      </c>
      <c r="AI106" s="514">
        <f t="shared" ca="1" si="59"/>
        <v>0</v>
      </c>
      <c r="AJ106" s="514">
        <f t="shared" ca="1" si="59"/>
        <v>0</v>
      </c>
      <c r="AK106" s="514">
        <f t="shared" ca="1" si="59"/>
        <v>0</v>
      </c>
      <c r="AL106" s="514">
        <f t="shared" ca="1" si="60"/>
        <v>0</v>
      </c>
      <c r="AM106" s="514">
        <f t="shared" ca="1" si="60"/>
        <v>0</v>
      </c>
      <c r="AN106" s="514">
        <f t="shared" ca="1" si="60"/>
        <v>0</v>
      </c>
      <c r="AO106" s="514">
        <f t="shared" ca="1" si="60"/>
        <v>0</v>
      </c>
      <c r="AP106" s="514">
        <f t="shared" ca="1" si="60"/>
        <v>0</v>
      </c>
      <c r="AQ106" s="514">
        <f t="shared" ca="1" si="60"/>
        <v>0</v>
      </c>
    </row>
    <row r="107" spans="1:43" hidden="1" outlineLevel="1" x14ac:dyDescent="0.2">
      <c r="A107" s="701"/>
      <c r="B107" s="291">
        <f t="shared" si="61"/>
        <v>0</v>
      </c>
      <c r="C107" s="298">
        <v>3</v>
      </c>
      <c r="D107" s="237"/>
      <c r="E107" s="847"/>
      <c r="F107" s="848"/>
      <c r="G107" s="849"/>
      <c r="H107" s="290"/>
      <c r="I107" s="266"/>
      <c r="J107" s="152"/>
      <c r="K107" s="151"/>
      <c r="L107" s="153"/>
      <c r="M107" s="266"/>
      <c r="N107" s="241"/>
      <c r="O107" s="154" t="str">
        <f t="shared" si="62"/>
        <v/>
      </c>
      <c r="P107" s="476"/>
      <c r="Q107" s="356"/>
      <c r="R107" s="152"/>
      <c r="S107" s="851"/>
      <c r="T107" s="851"/>
      <c r="U107" s="851"/>
      <c r="V107" s="851"/>
      <c r="W107" s="851"/>
      <c r="Y107" s="365"/>
      <c r="Z107" s="365"/>
      <c r="AA107" s="58">
        <v>3</v>
      </c>
      <c r="AB107" s="71" t="str">
        <f t="shared" si="55"/>
        <v>** NOT USED **</v>
      </c>
      <c r="AC107" s="470" t="str">
        <f t="shared" si="56"/>
        <v/>
      </c>
      <c r="AD107" s="240">
        <f t="shared" si="57"/>
        <v>0</v>
      </c>
      <c r="AE107" s="634">
        <f t="shared" ca="1" si="58"/>
        <v>0</v>
      </c>
      <c r="AF107" s="514">
        <f t="shared" ca="1" si="59"/>
        <v>0</v>
      </c>
      <c r="AG107" s="514">
        <f t="shared" ca="1" si="59"/>
        <v>0</v>
      </c>
      <c r="AH107" s="514">
        <f t="shared" ca="1" si="59"/>
        <v>0</v>
      </c>
      <c r="AI107" s="514">
        <f t="shared" ca="1" si="59"/>
        <v>0</v>
      </c>
      <c r="AJ107" s="514">
        <f t="shared" ca="1" si="59"/>
        <v>0</v>
      </c>
      <c r="AK107" s="514">
        <f t="shared" ca="1" si="59"/>
        <v>0</v>
      </c>
      <c r="AL107" s="514">
        <f t="shared" ca="1" si="60"/>
        <v>0</v>
      </c>
      <c r="AM107" s="514">
        <f t="shared" ca="1" si="60"/>
        <v>0</v>
      </c>
      <c r="AN107" s="514">
        <f t="shared" ca="1" si="60"/>
        <v>0</v>
      </c>
      <c r="AO107" s="514">
        <f t="shared" ca="1" si="60"/>
        <v>0</v>
      </c>
      <c r="AP107" s="514">
        <f t="shared" ca="1" si="60"/>
        <v>0</v>
      </c>
      <c r="AQ107" s="514">
        <f t="shared" ca="1" si="60"/>
        <v>0</v>
      </c>
    </row>
    <row r="108" spans="1:43" hidden="1" outlineLevel="1" x14ac:dyDescent="0.2">
      <c r="A108" s="701"/>
      <c r="B108" s="291">
        <f t="shared" si="61"/>
        <v>0</v>
      </c>
      <c r="C108" s="298">
        <v>4</v>
      </c>
      <c r="D108" s="237"/>
      <c r="E108" s="847"/>
      <c r="F108" s="848"/>
      <c r="G108" s="849"/>
      <c r="H108" s="290"/>
      <c r="I108" s="266"/>
      <c r="J108" s="152"/>
      <c r="K108" s="151"/>
      <c r="L108" s="153"/>
      <c r="M108" s="266"/>
      <c r="N108" s="241"/>
      <c r="O108" s="154" t="str">
        <f t="shared" si="62"/>
        <v/>
      </c>
      <c r="P108" s="476"/>
      <c r="Q108" s="356"/>
      <c r="R108" s="152"/>
      <c r="S108" s="851"/>
      <c r="T108" s="851"/>
      <c r="U108" s="851"/>
      <c r="V108" s="851"/>
      <c r="W108" s="851"/>
      <c r="Y108" s="365"/>
      <c r="Z108" s="365"/>
      <c r="AA108" s="58">
        <v>4</v>
      </c>
      <c r="AB108" s="71" t="str">
        <f t="shared" si="55"/>
        <v>** NOT USED **</v>
      </c>
      <c r="AC108" s="470" t="str">
        <f t="shared" si="56"/>
        <v/>
      </c>
      <c r="AD108" s="240">
        <f t="shared" si="57"/>
        <v>0</v>
      </c>
      <c r="AE108" s="634">
        <f t="shared" ca="1" si="58"/>
        <v>0</v>
      </c>
      <c r="AF108" s="514">
        <f t="shared" ca="1" si="59"/>
        <v>0</v>
      </c>
      <c r="AG108" s="514">
        <f t="shared" ca="1" si="59"/>
        <v>0</v>
      </c>
      <c r="AH108" s="514">
        <f t="shared" ca="1" si="59"/>
        <v>0</v>
      </c>
      <c r="AI108" s="514">
        <f t="shared" ca="1" si="59"/>
        <v>0</v>
      </c>
      <c r="AJ108" s="514">
        <f t="shared" ca="1" si="59"/>
        <v>0</v>
      </c>
      <c r="AK108" s="514">
        <f t="shared" ca="1" si="59"/>
        <v>0</v>
      </c>
      <c r="AL108" s="514">
        <f t="shared" ca="1" si="60"/>
        <v>0</v>
      </c>
      <c r="AM108" s="514">
        <f t="shared" ca="1" si="60"/>
        <v>0</v>
      </c>
      <c r="AN108" s="514">
        <f t="shared" ca="1" si="60"/>
        <v>0</v>
      </c>
      <c r="AO108" s="514">
        <f t="shared" ca="1" si="60"/>
        <v>0</v>
      </c>
      <c r="AP108" s="514">
        <f t="shared" ca="1" si="60"/>
        <v>0</v>
      </c>
      <c r="AQ108" s="514">
        <f t="shared" ca="1" si="60"/>
        <v>0</v>
      </c>
    </row>
    <row r="109" spans="1:43" hidden="1" outlineLevel="1" x14ac:dyDescent="0.2">
      <c r="A109" s="701"/>
      <c r="B109" s="291">
        <f t="shared" si="61"/>
        <v>0</v>
      </c>
      <c r="C109" s="298">
        <v>5</v>
      </c>
      <c r="D109" s="237"/>
      <c r="E109" s="847"/>
      <c r="F109" s="848"/>
      <c r="G109" s="849"/>
      <c r="H109" s="290"/>
      <c r="I109" s="266"/>
      <c r="J109" s="152"/>
      <c r="K109" s="151"/>
      <c r="L109" s="153"/>
      <c r="M109" s="266"/>
      <c r="N109" s="241"/>
      <c r="O109" s="154" t="str">
        <f t="shared" si="62"/>
        <v/>
      </c>
      <c r="P109" s="476"/>
      <c r="Q109" s="356"/>
      <c r="R109" s="152"/>
      <c r="S109" s="851"/>
      <c r="T109" s="851"/>
      <c r="U109" s="851"/>
      <c r="V109" s="851"/>
      <c r="W109" s="851"/>
      <c r="Y109" s="365"/>
      <c r="Z109" s="365"/>
      <c r="AA109" s="58">
        <v>5</v>
      </c>
      <c r="AB109" s="71" t="str">
        <f t="shared" si="55"/>
        <v>** NOT USED **</v>
      </c>
      <c r="AC109" s="470" t="str">
        <f t="shared" si="56"/>
        <v/>
      </c>
      <c r="AD109" s="240">
        <f t="shared" si="57"/>
        <v>0</v>
      </c>
      <c r="AE109" s="634">
        <f t="shared" ca="1" si="58"/>
        <v>0</v>
      </c>
      <c r="AF109" s="514">
        <f t="shared" ca="1" si="59"/>
        <v>0</v>
      </c>
      <c r="AG109" s="514">
        <f t="shared" ca="1" si="59"/>
        <v>0</v>
      </c>
      <c r="AH109" s="514">
        <f t="shared" ca="1" si="59"/>
        <v>0</v>
      </c>
      <c r="AI109" s="514">
        <f t="shared" ca="1" si="59"/>
        <v>0</v>
      </c>
      <c r="AJ109" s="514">
        <f t="shared" ca="1" si="59"/>
        <v>0</v>
      </c>
      <c r="AK109" s="514">
        <f t="shared" ca="1" si="59"/>
        <v>0</v>
      </c>
      <c r="AL109" s="514">
        <f t="shared" ca="1" si="60"/>
        <v>0</v>
      </c>
      <c r="AM109" s="514">
        <f t="shared" ca="1" si="60"/>
        <v>0</v>
      </c>
      <c r="AN109" s="514">
        <f t="shared" ca="1" si="60"/>
        <v>0</v>
      </c>
      <c r="AO109" s="514">
        <f t="shared" ca="1" si="60"/>
        <v>0</v>
      </c>
      <c r="AP109" s="514">
        <f t="shared" ca="1" si="60"/>
        <v>0</v>
      </c>
      <c r="AQ109" s="514">
        <f t="shared" ca="1" si="60"/>
        <v>0</v>
      </c>
    </row>
    <row r="110" spans="1:43" hidden="1" outlineLevel="1" x14ac:dyDescent="0.2">
      <c r="A110" s="701"/>
      <c r="B110" s="291">
        <f t="shared" si="61"/>
        <v>0</v>
      </c>
      <c r="C110" s="298">
        <v>6</v>
      </c>
      <c r="D110" s="237"/>
      <c r="E110" s="847"/>
      <c r="F110" s="848"/>
      <c r="G110" s="849"/>
      <c r="H110" s="290"/>
      <c r="I110" s="266"/>
      <c r="J110" s="152"/>
      <c r="K110" s="151"/>
      <c r="L110" s="153"/>
      <c r="M110" s="266"/>
      <c r="N110" s="241"/>
      <c r="O110" s="154" t="str">
        <f t="shared" si="62"/>
        <v/>
      </c>
      <c r="P110" s="476"/>
      <c r="Q110" s="269"/>
      <c r="R110" s="152"/>
      <c r="S110" s="851"/>
      <c r="T110" s="851"/>
      <c r="U110" s="851"/>
      <c r="V110" s="851"/>
      <c r="W110" s="851"/>
      <c r="Y110" s="365"/>
      <c r="Z110" s="365"/>
      <c r="AA110" s="58">
        <v>6</v>
      </c>
      <c r="AB110" s="71" t="str">
        <f t="shared" si="55"/>
        <v>** NOT USED **</v>
      </c>
      <c r="AC110" s="470" t="str">
        <f t="shared" si="56"/>
        <v/>
      </c>
      <c r="AD110" s="240">
        <f t="shared" si="57"/>
        <v>0</v>
      </c>
      <c r="AE110" s="634">
        <f t="shared" ca="1" si="58"/>
        <v>0</v>
      </c>
      <c r="AF110" s="514">
        <f t="shared" ca="1" si="59"/>
        <v>0</v>
      </c>
      <c r="AG110" s="514">
        <f t="shared" ca="1" si="59"/>
        <v>0</v>
      </c>
      <c r="AH110" s="514">
        <f t="shared" ca="1" si="59"/>
        <v>0</v>
      </c>
      <c r="AI110" s="514">
        <f t="shared" ca="1" si="59"/>
        <v>0</v>
      </c>
      <c r="AJ110" s="514">
        <f t="shared" ca="1" si="59"/>
        <v>0</v>
      </c>
      <c r="AK110" s="514">
        <f t="shared" ca="1" si="59"/>
        <v>0</v>
      </c>
      <c r="AL110" s="514">
        <f t="shared" ca="1" si="60"/>
        <v>0</v>
      </c>
      <c r="AM110" s="514">
        <f t="shared" ca="1" si="60"/>
        <v>0</v>
      </c>
      <c r="AN110" s="514">
        <f t="shared" ca="1" si="60"/>
        <v>0</v>
      </c>
      <c r="AO110" s="514">
        <f t="shared" ca="1" si="60"/>
        <v>0</v>
      </c>
      <c r="AP110" s="514">
        <f t="shared" ca="1" si="60"/>
        <v>0</v>
      </c>
      <c r="AQ110" s="514">
        <f t="shared" ca="1" si="60"/>
        <v>0</v>
      </c>
    </row>
    <row r="111" spans="1:43" hidden="1" outlineLevel="1" x14ac:dyDescent="0.2">
      <c r="A111" s="701"/>
      <c r="B111" s="291">
        <f t="shared" si="61"/>
        <v>0</v>
      </c>
      <c r="C111" s="298">
        <v>7</v>
      </c>
      <c r="D111" s="237"/>
      <c r="E111" s="847"/>
      <c r="F111" s="848"/>
      <c r="G111" s="849"/>
      <c r="H111" s="290"/>
      <c r="I111" s="266"/>
      <c r="J111" s="152"/>
      <c r="K111" s="151"/>
      <c r="L111" s="153"/>
      <c r="M111" s="266"/>
      <c r="N111" s="57"/>
      <c r="O111" s="154" t="str">
        <f t="shared" si="62"/>
        <v/>
      </c>
      <c r="P111" s="476"/>
      <c r="Q111" s="269"/>
      <c r="R111" s="152"/>
      <c r="S111" s="851"/>
      <c r="T111" s="851"/>
      <c r="U111" s="851"/>
      <c r="V111" s="851"/>
      <c r="W111" s="851"/>
      <c r="Y111" s="365"/>
      <c r="Z111" s="365"/>
      <c r="AA111" s="58">
        <v>7</v>
      </c>
      <c r="AB111" s="71" t="str">
        <f t="shared" si="55"/>
        <v>** NOT USED **</v>
      </c>
      <c r="AC111" s="470" t="str">
        <f t="shared" si="56"/>
        <v/>
      </c>
      <c r="AD111" s="240">
        <f t="shared" si="57"/>
        <v>0</v>
      </c>
      <c r="AE111" s="634">
        <f t="shared" ca="1" si="58"/>
        <v>0</v>
      </c>
      <c r="AF111" s="514">
        <f t="shared" ca="1" si="59"/>
        <v>0</v>
      </c>
      <c r="AG111" s="514">
        <f t="shared" ca="1" si="59"/>
        <v>0</v>
      </c>
      <c r="AH111" s="514">
        <f t="shared" ca="1" si="59"/>
        <v>0</v>
      </c>
      <c r="AI111" s="514">
        <f t="shared" ca="1" si="59"/>
        <v>0</v>
      </c>
      <c r="AJ111" s="514">
        <f t="shared" ca="1" si="59"/>
        <v>0</v>
      </c>
      <c r="AK111" s="514">
        <f t="shared" ca="1" si="59"/>
        <v>0</v>
      </c>
      <c r="AL111" s="514">
        <f t="shared" ca="1" si="60"/>
        <v>0</v>
      </c>
      <c r="AM111" s="514">
        <f t="shared" ca="1" si="60"/>
        <v>0</v>
      </c>
      <c r="AN111" s="514">
        <f t="shared" ca="1" si="60"/>
        <v>0</v>
      </c>
      <c r="AO111" s="514">
        <f t="shared" ca="1" si="60"/>
        <v>0</v>
      </c>
      <c r="AP111" s="514">
        <f t="shared" ca="1" si="60"/>
        <v>0</v>
      </c>
      <c r="AQ111" s="514">
        <f t="shared" ca="1" si="60"/>
        <v>0</v>
      </c>
    </row>
    <row r="112" spans="1:43" ht="14.25" hidden="1" customHeight="1" outlineLevel="1" x14ac:dyDescent="0.2">
      <c r="A112" s="701"/>
      <c r="B112" s="291">
        <f t="shared" si="61"/>
        <v>0</v>
      </c>
      <c r="C112" s="298">
        <v>8</v>
      </c>
      <c r="D112" s="237"/>
      <c r="E112" s="847"/>
      <c r="F112" s="848"/>
      <c r="G112" s="849"/>
      <c r="H112" s="290"/>
      <c r="I112" s="266"/>
      <c r="J112" s="152"/>
      <c r="K112" s="151"/>
      <c r="L112" s="153"/>
      <c r="M112" s="266"/>
      <c r="N112" s="57"/>
      <c r="O112" s="154" t="str">
        <f t="shared" si="62"/>
        <v/>
      </c>
      <c r="P112" s="476"/>
      <c r="Q112" s="269"/>
      <c r="R112" s="152"/>
      <c r="S112" s="851"/>
      <c r="T112" s="851"/>
      <c r="U112" s="851"/>
      <c r="V112" s="851"/>
      <c r="W112" s="851"/>
      <c r="Y112" s="365"/>
      <c r="Z112" s="365"/>
      <c r="AA112" s="58">
        <v>8</v>
      </c>
      <c r="AB112" s="71" t="str">
        <f t="shared" si="55"/>
        <v>** NOT USED **</v>
      </c>
      <c r="AC112" s="470" t="str">
        <f t="shared" si="56"/>
        <v/>
      </c>
      <c r="AD112" s="240">
        <f t="shared" si="57"/>
        <v>0</v>
      </c>
      <c r="AE112" s="634">
        <f t="shared" ca="1" si="58"/>
        <v>0</v>
      </c>
      <c r="AF112" s="514">
        <f t="shared" ca="1" si="59"/>
        <v>0</v>
      </c>
      <c r="AG112" s="514">
        <f t="shared" ca="1" si="59"/>
        <v>0</v>
      </c>
      <c r="AH112" s="514">
        <f t="shared" ca="1" si="59"/>
        <v>0</v>
      </c>
      <c r="AI112" s="514">
        <f t="shared" ca="1" si="59"/>
        <v>0</v>
      </c>
      <c r="AJ112" s="514">
        <f t="shared" ca="1" si="59"/>
        <v>0</v>
      </c>
      <c r="AK112" s="514">
        <f t="shared" ca="1" si="59"/>
        <v>0</v>
      </c>
      <c r="AL112" s="514">
        <f t="shared" ca="1" si="60"/>
        <v>0</v>
      </c>
      <c r="AM112" s="514">
        <f t="shared" ca="1" si="60"/>
        <v>0</v>
      </c>
      <c r="AN112" s="514">
        <f t="shared" ca="1" si="60"/>
        <v>0</v>
      </c>
      <c r="AO112" s="514">
        <f t="shared" ca="1" si="60"/>
        <v>0</v>
      </c>
      <c r="AP112" s="514">
        <f t="shared" ca="1" si="60"/>
        <v>0</v>
      </c>
      <c r="AQ112" s="514">
        <f t="shared" ca="1" si="60"/>
        <v>0</v>
      </c>
    </row>
    <row r="113" spans="1:43" hidden="1" outlineLevel="1" x14ac:dyDescent="0.2">
      <c r="A113" s="701"/>
      <c r="B113" s="291">
        <f t="shared" si="61"/>
        <v>0</v>
      </c>
      <c r="C113" s="298">
        <v>9</v>
      </c>
      <c r="D113" s="237"/>
      <c r="E113" s="847"/>
      <c r="F113" s="848"/>
      <c r="G113" s="849"/>
      <c r="H113" s="290"/>
      <c r="I113" s="266"/>
      <c r="J113" s="152"/>
      <c r="K113" s="151"/>
      <c r="L113" s="153"/>
      <c r="M113" s="266"/>
      <c r="N113" s="57"/>
      <c r="O113" s="154" t="str">
        <f t="shared" si="62"/>
        <v/>
      </c>
      <c r="P113" s="476"/>
      <c r="Q113" s="356"/>
      <c r="R113" s="152"/>
      <c r="S113" s="851"/>
      <c r="T113" s="851"/>
      <c r="U113" s="851"/>
      <c r="V113" s="851"/>
      <c r="W113" s="851"/>
      <c r="Y113" s="365"/>
      <c r="Z113" s="365"/>
      <c r="AA113" s="58">
        <v>9</v>
      </c>
      <c r="AB113" s="71" t="str">
        <f t="shared" si="55"/>
        <v>** NOT USED **</v>
      </c>
      <c r="AC113" s="470" t="str">
        <f t="shared" si="56"/>
        <v/>
      </c>
      <c r="AD113" s="240">
        <f t="shared" si="57"/>
        <v>0</v>
      </c>
      <c r="AE113" s="634">
        <f t="shared" ca="1" si="58"/>
        <v>0</v>
      </c>
      <c r="AF113" s="514">
        <f t="shared" ca="1" si="59"/>
        <v>0</v>
      </c>
      <c r="AG113" s="514">
        <f t="shared" ca="1" si="59"/>
        <v>0</v>
      </c>
      <c r="AH113" s="514">
        <f t="shared" ca="1" si="59"/>
        <v>0</v>
      </c>
      <c r="AI113" s="514">
        <f t="shared" ca="1" si="59"/>
        <v>0</v>
      </c>
      <c r="AJ113" s="514">
        <f t="shared" ca="1" si="59"/>
        <v>0</v>
      </c>
      <c r="AK113" s="514">
        <f t="shared" ca="1" si="59"/>
        <v>0</v>
      </c>
      <c r="AL113" s="514">
        <f t="shared" ca="1" si="60"/>
        <v>0</v>
      </c>
      <c r="AM113" s="514">
        <f t="shared" ca="1" si="60"/>
        <v>0</v>
      </c>
      <c r="AN113" s="514">
        <f t="shared" ca="1" si="60"/>
        <v>0</v>
      </c>
      <c r="AO113" s="514">
        <f t="shared" ca="1" si="60"/>
        <v>0</v>
      </c>
      <c r="AP113" s="514">
        <f t="shared" ca="1" si="60"/>
        <v>0</v>
      </c>
      <c r="AQ113" s="514">
        <f t="shared" ca="1" si="60"/>
        <v>0</v>
      </c>
    </row>
    <row r="114" spans="1:43" hidden="1" outlineLevel="1" x14ac:dyDescent="0.2">
      <c r="A114" s="701"/>
      <c r="B114" s="291">
        <f t="shared" si="61"/>
        <v>0</v>
      </c>
      <c r="C114" s="298">
        <v>10</v>
      </c>
      <c r="D114" s="237"/>
      <c r="E114" s="847"/>
      <c r="F114" s="848"/>
      <c r="G114" s="849"/>
      <c r="H114" s="290"/>
      <c r="I114" s="266"/>
      <c r="J114" s="152"/>
      <c r="K114" s="151"/>
      <c r="L114" s="153"/>
      <c r="M114" s="266"/>
      <c r="N114" s="57"/>
      <c r="O114" s="154" t="str">
        <f t="shared" si="62"/>
        <v/>
      </c>
      <c r="P114" s="476"/>
      <c r="Q114" s="269"/>
      <c r="R114" s="152"/>
      <c r="S114" s="851"/>
      <c r="T114" s="851"/>
      <c r="U114" s="851"/>
      <c r="V114" s="851"/>
      <c r="W114" s="851"/>
      <c r="Y114" s="365"/>
      <c r="Z114" s="365"/>
      <c r="AA114" s="58">
        <v>10</v>
      </c>
      <c r="AB114" s="71" t="str">
        <f t="shared" si="55"/>
        <v>** NOT USED **</v>
      </c>
      <c r="AC114" s="470" t="str">
        <f t="shared" si="56"/>
        <v/>
      </c>
      <c r="AD114" s="240">
        <f t="shared" si="57"/>
        <v>0</v>
      </c>
      <c r="AE114" s="634">
        <f t="shared" ca="1" si="58"/>
        <v>0</v>
      </c>
      <c r="AF114" s="514">
        <f t="shared" ca="1" si="59"/>
        <v>0</v>
      </c>
      <c r="AG114" s="514">
        <f t="shared" ca="1" si="59"/>
        <v>0</v>
      </c>
      <c r="AH114" s="514">
        <f t="shared" ca="1" si="59"/>
        <v>0</v>
      </c>
      <c r="AI114" s="514">
        <f t="shared" ca="1" si="59"/>
        <v>0</v>
      </c>
      <c r="AJ114" s="514">
        <f t="shared" ca="1" si="59"/>
        <v>0</v>
      </c>
      <c r="AK114" s="514">
        <f t="shared" ca="1" si="59"/>
        <v>0</v>
      </c>
      <c r="AL114" s="514">
        <f t="shared" ca="1" si="60"/>
        <v>0</v>
      </c>
      <c r="AM114" s="514">
        <f t="shared" ca="1" si="60"/>
        <v>0</v>
      </c>
      <c r="AN114" s="514">
        <f t="shared" ca="1" si="60"/>
        <v>0</v>
      </c>
      <c r="AO114" s="514">
        <f t="shared" ca="1" si="60"/>
        <v>0</v>
      </c>
      <c r="AP114" s="514">
        <f t="shared" ca="1" si="60"/>
        <v>0</v>
      </c>
      <c r="AQ114" s="514">
        <f t="shared" ca="1" si="60"/>
        <v>0</v>
      </c>
    </row>
    <row r="115" spans="1:43" hidden="1" outlineLevel="1" x14ac:dyDescent="0.2">
      <c r="A115" s="615"/>
      <c r="B115" s="291">
        <f t="shared" si="61"/>
        <v>0</v>
      </c>
      <c r="C115" s="298">
        <v>11</v>
      </c>
      <c r="D115" s="296"/>
      <c r="E115" s="847"/>
      <c r="F115" s="848"/>
      <c r="G115" s="849"/>
      <c r="H115" s="290"/>
      <c r="I115" s="266"/>
      <c r="J115" s="152"/>
      <c r="K115" s="151"/>
      <c r="L115" s="153"/>
      <c r="M115" s="266"/>
      <c r="N115" s="57"/>
      <c r="O115" s="154" t="str">
        <f t="shared" si="62"/>
        <v/>
      </c>
      <c r="P115" s="476"/>
      <c r="Q115" s="269"/>
      <c r="R115" s="152"/>
      <c r="S115" s="851"/>
      <c r="T115" s="851"/>
      <c r="U115" s="851"/>
      <c r="V115" s="851"/>
      <c r="W115" s="851"/>
      <c r="Y115" s="365"/>
      <c r="Z115" s="365"/>
      <c r="AA115" s="58">
        <v>11</v>
      </c>
      <c r="AB115" s="71" t="str">
        <f t="shared" si="55"/>
        <v>** NOT USED **</v>
      </c>
      <c r="AC115" s="470" t="str">
        <f t="shared" si="56"/>
        <v/>
      </c>
      <c r="AD115" s="240">
        <f t="shared" si="57"/>
        <v>0</v>
      </c>
      <c r="AE115" s="634">
        <f t="shared" ca="1" si="58"/>
        <v>0</v>
      </c>
      <c r="AF115" s="514">
        <f t="shared" ref="AF115:AK124" ca="1" si="63">IF($AE115&lt;&gt;0,INDEX(PxTxPhase1Adj,$AE115,AF$102)*$AD115,0)</f>
        <v>0</v>
      </c>
      <c r="AG115" s="514">
        <f t="shared" ca="1" si="63"/>
        <v>0</v>
      </c>
      <c r="AH115" s="514">
        <f t="shared" ca="1" si="63"/>
        <v>0</v>
      </c>
      <c r="AI115" s="514">
        <f t="shared" ca="1" si="63"/>
        <v>0</v>
      </c>
      <c r="AJ115" s="514">
        <f t="shared" ca="1" si="63"/>
        <v>0</v>
      </c>
      <c r="AK115" s="514">
        <f t="shared" ca="1" si="63"/>
        <v>0</v>
      </c>
      <c r="AL115" s="514">
        <f t="shared" ref="AL115:AQ124" ca="1" si="64">IF($AE115&lt;&gt;0,INDEX(PxTxPhase2Adj,$AE115,AL$102)*$AD115,0)</f>
        <v>0</v>
      </c>
      <c r="AM115" s="514">
        <f t="shared" ca="1" si="64"/>
        <v>0</v>
      </c>
      <c r="AN115" s="514">
        <f t="shared" ca="1" si="64"/>
        <v>0</v>
      </c>
      <c r="AO115" s="514">
        <f t="shared" ca="1" si="64"/>
        <v>0</v>
      </c>
      <c r="AP115" s="514">
        <f t="shared" ca="1" si="64"/>
        <v>0</v>
      </c>
      <c r="AQ115" s="514">
        <f t="shared" ca="1" si="64"/>
        <v>0</v>
      </c>
    </row>
    <row r="116" spans="1:43" hidden="1" outlineLevel="1" x14ac:dyDescent="0.2">
      <c r="A116" s="615"/>
      <c r="B116" s="291">
        <f t="shared" si="61"/>
        <v>0</v>
      </c>
      <c r="C116" s="298">
        <v>12</v>
      </c>
      <c r="D116" s="296"/>
      <c r="E116" s="847"/>
      <c r="F116" s="848"/>
      <c r="G116" s="849"/>
      <c r="H116" s="290"/>
      <c r="I116" s="266"/>
      <c r="J116" s="152"/>
      <c r="K116" s="151"/>
      <c r="L116" s="153"/>
      <c r="M116" s="266"/>
      <c r="N116" s="57"/>
      <c r="O116" s="154" t="str">
        <f t="shared" si="62"/>
        <v/>
      </c>
      <c r="P116" s="476"/>
      <c r="Q116" s="269"/>
      <c r="R116" s="152"/>
      <c r="S116" s="851"/>
      <c r="T116" s="851"/>
      <c r="U116" s="851"/>
      <c r="V116" s="851"/>
      <c r="W116" s="851"/>
      <c r="Y116" s="365"/>
      <c r="Z116" s="365"/>
      <c r="AA116" s="58">
        <v>12</v>
      </c>
      <c r="AB116" s="71" t="str">
        <f t="shared" si="55"/>
        <v>** NOT USED **</v>
      </c>
      <c r="AC116" s="470" t="str">
        <f t="shared" si="56"/>
        <v/>
      </c>
      <c r="AD116" s="240">
        <f t="shared" si="57"/>
        <v>0</v>
      </c>
      <c r="AE116" s="634">
        <f t="shared" ca="1" si="58"/>
        <v>0</v>
      </c>
      <c r="AF116" s="514">
        <f t="shared" ca="1" si="63"/>
        <v>0</v>
      </c>
      <c r="AG116" s="514">
        <f t="shared" ca="1" si="63"/>
        <v>0</v>
      </c>
      <c r="AH116" s="514">
        <f t="shared" ca="1" si="63"/>
        <v>0</v>
      </c>
      <c r="AI116" s="514">
        <f t="shared" ca="1" si="63"/>
        <v>0</v>
      </c>
      <c r="AJ116" s="514">
        <f t="shared" ca="1" si="63"/>
        <v>0</v>
      </c>
      <c r="AK116" s="514">
        <f t="shared" ca="1" si="63"/>
        <v>0</v>
      </c>
      <c r="AL116" s="514">
        <f t="shared" ca="1" si="64"/>
        <v>0</v>
      </c>
      <c r="AM116" s="514">
        <f t="shared" ca="1" si="64"/>
        <v>0</v>
      </c>
      <c r="AN116" s="514">
        <f t="shared" ca="1" si="64"/>
        <v>0</v>
      </c>
      <c r="AO116" s="514">
        <f t="shared" ca="1" si="64"/>
        <v>0</v>
      </c>
      <c r="AP116" s="514">
        <f t="shared" ca="1" si="64"/>
        <v>0</v>
      </c>
      <c r="AQ116" s="514">
        <f t="shared" ca="1" si="64"/>
        <v>0</v>
      </c>
    </row>
    <row r="117" spans="1:43" hidden="1" outlineLevel="1" x14ac:dyDescent="0.2">
      <c r="A117" s="615"/>
      <c r="B117" s="291">
        <f t="shared" si="61"/>
        <v>0</v>
      </c>
      <c r="C117" s="298">
        <v>13</v>
      </c>
      <c r="D117" s="296"/>
      <c r="E117" s="847"/>
      <c r="F117" s="848"/>
      <c r="G117" s="849"/>
      <c r="H117" s="290"/>
      <c r="I117" s="266"/>
      <c r="J117" s="152"/>
      <c r="K117" s="151"/>
      <c r="L117" s="153"/>
      <c r="M117" s="266"/>
      <c r="N117" s="57"/>
      <c r="O117" s="154" t="str">
        <f t="shared" si="62"/>
        <v/>
      </c>
      <c r="P117" s="476"/>
      <c r="Q117" s="269"/>
      <c r="R117" s="152"/>
      <c r="S117" s="851"/>
      <c r="T117" s="851"/>
      <c r="U117" s="851"/>
      <c r="V117" s="851"/>
      <c r="W117" s="851"/>
      <c r="Y117" s="365"/>
      <c r="Z117" s="365"/>
      <c r="AA117" s="58">
        <v>13</v>
      </c>
      <c r="AB117" s="71" t="str">
        <f t="shared" si="55"/>
        <v>** NOT USED **</v>
      </c>
      <c r="AC117" s="470" t="str">
        <f t="shared" si="56"/>
        <v/>
      </c>
      <c r="AD117" s="240">
        <f t="shared" si="57"/>
        <v>0</v>
      </c>
      <c r="AE117" s="634">
        <f t="shared" ca="1" si="58"/>
        <v>0</v>
      </c>
      <c r="AF117" s="514">
        <f t="shared" ca="1" si="63"/>
        <v>0</v>
      </c>
      <c r="AG117" s="514">
        <f t="shared" ca="1" si="63"/>
        <v>0</v>
      </c>
      <c r="AH117" s="514">
        <f t="shared" ca="1" si="63"/>
        <v>0</v>
      </c>
      <c r="AI117" s="514">
        <f t="shared" ca="1" si="63"/>
        <v>0</v>
      </c>
      <c r="AJ117" s="514">
        <f t="shared" ca="1" si="63"/>
        <v>0</v>
      </c>
      <c r="AK117" s="514">
        <f t="shared" ca="1" si="63"/>
        <v>0</v>
      </c>
      <c r="AL117" s="514">
        <f t="shared" ca="1" si="64"/>
        <v>0</v>
      </c>
      <c r="AM117" s="514">
        <f t="shared" ca="1" si="64"/>
        <v>0</v>
      </c>
      <c r="AN117" s="514">
        <f t="shared" ca="1" si="64"/>
        <v>0</v>
      </c>
      <c r="AO117" s="514">
        <f t="shared" ca="1" si="64"/>
        <v>0</v>
      </c>
      <c r="AP117" s="514">
        <f t="shared" ca="1" si="64"/>
        <v>0</v>
      </c>
      <c r="AQ117" s="514">
        <f t="shared" ca="1" si="64"/>
        <v>0</v>
      </c>
    </row>
    <row r="118" spans="1:43" hidden="1" outlineLevel="1" x14ac:dyDescent="0.2">
      <c r="A118" s="615"/>
      <c r="B118" s="291">
        <f t="shared" si="61"/>
        <v>0</v>
      </c>
      <c r="C118" s="298">
        <v>14</v>
      </c>
      <c r="D118" s="296"/>
      <c r="E118" s="847"/>
      <c r="F118" s="848"/>
      <c r="G118" s="849"/>
      <c r="H118" s="290"/>
      <c r="I118" s="266"/>
      <c r="J118" s="152"/>
      <c r="K118" s="151"/>
      <c r="L118" s="153"/>
      <c r="M118" s="266"/>
      <c r="N118" s="57"/>
      <c r="O118" s="154" t="str">
        <f t="shared" si="62"/>
        <v/>
      </c>
      <c r="P118" s="476"/>
      <c r="Q118" s="269"/>
      <c r="R118" s="152"/>
      <c r="S118" s="851"/>
      <c r="T118" s="851"/>
      <c r="U118" s="851"/>
      <c r="V118" s="851"/>
      <c r="W118" s="851"/>
      <c r="Y118" s="365"/>
      <c r="Z118" s="365"/>
      <c r="AA118" s="58">
        <v>14</v>
      </c>
      <c r="AB118" s="71" t="str">
        <f t="shared" si="55"/>
        <v>** NOT USED **</v>
      </c>
      <c r="AC118" s="470" t="str">
        <f t="shared" si="56"/>
        <v/>
      </c>
      <c r="AD118" s="240">
        <f t="shared" si="57"/>
        <v>0</v>
      </c>
      <c r="AE118" s="634">
        <f t="shared" ca="1" si="58"/>
        <v>0</v>
      </c>
      <c r="AF118" s="514">
        <f t="shared" ca="1" si="63"/>
        <v>0</v>
      </c>
      <c r="AG118" s="514">
        <f t="shared" ca="1" si="63"/>
        <v>0</v>
      </c>
      <c r="AH118" s="514">
        <f t="shared" ca="1" si="63"/>
        <v>0</v>
      </c>
      <c r="AI118" s="514">
        <f t="shared" ca="1" si="63"/>
        <v>0</v>
      </c>
      <c r="AJ118" s="514">
        <f t="shared" ca="1" si="63"/>
        <v>0</v>
      </c>
      <c r="AK118" s="514">
        <f t="shared" ca="1" si="63"/>
        <v>0</v>
      </c>
      <c r="AL118" s="514">
        <f t="shared" ca="1" si="64"/>
        <v>0</v>
      </c>
      <c r="AM118" s="514">
        <f t="shared" ca="1" si="64"/>
        <v>0</v>
      </c>
      <c r="AN118" s="514">
        <f t="shared" ca="1" si="64"/>
        <v>0</v>
      </c>
      <c r="AO118" s="514">
        <f t="shared" ca="1" si="64"/>
        <v>0</v>
      </c>
      <c r="AP118" s="514">
        <f t="shared" ca="1" si="64"/>
        <v>0</v>
      </c>
      <c r="AQ118" s="514">
        <f t="shared" ca="1" si="64"/>
        <v>0</v>
      </c>
    </row>
    <row r="119" spans="1:43" hidden="1" outlineLevel="1" x14ac:dyDescent="0.2">
      <c r="A119" s="615"/>
      <c r="B119" s="291">
        <f t="shared" si="61"/>
        <v>0</v>
      </c>
      <c r="C119" s="298">
        <v>15</v>
      </c>
      <c r="D119" s="296"/>
      <c r="E119" s="847"/>
      <c r="F119" s="848"/>
      <c r="G119" s="849"/>
      <c r="H119" s="290"/>
      <c r="I119" s="266"/>
      <c r="J119" s="152"/>
      <c r="K119" s="151"/>
      <c r="L119" s="153"/>
      <c r="M119" s="266"/>
      <c r="N119" s="57"/>
      <c r="O119" s="154" t="str">
        <f t="shared" si="62"/>
        <v/>
      </c>
      <c r="P119" s="476"/>
      <c r="Q119" s="269"/>
      <c r="R119" s="152"/>
      <c r="S119" s="851"/>
      <c r="T119" s="851"/>
      <c r="U119" s="851"/>
      <c r="V119" s="851"/>
      <c r="W119" s="851"/>
      <c r="Y119" s="365"/>
      <c r="Z119" s="365"/>
      <c r="AA119" s="58">
        <v>15</v>
      </c>
      <c r="AB119" s="71" t="str">
        <f t="shared" si="55"/>
        <v>** NOT USED **</v>
      </c>
      <c r="AC119" s="470" t="str">
        <f t="shared" si="56"/>
        <v/>
      </c>
      <c r="AD119" s="240">
        <f t="shared" si="57"/>
        <v>0</v>
      </c>
      <c r="AE119" s="634">
        <f t="shared" ca="1" si="58"/>
        <v>0</v>
      </c>
      <c r="AF119" s="514">
        <f t="shared" ca="1" si="63"/>
        <v>0</v>
      </c>
      <c r="AG119" s="514">
        <f t="shared" ca="1" si="63"/>
        <v>0</v>
      </c>
      <c r="AH119" s="514">
        <f t="shared" ca="1" si="63"/>
        <v>0</v>
      </c>
      <c r="AI119" s="514">
        <f t="shared" ca="1" si="63"/>
        <v>0</v>
      </c>
      <c r="AJ119" s="514">
        <f t="shared" ca="1" si="63"/>
        <v>0</v>
      </c>
      <c r="AK119" s="514">
        <f t="shared" ca="1" si="63"/>
        <v>0</v>
      </c>
      <c r="AL119" s="514">
        <f t="shared" ca="1" si="64"/>
        <v>0</v>
      </c>
      <c r="AM119" s="514">
        <f t="shared" ca="1" si="64"/>
        <v>0</v>
      </c>
      <c r="AN119" s="514">
        <f t="shared" ca="1" si="64"/>
        <v>0</v>
      </c>
      <c r="AO119" s="514">
        <f t="shared" ca="1" si="64"/>
        <v>0</v>
      </c>
      <c r="AP119" s="514">
        <f t="shared" ca="1" si="64"/>
        <v>0</v>
      </c>
      <c r="AQ119" s="514">
        <f t="shared" ca="1" si="64"/>
        <v>0</v>
      </c>
    </row>
    <row r="120" spans="1:43" hidden="1" outlineLevel="1" x14ac:dyDescent="0.2">
      <c r="A120" s="615"/>
      <c r="B120" s="291">
        <f t="shared" si="61"/>
        <v>0</v>
      </c>
      <c r="C120" s="298">
        <v>16</v>
      </c>
      <c r="D120" s="296"/>
      <c r="E120" s="847"/>
      <c r="F120" s="848"/>
      <c r="G120" s="849"/>
      <c r="H120" s="290"/>
      <c r="I120" s="266"/>
      <c r="J120" s="152"/>
      <c r="K120" s="151"/>
      <c r="L120" s="153"/>
      <c r="M120" s="266"/>
      <c r="N120" s="57"/>
      <c r="O120" s="154" t="str">
        <f t="shared" si="62"/>
        <v/>
      </c>
      <c r="P120" s="476"/>
      <c r="Q120" s="269"/>
      <c r="R120" s="152"/>
      <c r="S120" s="851"/>
      <c r="T120" s="851"/>
      <c r="U120" s="851"/>
      <c r="V120" s="851"/>
      <c r="W120" s="851"/>
      <c r="Y120" s="365"/>
      <c r="Z120" s="365"/>
      <c r="AA120" s="58">
        <v>16</v>
      </c>
      <c r="AB120" s="71" t="str">
        <f t="shared" si="55"/>
        <v>** NOT USED **</v>
      </c>
      <c r="AC120" s="470" t="str">
        <f t="shared" si="56"/>
        <v/>
      </c>
      <c r="AD120" s="240">
        <f t="shared" si="57"/>
        <v>0</v>
      </c>
      <c r="AE120" s="634">
        <f t="shared" ca="1" si="58"/>
        <v>0</v>
      </c>
      <c r="AF120" s="514">
        <f t="shared" ca="1" si="63"/>
        <v>0</v>
      </c>
      <c r="AG120" s="514">
        <f t="shared" ca="1" si="63"/>
        <v>0</v>
      </c>
      <c r="AH120" s="514">
        <f t="shared" ca="1" si="63"/>
        <v>0</v>
      </c>
      <c r="AI120" s="514">
        <f t="shared" ca="1" si="63"/>
        <v>0</v>
      </c>
      <c r="AJ120" s="514">
        <f t="shared" ca="1" si="63"/>
        <v>0</v>
      </c>
      <c r="AK120" s="514">
        <f t="shared" ca="1" si="63"/>
        <v>0</v>
      </c>
      <c r="AL120" s="514">
        <f t="shared" ca="1" si="64"/>
        <v>0</v>
      </c>
      <c r="AM120" s="514">
        <f t="shared" ca="1" si="64"/>
        <v>0</v>
      </c>
      <c r="AN120" s="514">
        <f t="shared" ca="1" si="64"/>
        <v>0</v>
      </c>
      <c r="AO120" s="514">
        <f t="shared" ca="1" si="64"/>
        <v>0</v>
      </c>
      <c r="AP120" s="514">
        <f t="shared" ca="1" si="64"/>
        <v>0</v>
      </c>
      <c r="AQ120" s="514">
        <f t="shared" ca="1" si="64"/>
        <v>0</v>
      </c>
    </row>
    <row r="121" spans="1:43" hidden="1" outlineLevel="1" x14ac:dyDescent="0.2">
      <c r="A121" s="615"/>
      <c r="B121" s="291">
        <f t="shared" si="61"/>
        <v>0</v>
      </c>
      <c r="C121" s="298">
        <v>17</v>
      </c>
      <c r="D121" s="296"/>
      <c r="E121" s="847"/>
      <c r="F121" s="848"/>
      <c r="G121" s="849"/>
      <c r="H121" s="290"/>
      <c r="I121" s="266"/>
      <c r="J121" s="152"/>
      <c r="K121" s="151"/>
      <c r="L121" s="153"/>
      <c r="M121" s="266"/>
      <c r="N121" s="57"/>
      <c r="O121" s="154" t="str">
        <f t="shared" si="62"/>
        <v/>
      </c>
      <c r="P121" s="476"/>
      <c r="Q121" s="269"/>
      <c r="R121" s="152"/>
      <c r="S121" s="851"/>
      <c r="T121" s="851"/>
      <c r="U121" s="851"/>
      <c r="V121" s="851"/>
      <c r="W121" s="851"/>
      <c r="Y121" s="365"/>
      <c r="Z121" s="365"/>
      <c r="AA121" s="58">
        <v>17</v>
      </c>
      <c r="AB121" s="71" t="str">
        <f t="shared" si="55"/>
        <v>** NOT USED **</v>
      </c>
      <c r="AC121" s="470" t="str">
        <f t="shared" si="56"/>
        <v/>
      </c>
      <c r="AD121" s="240">
        <f t="shared" si="57"/>
        <v>0</v>
      </c>
      <c r="AE121" s="634">
        <f t="shared" ca="1" si="58"/>
        <v>0</v>
      </c>
      <c r="AF121" s="514">
        <f t="shared" ca="1" si="63"/>
        <v>0</v>
      </c>
      <c r="AG121" s="514">
        <f t="shared" ca="1" si="63"/>
        <v>0</v>
      </c>
      <c r="AH121" s="514">
        <f t="shared" ca="1" si="63"/>
        <v>0</v>
      </c>
      <c r="AI121" s="514">
        <f t="shared" ca="1" si="63"/>
        <v>0</v>
      </c>
      <c r="AJ121" s="514">
        <f t="shared" ca="1" si="63"/>
        <v>0</v>
      </c>
      <c r="AK121" s="514">
        <f t="shared" ca="1" si="63"/>
        <v>0</v>
      </c>
      <c r="AL121" s="514">
        <f t="shared" ca="1" si="64"/>
        <v>0</v>
      </c>
      <c r="AM121" s="514">
        <f t="shared" ca="1" si="64"/>
        <v>0</v>
      </c>
      <c r="AN121" s="514">
        <f t="shared" ca="1" si="64"/>
        <v>0</v>
      </c>
      <c r="AO121" s="514">
        <f t="shared" ca="1" si="64"/>
        <v>0</v>
      </c>
      <c r="AP121" s="514">
        <f t="shared" ca="1" si="64"/>
        <v>0</v>
      </c>
      <c r="AQ121" s="514">
        <f t="shared" ca="1" si="64"/>
        <v>0</v>
      </c>
    </row>
    <row r="122" spans="1:43" hidden="1" outlineLevel="1" x14ac:dyDescent="0.2">
      <c r="A122" s="615"/>
      <c r="B122" s="291">
        <f t="shared" si="61"/>
        <v>0</v>
      </c>
      <c r="C122" s="298">
        <v>18</v>
      </c>
      <c r="D122" s="296"/>
      <c r="E122" s="847"/>
      <c r="F122" s="848"/>
      <c r="G122" s="849"/>
      <c r="H122" s="290"/>
      <c r="I122" s="266"/>
      <c r="J122" s="152"/>
      <c r="K122" s="151"/>
      <c r="L122" s="153"/>
      <c r="M122" s="266"/>
      <c r="N122" s="57"/>
      <c r="O122" s="154" t="str">
        <f t="shared" si="62"/>
        <v/>
      </c>
      <c r="P122" s="476"/>
      <c r="Q122" s="269"/>
      <c r="R122" s="152"/>
      <c r="S122" s="851"/>
      <c r="T122" s="851"/>
      <c r="U122" s="851"/>
      <c r="V122" s="851"/>
      <c r="W122" s="851"/>
      <c r="Y122" s="365"/>
      <c r="Z122" s="365"/>
      <c r="AA122" s="58">
        <v>18</v>
      </c>
      <c r="AB122" s="71" t="str">
        <f t="shared" si="55"/>
        <v>** NOT USED **</v>
      </c>
      <c r="AC122" s="470" t="str">
        <f t="shared" si="56"/>
        <v/>
      </c>
      <c r="AD122" s="240">
        <f t="shared" si="57"/>
        <v>0</v>
      </c>
      <c r="AE122" s="634">
        <f t="shared" ca="1" si="58"/>
        <v>0</v>
      </c>
      <c r="AF122" s="514">
        <f t="shared" ca="1" si="63"/>
        <v>0</v>
      </c>
      <c r="AG122" s="514">
        <f t="shared" ca="1" si="63"/>
        <v>0</v>
      </c>
      <c r="AH122" s="514">
        <f t="shared" ca="1" si="63"/>
        <v>0</v>
      </c>
      <c r="AI122" s="514">
        <f t="shared" ca="1" si="63"/>
        <v>0</v>
      </c>
      <c r="AJ122" s="514">
        <f t="shared" ca="1" si="63"/>
        <v>0</v>
      </c>
      <c r="AK122" s="514">
        <f t="shared" ca="1" si="63"/>
        <v>0</v>
      </c>
      <c r="AL122" s="514">
        <f t="shared" ca="1" si="64"/>
        <v>0</v>
      </c>
      <c r="AM122" s="514">
        <f t="shared" ca="1" si="64"/>
        <v>0</v>
      </c>
      <c r="AN122" s="514">
        <f t="shared" ca="1" si="64"/>
        <v>0</v>
      </c>
      <c r="AO122" s="514">
        <f t="shared" ca="1" si="64"/>
        <v>0</v>
      </c>
      <c r="AP122" s="514">
        <f t="shared" ca="1" si="64"/>
        <v>0</v>
      </c>
      <c r="AQ122" s="514">
        <f t="shared" ca="1" si="64"/>
        <v>0</v>
      </c>
    </row>
    <row r="123" spans="1:43" hidden="1" outlineLevel="1" x14ac:dyDescent="0.2">
      <c r="A123" s="615"/>
      <c r="B123" s="291">
        <f t="shared" si="61"/>
        <v>0</v>
      </c>
      <c r="C123" s="298">
        <v>19</v>
      </c>
      <c r="D123" s="296"/>
      <c r="E123" s="847"/>
      <c r="F123" s="848"/>
      <c r="G123" s="849"/>
      <c r="H123" s="290"/>
      <c r="I123" s="266"/>
      <c r="J123" s="152"/>
      <c r="K123" s="151"/>
      <c r="L123" s="153"/>
      <c r="M123" s="266"/>
      <c r="N123" s="57"/>
      <c r="O123" s="154" t="str">
        <f t="shared" si="62"/>
        <v/>
      </c>
      <c r="P123" s="476"/>
      <c r="Q123" s="269"/>
      <c r="R123" s="152"/>
      <c r="S123" s="851"/>
      <c r="T123" s="851"/>
      <c r="U123" s="851"/>
      <c r="V123" s="851"/>
      <c r="W123" s="851"/>
      <c r="Y123" s="365"/>
      <c r="Z123" s="365"/>
      <c r="AA123" s="58">
        <v>19</v>
      </c>
      <c r="AB123" s="71" t="str">
        <f t="shared" si="55"/>
        <v>** NOT USED **</v>
      </c>
      <c r="AC123" s="470" t="str">
        <f t="shared" si="56"/>
        <v/>
      </c>
      <c r="AD123" s="240">
        <f t="shared" si="57"/>
        <v>0</v>
      </c>
      <c r="AE123" s="634">
        <f t="shared" ca="1" si="58"/>
        <v>0</v>
      </c>
      <c r="AF123" s="514">
        <f t="shared" ca="1" si="63"/>
        <v>0</v>
      </c>
      <c r="AG123" s="514">
        <f t="shared" ca="1" si="63"/>
        <v>0</v>
      </c>
      <c r="AH123" s="514">
        <f t="shared" ca="1" si="63"/>
        <v>0</v>
      </c>
      <c r="AI123" s="514">
        <f t="shared" ca="1" si="63"/>
        <v>0</v>
      </c>
      <c r="AJ123" s="514">
        <f t="shared" ca="1" si="63"/>
        <v>0</v>
      </c>
      <c r="AK123" s="514">
        <f t="shared" ca="1" si="63"/>
        <v>0</v>
      </c>
      <c r="AL123" s="514">
        <f t="shared" ca="1" si="64"/>
        <v>0</v>
      </c>
      <c r="AM123" s="514">
        <f t="shared" ca="1" si="64"/>
        <v>0</v>
      </c>
      <c r="AN123" s="514">
        <f t="shared" ca="1" si="64"/>
        <v>0</v>
      </c>
      <c r="AO123" s="514">
        <f t="shared" ca="1" si="64"/>
        <v>0</v>
      </c>
      <c r="AP123" s="514">
        <f t="shared" ca="1" si="64"/>
        <v>0</v>
      </c>
      <c r="AQ123" s="514">
        <f t="shared" ca="1" si="64"/>
        <v>0</v>
      </c>
    </row>
    <row r="124" spans="1:43" hidden="1" outlineLevel="1" x14ac:dyDescent="0.2">
      <c r="A124" s="615"/>
      <c r="B124" s="291">
        <f t="shared" si="61"/>
        <v>0</v>
      </c>
      <c r="C124" s="298">
        <v>20</v>
      </c>
      <c r="D124" s="296"/>
      <c r="E124" s="847"/>
      <c r="F124" s="848"/>
      <c r="G124" s="849"/>
      <c r="H124" s="290"/>
      <c r="I124" s="266"/>
      <c r="J124" s="152"/>
      <c r="K124" s="151"/>
      <c r="L124" s="153"/>
      <c r="M124" s="266"/>
      <c r="N124" s="57"/>
      <c r="O124" s="154" t="str">
        <f t="shared" si="62"/>
        <v/>
      </c>
      <c r="P124" s="476"/>
      <c r="Q124" s="269"/>
      <c r="R124" s="152"/>
      <c r="S124" s="851"/>
      <c r="T124" s="851"/>
      <c r="U124" s="851"/>
      <c r="V124" s="851"/>
      <c r="W124" s="851"/>
      <c r="Y124" s="365"/>
      <c r="Z124" s="365"/>
      <c r="AA124" s="58">
        <v>20</v>
      </c>
      <c r="AB124" s="71" t="str">
        <f t="shared" si="55"/>
        <v>** NOT USED **</v>
      </c>
      <c r="AC124" s="470" t="str">
        <f t="shared" si="56"/>
        <v/>
      </c>
      <c r="AD124" s="240">
        <f t="shared" si="57"/>
        <v>0</v>
      </c>
      <c r="AE124" s="634">
        <f t="shared" ca="1" si="58"/>
        <v>0</v>
      </c>
      <c r="AF124" s="514">
        <f t="shared" ca="1" si="63"/>
        <v>0</v>
      </c>
      <c r="AG124" s="514">
        <f t="shared" ca="1" si="63"/>
        <v>0</v>
      </c>
      <c r="AH124" s="514">
        <f t="shared" ca="1" si="63"/>
        <v>0</v>
      </c>
      <c r="AI124" s="514">
        <f t="shared" ca="1" si="63"/>
        <v>0</v>
      </c>
      <c r="AJ124" s="514">
        <f t="shared" ca="1" si="63"/>
        <v>0</v>
      </c>
      <c r="AK124" s="514">
        <f t="shared" ca="1" si="63"/>
        <v>0</v>
      </c>
      <c r="AL124" s="514">
        <f t="shared" ca="1" si="64"/>
        <v>0</v>
      </c>
      <c r="AM124" s="514">
        <f t="shared" ca="1" si="64"/>
        <v>0</v>
      </c>
      <c r="AN124" s="514">
        <f t="shared" ca="1" si="64"/>
        <v>0</v>
      </c>
      <c r="AO124" s="514">
        <f t="shared" ca="1" si="64"/>
        <v>0</v>
      </c>
      <c r="AP124" s="514">
        <f t="shared" ca="1" si="64"/>
        <v>0</v>
      </c>
      <c r="AQ124" s="514">
        <f t="shared" ca="1" si="64"/>
        <v>0</v>
      </c>
    </row>
    <row r="125" spans="1:43" hidden="1" outlineLevel="1" x14ac:dyDescent="0.2">
      <c r="A125" s="125"/>
      <c r="B125" s="291">
        <f>SUM(B105:B124)</f>
        <v>0</v>
      </c>
      <c r="C125" s="291">
        <f>COUNTA(D105:D124)</f>
        <v>0</v>
      </c>
      <c r="D125" s="125"/>
      <c r="E125" s="125"/>
      <c r="F125" s="125"/>
      <c r="G125" s="125"/>
      <c r="H125" s="125"/>
      <c r="I125" s="125"/>
      <c r="J125" s="125"/>
      <c r="K125" s="125"/>
      <c r="L125" s="125"/>
      <c r="M125" s="125"/>
      <c r="N125" s="125"/>
      <c r="O125" s="125"/>
      <c r="P125" s="125"/>
      <c r="Q125" s="125"/>
      <c r="R125" s="125"/>
      <c r="S125" s="125"/>
      <c r="T125" s="125"/>
      <c r="U125" s="125"/>
      <c r="V125" s="125"/>
      <c r="W125" s="125"/>
      <c r="X125" s="615"/>
      <c r="Y125" s="615"/>
      <c r="Z125" s="615"/>
      <c r="AA125" s="641"/>
      <c r="AB125" s="615"/>
      <c r="AC125" s="615"/>
      <c r="AD125" s="615"/>
      <c r="AE125" s="615"/>
      <c r="AF125" s="615"/>
      <c r="AG125" s="615"/>
      <c r="AH125" s="615"/>
      <c r="AI125" s="615"/>
      <c r="AJ125" s="615"/>
      <c r="AK125" s="615"/>
      <c r="AL125" s="615"/>
      <c r="AM125" s="615"/>
      <c r="AN125" s="615"/>
      <c r="AO125" s="615"/>
      <c r="AP125" s="615"/>
      <c r="AQ125" s="615"/>
    </row>
    <row r="126" spans="1:43" collapsed="1" x14ac:dyDescent="0.2">
      <c r="A126" s="125"/>
      <c r="B126" s="125"/>
      <c r="C126" s="125"/>
      <c r="D126" s="162"/>
      <c r="E126" s="656"/>
      <c r="F126" s="125"/>
      <c r="G126" s="125"/>
      <c r="H126" s="125"/>
      <c r="I126" s="125"/>
      <c r="J126" s="125"/>
      <c r="K126" s="125"/>
      <c r="L126" s="125"/>
      <c r="M126" s="125"/>
      <c r="N126" s="125"/>
      <c r="O126" s="125"/>
      <c r="P126" s="125"/>
      <c r="Q126" s="125"/>
      <c r="R126" s="125"/>
      <c r="S126" s="125"/>
      <c r="T126" s="125"/>
      <c r="U126" s="125"/>
      <c r="V126" s="125"/>
      <c r="W126" s="125"/>
      <c r="X126" s="615"/>
      <c r="Y126" s="615"/>
      <c r="Z126" s="615"/>
      <c r="AA126" s="641"/>
      <c r="AB126" s="615"/>
      <c r="AC126" s="615"/>
      <c r="AD126" s="615"/>
      <c r="AE126" s="615"/>
      <c r="AF126" s="615"/>
      <c r="AG126" s="615"/>
      <c r="AH126" s="615"/>
      <c r="AI126" s="615"/>
      <c r="AJ126" s="615"/>
      <c r="AK126" s="615"/>
      <c r="AL126" s="615"/>
      <c r="AM126" s="615"/>
      <c r="AN126" s="615"/>
      <c r="AO126" s="615"/>
      <c r="AP126" s="615"/>
      <c r="AQ126" s="615"/>
    </row>
    <row r="127" spans="1:43" ht="15.75" x14ac:dyDescent="0.2">
      <c r="A127" s="125"/>
      <c r="B127" s="125"/>
      <c r="C127" s="125"/>
      <c r="D127" s="123" t="s">
        <v>921</v>
      </c>
      <c r="E127" s="124"/>
      <c r="F127" s="124"/>
      <c r="G127" s="124"/>
      <c r="H127" s="124"/>
      <c r="I127" s="839" t="str">
        <f>IF(C153=0,MsgNotUsed,"")</f>
        <v>** NOT USED **</v>
      </c>
      <c r="J127" s="840"/>
      <c r="K127" s="124"/>
      <c r="L127" s="124"/>
      <c r="M127" s="124"/>
      <c r="N127" s="124"/>
      <c r="O127" s="124"/>
      <c r="P127" s="124"/>
      <c r="Q127" s="124"/>
      <c r="R127" s="124"/>
      <c r="S127" s="124"/>
      <c r="T127" s="124"/>
      <c r="U127" s="124"/>
      <c r="V127" s="124"/>
      <c r="W127" s="124"/>
      <c r="X127" s="124"/>
      <c r="Y127" s="124"/>
      <c r="Z127" s="124"/>
      <c r="AA127" s="124"/>
      <c r="AB127" s="124"/>
      <c r="AC127" s="124"/>
      <c r="AD127" s="124"/>
      <c r="AE127" s="124"/>
      <c r="AF127" s="124"/>
      <c r="AG127" s="124"/>
      <c r="AH127" s="124"/>
      <c r="AI127" s="124"/>
      <c r="AJ127" s="124"/>
      <c r="AK127" s="124"/>
      <c r="AL127" s="124"/>
      <c r="AM127" s="124"/>
      <c r="AN127" s="124"/>
      <c r="AO127" s="124"/>
      <c r="AP127" s="124"/>
      <c r="AQ127" s="124"/>
    </row>
    <row r="128" spans="1:43" ht="15.75" hidden="1" outlineLevel="1" x14ac:dyDescent="0.2">
      <c r="A128" s="125"/>
      <c r="B128" s="125"/>
      <c r="C128" s="125"/>
      <c r="D128" s="655"/>
      <c r="E128" s="656"/>
      <c r="F128" s="125"/>
      <c r="G128" s="125"/>
      <c r="H128" s="125"/>
      <c r="I128" s="806" t="str">
        <f>IF(B153 &gt; 0,"The services below overwrite volumes from Worksheet 2d.","")</f>
        <v/>
      </c>
      <c r="J128" s="806"/>
      <c r="K128" s="806"/>
      <c r="L128" s="806"/>
      <c r="M128" s="806"/>
      <c r="N128" s="806"/>
      <c r="O128" s="806"/>
      <c r="P128" s="125"/>
      <c r="Q128" s="125"/>
      <c r="R128" s="125"/>
      <c r="S128" s="615"/>
      <c r="T128" s="615"/>
      <c r="U128" s="615"/>
      <c r="V128" s="615"/>
      <c r="W128" s="615"/>
      <c r="X128" s="615"/>
      <c r="Y128" s="615"/>
      <c r="Z128" s="615"/>
      <c r="AA128" s="615"/>
      <c r="AB128" s="615"/>
      <c r="AC128" s="615"/>
      <c r="AD128" s="615"/>
      <c r="AE128" s="615"/>
      <c r="AF128" s="615"/>
      <c r="AG128" s="615"/>
      <c r="AH128" s="615"/>
      <c r="AI128" s="615"/>
      <c r="AJ128" s="615"/>
      <c r="AK128" s="615"/>
      <c r="AL128" s="615"/>
      <c r="AM128" s="615"/>
      <c r="AN128" s="615"/>
      <c r="AO128" s="615"/>
      <c r="AP128" s="615"/>
      <c r="AQ128" s="615"/>
    </row>
    <row r="129" spans="1:43" ht="14.25" hidden="1" customHeight="1" outlineLevel="1" x14ac:dyDescent="0.2">
      <c r="A129" s="125"/>
      <c r="B129" s="125"/>
      <c r="C129" s="125"/>
      <c r="D129" s="162" t="s">
        <v>955</v>
      </c>
      <c r="E129" s="162"/>
      <c r="F129" s="162"/>
      <c r="G129" s="162"/>
      <c r="H129" s="162"/>
      <c r="I129" s="615"/>
      <c r="J129" s="615"/>
      <c r="K129" s="615"/>
      <c r="L129" s="615"/>
      <c r="M129" s="615"/>
      <c r="N129" s="615"/>
      <c r="O129" s="615"/>
      <c r="P129" s="125"/>
      <c r="Q129" s="125"/>
      <c r="R129" s="125"/>
      <c r="S129" s="615"/>
      <c r="T129" s="615"/>
      <c r="U129" s="615"/>
      <c r="V129" s="615"/>
      <c r="W129" s="615"/>
      <c r="X129" s="641"/>
      <c r="Y129" s="641"/>
      <c r="Z129" s="641"/>
      <c r="AA129" s="641"/>
      <c r="AB129" s="615"/>
      <c r="AC129" s="615"/>
      <c r="AD129" s="615"/>
      <c r="AE129" s="615"/>
      <c r="AF129" s="615"/>
      <c r="AG129" s="615"/>
      <c r="AH129" s="615"/>
      <c r="AI129" s="615"/>
      <c r="AJ129" s="615"/>
      <c r="AK129" s="615"/>
      <c r="AL129" s="615"/>
      <c r="AM129" s="615"/>
      <c r="AN129" s="615"/>
      <c r="AO129" s="615"/>
      <c r="AP129" s="615"/>
      <c r="AQ129" s="615"/>
    </row>
    <row r="130" spans="1:43" hidden="1" outlineLevel="1" x14ac:dyDescent="0.2">
      <c r="A130" s="125"/>
      <c r="B130" s="125"/>
      <c r="C130" s="125"/>
      <c r="D130" s="162"/>
      <c r="E130" s="162"/>
      <c r="F130" s="162"/>
      <c r="G130" s="162"/>
      <c r="H130" s="162"/>
      <c r="I130" s="162"/>
      <c r="J130" s="615"/>
      <c r="K130" s="615"/>
      <c r="L130" s="615"/>
      <c r="M130" s="615"/>
      <c r="N130" s="615"/>
      <c r="O130" s="615"/>
      <c r="P130" s="125"/>
      <c r="Q130" s="125"/>
      <c r="R130" s="125"/>
      <c r="S130" s="615"/>
      <c r="T130" s="615"/>
      <c r="U130" s="615"/>
      <c r="V130" s="615"/>
      <c r="W130" s="615"/>
      <c r="X130" s="641"/>
      <c r="Y130" s="641"/>
      <c r="Z130" s="641"/>
      <c r="AA130" s="641"/>
      <c r="AB130" s="615"/>
      <c r="AC130" s="615"/>
      <c r="AD130" s="615"/>
      <c r="AE130" s="615"/>
      <c r="AF130" s="615"/>
      <c r="AG130" s="615"/>
      <c r="AH130" s="615"/>
      <c r="AI130" s="615"/>
      <c r="AJ130" s="615"/>
      <c r="AK130" s="615"/>
      <c r="AL130" s="615"/>
      <c r="AM130" s="615"/>
      <c r="AN130" s="615"/>
      <c r="AO130" s="615"/>
      <c r="AP130" s="615"/>
      <c r="AQ130" s="615"/>
    </row>
    <row r="131" spans="1:43" hidden="1" outlineLevel="1" x14ac:dyDescent="0.2">
      <c r="A131" s="125"/>
      <c r="B131" s="125"/>
      <c r="C131" s="125"/>
      <c r="D131" s="677" t="str">
        <f>"Service volumes for calendar year " &amp; FirstYear-1</f>
        <v>Service volumes for calendar year 2020</v>
      </c>
      <c r="E131" s="656"/>
      <c r="F131" s="125"/>
      <c r="G131" s="125"/>
      <c r="H131" s="125"/>
      <c r="I131" s="615"/>
      <c r="J131" s="836" t="s">
        <v>104</v>
      </c>
      <c r="K131" s="809"/>
      <c r="L131" s="809"/>
      <c r="M131" s="809"/>
      <c r="N131" s="836" t="s">
        <v>103</v>
      </c>
      <c r="O131" s="809"/>
      <c r="Q131" s="824" t="s">
        <v>298</v>
      </c>
      <c r="R131" s="825"/>
      <c r="S131" s="615"/>
      <c r="T131" s="615"/>
      <c r="U131" s="615"/>
      <c r="V131" s="615"/>
      <c r="W131" s="615"/>
      <c r="X131" s="641"/>
      <c r="Y131" s="615"/>
      <c r="Z131" s="641"/>
      <c r="AA131" s="641"/>
      <c r="AB131" s="615"/>
      <c r="AC131" s="615"/>
      <c r="AD131" s="615"/>
      <c r="AE131" s="615"/>
      <c r="AF131" s="615"/>
      <c r="AG131" s="615"/>
      <c r="AH131" s="615"/>
      <c r="AI131" s="615"/>
      <c r="AJ131" s="615"/>
      <c r="AK131" s="615"/>
      <c r="AL131" s="615"/>
      <c r="AM131" s="615"/>
      <c r="AN131" s="615"/>
      <c r="AO131" s="615"/>
      <c r="AP131" s="615"/>
      <c r="AQ131" s="615"/>
    </row>
    <row r="132" spans="1:43" ht="38.25" hidden="1" outlineLevel="1" x14ac:dyDescent="0.2">
      <c r="A132" s="125"/>
      <c r="B132" s="125"/>
      <c r="C132" s="125"/>
      <c r="D132" s="82" t="s">
        <v>813</v>
      </c>
      <c r="E132" s="830" t="s">
        <v>110</v>
      </c>
      <c r="F132" s="831"/>
      <c r="G132" s="832"/>
      <c r="H132" s="83" t="s">
        <v>109</v>
      </c>
      <c r="I132" s="293" t="s">
        <v>56</v>
      </c>
      <c r="J132" s="82" t="s">
        <v>94</v>
      </c>
      <c r="K132" s="82" t="s">
        <v>95</v>
      </c>
      <c r="L132" s="82" t="s">
        <v>96</v>
      </c>
      <c r="M132" s="82" t="s">
        <v>97</v>
      </c>
      <c r="N132" s="82" t="s">
        <v>98</v>
      </c>
      <c r="O132" s="82" t="s">
        <v>99</v>
      </c>
      <c r="P132" s="451" t="s">
        <v>756</v>
      </c>
      <c r="Q132" s="375" t="s">
        <v>296</v>
      </c>
      <c r="R132" s="375" t="s">
        <v>297</v>
      </c>
      <c r="S132" s="82" t="s">
        <v>254</v>
      </c>
      <c r="X132" s="7"/>
      <c r="Z132" s="7"/>
      <c r="AA132" s="7"/>
      <c r="AB132" s="230" t="s">
        <v>279</v>
      </c>
      <c r="AC132" s="230" t="s">
        <v>291</v>
      </c>
      <c r="AD132" s="230" t="s">
        <v>426</v>
      </c>
      <c r="AE132" s="615"/>
    </row>
    <row r="133" spans="1:43" hidden="1" outlineLevel="1" x14ac:dyDescent="0.2">
      <c r="A133" s="125"/>
      <c r="B133" s="291">
        <f t="shared" ref="B133:B152" si="65">IF(AND(D133&lt;&gt;"",INDEX(NamesMS,C133)&lt;&gt;MsgNotUsed),1,0)</f>
        <v>0</v>
      </c>
      <c r="C133" s="58">
        <v>1</v>
      </c>
      <c r="D133" s="87"/>
      <c r="E133" s="847"/>
      <c r="F133" s="873"/>
      <c r="G133" s="874"/>
      <c r="H133" s="157"/>
      <c r="I133" s="290"/>
      <c r="J133" s="151"/>
      <c r="K133" s="151"/>
      <c r="L133" s="151"/>
      <c r="M133" s="151"/>
      <c r="N133" s="151"/>
      <c r="O133" s="151"/>
      <c r="P133" s="157"/>
      <c r="Q133" s="290"/>
      <c r="R133" s="290"/>
      <c r="S133" s="157"/>
      <c r="X133" s="7"/>
      <c r="Z133" s="7"/>
      <c r="AA133" s="58">
        <v>1</v>
      </c>
      <c r="AB133" s="74" t="str">
        <f t="shared" ref="AB133:AB152" si="66">IF(D133&lt;&gt;"",CONCATENATE(H133," - ",D133," ",E133," - ",I133),MsgNotUsed)</f>
        <v>** NOT USED **</v>
      </c>
      <c r="AC133" s="76" t="str">
        <f t="shared" ref="AC133:AC152" si="67">IF(I133&lt;&gt;"",VLOOKUP(I133,TPShortCode,3,FALSE),"")</f>
        <v/>
      </c>
      <c r="AD133" s="240">
        <f t="shared" ref="AD133:AD152" si="68">IF(S133="Decrease",-1,IF(S133="Increase",1,0))</f>
        <v>0</v>
      </c>
      <c r="AE133" s="615"/>
    </row>
    <row r="134" spans="1:43" hidden="1" outlineLevel="1" x14ac:dyDescent="0.2">
      <c r="A134" s="125"/>
      <c r="B134" s="291">
        <f t="shared" si="65"/>
        <v>0</v>
      </c>
      <c r="C134" s="58">
        <v>2</v>
      </c>
      <c r="D134" s="87"/>
      <c r="E134" s="847"/>
      <c r="F134" s="873"/>
      <c r="G134" s="874"/>
      <c r="H134" s="157"/>
      <c r="I134" s="290"/>
      <c r="J134" s="151"/>
      <c r="K134" s="151"/>
      <c r="L134" s="151"/>
      <c r="M134" s="151"/>
      <c r="N134" s="151"/>
      <c r="O134" s="151"/>
      <c r="P134" s="157"/>
      <c r="Q134" s="290"/>
      <c r="R134" s="290"/>
      <c r="S134" s="157"/>
      <c r="X134" s="7"/>
      <c r="Z134" s="7"/>
      <c r="AA134" s="58">
        <v>2</v>
      </c>
      <c r="AB134" s="74" t="str">
        <f t="shared" si="66"/>
        <v>** NOT USED **</v>
      </c>
      <c r="AC134" s="76" t="str">
        <f t="shared" si="67"/>
        <v/>
      </c>
      <c r="AD134" s="240">
        <f t="shared" si="68"/>
        <v>0</v>
      </c>
      <c r="AE134" s="615"/>
    </row>
    <row r="135" spans="1:43" hidden="1" outlineLevel="1" x14ac:dyDescent="0.2">
      <c r="A135" s="125"/>
      <c r="B135" s="291">
        <f t="shared" si="65"/>
        <v>0</v>
      </c>
      <c r="C135" s="58">
        <v>3</v>
      </c>
      <c r="D135" s="87"/>
      <c r="E135" s="847"/>
      <c r="F135" s="873"/>
      <c r="G135" s="874"/>
      <c r="H135" s="157"/>
      <c r="I135" s="290"/>
      <c r="J135" s="151"/>
      <c r="K135" s="151"/>
      <c r="L135" s="151"/>
      <c r="M135" s="151"/>
      <c r="N135" s="151"/>
      <c r="O135" s="151"/>
      <c r="P135" s="157"/>
      <c r="Q135" s="290"/>
      <c r="R135" s="290"/>
      <c r="S135" s="157"/>
      <c r="X135" s="7"/>
      <c r="Z135" s="7"/>
      <c r="AA135" s="58">
        <v>3</v>
      </c>
      <c r="AB135" s="74" t="str">
        <f t="shared" si="66"/>
        <v>** NOT USED **</v>
      </c>
      <c r="AC135" s="76" t="str">
        <f t="shared" si="67"/>
        <v/>
      </c>
      <c r="AD135" s="240">
        <f t="shared" si="68"/>
        <v>0</v>
      </c>
      <c r="AE135" s="615"/>
    </row>
    <row r="136" spans="1:43" hidden="1" outlineLevel="1" x14ac:dyDescent="0.2">
      <c r="A136" s="125"/>
      <c r="B136" s="291">
        <f t="shared" si="65"/>
        <v>0</v>
      </c>
      <c r="C136" s="58">
        <v>4</v>
      </c>
      <c r="D136" s="87"/>
      <c r="E136" s="847"/>
      <c r="F136" s="873"/>
      <c r="G136" s="874"/>
      <c r="H136" s="157"/>
      <c r="I136" s="290"/>
      <c r="J136" s="151"/>
      <c r="K136" s="151"/>
      <c r="L136" s="151"/>
      <c r="M136" s="151"/>
      <c r="N136" s="151"/>
      <c r="O136" s="151"/>
      <c r="P136" s="157"/>
      <c r="Q136" s="290"/>
      <c r="R136" s="290"/>
      <c r="S136" s="157"/>
      <c r="X136" s="7"/>
      <c r="Z136" s="7"/>
      <c r="AA136" s="58">
        <v>4</v>
      </c>
      <c r="AB136" s="74" t="str">
        <f t="shared" si="66"/>
        <v>** NOT USED **</v>
      </c>
      <c r="AC136" s="76" t="str">
        <f t="shared" si="67"/>
        <v/>
      </c>
      <c r="AD136" s="240">
        <f t="shared" si="68"/>
        <v>0</v>
      </c>
      <c r="AE136" s="615"/>
    </row>
    <row r="137" spans="1:43" hidden="1" outlineLevel="1" x14ac:dyDescent="0.2">
      <c r="A137" s="125"/>
      <c r="B137" s="291">
        <f t="shared" si="65"/>
        <v>0</v>
      </c>
      <c r="C137" s="58">
        <v>5</v>
      </c>
      <c r="D137" s="87"/>
      <c r="E137" s="847"/>
      <c r="F137" s="873"/>
      <c r="G137" s="874"/>
      <c r="H137" s="157"/>
      <c r="I137" s="290"/>
      <c r="J137" s="151"/>
      <c r="K137" s="151"/>
      <c r="L137" s="151"/>
      <c r="M137" s="151"/>
      <c r="N137" s="151"/>
      <c r="O137" s="151"/>
      <c r="P137" s="157"/>
      <c r="Q137" s="290"/>
      <c r="R137" s="290"/>
      <c r="S137" s="157"/>
      <c r="X137" s="7"/>
      <c r="Z137" s="7"/>
      <c r="AA137" s="58">
        <v>5</v>
      </c>
      <c r="AB137" s="74" t="str">
        <f t="shared" si="66"/>
        <v>** NOT USED **</v>
      </c>
      <c r="AC137" s="76" t="str">
        <f t="shared" si="67"/>
        <v/>
      </c>
      <c r="AD137" s="240">
        <f t="shared" si="68"/>
        <v>0</v>
      </c>
      <c r="AE137" s="615"/>
    </row>
    <row r="138" spans="1:43" hidden="1" outlineLevel="1" x14ac:dyDescent="0.2">
      <c r="A138" s="125"/>
      <c r="B138" s="291">
        <f t="shared" si="65"/>
        <v>0</v>
      </c>
      <c r="C138" s="58">
        <v>6</v>
      </c>
      <c r="D138" s="87"/>
      <c r="E138" s="847"/>
      <c r="F138" s="873"/>
      <c r="G138" s="874"/>
      <c r="H138" s="157"/>
      <c r="I138" s="290"/>
      <c r="J138" s="151"/>
      <c r="K138" s="151"/>
      <c r="L138" s="151"/>
      <c r="M138" s="151"/>
      <c r="N138" s="151"/>
      <c r="O138" s="151"/>
      <c r="P138" s="157"/>
      <c r="Q138" s="290"/>
      <c r="R138" s="290"/>
      <c r="S138" s="157"/>
      <c r="X138" s="7"/>
      <c r="Z138" s="7"/>
      <c r="AA138" s="58">
        <v>6</v>
      </c>
      <c r="AB138" s="74" t="str">
        <f t="shared" si="66"/>
        <v>** NOT USED **</v>
      </c>
      <c r="AC138" s="76" t="str">
        <f t="shared" si="67"/>
        <v/>
      </c>
      <c r="AD138" s="240">
        <f t="shared" si="68"/>
        <v>0</v>
      </c>
      <c r="AE138" s="615"/>
    </row>
    <row r="139" spans="1:43" hidden="1" outlineLevel="1" x14ac:dyDescent="0.2">
      <c r="A139" s="125"/>
      <c r="B139" s="291">
        <f t="shared" si="65"/>
        <v>0</v>
      </c>
      <c r="C139" s="58">
        <v>7</v>
      </c>
      <c r="D139" s="87"/>
      <c r="E139" s="847"/>
      <c r="F139" s="873"/>
      <c r="G139" s="874"/>
      <c r="H139" s="157"/>
      <c r="I139" s="290"/>
      <c r="J139" s="151"/>
      <c r="K139" s="151"/>
      <c r="L139" s="151"/>
      <c r="M139" s="151"/>
      <c r="N139" s="151"/>
      <c r="O139" s="151"/>
      <c r="P139" s="157"/>
      <c r="Q139" s="290"/>
      <c r="R139" s="290"/>
      <c r="S139" s="157"/>
      <c r="X139" s="7"/>
      <c r="Z139" s="7"/>
      <c r="AA139" s="58">
        <v>7</v>
      </c>
      <c r="AB139" s="74" t="str">
        <f t="shared" si="66"/>
        <v>** NOT USED **</v>
      </c>
      <c r="AC139" s="76" t="str">
        <f t="shared" si="67"/>
        <v/>
      </c>
      <c r="AD139" s="240">
        <f t="shared" si="68"/>
        <v>0</v>
      </c>
      <c r="AE139" s="615"/>
    </row>
    <row r="140" spans="1:43" hidden="1" outlineLevel="1" x14ac:dyDescent="0.2">
      <c r="A140" s="125"/>
      <c r="B140" s="291">
        <f t="shared" si="65"/>
        <v>0</v>
      </c>
      <c r="C140" s="58">
        <v>8</v>
      </c>
      <c r="D140" s="87"/>
      <c r="E140" s="847"/>
      <c r="F140" s="873"/>
      <c r="G140" s="874"/>
      <c r="H140" s="157"/>
      <c r="I140" s="290"/>
      <c r="J140" s="151"/>
      <c r="K140" s="151"/>
      <c r="L140" s="151"/>
      <c r="M140" s="151"/>
      <c r="N140" s="151"/>
      <c r="O140" s="151"/>
      <c r="P140" s="157"/>
      <c r="Q140" s="290"/>
      <c r="R140" s="290"/>
      <c r="S140" s="157"/>
      <c r="X140" s="7"/>
      <c r="Z140" s="7"/>
      <c r="AA140" s="58">
        <v>8</v>
      </c>
      <c r="AB140" s="74" t="str">
        <f t="shared" si="66"/>
        <v>** NOT USED **</v>
      </c>
      <c r="AC140" s="76" t="str">
        <f t="shared" si="67"/>
        <v/>
      </c>
      <c r="AD140" s="240">
        <f t="shared" si="68"/>
        <v>0</v>
      </c>
      <c r="AE140" s="615"/>
    </row>
    <row r="141" spans="1:43" hidden="1" outlineLevel="1" x14ac:dyDescent="0.2">
      <c r="A141" s="125"/>
      <c r="B141" s="291">
        <f t="shared" si="65"/>
        <v>0</v>
      </c>
      <c r="C141" s="58">
        <v>9</v>
      </c>
      <c r="D141" s="87"/>
      <c r="E141" s="847"/>
      <c r="F141" s="873"/>
      <c r="G141" s="874"/>
      <c r="H141" s="157"/>
      <c r="I141" s="290"/>
      <c r="J141" s="151"/>
      <c r="K141" s="151"/>
      <c r="L141" s="151"/>
      <c r="M141" s="151"/>
      <c r="N141" s="151"/>
      <c r="O141" s="151"/>
      <c r="P141" s="157"/>
      <c r="Q141" s="290"/>
      <c r="R141" s="290"/>
      <c r="S141" s="157"/>
      <c r="X141" s="7"/>
      <c r="Z141" s="7"/>
      <c r="AA141" s="58">
        <v>9</v>
      </c>
      <c r="AB141" s="74" t="str">
        <f t="shared" si="66"/>
        <v>** NOT USED **</v>
      </c>
      <c r="AC141" s="76" t="str">
        <f t="shared" si="67"/>
        <v/>
      </c>
      <c r="AD141" s="240">
        <f t="shared" si="68"/>
        <v>0</v>
      </c>
      <c r="AE141" s="615"/>
    </row>
    <row r="142" spans="1:43" hidden="1" outlineLevel="1" x14ac:dyDescent="0.2">
      <c r="A142" s="125"/>
      <c r="B142" s="291">
        <f t="shared" si="65"/>
        <v>0</v>
      </c>
      <c r="C142" s="58">
        <v>10</v>
      </c>
      <c r="D142" s="87"/>
      <c r="E142" s="847"/>
      <c r="F142" s="873"/>
      <c r="G142" s="874"/>
      <c r="H142" s="157"/>
      <c r="I142" s="290"/>
      <c r="J142" s="151"/>
      <c r="K142" s="151"/>
      <c r="L142" s="151"/>
      <c r="M142" s="151"/>
      <c r="N142" s="151"/>
      <c r="O142" s="151"/>
      <c r="P142" s="157"/>
      <c r="Q142" s="290"/>
      <c r="R142" s="290"/>
      <c r="S142" s="157"/>
      <c r="X142" s="7"/>
      <c r="Z142" s="7"/>
      <c r="AA142" s="58">
        <v>10</v>
      </c>
      <c r="AB142" s="74" t="str">
        <f t="shared" si="66"/>
        <v>** NOT USED **</v>
      </c>
      <c r="AC142" s="76" t="str">
        <f t="shared" si="67"/>
        <v/>
      </c>
      <c r="AD142" s="240">
        <f t="shared" si="68"/>
        <v>0</v>
      </c>
      <c r="AE142" s="615"/>
    </row>
    <row r="143" spans="1:43" hidden="1" outlineLevel="1" x14ac:dyDescent="0.2">
      <c r="A143" s="615"/>
      <c r="B143" s="291">
        <f t="shared" si="65"/>
        <v>0</v>
      </c>
      <c r="C143" s="58">
        <v>11</v>
      </c>
      <c r="D143" s="296"/>
      <c r="E143" s="847"/>
      <c r="F143" s="873"/>
      <c r="G143" s="874"/>
      <c r="H143" s="157"/>
      <c r="I143" s="290"/>
      <c r="J143" s="151"/>
      <c r="K143" s="151"/>
      <c r="L143" s="151"/>
      <c r="M143" s="151"/>
      <c r="N143" s="151"/>
      <c r="O143" s="151"/>
      <c r="P143" s="157"/>
      <c r="Q143" s="290"/>
      <c r="R143" s="290"/>
      <c r="S143" s="157"/>
      <c r="Z143" s="365"/>
      <c r="AA143" s="58">
        <v>11</v>
      </c>
      <c r="AB143" s="74" t="str">
        <f t="shared" si="66"/>
        <v>** NOT USED **</v>
      </c>
      <c r="AC143" s="76" t="str">
        <f t="shared" si="67"/>
        <v/>
      </c>
      <c r="AD143" s="240">
        <f t="shared" si="68"/>
        <v>0</v>
      </c>
      <c r="AE143" s="615"/>
    </row>
    <row r="144" spans="1:43" hidden="1" outlineLevel="1" x14ac:dyDescent="0.2">
      <c r="A144" s="615"/>
      <c r="B144" s="291">
        <f t="shared" si="65"/>
        <v>0</v>
      </c>
      <c r="C144" s="58">
        <v>12</v>
      </c>
      <c r="D144" s="296"/>
      <c r="E144" s="847"/>
      <c r="F144" s="873"/>
      <c r="G144" s="874"/>
      <c r="H144" s="157"/>
      <c r="I144" s="290"/>
      <c r="J144" s="151"/>
      <c r="K144" s="151"/>
      <c r="L144" s="151"/>
      <c r="M144" s="151"/>
      <c r="N144" s="151"/>
      <c r="O144" s="151"/>
      <c r="P144" s="157"/>
      <c r="Q144" s="290"/>
      <c r="R144" s="290"/>
      <c r="S144" s="157"/>
      <c r="Z144" s="365"/>
      <c r="AA144" s="58">
        <v>12</v>
      </c>
      <c r="AB144" s="74" t="str">
        <f t="shared" si="66"/>
        <v>** NOT USED **</v>
      </c>
      <c r="AC144" s="76" t="str">
        <f t="shared" si="67"/>
        <v/>
      </c>
      <c r="AD144" s="240">
        <f t="shared" si="68"/>
        <v>0</v>
      </c>
      <c r="AE144" s="615"/>
    </row>
    <row r="145" spans="1:44" hidden="1" outlineLevel="1" x14ac:dyDescent="0.2">
      <c r="A145" s="615"/>
      <c r="B145" s="291">
        <f t="shared" si="65"/>
        <v>0</v>
      </c>
      <c r="C145" s="58">
        <v>13</v>
      </c>
      <c r="D145" s="296"/>
      <c r="E145" s="847"/>
      <c r="F145" s="873"/>
      <c r="G145" s="874"/>
      <c r="H145" s="157"/>
      <c r="I145" s="290"/>
      <c r="J145" s="151"/>
      <c r="K145" s="151"/>
      <c r="L145" s="151"/>
      <c r="M145" s="151"/>
      <c r="N145" s="151"/>
      <c r="O145" s="151"/>
      <c r="P145" s="157"/>
      <c r="Q145" s="290"/>
      <c r="R145" s="290"/>
      <c r="S145" s="157"/>
      <c r="Z145" s="365"/>
      <c r="AA145" s="58">
        <v>13</v>
      </c>
      <c r="AB145" s="74" t="str">
        <f t="shared" si="66"/>
        <v>** NOT USED **</v>
      </c>
      <c r="AC145" s="76" t="str">
        <f t="shared" si="67"/>
        <v/>
      </c>
      <c r="AD145" s="240">
        <f t="shared" si="68"/>
        <v>0</v>
      </c>
      <c r="AE145" s="615"/>
    </row>
    <row r="146" spans="1:44" hidden="1" outlineLevel="1" x14ac:dyDescent="0.2">
      <c r="A146" s="615"/>
      <c r="B146" s="291">
        <f t="shared" si="65"/>
        <v>0</v>
      </c>
      <c r="C146" s="58">
        <v>14</v>
      </c>
      <c r="D146" s="296"/>
      <c r="E146" s="847"/>
      <c r="F146" s="873"/>
      <c r="G146" s="874"/>
      <c r="H146" s="157"/>
      <c r="I146" s="290"/>
      <c r="J146" s="151"/>
      <c r="K146" s="151"/>
      <c r="L146" s="151"/>
      <c r="M146" s="151"/>
      <c r="N146" s="151"/>
      <c r="O146" s="151"/>
      <c r="P146" s="157"/>
      <c r="Q146" s="290"/>
      <c r="R146" s="290"/>
      <c r="S146" s="157"/>
      <c r="Z146" s="365"/>
      <c r="AA146" s="58">
        <v>14</v>
      </c>
      <c r="AB146" s="74" t="str">
        <f t="shared" si="66"/>
        <v>** NOT USED **</v>
      </c>
      <c r="AC146" s="76" t="str">
        <f t="shared" si="67"/>
        <v/>
      </c>
      <c r="AD146" s="240">
        <f t="shared" si="68"/>
        <v>0</v>
      </c>
      <c r="AE146" s="615"/>
    </row>
    <row r="147" spans="1:44" hidden="1" outlineLevel="1" x14ac:dyDescent="0.2">
      <c r="A147" s="615"/>
      <c r="B147" s="291">
        <f t="shared" si="65"/>
        <v>0</v>
      </c>
      <c r="C147" s="58">
        <v>15</v>
      </c>
      <c r="D147" s="296"/>
      <c r="E147" s="847"/>
      <c r="F147" s="873"/>
      <c r="G147" s="874"/>
      <c r="H147" s="157"/>
      <c r="I147" s="290"/>
      <c r="J147" s="151"/>
      <c r="K147" s="151"/>
      <c r="L147" s="151"/>
      <c r="M147" s="151"/>
      <c r="N147" s="151"/>
      <c r="O147" s="151"/>
      <c r="P147" s="157"/>
      <c r="Q147" s="290"/>
      <c r="R147" s="290"/>
      <c r="S147" s="157"/>
      <c r="Z147" s="365"/>
      <c r="AA147" s="58">
        <v>15</v>
      </c>
      <c r="AB147" s="74" t="str">
        <f t="shared" si="66"/>
        <v>** NOT USED **</v>
      </c>
      <c r="AC147" s="76" t="str">
        <f t="shared" si="67"/>
        <v/>
      </c>
      <c r="AD147" s="240">
        <f t="shared" si="68"/>
        <v>0</v>
      </c>
      <c r="AE147" s="615"/>
    </row>
    <row r="148" spans="1:44" hidden="1" outlineLevel="1" x14ac:dyDescent="0.2">
      <c r="A148" s="615"/>
      <c r="B148" s="291">
        <f t="shared" si="65"/>
        <v>0</v>
      </c>
      <c r="C148" s="58">
        <v>16</v>
      </c>
      <c r="D148" s="296"/>
      <c r="E148" s="847"/>
      <c r="F148" s="873"/>
      <c r="G148" s="874"/>
      <c r="H148" s="157"/>
      <c r="I148" s="290"/>
      <c r="J148" s="151"/>
      <c r="K148" s="151"/>
      <c r="L148" s="151"/>
      <c r="M148" s="151"/>
      <c r="N148" s="151"/>
      <c r="O148" s="151"/>
      <c r="P148" s="157"/>
      <c r="Q148" s="290"/>
      <c r="R148" s="290"/>
      <c r="S148" s="157"/>
      <c r="Z148" s="365"/>
      <c r="AA148" s="58">
        <v>16</v>
      </c>
      <c r="AB148" s="74" t="str">
        <f t="shared" si="66"/>
        <v>** NOT USED **</v>
      </c>
      <c r="AC148" s="76" t="str">
        <f t="shared" si="67"/>
        <v/>
      </c>
      <c r="AD148" s="240">
        <f t="shared" si="68"/>
        <v>0</v>
      </c>
      <c r="AE148" s="615"/>
    </row>
    <row r="149" spans="1:44" hidden="1" outlineLevel="1" x14ac:dyDescent="0.2">
      <c r="A149" s="615"/>
      <c r="B149" s="291">
        <f t="shared" si="65"/>
        <v>0</v>
      </c>
      <c r="C149" s="58">
        <v>17</v>
      </c>
      <c r="D149" s="296"/>
      <c r="E149" s="847"/>
      <c r="F149" s="873"/>
      <c r="G149" s="874"/>
      <c r="H149" s="157"/>
      <c r="I149" s="290"/>
      <c r="J149" s="151"/>
      <c r="K149" s="151"/>
      <c r="L149" s="151"/>
      <c r="M149" s="151"/>
      <c r="N149" s="151"/>
      <c r="O149" s="151"/>
      <c r="P149" s="157"/>
      <c r="Q149" s="290"/>
      <c r="R149" s="290"/>
      <c r="S149" s="157"/>
      <c r="Z149" s="365"/>
      <c r="AA149" s="58">
        <v>17</v>
      </c>
      <c r="AB149" s="74" t="str">
        <f t="shared" si="66"/>
        <v>** NOT USED **</v>
      </c>
      <c r="AC149" s="76" t="str">
        <f t="shared" si="67"/>
        <v/>
      </c>
      <c r="AD149" s="240">
        <f t="shared" si="68"/>
        <v>0</v>
      </c>
      <c r="AE149" s="615"/>
    </row>
    <row r="150" spans="1:44" hidden="1" outlineLevel="1" x14ac:dyDescent="0.2">
      <c r="A150" s="615"/>
      <c r="B150" s="291">
        <f t="shared" si="65"/>
        <v>0</v>
      </c>
      <c r="C150" s="58">
        <v>18</v>
      </c>
      <c r="D150" s="296"/>
      <c r="E150" s="847"/>
      <c r="F150" s="873"/>
      <c r="G150" s="874"/>
      <c r="H150" s="157"/>
      <c r="I150" s="290"/>
      <c r="J150" s="151"/>
      <c r="K150" s="151"/>
      <c r="L150" s="151"/>
      <c r="M150" s="151"/>
      <c r="N150" s="151"/>
      <c r="O150" s="151"/>
      <c r="P150" s="157"/>
      <c r="Q150" s="290"/>
      <c r="R150" s="290"/>
      <c r="S150" s="157"/>
      <c r="Z150" s="365"/>
      <c r="AA150" s="58">
        <v>18</v>
      </c>
      <c r="AB150" s="74" t="str">
        <f t="shared" si="66"/>
        <v>** NOT USED **</v>
      </c>
      <c r="AC150" s="76" t="str">
        <f t="shared" si="67"/>
        <v/>
      </c>
      <c r="AD150" s="240">
        <f t="shared" si="68"/>
        <v>0</v>
      </c>
      <c r="AE150" s="615"/>
    </row>
    <row r="151" spans="1:44" hidden="1" outlineLevel="1" x14ac:dyDescent="0.2">
      <c r="A151" s="615"/>
      <c r="B151" s="291">
        <f t="shared" si="65"/>
        <v>0</v>
      </c>
      <c r="C151" s="58">
        <v>19</v>
      </c>
      <c r="D151" s="296"/>
      <c r="E151" s="847"/>
      <c r="F151" s="873"/>
      <c r="G151" s="874"/>
      <c r="H151" s="157"/>
      <c r="I151" s="290"/>
      <c r="J151" s="151"/>
      <c r="K151" s="151"/>
      <c r="L151" s="151"/>
      <c r="M151" s="151"/>
      <c r="N151" s="151"/>
      <c r="O151" s="151"/>
      <c r="P151" s="157"/>
      <c r="Q151" s="290"/>
      <c r="R151" s="290"/>
      <c r="S151" s="157"/>
      <c r="Z151" s="365"/>
      <c r="AA151" s="58">
        <v>19</v>
      </c>
      <c r="AB151" s="74" t="str">
        <f t="shared" si="66"/>
        <v>** NOT USED **</v>
      </c>
      <c r="AC151" s="76" t="str">
        <f t="shared" si="67"/>
        <v/>
      </c>
      <c r="AD151" s="240">
        <f t="shared" si="68"/>
        <v>0</v>
      </c>
      <c r="AE151" s="615"/>
    </row>
    <row r="152" spans="1:44" hidden="1" outlineLevel="1" x14ac:dyDescent="0.2">
      <c r="A152" s="615"/>
      <c r="B152" s="291">
        <f t="shared" si="65"/>
        <v>0</v>
      </c>
      <c r="C152" s="58">
        <v>20</v>
      </c>
      <c r="D152" s="296"/>
      <c r="E152" s="847"/>
      <c r="F152" s="873"/>
      <c r="G152" s="874"/>
      <c r="H152" s="157"/>
      <c r="I152" s="290"/>
      <c r="J152" s="151"/>
      <c r="K152" s="151"/>
      <c r="L152" s="151"/>
      <c r="M152" s="151"/>
      <c r="N152" s="151"/>
      <c r="O152" s="151"/>
      <c r="P152" s="157"/>
      <c r="Q152" s="290"/>
      <c r="R152" s="290"/>
      <c r="S152" s="157"/>
      <c r="Z152" s="365"/>
      <c r="AA152" s="58">
        <v>20</v>
      </c>
      <c r="AB152" s="74" t="str">
        <f t="shared" si="66"/>
        <v>** NOT USED **</v>
      </c>
      <c r="AC152" s="76" t="str">
        <f t="shared" si="67"/>
        <v/>
      </c>
      <c r="AD152" s="240">
        <f t="shared" si="68"/>
        <v>0</v>
      </c>
      <c r="AE152" s="615"/>
    </row>
    <row r="153" spans="1:44" hidden="1" outlineLevel="1" x14ac:dyDescent="0.2">
      <c r="A153" s="125"/>
      <c r="B153" s="475">
        <f>SUM(B133:B152)</f>
        <v>0</v>
      </c>
      <c r="C153" s="291">
        <f>COUNTA(D133:D152)</f>
        <v>0</v>
      </c>
      <c r="D153" s="125"/>
      <c r="E153" s="125"/>
      <c r="F153" s="121"/>
      <c r="G153" s="121"/>
      <c r="H153" s="121"/>
      <c r="I153" s="121"/>
      <c r="J153" s="121"/>
      <c r="K153" s="121"/>
      <c r="L153" s="121"/>
      <c r="M153" s="121"/>
      <c r="N153" s="121"/>
      <c r="O153" s="121"/>
      <c r="P153" s="121"/>
      <c r="Q153" s="121"/>
      <c r="X153" s="7"/>
      <c r="Z153" s="7"/>
      <c r="AA153" s="7"/>
      <c r="AE153" s="615"/>
    </row>
    <row r="154" spans="1:44" ht="12.75" customHeight="1" collapsed="1" x14ac:dyDescent="0.2">
      <c r="A154" s="615"/>
      <c r="B154" s="615"/>
      <c r="C154" s="615"/>
      <c r="D154" s="615"/>
      <c r="E154" s="615"/>
      <c r="Y154" s="365"/>
      <c r="Z154" s="365"/>
    </row>
    <row r="155" spans="1:44" ht="15.75" x14ac:dyDescent="0.2">
      <c r="A155" s="125"/>
      <c r="B155" s="125"/>
      <c r="C155" s="125"/>
      <c r="D155" s="123" t="s">
        <v>872</v>
      </c>
      <c r="E155" s="132"/>
      <c r="F155" s="132"/>
      <c r="G155" s="132"/>
      <c r="H155" s="132"/>
      <c r="I155" s="839" t="str">
        <f>IF(B178=0,MsgNotUsed,"")</f>
        <v>** NOT USED **</v>
      </c>
      <c r="J155" s="840"/>
      <c r="K155" s="132"/>
      <c r="L155" s="132"/>
      <c r="M155" s="132"/>
      <c r="N155" s="132"/>
      <c r="O155" s="132"/>
      <c r="P155" s="132"/>
      <c r="Q155" s="132"/>
      <c r="R155" s="132"/>
      <c r="S155" s="132"/>
      <c r="T155" s="132"/>
      <c r="U155" s="132"/>
      <c r="V155" s="132"/>
      <c r="W155" s="132"/>
      <c r="X155" s="132"/>
      <c r="Y155" s="132"/>
      <c r="Z155" s="132"/>
      <c r="AA155" s="132"/>
      <c r="AB155" s="132"/>
      <c r="AC155" s="132"/>
      <c r="AD155" s="132"/>
      <c r="AE155" s="132"/>
      <c r="AF155" s="132"/>
      <c r="AG155" s="132"/>
      <c r="AH155" s="132"/>
      <c r="AI155" s="132"/>
      <c r="AJ155" s="132"/>
      <c r="AK155" s="132"/>
      <c r="AL155" s="132"/>
      <c r="AM155" s="132"/>
      <c r="AN155" s="132"/>
      <c r="AO155" s="132"/>
      <c r="AP155" s="132"/>
      <c r="AQ155" s="132"/>
    </row>
    <row r="156" spans="1:44" ht="14.25" hidden="1" customHeight="1" outlineLevel="1" x14ac:dyDescent="0.2">
      <c r="A156" s="125"/>
      <c r="B156" s="125"/>
      <c r="C156" s="125"/>
      <c r="D156" s="162"/>
      <c r="E156" s="162"/>
      <c r="F156" s="162"/>
      <c r="G156" s="162"/>
      <c r="H156" s="162"/>
      <c r="I156" s="162"/>
      <c r="J156" s="162"/>
      <c r="K156" s="131"/>
      <c r="L156" s="131"/>
      <c r="M156" s="131"/>
      <c r="N156" s="125"/>
      <c r="O156" s="125"/>
      <c r="P156" s="125"/>
      <c r="Q156" s="125"/>
      <c r="R156" s="125"/>
      <c r="S156" s="615"/>
      <c r="T156" s="615"/>
      <c r="U156" s="615"/>
      <c r="V156" s="615"/>
      <c r="W156" s="615"/>
      <c r="X156" s="615"/>
      <c r="Y156" s="615"/>
      <c r="Z156" s="615"/>
      <c r="AA156" s="615"/>
      <c r="AB156" s="615"/>
      <c r="AC156" s="615"/>
      <c r="AD156" s="615"/>
      <c r="AE156" s="615"/>
      <c r="AF156" s="615"/>
      <c r="AG156" s="615"/>
      <c r="AH156" s="615"/>
      <c r="AI156" s="615"/>
      <c r="AJ156" s="615"/>
      <c r="AK156" s="615"/>
      <c r="AL156" s="615"/>
      <c r="AM156" s="615"/>
      <c r="AN156" s="615"/>
      <c r="AO156" s="615"/>
      <c r="AP156" s="615"/>
      <c r="AQ156" s="615"/>
      <c r="AR156" s="615"/>
    </row>
    <row r="157" spans="1:44" ht="38.25" hidden="1" outlineLevel="1" x14ac:dyDescent="0.2">
      <c r="A157" s="125"/>
      <c r="B157" s="125"/>
      <c r="C157" s="125"/>
      <c r="D157" s="82" t="s">
        <v>813</v>
      </c>
      <c r="E157" s="830" t="s">
        <v>110</v>
      </c>
      <c r="F157" s="831"/>
      <c r="G157" s="832"/>
      <c r="H157" s="83" t="s">
        <v>109</v>
      </c>
      <c r="I157" s="327" t="s">
        <v>56</v>
      </c>
      <c r="J157" s="82" t="s">
        <v>94</v>
      </c>
      <c r="K157" s="82" t="s">
        <v>95</v>
      </c>
      <c r="L157" s="82" t="s">
        <v>96</v>
      </c>
      <c r="M157" s="82" t="s">
        <v>97</v>
      </c>
      <c r="N157" s="82" t="s">
        <v>98</v>
      </c>
      <c r="O157" s="82" t="s">
        <v>99</v>
      </c>
      <c r="P157" s="82" t="s">
        <v>101</v>
      </c>
      <c r="Q157" s="82" t="s">
        <v>102</v>
      </c>
      <c r="R157" s="82" t="s">
        <v>100</v>
      </c>
      <c r="S157" s="82" t="s">
        <v>105</v>
      </c>
      <c r="T157" s="82" t="s">
        <v>106</v>
      </c>
      <c r="U157" s="690"/>
      <c r="V157" s="690"/>
      <c r="W157" s="690"/>
      <c r="X157" s="641"/>
      <c r="Y157" s="615"/>
      <c r="Z157" s="641"/>
      <c r="AA157" s="7"/>
      <c r="AB157" s="280" t="s">
        <v>279</v>
      </c>
      <c r="AC157" s="615"/>
      <c r="AD157" s="615"/>
      <c r="AE157" s="615"/>
      <c r="AF157" s="615"/>
      <c r="AG157" s="615"/>
      <c r="AH157" s="615"/>
      <c r="AI157" s="615"/>
      <c r="AJ157" s="615"/>
      <c r="AK157" s="615"/>
      <c r="AL157" s="615"/>
      <c r="AM157" s="615"/>
      <c r="AN157" s="615"/>
      <c r="AO157" s="615"/>
      <c r="AP157" s="615"/>
      <c r="AQ157" s="615"/>
    </row>
    <row r="158" spans="1:44" hidden="1" outlineLevel="1" x14ac:dyDescent="0.2">
      <c r="A158" s="125"/>
      <c r="B158" s="291">
        <f t="shared" ref="B158:B177" si="69">IF(D158&lt;&gt;MsgNotUsed,1,0)</f>
        <v>0</v>
      </c>
      <c r="C158" s="298">
        <v>1</v>
      </c>
      <c r="D158" s="330" t="str">
        <f t="shared" ref="D158:D177" si="70">IF(D105&lt;&gt;"",D105,IF(D133&lt;&gt;"",D133,MsgNotUsed))</f>
        <v>** NOT USED **</v>
      </c>
      <c r="E158" s="870" t="str">
        <f t="shared" ref="E158:E177" si="71">IF($D105&lt;&gt;"",E105,IF($D133&lt;&gt;"",E133,""))</f>
        <v/>
      </c>
      <c r="F158" s="871"/>
      <c r="G158" s="872"/>
      <c r="H158" s="169" t="str">
        <f t="shared" ref="H158:H177" si="72">IF($D105&lt;&gt;"",H105,IF($D133&lt;&gt;"",H133,""))</f>
        <v/>
      </c>
      <c r="I158" s="169" t="str">
        <f t="shared" ref="I158:O158" si="73">IF($D105&lt;&gt;"",I105,IF($D133&lt;&gt;"",I133,""))</f>
        <v/>
      </c>
      <c r="J158" s="63" t="str">
        <f t="shared" si="73"/>
        <v/>
      </c>
      <c r="K158" s="63" t="str">
        <f t="shared" si="73"/>
        <v/>
      </c>
      <c r="L158" s="63" t="str">
        <f t="shared" si="73"/>
        <v/>
      </c>
      <c r="M158" s="63" t="str">
        <f t="shared" si="73"/>
        <v/>
      </c>
      <c r="N158" s="63" t="str">
        <f t="shared" si="73"/>
        <v/>
      </c>
      <c r="O158" s="63" t="str">
        <f t="shared" si="73"/>
        <v/>
      </c>
      <c r="P158" s="63">
        <f>SUM($J158:$M158)</f>
        <v>0</v>
      </c>
      <c r="Q158" s="63">
        <f>SUM($N158:$O158)</f>
        <v>0</v>
      </c>
      <c r="R158" s="63">
        <f>P158+Q158</f>
        <v>0</v>
      </c>
      <c r="S158" s="477">
        <f>IF(AND(P158&lt;&gt;0,R158&lt;&gt;0),P158/R158,0)</f>
        <v>0</v>
      </c>
      <c r="T158" s="477">
        <f>IF(AND(Q158&lt;&gt;0,R158&lt;&gt;0),Q158/R158,0)</f>
        <v>0</v>
      </c>
      <c r="U158" s="690"/>
      <c r="V158" s="690"/>
      <c r="W158" s="690"/>
      <c r="X158" s="704"/>
      <c r="Y158" s="615"/>
      <c r="Z158" s="704"/>
      <c r="AA158" s="58">
        <v>1</v>
      </c>
      <c r="AB158" s="71" t="str">
        <f t="shared" ref="AB158:AB177" si="74">IF(D158&lt;&gt;MsgNotUsed,CONCATENATE(H158," - ",D158," ",E158, " - ",I158),MsgNotUsed)</f>
        <v>** NOT USED **</v>
      </c>
      <c r="AC158" s="615"/>
      <c r="AD158" s="615"/>
      <c r="AE158" s="615"/>
      <c r="AF158" s="615"/>
      <c r="AG158" s="615"/>
      <c r="AH158" s="615"/>
      <c r="AI158" s="615"/>
      <c r="AJ158" s="615"/>
      <c r="AK158" s="615"/>
      <c r="AL158" s="615"/>
      <c r="AM158" s="615"/>
      <c r="AN158" s="615"/>
      <c r="AO158" s="615"/>
      <c r="AP158" s="615"/>
      <c r="AQ158" s="615"/>
    </row>
    <row r="159" spans="1:44" hidden="1" outlineLevel="1" x14ac:dyDescent="0.2">
      <c r="A159" s="125"/>
      <c r="B159" s="291">
        <f t="shared" si="69"/>
        <v>0</v>
      </c>
      <c r="C159" s="298">
        <v>2</v>
      </c>
      <c r="D159" s="454" t="str">
        <f t="shared" si="70"/>
        <v>** NOT USED **</v>
      </c>
      <c r="E159" s="870" t="str">
        <f t="shared" si="71"/>
        <v/>
      </c>
      <c r="F159" s="871"/>
      <c r="G159" s="872"/>
      <c r="H159" s="169" t="str">
        <f t="shared" si="72"/>
        <v/>
      </c>
      <c r="I159" s="169" t="str">
        <f t="shared" ref="I159:O168" si="75">IF($D106&lt;&gt;"",I106,IF($D134&lt;&gt;"",I134,""))</f>
        <v/>
      </c>
      <c r="J159" s="63" t="str">
        <f t="shared" si="75"/>
        <v/>
      </c>
      <c r="K159" s="63" t="str">
        <f t="shared" si="75"/>
        <v/>
      </c>
      <c r="L159" s="63" t="str">
        <f t="shared" si="75"/>
        <v/>
      </c>
      <c r="M159" s="63" t="str">
        <f t="shared" si="75"/>
        <v/>
      </c>
      <c r="N159" s="63" t="str">
        <f t="shared" si="75"/>
        <v/>
      </c>
      <c r="O159" s="63" t="str">
        <f t="shared" si="75"/>
        <v/>
      </c>
      <c r="P159" s="63">
        <f t="shared" ref="P159:P177" si="76">SUM($J159:$M159)</f>
        <v>0</v>
      </c>
      <c r="Q159" s="63">
        <f t="shared" ref="Q159:Q177" si="77">SUM($N159:$O159)</f>
        <v>0</v>
      </c>
      <c r="R159" s="63">
        <f t="shared" ref="R159:R167" si="78">Q159+P159</f>
        <v>0</v>
      </c>
      <c r="S159" s="51">
        <f t="shared" ref="S159:S167" si="79">IF(AND(P159&lt;&gt;0,R159&lt;&gt;0),P159/R159,0)</f>
        <v>0</v>
      </c>
      <c r="T159" s="51">
        <f t="shared" ref="T159:T167" si="80">IF(AND(Q159&lt;&gt;0,R159&lt;&gt;0),Q159/R159,0)</f>
        <v>0</v>
      </c>
      <c r="U159" s="690"/>
      <c r="V159" s="690"/>
      <c r="W159" s="690"/>
      <c r="X159" s="704"/>
      <c r="Y159" s="615"/>
      <c r="Z159" s="704"/>
      <c r="AA159" s="58">
        <v>2</v>
      </c>
      <c r="AB159" s="71" t="str">
        <f t="shared" si="74"/>
        <v>** NOT USED **</v>
      </c>
      <c r="AC159" s="615"/>
      <c r="AD159" s="615"/>
      <c r="AE159" s="615"/>
      <c r="AF159" s="615"/>
      <c r="AG159" s="615"/>
      <c r="AH159" s="615"/>
      <c r="AI159" s="615"/>
      <c r="AJ159" s="615"/>
      <c r="AK159" s="615"/>
      <c r="AL159" s="615"/>
      <c r="AM159" s="615"/>
      <c r="AN159" s="615"/>
      <c r="AO159" s="615"/>
      <c r="AP159" s="615"/>
      <c r="AQ159" s="615"/>
    </row>
    <row r="160" spans="1:44" hidden="1" outlineLevel="1" x14ac:dyDescent="0.2">
      <c r="A160" s="125"/>
      <c r="B160" s="291">
        <f t="shared" si="69"/>
        <v>0</v>
      </c>
      <c r="C160" s="298">
        <v>3</v>
      </c>
      <c r="D160" s="454" t="str">
        <f t="shared" si="70"/>
        <v>** NOT USED **</v>
      </c>
      <c r="E160" s="870" t="str">
        <f t="shared" si="71"/>
        <v/>
      </c>
      <c r="F160" s="871"/>
      <c r="G160" s="872"/>
      <c r="H160" s="169" t="str">
        <f t="shared" si="72"/>
        <v/>
      </c>
      <c r="I160" s="169" t="str">
        <f t="shared" si="75"/>
        <v/>
      </c>
      <c r="J160" s="63" t="str">
        <f t="shared" si="75"/>
        <v/>
      </c>
      <c r="K160" s="63" t="str">
        <f t="shared" si="75"/>
        <v/>
      </c>
      <c r="L160" s="63" t="str">
        <f t="shared" si="75"/>
        <v/>
      </c>
      <c r="M160" s="63" t="str">
        <f t="shared" si="75"/>
        <v/>
      </c>
      <c r="N160" s="63" t="str">
        <f t="shared" si="75"/>
        <v/>
      </c>
      <c r="O160" s="63" t="str">
        <f t="shared" si="75"/>
        <v/>
      </c>
      <c r="P160" s="63">
        <f t="shared" si="76"/>
        <v>0</v>
      </c>
      <c r="Q160" s="63">
        <f t="shared" si="77"/>
        <v>0</v>
      </c>
      <c r="R160" s="63">
        <f t="shared" si="78"/>
        <v>0</v>
      </c>
      <c r="S160" s="51">
        <f t="shared" si="79"/>
        <v>0</v>
      </c>
      <c r="T160" s="51">
        <f t="shared" si="80"/>
        <v>0</v>
      </c>
      <c r="U160" s="690"/>
      <c r="V160" s="690"/>
      <c r="W160" s="690"/>
      <c r="X160" s="704"/>
      <c r="Y160" s="615"/>
      <c r="Z160" s="704"/>
      <c r="AA160" s="58">
        <v>3</v>
      </c>
      <c r="AB160" s="71" t="str">
        <f t="shared" si="74"/>
        <v>** NOT USED **</v>
      </c>
      <c r="AC160" s="615"/>
      <c r="AD160" s="615"/>
      <c r="AE160" s="615"/>
      <c r="AF160" s="615"/>
      <c r="AG160" s="615"/>
      <c r="AH160" s="615"/>
      <c r="AI160" s="615"/>
      <c r="AJ160" s="615"/>
      <c r="AK160" s="615"/>
      <c r="AL160" s="615"/>
      <c r="AM160" s="615"/>
      <c r="AN160" s="615"/>
      <c r="AO160" s="615"/>
      <c r="AP160" s="615"/>
      <c r="AQ160" s="615"/>
    </row>
    <row r="161" spans="1:43" hidden="1" outlineLevel="1" x14ac:dyDescent="0.2">
      <c r="A161" s="125"/>
      <c r="B161" s="291">
        <f t="shared" si="69"/>
        <v>0</v>
      </c>
      <c r="C161" s="298">
        <v>4</v>
      </c>
      <c r="D161" s="454" t="str">
        <f t="shared" si="70"/>
        <v>** NOT USED **</v>
      </c>
      <c r="E161" s="870" t="str">
        <f t="shared" si="71"/>
        <v/>
      </c>
      <c r="F161" s="871"/>
      <c r="G161" s="872"/>
      <c r="H161" s="169" t="str">
        <f t="shared" si="72"/>
        <v/>
      </c>
      <c r="I161" s="169" t="str">
        <f t="shared" si="75"/>
        <v/>
      </c>
      <c r="J161" s="63" t="str">
        <f t="shared" si="75"/>
        <v/>
      </c>
      <c r="K161" s="63" t="str">
        <f t="shared" si="75"/>
        <v/>
      </c>
      <c r="L161" s="63" t="str">
        <f t="shared" si="75"/>
        <v/>
      </c>
      <c r="M161" s="63" t="str">
        <f t="shared" si="75"/>
        <v/>
      </c>
      <c r="N161" s="63" t="str">
        <f t="shared" si="75"/>
        <v/>
      </c>
      <c r="O161" s="63" t="str">
        <f t="shared" si="75"/>
        <v/>
      </c>
      <c r="P161" s="63">
        <f t="shared" si="76"/>
        <v>0</v>
      </c>
      <c r="Q161" s="63">
        <f t="shared" si="77"/>
        <v>0</v>
      </c>
      <c r="R161" s="63">
        <f t="shared" si="78"/>
        <v>0</v>
      </c>
      <c r="S161" s="51">
        <f t="shared" si="79"/>
        <v>0</v>
      </c>
      <c r="T161" s="51">
        <f t="shared" si="80"/>
        <v>0</v>
      </c>
      <c r="U161" s="690"/>
      <c r="V161" s="690"/>
      <c r="W161" s="690"/>
      <c r="X161" s="704"/>
      <c r="Y161" s="615"/>
      <c r="Z161" s="704"/>
      <c r="AA161" s="58">
        <v>4</v>
      </c>
      <c r="AB161" s="71" t="str">
        <f t="shared" si="74"/>
        <v>** NOT USED **</v>
      </c>
      <c r="AC161" s="615"/>
      <c r="AD161" s="615"/>
      <c r="AE161" s="615"/>
      <c r="AF161" s="615"/>
      <c r="AG161" s="615"/>
      <c r="AH161" s="615"/>
      <c r="AI161" s="615"/>
      <c r="AJ161" s="615"/>
      <c r="AK161" s="615"/>
      <c r="AL161" s="615"/>
      <c r="AM161" s="615"/>
      <c r="AN161" s="615"/>
      <c r="AO161" s="615"/>
      <c r="AP161" s="615"/>
      <c r="AQ161" s="615"/>
    </row>
    <row r="162" spans="1:43" hidden="1" outlineLevel="1" x14ac:dyDescent="0.2">
      <c r="A162" s="125"/>
      <c r="B162" s="291">
        <f t="shared" si="69"/>
        <v>0</v>
      </c>
      <c r="C162" s="298">
        <v>5</v>
      </c>
      <c r="D162" s="454" t="str">
        <f t="shared" si="70"/>
        <v>** NOT USED **</v>
      </c>
      <c r="E162" s="870" t="str">
        <f t="shared" si="71"/>
        <v/>
      </c>
      <c r="F162" s="871"/>
      <c r="G162" s="872"/>
      <c r="H162" s="169" t="str">
        <f t="shared" si="72"/>
        <v/>
      </c>
      <c r="I162" s="169" t="str">
        <f t="shared" si="75"/>
        <v/>
      </c>
      <c r="J162" s="63" t="str">
        <f t="shared" si="75"/>
        <v/>
      </c>
      <c r="K162" s="63" t="str">
        <f t="shared" si="75"/>
        <v/>
      </c>
      <c r="L162" s="63" t="str">
        <f t="shared" si="75"/>
        <v/>
      </c>
      <c r="M162" s="63" t="str">
        <f t="shared" si="75"/>
        <v/>
      </c>
      <c r="N162" s="63" t="str">
        <f t="shared" si="75"/>
        <v/>
      </c>
      <c r="O162" s="63" t="str">
        <f t="shared" si="75"/>
        <v/>
      </c>
      <c r="P162" s="63">
        <f t="shared" si="76"/>
        <v>0</v>
      </c>
      <c r="Q162" s="63">
        <f t="shared" si="77"/>
        <v>0</v>
      </c>
      <c r="R162" s="63">
        <f t="shared" si="78"/>
        <v>0</v>
      </c>
      <c r="S162" s="51">
        <f t="shared" si="79"/>
        <v>0</v>
      </c>
      <c r="T162" s="51">
        <f t="shared" si="80"/>
        <v>0</v>
      </c>
      <c r="U162" s="690"/>
      <c r="V162" s="690"/>
      <c r="W162" s="690"/>
      <c r="X162" s="704"/>
      <c r="Y162" s="615"/>
      <c r="Z162" s="704"/>
      <c r="AA162" s="58">
        <v>5</v>
      </c>
      <c r="AB162" s="71" t="str">
        <f t="shared" si="74"/>
        <v>** NOT USED **</v>
      </c>
      <c r="AC162" s="615"/>
      <c r="AD162" s="615"/>
      <c r="AE162" s="615"/>
      <c r="AF162" s="615"/>
      <c r="AG162" s="615"/>
      <c r="AH162" s="615"/>
      <c r="AI162" s="615"/>
      <c r="AJ162" s="615"/>
      <c r="AK162" s="615"/>
      <c r="AL162" s="615"/>
      <c r="AM162" s="615"/>
      <c r="AN162" s="615"/>
      <c r="AO162" s="615"/>
      <c r="AP162" s="615"/>
      <c r="AQ162" s="615"/>
    </row>
    <row r="163" spans="1:43" hidden="1" outlineLevel="1" x14ac:dyDescent="0.2">
      <c r="A163" s="125"/>
      <c r="B163" s="291">
        <f t="shared" si="69"/>
        <v>0</v>
      </c>
      <c r="C163" s="298">
        <v>6</v>
      </c>
      <c r="D163" s="454" t="str">
        <f t="shared" si="70"/>
        <v>** NOT USED **</v>
      </c>
      <c r="E163" s="870" t="str">
        <f t="shared" si="71"/>
        <v/>
      </c>
      <c r="F163" s="871"/>
      <c r="G163" s="872"/>
      <c r="H163" s="169" t="str">
        <f t="shared" si="72"/>
        <v/>
      </c>
      <c r="I163" s="169" t="str">
        <f t="shared" si="75"/>
        <v/>
      </c>
      <c r="J163" s="63" t="str">
        <f t="shared" si="75"/>
        <v/>
      </c>
      <c r="K163" s="63" t="str">
        <f t="shared" si="75"/>
        <v/>
      </c>
      <c r="L163" s="63" t="str">
        <f t="shared" si="75"/>
        <v/>
      </c>
      <c r="M163" s="63" t="str">
        <f t="shared" si="75"/>
        <v/>
      </c>
      <c r="N163" s="63" t="str">
        <f t="shared" si="75"/>
        <v/>
      </c>
      <c r="O163" s="63" t="str">
        <f t="shared" si="75"/>
        <v/>
      </c>
      <c r="P163" s="63">
        <f t="shared" si="76"/>
        <v>0</v>
      </c>
      <c r="Q163" s="63">
        <f t="shared" si="77"/>
        <v>0</v>
      </c>
      <c r="R163" s="63">
        <f t="shared" si="78"/>
        <v>0</v>
      </c>
      <c r="S163" s="51">
        <f t="shared" si="79"/>
        <v>0</v>
      </c>
      <c r="T163" s="51">
        <f t="shared" si="80"/>
        <v>0</v>
      </c>
      <c r="U163" s="690"/>
      <c r="V163" s="690"/>
      <c r="W163" s="690"/>
      <c r="X163" s="704"/>
      <c r="Y163" s="615"/>
      <c r="Z163" s="704"/>
      <c r="AA163" s="58">
        <v>6</v>
      </c>
      <c r="AB163" s="71" t="str">
        <f t="shared" si="74"/>
        <v>** NOT USED **</v>
      </c>
      <c r="AC163" s="615"/>
      <c r="AD163" s="615"/>
      <c r="AE163" s="615"/>
      <c r="AF163" s="615"/>
      <c r="AG163" s="615"/>
      <c r="AH163" s="615"/>
      <c r="AI163" s="615"/>
      <c r="AJ163" s="615"/>
      <c r="AK163" s="615"/>
      <c r="AL163" s="615"/>
      <c r="AM163" s="615"/>
      <c r="AN163" s="615"/>
      <c r="AO163" s="615"/>
      <c r="AP163" s="615"/>
      <c r="AQ163" s="615"/>
    </row>
    <row r="164" spans="1:43" hidden="1" outlineLevel="1" x14ac:dyDescent="0.2">
      <c r="A164" s="125"/>
      <c r="B164" s="291">
        <f t="shared" si="69"/>
        <v>0</v>
      </c>
      <c r="C164" s="298">
        <v>7</v>
      </c>
      <c r="D164" s="454" t="str">
        <f t="shared" si="70"/>
        <v>** NOT USED **</v>
      </c>
      <c r="E164" s="870" t="str">
        <f t="shared" si="71"/>
        <v/>
      </c>
      <c r="F164" s="871"/>
      <c r="G164" s="872"/>
      <c r="H164" s="169" t="str">
        <f t="shared" si="72"/>
        <v/>
      </c>
      <c r="I164" s="169" t="str">
        <f t="shared" si="75"/>
        <v/>
      </c>
      <c r="J164" s="63" t="str">
        <f t="shared" si="75"/>
        <v/>
      </c>
      <c r="K164" s="63" t="str">
        <f t="shared" si="75"/>
        <v/>
      </c>
      <c r="L164" s="63" t="str">
        <f t="shared" si="75"/>
        <v/>
      </c>
      <c r="M164" s="63" t="str">
        <f t="shared" si="75"/>
        <v/>
      </c>
      <c r="N164" s="63" t="str">
        <f t="shared" si="75"/>
        <v/>
      </c>
      <c r="O164" s="63" t="str">
        <f t="shared" si="75"/>
        <v/>
      </c>
      <c r="P164" s="63">
        <f t="shared" si="76"/>
        <v>0</v>
      </c>
      <c r="Q164" s="63">
        <f t="shared" si="77"/>
        <v>0</v>
      </c>
      <c r="R164" s="63">
        <f t="shared" si="78"/>
        <v>0</v>
      </c>
      <c r="S164" s="51">
        <f t="shared" si="79"/>
        <v>0</v>
      </c>
      <c r="T164" s="51">
        <f t="shared" si="80"/>
        <v>0</v>
      </c>
      <c r="U164" s="690"/>
      <c r="V164" s="690"/>
      <c r="W164" s="690"/>
      <c r="X164" s="704"/>
      <c r="Y164" s="615"/>
      <c r="Z164" s="704"/>
      <c r="AA164" s="58">
        <v>7</v>
      </c>
      <c r="AB164" s="71" t="str">
        <f t="shared" si="74"/>
        <v>** NOT USED **</v>
      </c>
      <c r="AC164" s="615"/>
      <c r="AD164" s="615"/>
      <c r="AE164" s="615"/>
      <c r="AF164" s="615"/>
      <c r="AG164" s="615"/>
      <c r="AH164" s="615"/>
      <c r="AI164" s="615"/>
      <c r="AJ164" s="615"/>
      <c r="AK164" s="615"/>
      <c r="AL164" s="615"/>
      <c r="AM164" s="615"/>
      <c r="AN164" s="615"/>
      <c r="AO164" s="615"/>
      <c r="AP164" s="615"/>
      <c r="AQ164" s="615"/>
    </row>
    <row r="165" spans="1:43" hidden="1" outlineLevel="1" x14ac:dyDescent="0.2">
      <c r="A165" s="125"/>
      <c r="B165" s="291">
        <f t="shared" si="69"/>
        <v>0</v>
      </c>
      <c r="C165" s="298">
        <v>8</v>
      </c>
      <c r="D165" s="454" t="str">
        <f t="shared" si="70"/>
        <v>** NOT USED **</v>
      </c>
      <c r="E165" s="870" t="str">
        <f t="shared" si="71"/>
        <v/>
      </c>
      <c r="F165" s="871"/>
      <c r="G165" s="872"/>
      <c r="H165" s="169" t="str">
        <f t="shared" si="72"/>
        <v/>
      </c>
      <c r="I165" s="169" t="str">
        <f t="shared" si="75"/>
        <v/>
      </c>
      <c r="J165" s="63" t="str">
        <f t="shared" si="75"/>
        <v/>
      </c>
      <c r="K165" s="63" t="str">
        <f t="shared" si="75"/>
        <v/>
      </c>
      <c r="L165" s="63" t="str">
        <f t="shared" si="75"/>
        <v/>
      </c>
      <c r="M165" s="63" t="str">
        <f t="shared" si="75"/>
        <v/>
      </c>
      <c r="N165" s="63" t="str">
        <f t="shared" si="75"/>
        <v/>
      </c>
      <c r="O165" s="63" t="str">
        <f t="shared" si="75"/>
        <v/>
      </c>
      <c r="P165" s="63">
        <f t="shared" si="76"/>
        <v>0</v>
      </c>
      <c r="Q165" s="63">
        <f t="shared" si="77"/>
        <v>0</v>
      </c>
      <c r="R165" s="63">
        <f t="shared" si="78"/>
        <v>0</v>
      </c>
      <c r="S165" s="51">
        <f t="shared" si="79"/>
        <v>0</v>
      </c>
      <c r="T165" s="51">
        <f t="shared" si="80"/>
        <v>0</v>
      </c>
      <c r="U165" s="690"/>
      <c r="V165" s="690"/>
      <c r="W165" s="690"/>
      <c r="X165" s="704"/>
      <c r="Y165" s="615"/>
      <c r="Z165" s="704"/>
      <c r="AA165" s="58">
        <v>8</v>
      </c>
      <c r="AB165" s="71" t="str">
        <f t="shared" si="74"/>
        <v>** NOT USED **</v>
      </c>
      <c r="AC165" s="615"/>
      <c r="AD165" s="615"/>
      <c r="AE165" s="615"/>
      <c r="AF165" s="615"/>
      <c r="AG165" s="615"/>
      <c r="AH165" s="615"/>
      <c r="AI165" s="615"/>
      <c r="AJ165" s="615"/>
      <c r="AK165" s="615"/>
      <c r="AL165" s="615"/>
      <c r="AM165" s="615"/>
      <c r="AN165" s="615"/>
      <c r="AO165" s="615"/>
      <c r="AP165" s="615"/>
      <c r="AQ165" s="615"/>
    </row>
    <row r="166" spans="1:43" hidden="1" outlineLevel="1" x14ac:dyDescent="0.2">
      <c r="A166" s="125"/>
      <c r="B166" s="291">
        <f t="shared" si="69"/>
        <v>0</v>
      </c>
      <c r="C166" s="298">
        <v>9</v>
      </c>
      <c r="D166" s="454" t="str">
        <f t="shared" si="70"/>
        <v>** NOT USED **</v>
      </c>
      <c r="E166" s="870" t="str">
        <f t="shared" si="71"/>
        <v/>
      </c>
      <c r="F166" s="871"/>
      <c r="G166" s="872"/>
      <c r="H166" s="169" t="str">
        <f t="shared" si="72"/>
        <v/>
      </c>
      <c r="I166" s="169" t="str">
        <f t="shared" si="75"/>
        <v/>
      </c>
      <c r="J166" s="63" t="str">
        <f t="shared" si="75"/>
        <v/>
      </c>
      <c r="K166" s="63" t="str">
        <f t="shared" si="75"/>
        <v/>
      </c>
      <c r="L166" s="63" t="str">
        <f t="shared" si="75"/>
        <v/>
      </c>
      <c r="M166" s="63" t="str">
        <f t="shared" si="75"/>
        <v/>
      </c>
      <c r="N166" s="63" t="str">
        <f t="shared" si="75"/>
        <v/>
      </c>
      <c r="O166" s="63" t="str">
        <f t="shared" si="75"/>
        <v/>
      </c>
      <c r="P166" s="63">
        <f t="shared" si="76"/>
        <v>0</v>
      </c>
      <c r="Q166" s="63">
        <f t="shared" si="77"/>
        <v>0</v>
      </c>
      <c r="R166" s="63">
        <f t="shared" si="78"/>
        <v>0</v>
      </c>
      <c r="S166" s="51">
        <f t="shared" si="79"/>
        <v>0</v>
      </c>
      <c r="T166" s="51">
        <f t="shared" si="80"/>
        <v>0</v>
      </c>
      <c r="U166" s="690"/>
      <c r="V166" s="690"/>
      <c r="W166" s="690"/>
      <c r="X166" s="704"/>
      <c r="Y166" s="615"/>
      <c r="Z166" s="704"/>
      <c r="AA166" s="58">
        <v>9</v>
      </c>
      <c r="AB166" s="71" t="str">
        <f t="shared" si="74"/>
        <v>** NOT USED **</v>
      </c>
      <c r="AC166" s="615"/>
      <c r="AD166" s="615"/>
      <c r="AE166" s="615"/>
      <c r="AF166" s="615"/>
      <c r="AG166" s="615"/>
      <c r="AH166" s="615"/>
      <c r="AI166" s="615"/>
      <c r="AJ166" s="615"/>
      <c r="AK166" s="615"/>
      <c r="AL166" s="615"/>
      <c r="AM166" s="615"/>
      <c r="AN166" s="615"/>
      <c r="AO166" s="615"/>
      <c r="AP166" s="615"/>
      <c r="AQ166" s="615"/>
    </row>
    <row r="167" spans="1:43" hidden="1" outlineLevel="1" x14ac:dyDescent="0.2">
      <c r="A167" s="125"/>
      <c r="B167" s="291">
        <f t="shared" si="69"/>
        <v>0</v>
      </c>
      <c r="C167" s="298">
        <v>10</v>
      </c>
      <c r="D167" s="454" t="str">
        <f t="shared" si="70"/>
        <v>** NOT USED **</v>
      </c>
      <c r="E167" s="870" t="str">
        <f t="shared" si="71"/>
        <v/>
      </c>
      <c r="F167" s="871"/>
      <c r="G167" s="872"/>
      <c r="H167" s="169" t="str">
        <f t="shared" si="72"/>
        <v/>
      </c>
      <c r="I167" s="169" t="str">
        <f t="shared" si="75"/>
        <v/>
      </c>
      <c r="J167" s="63" t="str">
        <f t="shared" si="75"/>
        <v/>
      </c>
      <c r="K167" s="63" t="str">
        <f t="shared" si="75"/>
        <v/>
      </c>
      <c r="L167" s="63" t="str">
        <f t="shared" si="75"/>
        <v/>
      </c>
      <c r="M167" s="63" t="str">
        <f t="shared" si="75"/>
        <v/>
      </c>
      <c r="N167" s="63" t="str">
        <f t="shared" si="75"/>
        <v/>
      </c>
      <c r="O167" s="63" t="str">
        <f t="shared" si="75"/>
        <v/>
      </c>
      <c r="P167" s="63">
        <f t="shared" si="76"/>
        <v>0</v>
      </c>
      <c r="Q167" s="63">
        <f t="shared" si="77"/>
        <v>0</v>
      </c>
      <c r="R167" s="63">
        <f t="shared" si="78"/>
        <v>0</v>
      </c>
      <c r="S167" s="51">
        <f t="shared" si="79"/>
        <v>0</v>
      </c>
      <c r="T167" s="51">
        <f t="shared" si="80"/>
        <v>0</v>
      </c>
      <c r="U167" s="690"/>
      <c r="V167" s="690"/>
      <c r="W167" s="690"/>
      <c r="X167" s="704"/>
      <c r="Y167" s="615"/>
      <c r="Z167" s="704"/>
      <c r="AA167" s="58">
        <v>10</v>
      </c>
      <c r="AB167" s="71" t="str">
        <f t="shared" si="74"/>
        <v>** NOT USED **</v>
      </c>
      <c r="AC167" s="615"/>
      <c r="AD167" s="615"/>
      <c r="AE167" s="615"/>
      <c r="AF167" s="615"/>
      <c r="AG167" s="615"/>
      <c r="AH167" s="615"/>
      <c r="AI167" s="615"/>
      <c r="AJ167" s="615"/>
      <c r="AK167" s="615"/>
      <c r="AL167" s="615"/>
      <c r="AM167" s="615"/>
      <c r="AN167" s="615"/>
      <c r="AO167" s="615"/>
      <c r="AP167" s="615"/>
      <c r="AQ167" s="615"/>
    </row>
    <row r="168" spans="1:43" hidden="1" outlineLevel="1" x14ac:dyDescent="0.2">
      <c r="A168" s="615"/>
      <c r="B168" s="291">
        <f t="shared" si="69"/>
        <v>0</v>
      </c>
      <c r="C168" s="298">
        <v>11</v>
      </c>
      <c r="D168" s="454" t="str">
        <f t="shared" si="70"/>
        <v>** NOT USED **</v>
      </c>
      <c r="E168" s="870" t="str">
        <f t="shared" si="71"/>
        <v/>
      </c>
      <c r="F168" s="871"/>
      <c r="G168" s="872"/>
      <c r="H168" s="169" t="str">
        <f t="shared" si="72"/>
        <v/>
      </c>
      <c r="I168" s="169" t="str">
        <f t="shared" si="75"/>
        <v/>
      </c>
      <c r="J168" s="63" t="str">
        <f t="shared" si="75"/>
        <v/>
      </c>
      <c r="K168" s="63" t="str">
        <f t="shared" si="75"/>
        <v/>
      </c>
      <c r="L168" s="63" t="str">
        <f t="shared" si="75"/>
        <v/>
      </c>
      <c r="M168" s="63" t="str">
        <f t="shared" si="75"/>
        <v/>
      </c>
      <c r="N168" s="63" t="str">
        <f t="shared" si="75"/>
        <v/>
      </c>
      <c r="O168" s="63" t="str">
        <f t="shared" si="75"/>
        <v/>
      </c>
      <c r="P168" s="63">
        <f t="shared" si="76"/>
        <v>0</v>
      </c>
      <c r="Q168" s="63">
        <f t="shared" si="77"/>
        <v>0</v>
      </c>
      <c r="R168" s="63">
        <f t="shared" ref="R168:R177" si="81">Q168+P168</f>
        <v>0</v>
      </c>
      <c r="S168" s="51">
        <f t="shared" ref="S168:S177" si="82">IF(AND(P168&lt;&gt;0,R168&lt;&gt;0),P168/R168,0)</f>
        <v>0</v>
      </c>
      <c r="T168" s="51">
        <f t="shared" ref="T168:T177" si="83">IF(AND(Q168&lt;&gt;0,R168&lt;&gt;0),Q168/R168,0)</f>
        <v>0</v>
      </c>
      <c r="U168" s="615"/>
      <c r="V168" s="615"/>
      <c r="W168" s="615"/>
      <c r="X168" s="704"/>
      <c r="Y168" s="615"/>
      <c r="Z168" s="704"/>
      <c r="AA168" s="58">
        <v>11</v>
      </c>
      <c r="AB168" s="71" t="str">
        <f t="shared" si="74"/>
        <v>** NOT USED **</v>
      </c>
      <c r="AC168" s="615"/>
      <c r="AD168" s="615"/>
      <c r="AE168" s="615"/>
      <c r="AF168" s="615"/>
      <c r="AG168" s="615"/>
      <c r="AH168" s="615"/>
      <c r="AI168" s="615"/>
      <c r="AJ168" s="615"/>
      <c r="AK168" s="615"/>
      <c r="AL168" s="615"/>
      <c r="AM168" s="615"/>
      <c r="AN168" s="615"/>
      <c r="AO168" s="615"/>
      <c r="AP168" s="615"/>
      <c r="AQ168" s="615"/>
    </row>
    <row r="169" spans="1:43" hidden="1" outlineLevel="1" x14ac:dyDescent="0.2">
      <c r="A169" s="615"/>
      <c r="B169" s="291">
        <f t="shared" si="69"/>
        <v>0</v>
      </c>
      <c r="C169" s="298">
        <v>12</v>
      </c>
      <c r="D169" s="454" t="str">
        <f t="shared" si="70"/>
        <v>** NOT USED **</v>
      </c>
      <c r="E169" s="870" t="str">
        <f t="shared" si="71"/>
        <v/>
      </c>
      <c r="F169" s="871"/>
      <c r="G169" s="872"/>
      <c r="H169" s="169" t="str">
        <f t="shared" si="72"/>
        <v/>
      </c>
      <c r="I169" s="169" t="str">
        <f t="shared" ref="I169:O177" si="84">IF($D116&lt;&gt;"",I116,IF($D144&lt;&gt;"",I144,""))</f>
        <v/>
      </c>
      <c r="J169" s="63" t="str">
        <f t="shared" si="84"/>
        <v/>
      </c>
      <c r="K169" s="63" t="str">
        <f t="shared" si="84"/>
        <v/>
      </c>
      <c r="L169" s="63" t="str">
        <f t="shared" si="84"/>
        <v/>
      </c>
      <c r="M169" s="63" t="str">
        <f t="shared" si="84"/>
        <v/>
      </c>
      <c r="N169" s="63" t="str">
        <f t="shared" si="84"/>
        <v/>
      </c>
      <c r="O169" s="63" t="str">
        <f t="shared" si="84"/>
        <v/>
      </c>
      <c r="P169" s="63">
        <f t="shared" si="76"/>
        <v>0</v>
      </c>
      <c r="Q169" s="63">
        <f t="shared" si="77"/>
        <v>0</v>
      </c>
      <c r="R169" s="63">
        <f t="shared" si="81"/>
        <v>0</v>
      </c>
      <c r="S169" s="51">
        <f t="shared" si="82"/>
        <v>0</v>
      </c>
      <c r="T169" s="51">
        <f t="shared" si="83"/>
        <v>0</v>
      </c>
      <c r="U169" s="615"/>
      <c r="V169" s="615"/>
      <c r="W169" s="615"/>
      <c r="X169" s="704"/>
      <c r="Y169" s="615"/>
      <c r="Z169" s="704"/>
      <c r="AA169" s="58">
        <v>12</v>
      </c>
      <c r="AB169" s="71" t="str">
        <f t="shared" si="74"/>
        <v>** NOT USED **</v>
      </c>
      <c r="AC169" s="615"/>
      <c r="AD169" s="615"/>
      <c r="AE169" s="615"/>
      <c r="AF169" s="615"/>
      <c r="AG169" s="615"/>
      <c r="AH169" s="615"/>
      <c r="AI169" s="615"/>
      <c r="AJ169" s="615"/>
      <c r="AK169" s="615"/>
      <c r="AL169" s="615"/>
      <c r="AM169" s="615"/>
      <c r="AN169" s="615"/>
      <c r="AO169" s="615"/>
      <c r="AP169" s="615"/>
      <c r="AQ169" s="615"/>
    </row>
    <row r="170" spans="1:43" hidden="1" outlineLevel="1" x14ac:dyDescent="0.2">
      <c r="A170" s="615"/>
      <c r="B170" s="291">
        <f t="shared" si="69"/>
        <v>0</v>
      </c>
      <c r="C170" s="298">
        <v>13</v>
      </c>
      <c r="D170" s="454" t="str">
        <f t="shared" si="70"/>
        <v>** NOT USED **</v>
      </c>
      <c r="E170" s="870" t="str">
        <f t="shared" si="71"/>
        <v/>
      </c>
      <c r="F170" s="871"/>
      <c r="G170" s="872"/>
      <c r="H170" s="169" t="str">
        <f t="shared" si="72"/>
        <v/>
      </c>
      <c r="I170" s="169" t="str">
        <f t="shared" si="84"/>
        <v/>
      </c>
      <c r="J170" s="63" t="str">
        <f t="shared" si="84"/>
        <v/>
      </c>
      <c r="K170" s="63" t="str">
        <f t="shared" si="84"/>
        <v/>
      </c>
      <c r="L170" s="63" t="str">
        <f t="shared" si="84"/>
        <v/>
      </c>
      <c r="M170" s="63" t="str">
        <f t="shared" si="84"/>
        <v/>
      </c>
      <c r="N170" s="63" t="str">
        <f t="shared" si="84"/>
        <v/>
      </c>
      <c r="O170" s="63" t="str">
        <f t="shared" si="84"/>
        <v/>
      </c>
      <c r="P170" s="63">
        <f t="shared" si="76"/>
        <v>0</v>
      </c>
      <c r="Q170" s="63">
        <f t="shared" si="77"/>
        <v>0</v>
      </c>
      <c r="R170" s="63">
        <f t="shared" si="81"/>
        <v>0</v>
      </c>
      <c r="S170" s="51">
        <f t="shared" si="82"/>
        <v>0</v>
      </c>
      <c r="T170" s="51">
        <f t="shared" si="83"/>
        <v>0</v>
      </c>
      <c r="U170" s="615"/>
      <c r="V170" s="615"/>
      <c r="W170" s="615"/>
      <c r="X170" s="704"/>
      <c r="Y170" s="615"/>
      <c r="Z170" s="704"/>
      <c r="AA170" s="58">
        <v>13</v>
      </c>
      <c r="AB170" s="71" t="str">
        <f t="shared" si="74"/>
        <v>** NOT USED **</v>
      </c>
    </row>
    <row r="171" spans="1:43" hidden="1" outlineLevel="1" x14ac:dyDescent="0.2">
      <c r="A171" s="615"/>
      <c r="B171" s="291">
        <f t="shared" si="69"/>
        <v>0</v>
      </c>
      <c r="C171" s="298">
        <v>14</v>
      </c>
      <c r="D171" s="454" t="str">
        <f t="shared" si="70"/>
        <v>** NOT USED **</v>
      </c>
      <c r="E171" s="870" t="str">
        <f t="shared" si="71"/>
        <v/>
      </c>
      <c r="F171" s="871"/>
      <c r="G171" s="872"/>
      <c r="H171" s="169" t="str">
        <f t="shared" si="72"/>
        <v/>
      </c>
      <c r="I171" s="169" t="str">
        <f t="shared" si="84"/>
        <v/>
      </c>
      <c r="J171" s="63" t="str">
        <f t="shared" si="84"/>
        <v/>
      </c>
      <c r="K171" s="63" t="str">
        <f t="shared" si="84"/>
        <v/>
      </c>
      <c r="L171" s="63" t="str">
        <f t="shared" si="84"/>
        <v/>
      </c>
      <c r="M171" s="63" t="str">
        <f t="shared" si="84"/>
        <v/>
      </c>
      <c r="N171" s="63" t="str">
        <f t="shared" si="84"/>
        <v/>
      </c>
      <c r="O171" s="63" t="str">
        <f t="shared" si="84"/>
        <v/>
      </c>
      <c r="P171" s="63">
        <f t="shared" si="76"/>
        <v>0</v>
      </c>
      <c r="Q171" s="63">
        <f t="shared" si="77"/>
        <v>0</v>
      </c>
      <c r="R171" s="63">
        <f t="shared" si="81"/>
        <v>0</v>
      </c>
      <c r="S171" s="51">
        <f t="shared" si="82"/>
        <v>0</v>
      </c>
      <c r="T171" s="51">
        <f t="shared" si="83"/>
        <v>0</v>
      </c>
      <c r="U171" s="615"/>
      <c r="V171" s="615"/>
      <c r="W171" s="615"/>
      <c r="X171" s="704"/>
      <c r="Y171" s="615"/>
      <c r="Z171" s="704"/>
      <c r="AA171" s="58">
        <v>14</v>
      </c>
      <c r="AB171" s="71" t="str">
        <f t="shared" si="74"/>
        <v>** NOT USED **</v>
      </c>
    </row>
    <row r="172" spans="1:43" hidden="1" outlineLevel="1" x14ac:dyDescent="0.2">
      <c r="A172" s="615"/>
      <c r="B172" s="291">
        <f t="shared" si="69"/>
        <v>0</v>
      </c>
      <c r="C172" s="298">
        <v>15</v>
      </c>
      <c r="D172" s="454" t="str">
        <f t="shared" si="70"/>
        <v>** NOT USED **</v>
      </c>
      <c r="E172" s="870" t="str">
        <f t="shared" si="71"/>
        <v/>
      </c>
      <c r="F172" s="871"/>
      <c r="G172" s="872"/>
      <c r="H172" s="169" t="str">
        <f t="shared" si="72"/>
        <v/>
      </c>
      <c r="I172" s="169" t="str">
        <f t="shared" si="84"/>
        <v/>
      </c>
      <c r="J172" s="63" t="str">
        <f t="shared" si="84"/>
        <v/>
      </c>
      <c r="K172" s="63" t="str">
        <f t="shared" si="84"/>
        <v/>
      </c>
      <c r="L172" s="63" t="str">
        <f t="shared" si="84"/>
        <v/>
      </c>
      <c r="M172" s="63" t="str">
        <f t="shared" si="84"/>
        <v/>
      </c>
      <c r="N172" s="63" t="str">
        <f t="shared" si="84"/>
        <v/>
      </c>
      <c r="O172" s="63" t="str">
        <f t="shared" si="84"/>
        <v/>
      </c>
      <c r="P172" s="63">
        <f t="shared" si="76"/>
        <v>0</v>
      </c>
      <c r="Q172" s="63">
        <f t="shared" si="77"/>
        <v>0</v>
      </c>
      <c r="R172" s="63">
        <f t="shared" si="81"/>
        <v>0</v>
      </c>
      <c r="S172" s="51">
        <f t="shared" si="82"/>
        <v>0</v>
      </c>
      <c r="T172" s="51">
        <f t="shared" si="83"/>
        <v>0</v>
      </c>
      <c r="U172" s="615"/>
      <c r="V172" s="615"/>
      <c r="W172" s="615"/>
      <c r="X172" s="704"/>
      <c r="Y172" s="615"/>
      <c r="Z172" s="704"/>
      <c r="AA172" s="58">
        <v>15</v>
      </c>
      <c r="AB172" s="71" t="str">
        <f t="shared" si="74"/>
        <v>** NOT USED **</v>
      </c>
    </row>
    <row r="173" spans="1:43" hidden="1" outlineLevel="1" x14ac:dyDescent="0.2">
      <c r="A173" s="615"/>
      <c r="B173" s="291">
        <f t="shared" si="69"/>
        <v>0</v>
      </c>
      <c r="C173" s="298">
        <v>16</v>
      </c>
      <c r="D173" s="454" t="str">
        <f t="shared" si="70"/>
        <v>** NOT USED **</v>
      </c>
      <c r="E173" s="870" t="str">
        <f t="shared" si="71"/>
        <v/>
      </c>
      <c r="F173" s="871"/>
      <c r="G173" s="872"/>
      <c r="H173" s="169" t="str">
        <f t="shared" si="72"/>
        <v/>
      </c>
      <c r="I173" s="169" t="str">
        <f t="shared" si="84"/>
        <v/>
      </c>
      <c r="J173" s="63" t="str">
        <f t="shared" si="84"/>
        <v/>
      </c>
      <c r="K173" s="63" t="str">
        <f t="shared" si="84"/>
        <v/>
      </c>
      <c r="L173" s="63" t="str">
        <f t="shared" si="84"/>
        <v/>
      </c>
      <c r="M173" s="63" t="str">
        <f t="shared" si="84"/>
        <v/>
      </c>
      <c r="N173" s="63" t="str">
        <f t="shared" si="84"/>
        <v/>
      </c>
      <c r="O173" s="63" t="str">
        <f t="shared" si="84"/>
        <v/>
      </c>
      <c r="P173" s="63">
        <f t="shared" si="76"/>
        <v>0</v>
      </c>
      <c r="Q173" s="63">
        <f t="shared" si="77"/>
        <v>0</v>
      </c>
      <c r="R173" s="63">
        <f t="shared" si="81"/>
        <v>0</v>
      </c>
      <c r="S173" s="51">
        <f t="shared" si="82"/>
        <v>0</v>
      </c>
      <c r="T173" s="51">
        <f t="shared" si="83"/>
        <v>0</v>
      </c>
      <c r="U173" s="615"/>
      <c r="V173" s="615"/>
      <c r="W173" s="615"/>
      <c r="X173" s="704"/>
      <c r="Y173" s="615"/>
      <c r="Z173" s="704"/>
      <c r="AA173" s="58">
        <v>16</v>
      </c>
      <c r="AB173" s="71" t="str">
        <f t="shared" si="74"/>
        <v>** NOT USED **</v>
      </c>
    </row>
    <row r="174" spans="1:43" hidden="1" outlineLevel="1" x14ac:dyDescent="0.2">
      <c r="A174" s="615"/>
      <c r="B174" s="291">
        <f t="shared" si="69"/>
        <v>0</v>
      </c>
      <c r="C174" s="298">
        <v>17</v>
      </c>
      <c r="D174" s="454" t="str">
        <f t="shared" si="70"/>
        <v>** NOT USED **</v>
      </c>
      <c r="E174" s="870" t="str">
        <f t="shared" si="71"/>
        <v/>
      </c>
      <c r="F174" s="871"/>
      <c r="G174" s="872"/>
      <c r="H174" s="169" t="str">
        <f t="shared" si="72"/>
        <v/>
      </c>
      <c r="I174" s="169" t="str">
        <f t="shared" si="84"/>
        <v/>
      </c>
      <c r="J174" s="63" t="str">
        <f t="shared" si="84"/>
        <v/>
      </c>
      <c r="K174" s="63" t="str">
        <f t="shared" si="84"/>
        <v/>
      </c>
      <c r="L174" s="63" t="str">
        <f t="shared" si="84"/>
        <v/>
      </c>
      <c r="M174" s="63" t="str">
        <f t="shared" si="84"/>
        <v/>
      </c>
      <c r="N174" s="63" t="str">
        <f t="shared" si="84"/>
        <v/>
      </c>
      <c r="O174" s="63" t="str">
        <f t="shared" si="84"/>
        <v/>
      </c>
      <c r="P174" s="63">
        <f t="shared" si="76"/>
        <v>0</v>
      </c>
      <c r="Q174" s="63">
        <f t="shared" si="77"/>
        <v>0</v>
      </c>
      <c r="R174" s="63">
        <f t="shared" si="81"/>
        <v>0</v>
      </c>
      <c r="S174" s="51">
        <f t="shared" si="82"/>
        <v>0</v>
      </c>
      <c r="T174" s="51">
        <f t="shared" si="83"/>
        <v>0</v>
      </c>
      <c r="U174" s="615"/>
      <c r="V174" s="615"/>
      <c r="W174" s="615"/>
      <c r="X174" s="704"/>
      <c r="Y174" s="615"/>
      <c r="Z174" s="704"/>
      <c r="AA174" s="58">
        <v>17</v>
      </c>
      <c r="AB174" s="71" t="str">
        <f t="shared" si="74"/>
        <v>** NOT USED **</v>
      </c>
    </row>
    <row r="175" spans="1:43" hidden="1" outlineLevel="1" x14ac:dyDescent="0.2">
      <c r="A175" s="615"/>
      <c r="B175" s="291">
        <f t="shared" si="69"/>
        <v>0</v>
      </c>
      <c r="C175" s="298">
        <v>18</v>
      </c>
      <c r="D175" s="454" t="str">
        <f t="shared" si="70"/>
        <v>** NOT USED **</v>
      </c>
      <c r="E175" s="870" t="str">
        <f t="shared" si="71"/>
        <v/>
      </c>
      <c r="F175" s="871"/>
      <c r="G175" s="872"/>
      <c r="H175" s="169" t="str">
        <f t="shared" si="72"/>
        <v/>
      </c>
      <c r="I175" s="169" t="str">
        <f t="shared" si="84"/>
        <v/>
      </c>
      <c r="J175" s="63" t="str">
        <f t="shared" si="84"/>
        <v/>
      </c>
      <c r="K175" s="63" t="str">
        <f t="shared" si="84"/>
        <v/>
      </c>
      <c r="L175" s="63" t="str">
        <f t="shared" si="84"/>
        <v/>
      </c>
      <c r="M175" s="63" t="str">
        <f t="shared" si="84"/>
        <v/>
      </c>
      <c r="N175" s="63" t="str">
        <f t="shared" si="84"/>
        <v/>
      </c>
      <c r="O175" s="63" t="str">
        <f t="shared" si="84"/>
        <v/>
      </c>
      <c r="P175" s="63">
        <f t="shared" si="76"/>
        <v>0</v>
      </c>
      <c r="Q175" s="63">
        <f t="shared" si="77"/>
        <v>0</v>
      </c>
      <c r="R175" s="63">
        <f t="shared" si="81"/>
        <v>0</v>
      </c>
      <c r="S175" s="51">
        <f t="shared" si="82"/>
        <v>0</v>
      </c>
      <c r="T175" s="51">
        <f t="shared" si="83"/>
        <v>0</v>
      </c>
      <c r="U175" s="615"/>
      <c r="V175" s="615"/>
      <c r="W175" s="615"/>
      <c r="X175" s="704"/>
      <c r="Y175" s="615"/>
      <c r="Z175" s="704"/>
      <c r="AA175" s="58">
        <v>18</v>
      </c>
      <c r="AB175" s="71" t="str">
        <f t="shared" si="74"/>
        <v>** NOT USED **</v>
      </c>
    </row>
    <row r="176" spans="1:43" hidden="1" outlineLevel="1" x14ac:dyDescent="0.2">
      <c r="A176" s="615"/>
      <c r="B176" s="291">
        <f t="shared" si="69"/>
        <v>0</v>
      </c>
      <c r="C176" s="298">
        <v>19</v>
      </c>
      <c r="D176" s="454" t="str">
        <f t="shared" si="70"/>
        <v>** NOT USED **</v>
      </c>
      <c r="E176" s="870" t="str">
        <f t="shared" si="71"/>
        <v/>
      </c>
      <c r="F176" s="871"/>
      <c r="G176" s="872"/>
      <c r="H176" s="169" t="str">
        <f t="shared" si="72"/>
        <v/>
      </c>
      <c r="I176" s="169" t="str">
        <f t="shared" si="84"/>
        <v/>
      </c>
      <c r="J176" s="63" t="str">
        <f t="shared" si="84"/>
        <v/>
      </c>
      <c r="K176" s="63" t="str">
        <f t="shared" si="84"/>
        <v/>
      </c>
      <c r="L176" s="63" t="str">
        <f t="shared" si="84"/>
        <v/>
      </c>
      <c r="M176" s="63" t="str">
        <f t="shared" si="84"/>
        <v/>
      </c>
      <c r="N176" s="63" t="str">
        <f t="shared" si="84"/>
        <v/>
      </c>
      <c r="O176" s="63" t="str">
        <f t="shared" si="84"/>
        <v/>
      </c>
      <c r="P176" s="63">
        <f t="shared" si="76"/>
        <v>0</v>
      </c>
      <c r="Q176" s="63">
        <f t="shared" si="77"/>
        <v>0</v>
      </c>
      <c r="R176" s="63">
        <f t="shared" si="81"/>
        <v>0</v>
      </c>
      <c r="S176" s="51">
        <f t="shared" si="82"/>
        <v>0</v>
      </c>
      <c r="T176" s="51">
        <f t="shared" si="83"/>
        <v>0</v>
      </c>
      <c r="U176" s="615"/>
      <c r="V176" s="615"/>
      <c r="W176" s="615"/>
      <c r="X176" s="704"/>
      <c r="Y176" s="615"/>
      <c r="Z176" s="704"/>
      <c r="AA176" s="58">
        <v>19</v>
      </c>
      <c r="AB176" s="71" t="str">
        <f t="shared" si="74"/>
        <v>** NOT USED **</v>
      </c>
    </row>
    <row r="177" spans="1:43" hidden="1" outlineLevel="1" x14ac:dyDescent="0.2">
      <c r="A177" s="615"/>
      <c r="B177" s="291">
        <f t="shared" si="69"/>
        <v>0</v>
      </c>
      <c r="C177" s="298">
        <v>20</v>
      </c>
      <c r="D177" s="454" t="str">
        <f t="shared" si="70"/>
        <v>** NOT USED **</v>
      </c>
      <c r="E177" s="870" t="str">
        <f t="shared" si="71"/>
        <v/>
      </c>
      <c r="F177" s="871"/>
      <c r="G177" s="872"/>
      <c r="H177" s="169" t="str">
        <f t="shared" si="72"/>
        <v/>
      </c>
      <c r="I177" s="169" t="str">
        <f t="shared" si="84"/>
        <v/>
      </c>
      <c r="J177" s="63" t="str">
        <f t="shared" si="84"/>
        <v/>
      </c>
      <c r="K177" s="63" t="str">
        <f t="shared" si="84"/>
        <v/>
      </c>
      <c r="L177" s="63" t="str">
        <f t="shared" si="84"/>
        <v/>
      </c>
      <c r="M177" s="63" t="str">
        <f t="shared" si="84"/>
        <v/>
      </c>
      <c r="N177" s="63" t="str">
        <f t="shared" si="84"/>
        <v/>
      </c>
      <c r="O177" s="63" t="str">
        <f t="shared" si="84"/>
        <v/>
      </c>
      <c r="P177" s="63">
        <f t="shared" si="76"/>
        <v>0</v>
      </c>
      <c r="Q177" s="63">
        <f t="shared" si="77"/>
        <v>0</v>
      </c>
      <c r="R177" s="63">
        <f t="shared" si="81"/>
        <v>0</v>
      </c>
      <c r="S177" s="51">
        <f t="shared" si="82"/>
        <v>0</v>
      </c>
      <c r="T177" s="51">
        <f t="shared" si="83"/>
        <v>0</v>
      </c>
      <c r="U177" s="615"/>
      <c r="V177" s="615"/>
      <c r="W177" s="615"/>
      <c r="X177" s="704"/>
      <c r="Y177" s="615"/>
      <c r="Z177" s="704"/>
      <c r="AA177" s="58">
        <v>20</v>
      </c>
      <c r="AB177" s="71" t="str">
        <f t="shared" si="74"/>
        <v>** NOT USED **</v>
      </c>
    </row>
    <row r="178" spans="1:43" hidden="1" outlineLevel="1" x14ac:dyDescent="0.2">
      <c r="A178" s="125"/>
      <c r="B178" s="291">
        <f>SUM(B158:B177)</f>
        <v>0</v>
      </c>
      <c r="C178" s="615"/>
      <c r="D178" s="125"/>
      <c r="E178" s="125"/>
      <c r="F178" s="125"/>
      <c r="G178" s="125"/>
      <c r="H178" s="615"/>
      <c r="I178" s="49" t="s">
        <v>73</v>
      </c>
      <c r="J178" s="63">
        <f>SUM(J158:J177)</f>
        <v>0</v>
      </c>
      <c r="K178" s="63">
        <f t="shared" ref="K178:R178" si="85">SUM(K158:K177)</f>
        <v>0</v>
      </c>
      <c r="L178" s="63">
        <f t="shared" si="85"/>
        <v>0</v>
      </c>
      <c r="M178" s="63">
        <f t="shared" si="85"/>
        <v>0</v>
      </c>
      <c r="N178" s="63">
        <f t="shared" si="85"/>
        <v>0</v>
      </c>
      <c r="O178" s="63">
        <f t="shared" si="85"/>
        <v>0</v>
      </c>
      <c r="P178" s="63">
        <f t="shared" si="85"/>
        <v>0</v>
      </c>
      <c r="Q178" s="63">
        <f t="shared" si="85"/>
        <v>0</v>
      </c>
      <c r="R178" s="63">
        <f t="shared" si="85"/>
        <v>0</v>
      </c>
      <c r="S178" s="125"/>
      <c r="T178" s="125"/>
      <c r="U178" s="125"/>
      <c r="V178" s="125"/>
      <c r="W178" s="125"/>
      <c r="X178" s="641"/>
      <c r="Y178" s="615"/>
      <c r="Z178" s="641"/>
      <c r="AA178" s="641"/>
      <c r="AB178" s="615"/>
      <c r="AC178" s="615"/>
      <c r="AD178" s="615"/>
      <c r="AE178" s="615"/>
      <c r="AF178" s="615"/>
      <c r="AG178" s="615"/>
      <c r="AH178" s="615"/>
      <c r="AI178" s="615"/>
      <c r="AJ178" s="615"/>
      <c r="AK178" s="615"/>
      <c r="AL178" s="615"/>
      <c r="AM178" s="615"/>
      <c r="AN178" s="615"/>
      <c r="AO178" s="615"/>
      <c r="AP178" s="615"/>
      <c r="AQ178" s="615"/>
    </row>
    <row r="179" spans="1:43" hidden="1" outlineLevel="1" x14ac:dyDescent="0.2">
      <c r="A179" s="125"/>
      <c r="B179" s="121"/>
      <c r="C179" s="125"/>
      <c r="D179" s="125"/>
      <c r="E179" s="125"/>
      <c r="F179" s="615"/>
      <c r="G179" s="125"/>
      <c r="H179" s="125"/>
      <c r="I179" s="121"/>
      <c r="J179" s="121"/>
      <c r="K179" s="121"/>
      <c r="L179" s="121"/>
      <c r="M179" s="121"/>
      <c r="N179" s="121"/>
      <c r="O179" s="121"/>
      <c r="P179" s="121"/>
      <c r="Q179" s="121"/>
      <c r="R179" s="121"/>
      <c r="S179" s="615"/>
      <c r="T179" s="615"/>
      <c r="U179" s="615"/>
      <c r="V179" s="615"/>
      <c r="W179" s="615"/>
      <c r="X179" s="641"/>
      <c r="Y179" s="641"/>
      <c r="Z179" s="641"/>
      <c r="AA179" s="641"/>
      <c r="AB179" s="615"/>
      <c r="AC179" s="615"/>
      <c r="AD179" s="615"/>
      <c r="AE179" s="615"/>
      <c r="AF179" s="615"/>
      <c r="AG179" s="615"/>
      <c r="AH179" s="615"/>
      <c r="AI179" s="615"/>
      <c r="AJ179" s="615"/>
      <c r="AK179" s="615"/>
      <c r="AL179" s="615"/>
      <c r="AM179" s="615"/>
      <c r="AN179" s="615"/>
      <c r="AO179" s="615"/>
      <c r="AP179" s="615"/>
      <c r="AQ179" s="615"/>
    </row>
    <row r="180" spans="1:43" collapsed="1" x14ac:dyDescent="0.2">
      <c r="A180" s="125"/>
      <c r="B180" s="121"/>
      <c r="C180" s="125"/>
      <c r="D180" s="125"/>
      <c r="E180" s="125"/>
      <c r="F180" s="125"/>
      <c r="G180" s="125"/>
      <c r="H180" s="125"/>
      <c r="I180" s="121"/>
      <c r="J180" s="121"/>
      <c r="K180" s="121"/>
      <c r="L180" s="121"/>
      <c r="M180" s="121"/>
      <c r="N180" s="121"/>
      <c r="O180" s="121"/>
      <c r="P180" s="121"/>
      <c r="Q180" s="121"/>
      <c r="R180" s="121"/>
      <c r="U180" s="615"/>
      <c r="V180" s="615"/>
      <c r="W180" s="615"/>
      <c r="X180" s="641"/>
      <c r="Y180" s="641"/>
      <c r="Z180" s="641"/>
      <c r="AA180" s="641"/>
      <c r="AB180" s="615"/>
      <c r="AC180" s="615"/>
      <c r="AD180" s="615"/>
      <c r="AE180" s="615"/>
      <c r="AF180" s="615"/>
      <c r="AG180" s="615"/>
      <c r="AH180" s="615"/>
      <c r="AI180" s="615"/>
      <c r="AJ180" s="615"/>
      <c r="AK180" s="615"/>
      <c r="AL180" s="615"/>
      <c r="AM180" s="615"/>
      <c r="AN180" s="615"/>
      <c r="AO180" s="615"/>
      <c r="AP180" s="615"/>
      <c r="AQ180" s="615"/>
    </row>
    <row r="181" spans="1:43" ht="15.75" x14ac:dyDescent="0.2">
      <c r="A181" s="125"/>
      <c r="B181" s="361"/>
      <c r="C181" s="361"/>
      <c r="D181" s="123" t="s">
        <v>930</v>
      </c>
      <c r="E181" s="132"/>
      <c r="F181" s="132"/>
      <c r="G181" s="132"/>
      <c r="H181" s="132"/>
      <c r="I181" s="839" t="str">
        <f>IF(C153=0,MsgNotUsed,"")</f>
        <v>** NOT USED **</v>
      </c>
      <c r="J181" s="840"/>
      <c r="K181" s="132"/>
      <c r="L181" s="132"/>
      <c r="M181" s="132"/>
      <c r="N181" s="132"/>
      <c r="O181" s="132"/>
      <c r="P181" s="132"/>
      <c r="Q181" s="132"/>
      <c r="R181" s="132"/>
      <c r="S181" s="132"/>
      <c r="T181" s="132"/>
      <c r="U181" s="132"/>
      <c r="V181" s="132"/>
      <c r="W181" s="132"/>
      <c r="X181" s="132"/>
      <c r="Y181" s="132"/>
      <c r="Z181" s="132"/>
      <c r="AA181" s="132"/>
      <c r="AB181" s="132"/>
      <c r="AC181" s="132"/>
      <c r="AD181" s="132"/>
      <c r="AE181" s="132"/>
      <c r="AF181" s="132"/>
      <c r="AG181" s="132"/>
      <c r="AH181" s="132"/>
      <c r="AI181" s="132"/>
      <c r="AJ181" s="132"/>
      <c r="AK181" s="132"/>
      <c r="AL181" s="132"/>
      <c r="AM181" s="132"/>
      <c r="AN181" s="132"/>
      <c r="AO181" s="132"/>
      <c r="AP181" s="132"/>
      <c r="AQ181" s="132"/>
    </row>
    <row r="182" spans="1:43" x14ac:dyDescent="0.2">
      <c r="A182" s="125"/>
      <c r="B182" s="361"/>
      <c r="C182" s="125"/>
      <c r="D182" s="125"/>
      <c r="E182" s="125"/>
      <c r="F182" s="125"/>
      <c r="G182" s="125"/>
      <c r="H182" s="125"/>
      <c r="I182" s="125"/>
      <c r="J182" s="125"/>
      <c r="K182" s="125"/>
      <c r="L182" s="125"/>
      <c r="M182" s="125"/>
      <c r="N182" s="125"/>
      <c r="O182" s="125"/>
      <c r="P182" s="125"/>
      <c r="Q182" s="125"/>
      <c r="R182" s="125"/>
      <c r="S182" s="615"/>
      <c r="T182" s="615"/>
      <c r="U182" s="615"/>
      <c r="V182" s="615"/>
      <c r="W182" s="615"/>
      <c r="X182" s="615"/>
      <c r="Y182" s="615"/>
      <c r="Z182" s="615"/>
      <c r="AA182" s="615"/>
      <c r="AB182" s="615"/>
      <c r="AC182" s="615"/>
      <c r="AD182" s="615"/>
      <c r="AE182" s="615"/>
      <c r="AF182" s="615"/>
      <c r="AG182" s="615"/>
      <c r="AH182" s="615"/>
      <c r="AI182" s="615"/>
      <c r="AJ182" s="615"/>
      <c r="AK182" s="615"/>
      <c r="AL182" s="615"/>
      <c r="AM182" s="615"/>
      <c r="AN182" s="416"/>
      <c r="AO182" s="416"/>
      <c r="AP182" s="416"/>
      <c r="AQ182" s="416"/>
    </row>
    <row r="183" spans="1:43" x14ac:dyDescent="0.2">
      <c r="A183" s="125"/>
      <c r="B183" s="361"/>
      <c r="C183" s="125"/>
      <c r="D183" s="162" t="s">
        <v>425</v>
      </c>
      <c r="E183" s="125"/>
      <c r="F183" s="125"/>
      <c r="G183" s="125"/>
      <c r="H183" s="125"/>
      <c r="I183" s="125"/>
      <c r="J183" s="125"/>
      <c r="K183" s="125"/>
      <c r="L183" s="125"/>
      <c r="M183" s="125"/>
      <c r="N183" s="125"/>
      <c r="O183" s="125"/>
      <c r="P183" s="125"/>
      <c r="Q183" s="125"/>
      <c r="R183" s="125"/>
      <c r="S183" s="615"/>
      <c r="T183" s="615"/>
      <c r="U183" s="615"/>
      <c r="V183" s="615"/>
      <c r="W183" s="615"/>
      <c r="X183" s="615"/>
      <c r="Y183" s="615"/>
      <c r="Z183" s="615"/>
      <c r="AA183" s="615"/>
      <c r="AB183" s="615"/>
      <c r="AC183" s="615"/>
      <c r="AD183" s="615"/>
      <c r="AE183" s="615"/>
      <c r="AF183" s="615"/>
      <c r="AG183" s="615"/>
      <c r="AH183" s="615"/>
      <c r="AI183" s="615"/>
      <c r="AJ183" s="615"/>
      <c r="AK183" s="615"/>
      <c r="AL183" s="615"/>
      <c r="AM183" s="615"/>
      <c r="AN183" s="416"/>
      <c r="AO183" s="416"/>
      <c r="AP183" s="416"/>
      <c r="AQ183" s="416"/>
    </row>
    <row r="184" spans="1:43" x14ac:dyDescent="0.2">
      <c r="A184" s="125"/>
      <c r="B184" s="361"/>
      <c r="C184" s="125"/>
      <c r="D184" s="125"/>
      <c r="E184" s="125"/>
      <c r="F184" s="125"/>
      <c r="G184" s="125"/>
      <c r="H184" s="125"/>
      <c r="I184" s="125"/>
      <c r="J184" s="125"/>
      <c r="K184" s="125"/>
      <c r="L184" s="125"/>
      <c r="M184" s="125"/>
      <c r="N184" s="125"/>
      <c r="O184" s="125"/>
      <c r="P184" s="125"/>
      <c r="Q184" s="125"/>
      <c r="R184" s="125"/>
      <c r="S184" s="615"/>
      <c r="T184" s="615"/>
      <c r="U184" s="615"/>
      <c r="V184" s="615"/>
      <c r="W184" s="615"/>
      <c r="X184" s="615"/>
      <c r="Y184" s="615"/>
      <c r="Z184" s="615"/>
      <c r="AA184" s="615"/>
      <c r="AB184" s="615"/>
      <c r="AC184" s="615"/>
      <c r="AD184" s="615"/>
      <c r="AE184" s="615"/>
      <c r="AF184" s="615"/>
      <c r="AG184" s="615"/>
      <c r="AH184" s="615"/>
      <c r="AI184" s="615"/>
      <c r="AJ184" s="615"/>
      <c r="AK184" s="615"/>
      <c r="AL184" s="615"/>
      <c r="AM184" s="615"/>
      <c r="AN184" s="416"/>
      <c r="AO184" s="416"/>
      <c r="AP184" s="416"/>
      <c r="AQ184" s="416"/>
    </row>
    <row r="185" spans="1:43" ht="15" x14ac:dyDescent="0.2">
      <c r="A185" s="125"/>
      <c r="B185" s="125"/>
      <c r="C185" s="291">
        <v>1</v>
      </c>
      <c r="D185" s="147" t="str">
        <f>INDEX(NamesMSAdditional,C185,1)</f>
        <v>** NOT USED **</v>
      </c>
      <c r="E185" s="139"/>
      <c r="F185" s="139"/>
      <c r="G185" s="139"/>
      <c r="H185" s="139"/>
      <c r="I185" s="821" t="str">
        <f>IF(D185&lt;&gt;MsgNotUsed,"Co-payment group " &amp; INDEX(CoPayBandMSAdditional,C185),"")</f>
        <v/>
      </c>
      <c r="J185" s="821"/>
      <c r="K185" s="139"/>
      <c r="L185" s="139"/>
      <c r="M185" s="139"/>
      <c r="N185" s="139"/>
      <c r="O185" s="139"/>
      <c r="P185" s="139"/>
      <c r="Q185" s="139"/>
      <c r="R185" s="139"/>
      <c r="S185" s="139"/>
      <c r="T185" s="139"/>
      <c r="U185" s="139"/>
      <c r="V185" s="139"/>
      <c r="W185" s="139"/>
      <c r="X185" s="139"/>
      <c r="Y185" s="139"/>
      <c r="Z185" s="139"/>
      <c r="AA185" s="139"/>
      <c r="AB185" s="139"/>
      <c r="AC185" s="139"/>
      <c r="AD185" s="139"/>
      <c r="AE185" s="139"/>
      <c r="AF185" s="139"/>
      <c r="AG185" s="139"/>
      <c r="AH185" s="139"/>
      <c r="AI185" s="139"/>
      <c r="AJ185" s="139"/>
      <c r="AK185" s="139"/>
      <c r="AL185" s="139"/>
      <c r="AM185" s="139"/>
      <c r="AN185" s="139"/>
      <c r="AO185" s="139"/>
      <c r="AP185" s="139"/>
      <c r="AQ185" s="139"/>
    </row>
    <row r="186" spans="1:43" ht="15.75" hidden="1" outlineLevel="1" x14ac:dyDescent="0.2">
      <c r="A186" s="131"/>
      <c r="B186" s="131"/>
      <c r="C186" s="705"/>
      <c r="D186" s="655"/>
      <c r="E186" s="131"/>
      <c r="F186" s="131"/>
      <c r="G186" s="131"/>
      <c r="H186" s="131"/>
      <c r="I186" s="131"/>
      <c r="J186" s="131"/>
      <c r="K186" s="131"/>
      <c r="L186" s="131"/>
      <c r="M186" s="131"/>
      <c r="N186" s="131"/>
      <c r="O186" s="131"/>
      <c r="P186" s="131"/>
      <c r="Q186" s="131"/>
      <c r="R186" s="131"/>
      <c r="S186" s="26"/>
      <c r="T186" s="26"/>
      <c r="U186" s="26"/>
      <c r="V186" s="26"/>
      <c r="W186" s="26"/>
      <c r="X186" s="26"/>
      <c r="Y186" s="26"/>
      <c r="Z186" s="26"/>
      <c r="AA186" s="26"/>
      <c r="AB186" s="26"/>
      <c r="AC186" s="26"/>
      <c r="AD186" s="26"/>
      <c r="AE186" s="26"/>
      <c r="AF186" s="26"/>
      <c r="AG186" s="26"/>
      <c r="AH186" s="26"/>
      <c r="AI186" s="26"/>
      <c r="AJ186" s="26"/>
      <c r="AK186" s="26"/>
      <c r="AL186" s="26"/>
      <c r="AM186" s="26"/>
      <c r="AN186" s="26"/>
      <c r="AO186" s="26"/>
      <c r="AP186" s="26"/>
      <c r="AQ186" s="26"/>
    </row>
    <row r="187" spans="1:43" ht="14.25" hidden="1" customHeight="1" outlineLevel="1" x14ac:dyDescent="0.2">
      <c r="A187" s="162"/>
      <c r="B187" s="162"/>
      <c r="C187" s="706"/>
      <c r="D187" s="708"/>
      <c r="E187" s="64">
        <f>F187-1</f>
        <v>2020</v>
      </c>
      <c r="F187" s="64">
        <f>FirstYear</f>
        <v>2021</v>
      </c>
      <c r="G187" s="64">
        <f>F187+1</f>
        <v>2022</v>
      </c>
      <c r="H187" s="64">
        <f>G187+1</f>
        <v>2023</v>
      </c>
      <c r="I187" s="64">
        <f>H187+1</f>
        <v>2024</v>
      </c>
      <c r="J187" s="64">
        <f>I187+1</f>
        <v>2025</v>
      </c>
      <c r="K187" s="64">
        <f>J187+1</f>
        <v>2026</v>
      </c>
      <c r="L187" s="162"/>
      <c r="M187" s="616"/>
      <c r="N187" s="162"/>
      <c r="O187" s="162"/>
      <c r="P187" s="616"/>
      <c r="Q187" s="162"/>
      <c r="R187" s="162"/>
      <c r="S187" s="641"/>
      <c r="T187" s="641"/>
      <c r="U187" s="641"/>
      <c r="V187" s="641"/>
      <c r="W187" s="641"/>
      <c r="X187" s="641"/>
      <c r="Y187" s="641"/>
      <c r="Z187" s="641"/>
      <c r="AA187" s="641"/>
      <c r="AB187" s="641"/>
      <c r="AC187" s="641"/>
      <c r="AD187" s="641"/>
      <c r="AE187" s="641"/>
      <c r="AF187" s="641"/>
      <c r="AG187" s="641"/>
      <c r="AH187" s="641"/>
      <c r="AI187" s="641"/>
      <c r="AJ187" s="641"/>
      <c r="AK187" s="641"/>
      <c r="AL187" s="641"/>
      <c r="AM187" s="641"/>
      <c r="AN187" s="641"/>
      <c r="AO187" s="641"/>
      <c r="AP187" s="641"/>
      <c r="AQ187" s="641"/>
    </row>
    <row r="188" spans="1:43" hidden="1" outlineLevel="1" x14ac:dyDescent="0.2">
      <c r="A188" s="162"/>
      <c r="B188" s="162"/>
      <c r="C188" s="706"/>
      <c r="D188" s="4" t="s">
        <v>114</v>
      </c>
      <c r="E188" s="38">
        <f>INDEX(ScriptsMSAdditional,$C185) * INDEX(NamesMSAdditional,$C185,3)</f>
        <v>0</v>
      </c>
      <c r="F188" s="38">
        <f t="shared" ref="F188:K188" si="86">IF(E188="","",E188*(1+E189))</f>
        <v>0</v>
      </c>
      <c r="G188" s="38">
        <f t="shared" si="86"/>
        <v>0</v>
      </c>
      <c r="H188" s="38">
        <f t="shared" si="86"/>
        <v>0</v>
      </c>
      <c r="I188" s="38">
        <f t="shared" si="86"/>
        <v>0</v>
      </c>
      <c r="J188" s="38">
        <f>IF(I188="","",I188*(1+I189))</f>
        <v>0</v>
      </c>
      <c r="K188" s="38">
        <f t="shared" si="86"/>
        <v>0</v>
      </c>
      <c r="L188" s="162"/>
      <c r="M188" s="36" t="s">
        <v>258</v>
      </c>
      <c r="N188" s="162"/>
      <c r="O188" s="616"/>
      <c r="P188" s="162"/>
      <c r="Q188" s="162"/>
      <c r="R188" s="616"/>
      <c r="S188" s="162"/>
      <c r="T188" s="162"/>
      <c r="U188" s="641"/>
      <c r="V188" s="641"/>
      <c r="W188" s="641"/>
      <c r="X188" s="641"/>
      <c r="Y188" s="641"/>
      <c r="Z188" s="641"/>
      <c r="AA188" s="641"/>
      <c r="AB188" s="641"/>
      <c r="AC188" s="641"/>
      <c r="AD188" s="641"/>
      <c r="AE188" s="641"/>
      <c r="AF188" s="641"/>
      <c r="AG188" s="641"/>
      <c r="AH188" s="641"/>
      <c r="AI188" s="641"/>
      <c r="AJ188" s="641"/>
      <c r="AK188" s="641"/>
      <c r="AL188" s="641"/>
      <c r="AM188" s="641"/>
      <c r="AN188" s="641"/>
      <c r="AO188" s="641"/>
      <c r="AP188" s="641"/>
      <c r="AQ188" s="641"/>
    </row>
    <row r="189" spans="1:43" hidden="1" outlineLevel="1" x14ac:dyDescent="0.2">
      <c r="A189" s="162"/>
      <c r="B189" s="162"/>
      <c r="C189" s="706"/>
      <c r="D189" s="11" t="s">
        <v>26</v>
      </c>
      <c r="E189" s="34"/>
      <c r="F189" s="34"/>
      <c r="G189" s="34"/>
      <c r="H189" s="34"/>
      <c r="I189" s="34"/>
      <c r="J189" s="34"/>
      <c r="K189" s="33"/>
      <c r="L189" s="162"/>
      <c r="M189" s="867"/>
      <c r="N189" s="867"/>
      <c r="O189" s="867"/>
      <c r="P189" s="867"/>
      <c r="Q189" s="867"/>
      <c r="R189" s="867"/>
      <c r="S189" s="867"/>
      <c r="T189" s="867"/>
      <c r="U189" s="641"/>
      <c r="V189" s="641"/>
      <c r="W189" s="641"/>
      <c r="X189" s="641"/>
      <c r="Y189" s="641"/>
      <c r="Z189" s="641"/>
      <c r="AA189" s="641"/>
      <c r="AB189" s="641"/>
      <c r="AC189" s="641"/>
      <c r="AD189" s="641"/>
      <c r="AE189" s="641"/>
      <c r="AF189" s="641"/>
      <c r="AG189" s="641"/>
      <c r="AH189" s="641"/>
      <c r="AI189" s="641"/>
      <c r="AJ189" s="641"/>
      <c r="AK189" s="641"/>
      <c r="AL189" s="641"/>
      <c r="AM189" s="641"/>
      <c r="AN189" s="641"/>
      <c r="AO189" s="641"/>
      <c r="AP189" s="641"/>
      <c r="AQ189" s="641"/>
    </row>
    <row r="190" spans="1:43" hidden="1" outlineLevel="1" x14ac:dyDescent="0.2">
      <c r="A190" s="162"/>
      <c r="B190" s="162"/>
      <c r="C190" s="706"/>
      <c r="D190" s="11" t="s">
        <v>33</v>
      </c>
      <c r="E190" s="34"/>
      <c r="F190" s="34"/>
      <c r="G190" s="34"/>
      <c r="H190" s="34"/>
      <c r="I190" s="34"/>
      <c r="J190" s="34"/>
      <c r="K190" s="34"/>
      <c r="L190" s="162"/>
      <c r="M190" s="867"/>
      <c r="N190" s="867"/>
      <c r="O190" s="867"/>
      <c r="P190" s="867"/>
      <c r="Q190" s="867"/>
      <c r="R190" s="867"/>
      <c r="S190" s="867"/>
      <c r="T190" s="867"/>
      <c r="U190" s="641"/>
      <c r="V190" s="641"/>
      <c r="W190" s="641"/>
      <c r="X190" s="641"/>
      <c r="Y190" s="641"/>
      <c r="Z190" s="641"/>
      <c r="AA190" s="641"/>
      <c r="AB190" s="641"/>
      <c r="AC190" s="641"/>
      <c r="AD190" s="641"/>
      <c r="AE190" s="641"/>
      <c r="AF190" s="641"/>
      <c r="AG190" s="641"/>
      <c r="AH190" s="641"/>
      <c r="AI190" s="641"/>
      <c r="AJ190" s="641"/>
      <c r="AK190" s="641"/>
      <c r="AL190" s="641"/>
      <c r="AM190" s="641"/>
      <c r="AN190" s="641"/>
      <c r="AO190" s="641"/>
      <c r="AP190" s="641"/>
      <c r="AQ190" s="641"/>
    </row>
    <row r="191" spans="1:43" hidden="1" outlineLevel="1" x14ac:dyDescent="0.2">
      <c r="A191" s="162"/>
      <c r="B191" s="162"/>
      <c r="C191" s="706"/>
      <c r="D191" s="11" t="s">
        <v>849</v>
      </c>
      <c r="E191" s="34"/>
      <c r="F191" s="34"/>
      <c r="G191" s="34"/>
      <c r="H191" s="34"/>
      <c r="I191" s="34"/>
      <c r="J191" s="34"/>
      <c r="K191" s="34"/>
      <c r="L191" s="162"/>
      <c r="M191" s="867"/>
      <c r="N191" s="867"/>
      <c r="O191" s="867"/>
      <c r="P191" s="867"/>
      <c r="Q191" s="867"/>
      <c r="R191" s="867"/>
      <c r="S191" s="867"/>
      <c r="T191" s="867"/>
      <c r="U191" s="641"/>
      <c r="V191" s="641"/>
      <c r="W191" s="641"/>
      <c r="X191" s="641"/>
      <c r="Y191" s="641"/>
      <c r="Z191" s="641"/>
      <c r="AA191" s="641"/>
      <c r="AB191" s="641"/>
      <c r="AC191" s="641"/>
      <c r="AD191" s="641"/>
      <c r="AE191" s="641"/>
      <c r="AF191" s="641"/>
      <c r="AG191" s="641"/>
      <c r="AH191" s="641"/>
      <c r="AI191" s="641"/>
      <c r="AJ191" s="641"/>
      <c r="AK191" s="641"/>
      <c r="AL191" s="641"/>
      <c r="AM191" s="641"/>
      <c r="AN191" s="641"/>
      <c r="AO191" s="641"/>
      <c r="AP191" s="641"/>
      <c r="AQ191" s="641"/>
    </row>
    <row r="192" spans="1:43" hidden="1" outlineLevel="1" x14ac:dyDescent="0.2">
      <c r="A192" s="638"/>
      <c r="B192" s="638"/>
      <c r="C192" s="707"/>
      <c r="D192" s="13" t="s">
        <v>107</v>
      </c>
      <c r="E192" s="38">
        <v>0</v>
      </c>
      <c r="F192" s="38">
        <f t="shared" ref="F192:K192" si="87">F194-F193</f>
        <v>0</v>
      </c>
      <c r="G192" s="38">
        <f t="shared" si="87"/>
        <v>0</v>
      </c>
      <c r="H192" s="38">
        <f t="shared" si="87"/>
        <v>0</v>
      </c>
      <c r="I192" s="38">
        <f t="shared" si="87"/>
        <v>0</v>
      </c>
      <c r="J192" s="38">
        <f t="shared" si="87"/>
        <v>0</v>
      </c>
      <c r="K192" s="38">
        <f t="shared" si="87"/>
        <v>0</v>
      </c>
      <c r="L192" s="638"/>
      <c r="M192" s="638"/>
      <c r="N192" s="638"/>
      <c r="O192" s="638"/>
      <c r="P192" s="638"/>
      <c r="Q192" s="638"/>
      <c r="R192" s="638"/>
      <c r="S192" s="638"/>
      <c r="T192" s="638"/>
      <c r="U192" s="9"/>
      <c r="V192" s="9"/>
      <c r="W192" s="9"/>
      <c r="X192" s="9"/>
      <c r="Y192" s="9"/>
      <c r="Z192" s="9"/>
      <c r="AA192" s="9"/>
      <c r="AB192" s="9"/>
      <c r="AC192" s="9"/>
      <c r="AD192" s="9"/>
      <c r="AE192" s="9"/>
      <c r="AF192" s="9"/>
      <c r="AG192" s="9"/>
      <c r="AH192" s="9"/>
      <c r="AI192" s="9"/>
      <c r="AJ192" s="9"/>
      <c r="AK192" s="9"/>
      <c r="AL192" s="9"/>
      <c r="AM192" s="9"/>
      <c r="AN192" s="9"/>
      <c r="AO192" s="9"/>
      <c r="AP192" s="9"/>
      <c r="AQ192" s="9"/>
    </row>
    <row r="193" spans="1:43" hidden="1" outlineLevel="1" x14ac:dyDescent="0.2">
      <c r="A193" s="638"/>
      <c r="B193" s="638"/>
      <c r="C193" s="707"/>
      <c r="D193" s="13" t="s">
        <v>108</v>
      </c>
      <c r="E193" s="38">
        <v>0</v>
      </c>
      <c r="F193" s="38">
        <f t="shared" ref="F193:K193" si="88">ROUND(F194*$T$158,0)</f>
        <v>0</v>
      </c>
      <c r="G193" s="38">
        <f t="shared" si="88"/>
        <v>0</v>
      </c>
      <c r="H193" s="38">
        <f t="shared" si="88"/>
        <v>0</v>
      </c>
      <c r="I193" s="38">
        <f t="shared" si="88"/>
        <v>0</v>
      </c>
      <c r="J193" s="38">
        <f t="shared" si="88"/>
        <v>0</v>
      </c>
      <c r="K193" s="38">
        <f t="shared" si="88"/>
        <v>0</v>
      </c>
      <c r="L193" s="638"/>
      <c r="M193" s="638"/>
      <c r="N193" s="638"/>
      <c r="O193" s="638"/>
      <c r="P193" s="638"/>
      <c r="Q193" s="638"/>
      <c r="R193" s="638"/>
      <c r="S193" s="638"/>
      <c r="T193" s="638"/>
      <c r="U193" s="9"/>
      <c r="V193" s="9"/>
      <c r="W193" s="9"/>
      <c r="X193" s="9"/>
      <c r="Y193" s="9"/>
      <c r="Z193" s="9"/>
      <c r="AA193" s="9"/>
      <c r="AB193" s="9"/>
      <c r="AC193" s="9"/>
      <c r="AD193" s="9"/>
      <c r="AE193" s="9"/>
      <c r="AF193" s="9"/>
      <c r="AG193" s="9"/>
      <c r="AH193" s="9"/>
      <c r="AI193" s="9"/>
      <c r="AJ193" s="9"/>
      <c r="AK193" s="9"/>
      <c r="AL193" s="9"/>
      <c r="AM193" s="9"/>
      <c r="AN193" s="9"/>
      <c r="AO193" s="9"/>
      <c r="AP193" s="9"/>
      <c r="AQ193" s="9"/>
    </row>
    <row r="194" spans="1:43" hidden="1" outlineLevel="1" x14ac:dyDescent="0.2">
      <c r="A194" s="638"/>
      <c r="B194" s="638"/>
      <c r="C194" s="707"/>
      <c r="D194" s="86" t="s">
        <v>844</v>
      </c>
      <c r="E194" s="39">
        <f t="shared" ref="E194:K194" si="89">IF(E188="","",E191*E190*E188)</f>
        <v>0</v>
      </c>
      <c r="F194" s="39">
        <f t="shared" si="89"/>
        <v>0</v>
      </c>
      <c r="G194" s="39">
        <f t="shared" si="89"/>
        <v>0</v>
      </c>
      <c r="H194" s="39">
        <f t="shared" si="89"/>
        <v>0</v>
      </c>
      <c r="I194" s="39">
        <f t="shared" si="89"/>
        <v>0</v>
      </c>
      <c r="J194" s="39">
        <f t="shared" si="89"/>
        <v>0</v>
      </c>
      <c r="K194" s="39">
        <f t="shared" si="89"/>
        <v>0</v>
      </c>
      <c r="L194" s="638"/>
      <c r="M194" s="638"/>
      <c r="N194" s="638"/>
      <c r="O194" s="638"/>
      <c r="P194" s="638"/>
      <c r="Q194" s="638"/>
      <c r="R194" s="638"/>
      <c r="S194" s="638"/>
      <c r="T194" s="638"/>
      <c r="U194" s="9"/>
      <c r="V194" s="9"/>
      <c r="W194" s="9"/>
      <c r="X194" s="9"/>
      <c r="Y194" s="9"/>
      <c r="Z194" s="9"/>
      <c r="AA194" s="9"/>
      <c r="AB194" s="9"/>
      <c r="AC194" s="9"/>
      <c r="AD194" s="9"/>
      <c r="AE194" s="9"/>
      <c r="AF194" s="9"/>
      <c r="AG194" s="9"/>
      <c r="AH194" s="9"/>
      <c r="AI194" s="9"/>
      <c r="AJ194" s="9"/>
      <c r="AK194" s="9"/>
      <c r="AL194" s="9"/>
      <c r="AM194" s="9"/>
      <c r="AN194" s="9"/>
      <c r="AO194" s="9"/>
      <c r="AP194" s="9"/>
      <c r="AQ194" s="9"/>
    </row>
    <row r="195" spans="1:43" hidden="1" outlineLevel="1" x14ac:dyDescent="0.2">
      <c r="A195" s="162"/>
      <c r="B195" s="162"/>
      <c r="C195" s="706"/>
      <c r="D195" s="162"/>
      <c r="E195" s="162"/>
      <c r="F195" s="162"/>
      <c r="G195" s="709"/>
      <c r="H195" s="709"/>
      <c r="I195" s="709"/>
      <c r="J195" s="162"/>
      <c r="K195" s="162"/>
      <c r="L195" s="162"/>
      <c r="M195" s="162"/>
      <c r="N195" s="162"/>
      <c r="O195" s="162"/>
      <c r="P195" s="162"/>
      <c r="Q195" s="162"/>
      <c r="R195" s="162"/>
      <c r="S195" s="162"/>
      <c r="T195" s="162"/>
      <c r="U195" s="641"/>
      <c r="V195" s="641"/>
      <c r="W195" s="641"/>
      <c r="X195" s="641"/>
      <c r="Y195" s="641"/>
      <c r="Z195" s="641"/>
      <c r="AA195" s="641"/>
      <c r="AB195" s="641"/>
      <c r="AC195" s="641"/>
      <c r="AD195" s="641"/>
      <c r="AE195" s="641"/>
      <c r="AF195" s="641"/>
      <c r="AG195" s="641"/>
      <c r="AH195" s="641"/>
      <c r="AI195" s="641"/>
      <c r="AJ195" s="641"/>
      <c r="AK195" s="641"/>
      <c r="AL195" s="641"/>
      <c r="AM195" s="641"/>
      <c r="AN195" s="641"/>
      <c r="AO195" s="641"/>
      <c r="AP195" s="641"/>
      <c r="AQ195" s="641"/>
    </row>
    <row r="196" spans="1:43" collapsed="1" x14ac:dyDescent="0.2">
      <c r="A196" s="162"/>
      <c r="B196" s="162"/>
      <c r="C196" s="706"/>
      <c r="D196" s="162"/>
      <c r="E196" s="162"/>
      <c r="F196" s="162"/>
      <c r="G196" s="162"/>
      <c r="H196" s="162"/>
      <c r="I196" s="162"/>
      <c r="J196" s="162"/>
      <c r="K196" s="162"/>
      <c r="L196" s="162"/>
      <c r="M196" s="162"/>
      <c r="N196" s="162"/>
      <c r="O196" s="162"/>
      <c r="P196" s="162"/>
      <c r="Q196" s="162"/>
      <c r="R196" s="162"/>
      <c r="S196" s="162"/>
      <c r="T196" s="162"/>
      <c r="U196" s="641"/>
      <c r="V196" s="641"/>
      <c r="W196" s="641"/>
      <c r="X196" s="641"/>
      <c r="Y196" s="641"/>
      <c r="Z196" s="641"/>
      <c r="AA196" s="641"/>
      <c r="AB196" s="641"/>
      <c r="AC196" s="641"/>
      <c r="AD196" s="641"/>
      <c r="AE196" s="641"/>
      <c r="AF196" s="641"/>
      <c r="AG196" s="641"/>
      <c r="AH196" s="641"/>
      <c r="AI196" s="641"/>
      <c r="AJ196" s="641"/>
      <c r="AK196" s="641"/>
      <c r="AL196" s="641"/>
      <c r="AM196" s="641"/>
      <c r="AN196" s="641"/>
      <c r="AO196" s="641"/>
      <c r="AP196" s="641"/>
      <c r="AQ196" s="641"/>
    </row>
    <row r="197" spans="1:43" ht="15" x14ac:dyDescent="0.2">
      <c r="A197" s="125"/>
      <c r="B197" s="125"/>
      <c r="C197" s="291">
        <v>2</v>
      </c>
      <c r="D197" s="147" t="str">
        <f>INDEX(NamesMSAdditional,C197,1)</f>
        <v>** NOT USED **</v>
      </c>
      <c r="E197" s="139"/>
      <c r="F197" s="139"/>
      <c r="G197" s="139"/>
      <c r="H197" s="139"/>
      <c r="I197" s="821" t="str">
        <f>IF(D197&lt;&gt;MsgNotUsed,"Co-payment group " &amp; INDEX(CoPayBandMSAdditional,C197),"")</f>
        <v/>
      </c>
      <c r="J197" s="821"/>
      <c r="K197" s="139"/>
      <c r="L197" s="139"/>
      <c r="M197" s="139"/>
      <c r="N197" s="139"/>
      <c r="O197" s="139"/>
      <c r="P197" s="139"/>
      <c r="Q197" s="139"/>
      <c r="R197" s="139"/>
      <c r="S197" s="139"/>
      <c r="T197" s="139"/>
      <c r="U197" s="139"/>
      <c r="V197" s="139"/>
      <c r="W197" s="139"/>
      <c r="X197" s="139"/>
      <c r="Y197" s="139"/>
      <c r="Z197" s="139"/>
      <c r="AA197" s="139"/>
      <c r="AB197" s="139"/>
      <c r="AC197" s="139"/>
      <c r="AD197" s="139"/>
      <c r="AE197" s="139"/>
      <c r="AF197" s="139"/>
      <c r="AG197" s="139"/>
      <c r="AH197" s="139"/>
      <c r="AI197" s="139"/>
      <c r="AJ197" s="139"/>
      <c r="AK197" s="139"/>
      <c r="AL197" s="139"/>
      <c r="AM197" s="139"/>
      <c r="AN197" s="139"/>
      <c r="AO197" s="139"/>
      <c r="AP197" s="139"/>
      <c r="AQ197" s="139"/>
    </row>
    <row r="198" spans="1:43" ht="15.75" hidden="1" outlineLevel="1" x14ac:dyDescent="0.2">
      <c r="A198" s="131"/>
      <c r="B198" s="131"/>
      <c r="C198" s="705"/>
      <c r="D198" s="655"/>
      <c r="E198" s="131"/>
      <c r="F198" s="131"/>
      <c r="G198" s="131"/>
      <c r="H198" s="131"/>
      <c r="I198" s="131"/>
      <c r="J198" s="131"/>
      <c r="K198" s="131"/>
      <c r="L198" s="131"/>
      <c r="M198" s="131"/>
      <c r="N198" s="131"/>
      <c r="O198" s="131"/>
      <c r="P198" s="131"/>
      <c r="Q198" s="131"/>
      <c r="R198" s="131"/>
      <c r="S198" s="26"/>
      <c r="T198" s="26"/>
      <c r="U198" s="26"/>
      <c r="V198" s="26"/>
      <c r="W198" s="26"/>
      <c r="X198" s="26"/>
      <c r="Y198" s="26"/>
      <c r="Z198" s="26"/>
      <c r="AA198" s="26"/>
      <c r="AB198" s="26"/>
      <c r="AC198" s="26"/>
      <c r="AD198" s="26"/>
      <c r="AE198" s="26"/>
      <c r="AF198" s="26"/>
      <c r="AG198" s="26"/>
      <c r="AH198" s="26"/>
      <c r="AI198" s="26"/>
      <c r="AJ198" s="26"/>
      <c r="AK198" s="26"/>
      <c r="AL198" s="26"/>
      <c r="AM198" s="26"/>
      <c r="AN198" s="26"/>
      <c r="AO198" s="26"/>
      <c r="AP198" s="26"/>
      <c r="AQ198" s="26"/>
    </row>
    <row r="199" spans="1:43" ht="14.25" hidden="1" customHeight="1" outlineLevel="1" x14ac:dyDescent="0.2">
      <c r="A199" s="162"/>
      <c r="B199" s="162"/>
      <c r="C199" s="706"/>
      <c r="D199" s="708"/>
      <c r="E199" s="64">
        <f>F199-1</f>
        <v>2020</v>
      </c>
      <c r="F199" s="64">
        <f>FirstYear</f>
        <v>2021</v>
      </c>
      <c r="G199" s="64">
        <f>F199+1</f>
        <v>2022</v>
      </c>
      <c r="H199" s="64">
        <f>G199+1</f>
        <v>2023</v>
      </c>
      <c r="I199" s="64">
        <f>H199+1</f>
        <v>2024</v>
      </c>
      <c r="J199" s="64">
        <f>I199+1</f>
        <v>2025</v>
      </c>
      <c r="K199" s="64">
        <f>J199+1</f>
        <v>2026</v>
      </c>
      <c r="L199" s="162"/>
      <c r="M199" s="616"/>
      <c r="N199" s="162"/>
      <c r="O199" s="162"/>
      <c r="P199" s="616"/>
      <c r="Q199" s="162"/>
      <c r="R199" s="162"/>
      <c r="S199" s="641"/>
      <c r="T199" s="641"/>
      <c r="U199" s="641"/>
      <c r="V199" s="641"/>
      <c r="W199" s="641"/>
      <c r="X199" s="641"/>
      <c r="Y199" s="641"/>
      <c r="Z199" s="641"/>
      <c r="AA199" s="641"/>
      <c r="AB199" s="641"/>
      <c r="AC199" s="641"/>
      <c r="AD199" s="641"/>
      <c r="AE199" s="641"/>
      <c r="AF199" s="641"/>
      <c r="AG199" s="641"/>
      <c r="AH199" s="641"/>
      <c r="AI199" s="641"/>
      <c r="AJ199" s="641"/>
      <c r="AK199" s="641"/>
      <c r="AL199" s="641"/>
      <c r="AM199" s="641"/>
      <c r="AN199" s="641"/>
      <c r="AO199" s="641"/>
      <c r="AP199" s="641"/>
      <c r="AQ199" s="641"/>
    </row>
    <row r="200" spans="1:43" hidden="1" outlineLevel="1" x14ac:dyDescent="0.2">
      <c r="A200" s="162"/>
      <c r="B200" s="162"/>
      <c r="C200" s="706"/>
      <c r="D200" s="4" t="s">
        <v>114</v>
      </c>
      <c r="E200" s="38">
        <f>INDEX(ScriptsMSAdditional,$C197) * INDEX(NamesMSAdditional,$C197,3)</f>
        <v>0</v>
      </c>
      <c r="F200" s="38">
        <f t="shared" ref="F200:K200" si="90">-F430</f>
        <v>0</v>
      </c>
      <c r="G200" s="38">
        <f t="shared" si="90"/>
        <v>0</v>
      </c>
      <c r="H200" s="38">
        <f t="shared" si="90"/>
        <v>0</v>
      </c>
      <c r="I200" s="38">
        <f t="shared" si="90"/>
        <v>0</v>
      </c>
      <c r="J200" s="38">
        <f t="shared" si="90"/>
        <v>0</v>
      </c>
      <c r="K200" s="38">
        <f t="shared" si="90"/>
        <v>0</v>
      </c>
      <c r="L200" s="162"/>
      <c r="M200" s="36" t="s">
        <v>258</v>
      </c>
      <c r="N200" s="162"/>
      <c r="O200" s="616"/>
      <c r="P200" s="162"/>
      <c r="Q200" s="162"/>
      <c r="R200" s="616"/>
      <c r="S200" s="162"/>
      <c r="T200" s="162"/>
      <c r="U200" s="641"/>
      <c r="V200" s="641"/>
      <c r="W200" s="641"/>
      <c r="X200" s="641"/>
      <c r="Y200" s="641"/>
      <c r="Z200" s="641"/>
      <c r="AA200" s="641"/>
      <c r="AB200" s="641"/>
      <c r="AC200" s="641"/>
      <c r="AD200" s="641"/>
      <c r="AE200" s="641"/>
      <c r="AF200" s="641"/>
      <c r="AG200" s="641"/>
      <c r="AH200" s="641"/>
      <c r="AI200" s="641"/>
      <c r="AJ200" s="641"/>
      <c r="AK200" s="641"/>
      <c r="AL200" s="641"/>
      <c r="AM200" s="641"/>
      <c r="AN200" s="641"/>
      <c r="AO200" s="641"/>
      <c r="AP200" s="641"/>
      <c r="AQ200" s="641"/>
    </row>
    <row r="201" spans="1:43" hidden="1" outlineLevel="1" x14ac:dyDescent="0.2">
      <c r="A201" s="162"/>
      <c r="B201" s="162"/>
      <c r="C201" s="706"/>
      <c r="D201" s="11" t="s">
        <v>26</v>
      </c>
      <c r="E201" s="34"/>
      <c r="F201" s="34"/>
      <c r="G201" s="34"/>
      <c r="H201" s="34"/>
      <c r="I201" s="34"/>
      <c r="J201" s="34"/>
      <c r="K201" s="33"/>
      <c r="L201" s="162"/>
      <c r="M201" s="867"/>
      <c r="N201" s="867"/>
      <c r="O201" s="867"/>
      <c r="P201" s="867"/>
      <c r="Q201" s="867"/>
      <c r="R201" s="867"/>
      <c r="S201" s="867"/>
      <c r="T201" s="867"/>
      <c r="U201" s="641"/>
      <c r="V201" s="641"/>
      <c r="W201" s="641"/>
      <c r="X201" s="641"/>
      <c r="Y201" s="641"/>
      <c r="Z201" s="641"/>
      <c r="AA201" s="641"/>
      <c r="AB201" s="641"/>
      <c r="AC201" s="641"/>
      <c r="AD201" s="641"/>
      <c r="AE201" s="641"/>
      <c r="AF201" s="641"/>
      <c r="AG201" s="641"/>
      <c r="AH201" s="641"/>
      <c r="AI201" s="641"/>
      <c r="AJ201" s="641"/>
      <c r="AK201" s="641"/>
      <c r="AL201" s="641"/>
      <c r="AM201" s="641"/>
      <c r="AN201" s="641"/>
      <c r="AO201" s="641"/>
      <c r="AP201" s="641"/>
      <c r="AQ201" s="641"/>
    </row>
    <row r="202" spans="1:43" hidden="1" outlineLevel="1" x14ac:dyDescent="0.2">
      <c r="A202" s="162"/>
      <c r="B202" s="162"/>
      <c r="C202" s="706"/>
      <c r="D202" s="11" t="s">
        <v>33</v>
      </c>
      <c r="E202" s="34"/>
      <c r="F202" s="34"/>
      <c r="G202" s="34"/>
      <c r="H202" s="34"/>
      <c r="I202" s="34"/>
      <c r="J202" s="34"/>
      <c r="K202" s="34"/>
      <c r="L202" s="162"/>
      <c r="M202" s="867"/>
      <c r="N202" s="867"/>
      <c r="O202" s="867"/>
      <c r="P202" s="867"/>
      <c r="Q202" s="867"/>
      <c r="R202" s="867"/>
      <c r="S202" s="867"/>
      <c r="T202" s="867"/>
      <c r="U202" s="641"/>
      <c r="V202" s="641"/>
      <c r="W202" s="641"/>
      <c r="X202" s="641"/>
      <c r="Y202" s="641"/>
      <c r="Z202" s="641"/>
      <c r="AA202" s="641"/>
      <c r="AB202" s="641"/>
      <c r="AC202" s="641"/>
      <c r="AD202" s="641"/>
      <c r="AE202" s="641"/>
      <c r="AF202" s="641"/>
      <c r="AG202" s="641"/>
      <c r="AH202" s="641"/>
      <c r="AI202" s="641"/>
      <c r="AJ202" s="641"/>
      <c r="AK202" s="641"/>
      <c r="AL202" s="641"/>
      <c r="AM202" s="641"/>
      <c r="AN202" s="641"/>
      <c r="AO202" s="641"/>
      <c r="AP202" s="641"/>
      <c r="AQ202" s="641"/>
    </row>
    <row r="203" spans="1:43" hidden="1" outlineLevel="1" x14ac:dyDescent="0.2">
      <c r="A203" s="162"/>
      <c r="B203" s="162"/>
      <c r="C203" s="706"/>
      <c r="D203" s="11" t="s">
        <v>849</v>
      </c>
      <c r="E203" s="34"/>
      <c r="F203" s="34"/>
      <c r="G203" s="34"/>
      <c r="H203" s="34"/>
      <c r="I203" s="34"/>
      <c r="J203" s="34"/>
      <c r="K203" s="34"/>
      <c r="L203" s="162"/>
      <c r="M203" s="867"/>
      <c r="N203" s="867"/>
      <c r="O203" s="867"/>
      <c r="P203" s="867"/>
      <c r="Q203" s="867"/>
      <c r="R203" s="867"/>
      <c r="S203" s="867"/>
      <c r="T203" s="867"/>
      <c r="U203" s="641"/>
      <c r="V203" s="641"/>
      <c r="W203" s="641"/>
      <c r="X203" s="641"/>
      <c r="Y203" s="641"/>
      <c r="Z203" s="641"/>
      <c r="AA203" s="641"/>
      <c r="AB203" s="641"/>
      <c r="AC203" s="641"/>
      <c r="AD203" s="641"/>
      <c r="AE203" s="641"/>
      <c r="AF203" s="641"/>
      <c r="AG203" s="641"/>
      <c r="AH203" s="641"/>
      <c r="AI203" s="641"/>
      <c r="AJ203" s="641"/>
      <c r="AK203" s="641"/>
      <c r="AL203" s="641"/>
      <c r="AM203" s="641"/>
      <c r="AN203" s="641"/>
      <c r="AO203" s="641"/>
      <c r="AP203" s="641"/>
      <c r="AQ203" s="641"/>
    </row>
    <row r="204" spans="1:43" hidden="1" outlineLevel="1" x14ac:dyDescent="0.2">
      <c r="A204" s="638"/>
      <c r="B204" s="638"/>
      <c r="C204" s="707"/>
      <c r="D204" s="13" t="s">
        <v>107</v>
      </c>
      <c r="E204" s="38">
        <v>0</v>
      </c>
      <c r="F204" s="38">
        <f t="shared" ref="F204:K204" si="91">F206-F205</f>
        <v>0</v>
      </c>
      <c r="G204" s="38">
        <f t="shared" si="91"/>
        <v>0</v>
      </c>
      <c r="H204" s="38">
        <f t="shared" si="91"/>
        <v>0</v>
      </c>
      <c r="I204" s="38">
        <f t="shared" si="91"/>
        <v>0</v>
      </c>
      <c r="J204" s="38">
        <f t="shared" si="91"/>
        <v>0</v>
      </c>
      <c r="K204" s="38">
        <f t="shared" si="91"/>
        <v>0</v>
      </c>
      <c r="L204" s="638"/>
      <c r="M204" s="638"/>
      <c r="N204" s="638"/>
      <c r="O204" s="638"/>
      <c r="P204" s="638"/>
      <c r="Q204" s="638"/>
      <c r="R204" s="638"/>
      <c r="S204" s="638"/>
      <c r="T204" s="638"/>
      <c r="U204" s="9"/>
      <c r="V204" s="9"/>
      <c r="W204" s="9"/>
      <c r="X204" s="9"/>
      <c r="Y204" s="9"/>
      <c r="Z204" s="9"/>
      <c r="AA204" s="9"/>
      <c r="AB204" s="9"/>
      <c r="AC204" s="9"/>
      <c r="AD204" s="9"/>
      <c r="AE204" s="9"/>
      <c r="AF204" s="9"/>
      <c r="AG204" s="9"/>
      <c r="AH204" s="9"/>
      <c r="AI204" s="9"/>
      <c r="AJ204" s="9"/>
      <c r="AK204" s="9"/>
      <c r="AL204" s="9"/>
      <c r="AM204" s="9"/>
      <c r="AN204" s="9"/>
      <c r="AO204" s="9"/>
      <c r="AP204" s="9"/>
      <c r="AQ204" s="9"/>
    </row>
    <row r="205" spans="1:43" hidden="1" outlineLevel="1" x14ac:dyDescent="0.2">
      <c r="A205" s="638"/>
      <c r="B205" s="638"/>
      <c r="C205" s="707"/>
      <c r="D205" s="13" t="s">
        <v>108</v>
      </c>
      <c r="E205" s="38">
        <v>0</v>
      </c>
      <c r="F205" s="38">
        <f t="shared" ref="F205:K205" si="92">ROUND(F206*$T$159,0)</f>
        <v>0</v>
      </c>
      <c r="G205" s="38">
        <f t="shared" si="92"/>
        <v>0</v>
      </c>
      <c r="H205" s="38">
        <f t="shared" si="92"/>
        <v>0</v>
      </c>
      <c r="I205" s="38">
        <f t="shared" si="92"/>
        <v>0</v>
      </c>
      <c r="J205" s="38">
        <f t="shared" si="92"/>
        <v>0</v>
      </c>
      <c r="K205" s="38">
        <f t="shared" si="92"/>
        <v>0</v>
      </c>
      <c r="L205" s="638"/>
      <c r="M205" s="638"/>
      <c r="N205" s="638"/>
      <c r="O205" s="638"/>
      <c r="P205" s="638"/>
      <c r="Q205" s="638"/>
      <c r="R205" s="638"/>
      <c r="S205" s="638"/>
      <c r="T205" s="638"/>
      <c r="U205" s="9"/>
      <c r="V205" s="9"/>
      <c r="W205" s="9"/>
      <c r="X205" s="9"/>
      <c r="Y205" s="9"/>
      <c r="Z205" s="9"/>
      <c r="AA205" s="9"/>
      <c r="AB205" s="9"/>
      <c r="AC205" s="9"/>
      <c r="AD205" s="9"/>
      <c r="AE205" s="9"/>
      <c r="AF205" s="9"/>
      <c r="AG205" s="9"/>
      <c r="AH205" s="9"/>
      <c r="AI205" s="9"/>
      <c r="AJ205" s="9"/>
      <c r="AK205" s="9"/>
      <c r="AL205" s="9"/>
      <c r="AM205" s="9"/>
      <c r="AN205" s="9"/>
      <c r="AO205" s="9"/>
      <c r="AP205" s="9"/>
      <c r="AQ205" s="9"/>
    </row>
    <row r="206" spans="1:43" hidden="1" outlineLevel="1" x14ac:dyDescent="0.2">
      <c r="A206" s="638"/>
      <c r="B206" s="638"/>
      <c r="C206" s="707"/>
      <c r="D206" s="635" t="s">
        <v>844</v>
      </c>
      <c r="E206" s="39">
        <f t="shared" ref="E206:K206" si="93">IF(E200="","",E203*E202*E200)</f>
        <v>0</v>
      </c>
      <c r="F206" s="39">
        <f t="shared" si="93"/>
        <v>0</v>
      </c>
      <c r="G206" s="39">
        <f t="shared" si="93"/>
        <v>0</v>
      </c>
      <c r="H206" s="39">
        <f t="shared" si="93"/>
        <v>0</v>
      </c>
      <c r="I206" s="39">
        <f t="shared" si="93"/>
        <v>0</v>
      </c>
      <c r="J206" s="39">
        <f t="shared" si="93"/>
        <v>0</v>
      </c>
      <c r="K206" s="39">
        <f t="shared" si="93"/>
        <v>0</v>
      </c>
      <c r="L206" s="638"/>
      <c r="M206" s="638"/>
      <c r="N206" s="638"/>
      <c r="O206" s="638"/>
      <c r="P206" s="638"/>
      <c r="Q206" s="638"/>
      <c r="R206" s="638"/>
      <c r="S206" s="638"/>
      <c r="T206" s="638"/>
      <c r="U206" s="9"/>
      <c r="V206" s="9"/>
      <c r="W206" s="9"/>
      <c r="X206" s="9"/>
      <c r="Y206" s="9"/>
      <c r="Z206" s="9"/>
      <c r="AA206" s="9"/>
      <c r="AB206" s="9"/>
      <c r="AC206" s="9"/>
      <c r="AD206" s="9"/>
      <c r="AE206" s="9"/>
      <c r="AF206" s="9"/>
      <c r="AG206" s="9"/>
      <c r="AH206" s="9"/>
      <c r="AI206" s="9"/>
      <c r="AJ206" s="9"/>
      <c r="AK206" s="9"/>
      <c r="AL206" s="9"/>
      <c r="AM206" s="9"/>
      <c r="AN206" s="9"/>
      <c r="AO206" s="9"/>
      <c r="AP206" s="9"/>
      <c r="AQ206" s="9"/>
    </row>
    <row r="207" spans="1:43" hidden="1" outlineLevel="1" x14ac:dyDescent="0.2">
      <c r="A207" s="162"/>
      <c r="B207" s="162"/>
      <c r="C207" s="706"/>
      <c r="D207" s="162"/>
      <c r="E207" s="162"/>
      <c r="F207" s="162"/>
      <c r="G207" s="709"/>
      <c r="H207" s="709"/>
      <c r="I207" s="709"/>
      <c r="J207" s="162"/>
      <c r="K207" s="162"/>
      <c r="L207" s="162"/>
      <c r="M207" s="162"/>
      <c r="N207" s="162"/>
      <c r="O207" s="162"/>
      <c r="P207" s="162"/>
      <c r="Q207" s="162"/>
      <c r="R207" s="162"/>
      <c r="S207" s="162"/>
      <c r="T207" s="162"/>
      <c r="U207" s="641"/>
      <c r="V207" s="641"/>
      <c r="W207" s="641"/>
      <c r="X207" s="641"/>
      <c r="Y207" s="641"/>
      <c r="Z207" s="641"/>
      <c r="AA207" s="641"/>
      <c r="AB207" s="641"/>
      <c r="AC207" s="641"/>
      <c r="AD207" s="641"/>
      <c r="AE207" s="641"/>
      <c r="AF207" s="641"/>
      <c r="AG207" s="641"/>
      <c r="AH207" s="641"/>
      <c r="AI207" s="641"/>
      <c r="AJ207" s="641"/>
      <c r="AK207" s="641"/>
      <c r="AL207" s="641"/>
      <c r="AM207" s="641"/>
      <c r="AN207" s="641"/>
      <c r="AO207" s="641"/>
      <c r="AP207" s="641"/>
      <c r="AQ207" s="641"/>
    </row>
    <row r="208" spans="1:43" collapsed="1" x14ac:dyDescent="0.2">
      <c r="A208" s="162"/>
      <c r="B208" s="162"/>
      <c r="C208" s="706"/>
      <c r="D208" s="162"/>
      <c r="E208" s="162"/>
      <c r="F208" s="162"/>
      <c r="G208" s="162"/>
      <c r="H208" s="162"/>
      <c r="I208" s="162"/>
      <c r="J208" s="162"/>
      <c r="K208" s="162"/>
      <c r="L208" s="162"/>
      <c r="M208" s="162"/>
      <c r="N208" s="162"/>
      <c r="O208" s="162"/>
      <c r="P208" s="162"/>
      <c r="Q208" s="162"/>
      <c r="R208" s="162"/>
      <c r="S208" s="162"/>
      <c r="T208" s="162"/>
      <c r="U208" s="641"/>
      <c r="V208" s="641"/>
      <c r="W208" s="641"/>
      <c r="X208" s="641"/>
      <c r="Y208" s="641"/>
      <c r="Z208" s="641"/>
      <c r="AA208" s="641"/>
      <c r="AB208" s="641"/>
      <c r="AC208" s="641"/>
      <c r="AD208" s="641"/>
      <c r="AE208" s="641"/>
      <c r="AF208" s="641"/>
      <c r="AG208" s="641"/>
      <c r="AH208" s="641"/>
      <c r="AI208" s="641"/>
      <c r="AJ208" s="641"/>
      <c r="AK208" s="641"/>
      <c r="AL208" s="641"/>
      <c r="AM208" s="641"/>
      <c r="AN208" s="641"/>
      <c r="AO208" s="641"/>
      <c r="AP208" s="641"/>
      <c r="AQ208" s="641"/>
    </row>
    <row r="209" spans="1:43" ht="15" x14ac:dyDescent="0.2">
      <c r="A209" s="125"/>
      <c r="B209" s="125"/>
      <c r="C209" s="291">
        <v>3</v>
      </c>
      <c r="D209" s="147" t="str">
        <f>INDEX(NamesMSAdditional,C209,1)</f>
        <v>** NOT USED **</v>
      </c>
      <c r="E209" s="139"/>
      <c r="F209" s="139"/>
      <c r="G209" s="139"/>
      <c r="H209" s="139"/>
      <c r="I209" s="821" t="str">
        <f>IF(D209&lt;&gt;MsgNotUsed,"Co-payment group " &amp; INDEX(CoPayBandMSAdditional,C209),"")</f>
        <v/>
      </c>
      <c r="J209" s="821"/>
      <c r="K209" s="139"/>
      <c r="L209" s="139"/>
      <c r="M209" s="139"/>
      <c r="N209" s="139"/>
      <c r="O209" s="139"/>
      <c r="P209" s="139"/>
      <c r="Q209" s="139"/>
      <c r="R209" s="139"/>
      <c r="S209" s="139"/>
      <c r="T209" s="139"/>
      <c r="U209" s="139"/>
      <c r="V209" s="139"/>
      <c r="W209" s="139"/>
      <c r="X209" s="139"/>
      <c r="Y209" s="139"/>
      <c r="Z209" s="139"/>
      <c r="AA209" s="139"/>
      <c r="AB209" s="139"/>
      <c r="AC209" s="139"/>
      <c r="AD209" s="139"/>
      <c r="AE209" s="139"/>
      <c r="AF209" s="139"/>
      <c r="AG209" s="139"/>
      <c r="AH209" s="139"/>
      <c r="AI209" s="139"/>
      <c r="AJ209" s="139"/>
      <c r="AK209" s="139"/>
      <c r="AL209" s="139"/>
      <c r="AM209" s="139"/>
      <c r="AN209" s="139"/>
      <c r="AO209" s="139"/>
      <c r="AP209" s="139"/>
      <c r="AQ209" s="139"/>
    </row>
    <row r="210" spans="1:43" ht="15.75" hidden="1" outlineLevel="1" x14ac:dyDescent="0.2">
      <c r="A210" s="131"/>
      <c r="B210" s="131"/>
      <c r="C210" s="705"/>
      <c r="D210" s="655"/>
      <c r="E210" s="131"/>
      <c r="F210" s="131"/>
      <c r="G210" s="131"/>
      <c r="H210" s="131"/>
      <c r="I210" s="131"/>
      <c r="J210" s="131"/>
      <c r="K210" s="131"/>
      <c r="L210" s="131"/>
      <c r="M210" s="131"/>
      <c r="N210" s="131"/>
      <c r="O210" s="131"/>
      <c r="P210" s="131"/>
      <c r="Q210" s="131"/>
      <c r="R210" s="131"/>
      <c r="S210" s="26"/>
      <c r="T210" s="26"/>
      <c r="U210" s="26"/>
      <c r="V210" s="26"/>
      <c r="W210" s="26"/>
      <c r="X210" s="26"/>
      <c r="Y210" s="26"/>
      <c r="Z210" s="26"/>
      <c r="AA210" s="26"/>
      <c r="AB210" s="26"/>
      <c r="AC210" s="26"/>
      <c r="AD210" s="26"/>
      <c r="AE210" s="26"/>
      <c r="AF210" s="26"/>
      <c r="AG210" s="26"/>
      <c r="AH210" s="26"/>
      <c r="AI210" s="26"/>
      <c r="AJ210" s="26"/>
      <c r="AK210" s="26"/>
      <c r="AL210" s="26"/>
      <c r="AM210" s="26"/>
      <c r="AN210" s="26"/>
      <c r="AO210" s="26"/>
      <c r="AP210" s="26"/>
      <c r="AQ210" s="26"/>
    </row>
    <row r="211" spans="1:43" ht="14.25" hidden="1" customHeight="1" outlineLevel="1" x14ac:dyDescent="0.2">
      <c r="A211" s="162"/>
      <c r="B211" s="162"/>
      <c r="C211" s="706"/>
      <c r="D211" s="708"/>
      <c r="E211" s="64">
        <f>F211-1</f>
        <v>2020</v>
      </c>
      <c r="F211" s="64">
        <f>FirstYear</f>
        <v>2021</v>
      </c>
      <c r="G211" s="64">
        <f>F211+1</f>
        <v>2022</v>
      </c>
      <c r="H211" s="64">
        <f>G211+1</f>
        <v>2023</v>
      </c>
      <c r="I211" s="64">
        <f>H211+1</f>
        <v>2024</v>
      </c>
      <c r="J211" s="64">
        <f>I211+1</f>
        <v>2025</v>
      </c>
      <c r="K211" s="64">
        <f>J211+1</f>
        <v>2026</v>
      </c>
      <c r="L211" s="162"/>
      <c r="M211" s="616"/>
      <c r="N211" s="162"/>
      <c r="O211" s="162"/>
      <c r="P211" s="616"/>
      <c r="Q211" s="162"/>
      <c r="R211" s="162"/>
      <c r="S211" s="641"/>
      <c r="T211" s="641"/>
      <c r="U211" s="641"/>
      <c r="V211" s="641"/>
      <c r="W211" s="641"/>
      <c r="X211" s="641"/>
      <c r="Y211" s="641"/>
      <c r="Z211" s="641"/>
      <c r="AA211" s="641"/>
      <c r="AB211" s="641"/>
      <c r="AC211" s="641"/>
      <c r="AD211" s="641"/>
      <c r="AE211" s="641"/>
      <c r="AF211" s="641"/>
      <c r="AG211" s="641"/>
      <c r="AH211" s="641"/>
      <c r="AI211" s="641"/>
      <c r="AJ211" s="641"/>
      <c r="AK211" s="641"/>
      <c r="AL211" s="641"/>
      <c r="AM211" s="641"/>
      <c r="AN211" s="641"/>
      <c r="AO211" s="641"/>
      <c r="AP211" s="641"/>
      <c r="AQ211" s="641"/>
    </row>
    <row r="212" spans="1:43" hidden="1" outlineLevel="1" x14ac:dyDescent="0.2">
      <c r="A212" s="162"/>
      <c r="B212" s="162"/>
      <c r="C212" s="706"/>
      <c r="D212" s="4" t="s">
        <v>114</v>
      </c>
      <c r="E212" s="38">
        <f>INDEX(ScriptsMSAdditional,$C209) * INDEX(NamesMSAdditional,$C209,3)</f>
        <v>0</v>
      </c>
      <c r="F212" s="38">
        <f t="shared" ref="F212:K212" si="94">IF(E212="","",E212*(1+E213))</f>
        <v>0</v>
      </c>
      <c r="G212" s="38">
        <f t="shared" si="94"/>
        <v>0</v>
      </c>
      <c r="H212" s="38">
        <f t="shared" si="94"/>
        <v>0</v>
      </c>
      <c r="I212" s="38">
        <f t="shared" si="94"/>
        <v>0</v>
      </c>
      <c r="J212" s="38">
        <f>IF(I212="","",I212*(1+I213))</f>
        <v>0</v>
      </c>
      <c r="K212" s="38">
        <f t="shared" si="94"/>
        <v>0</v>
      </c>
      <c r="L212" s="162"/>
      <c r="M212" s="36" t="s">
        <v>258</v>
      </c>
      <c r="N212" s="162"/>
      <c r="O212" s="616"/>
      <c r="P212" s="162"/>
      <c r="Q212" s="162"/>
      <c r="R212" s="616"/>
      <c r="S212" s="162"/>
      <c r="T212" s="162"/>
      <c r="U212" s="641"/>
      <c r="V212" s="641"/>
      <c r="W212" s="641"/>
      <c r="X212" s="641"/>
      <c r="Y212" s="641"/>
      <c r="Z212" s="641"/>
      <c r="AA212" s="641"/>
      <c r="AB212" s="641"/>
      <c r="AC212" s="641"/>
      <c r="AD212" s="641"/>
      <c r="AE212" s="641"/>
      <c r="AF212" s="641"/>
      <c r="AG212" s="641"/>
      <c r="AH212" s="641"/>
      <c r="AI212" s="641"/>
      <c r="AJ212" s="641"/>
      <c r="AK212" s="641"/>
      <c r="AL212" s="641"/>
      <c r="AM212" s="641"/>
      <c r="AN212" s="641"/>
      <c r="AO212" s="641"/>
      <c r="AP212" s="641"/>
      <c r="AQ212" s="641"/>
    </row>
    <row r="213" spans="1:43" hidden="1" outlineLevel="1" x14ac:dyDescent="0.2">
      <c r="A213" s="162"/>
      <c r="B213" s="162"/>
      <c r="C213" s="706"/>
      <c r="D213" s="11" t="s">
        <v>26</v>
      </c>
      <c r="E213" s="34"/>
      <c r="F213" s="34"/>
      <c r="G213" s="34"/>
      <c r="H213" s="34"/>
      <c r="I213" s="34"/>
      <c r="J213" s="34"/>
      <c r="K213" s="33"/>
      <c r="L213" s="162"/>
      <c r="M213" s="867"/>
      <c r="N213" s="867"/>
      <c r="O213" s="867"/>
      <c r="P213" s="867"/>
      <c r="Q213" s="867"/>
      <c r="R213" s="867"/>
      <c r="S213" s="867"/>
      <c r="T213" s="867"/>
      <c r="U213" s="641"/>
      <c r="V213" s="641"/>
      <c r="W213" s="641"/>
      <c r="X213" s="641"/>
      <c r="Y213" s="641"/>
      <c r="Z213" s="641"/>
      <c r="AA213" s="641"/>
      <c r="AB213" s="641"/>
      <c r="AC213" s="641"/>
      <c r="AD213" s="641"/>
      <c r="AE213" s="641"/>
      <c r="AF213" s="641"/>
      <c r="AG213" s="641"/>
      <c r="AH213" s="641"/>
      <c r="AI213" s="641"/>
      <c r="AJ213" s="641"/>
      <c r="AK213" s="641"/>
      <c r="AL213" s="641"/>
      <c r="AM213" s="641"/>
      <c r="AN213" s="641"/>
      <c r="AO213" s="641"/>
      <c r="AP213" s="641"/>
      <c r="AQ213" s="641"/>
    </row>
    <row r="214" spans="1:43" hidden="1" outlineLevel="1" x14ac:dyDescent="0.2">
      <c r="A214" s="162"/>
      <c r="B214" s="162"/>
      <c r="C214" s="706"/>
      <c r="D214" s="11" t="s">
        <v>33</v>
      </c>
      <c r="E214" s="34"/>
      <c r="F214" s="34"/>
      <c r="G214" s="34"/>
      <c r="H214" s="34"/>
      <c r="I214" s="34"/>
      <c r="J214" s="34"/>
      <c r="K214" s="34"/>
      <c r="L214" s="162"/>
      <c r="M214" s="867"/>
      <c r="N214" s="867"/>
      <c r="O214" s="867"/>
      <c r="P214" s="867"/>
      <c r="Q214" s="867"/>
      <c r="R214" s="867"/>
      <c r="S214" s="867"/>
      <c r="T214" s="867"/>
      <c r="U214" s="641"/>
      <c r="V214" s="641"/>
      <c r="W214" s="641"/>
      <c r="X214" s="641"/>
      <c r="Y214" s="641"/>
      <c r="Z214" s="641"/>
      <c r="AA214" s="641"/>
      <c r="AB214" s="641"/>
      <c r="AC214" s="641"/>
      <c r="AD214" s="641"/>
      <c r="AE214" s="641"/>
      <c r="AF214" s="641"/>
      <c r="AG214" s="641"/>
      <c r="AH214" s="641"/>
      <c r="AI214" s="641"/>
      <c r="AJ214" s="641"/>
      <c r="AK214" s="641"/>
      <c r="AL214" s="641"/>
      <c r="AM214" s="641"/>
      <c r="AN214" s="641"/>
      <c r="AO214" s="641"/>
      <c r="AP214" s="641"/>
      <c r="AQ214" s="641"/>
    </row>
    <row r="215" spans="1:43" hidden="1" outlineLevel="1" x14ac:dyDescent="0.2">
      <c r="A215" s="162"/>
      <c r="B215" s="162"/>
      <c r="C215" s="706"/>
      <c r="D215" s="11" t="s">
        <v>849</v>
      </c>
      <c r="E215" s="34"/>
      <c r="F215" s="34"/>
      <c r="G215" s="34"/>
      <c r="H215" s="34"/>
      <c r="I215" s="34"/>
      <c r="J215" s="34"/>
      <c r="K215" s="34"/>
      <c r="L215" s="162"/>
      <c r="M215" s="867"/>
      <c r="N215" s="867"/>
      <c r="O215" s="867"/>
      <c r="P215" s="867"/>
      <c r="Q215" s="867"/>
      <c r="R215" s="867"/>
      <c r="S215" s="867"/>
      <c r="T215" s="867"/>
      <c r="U215" s="641"/>
      <c r="V215" s="641"/>
      <c r="W215" s="641"/>
      <c r="X215" s="641"/>
      <c r="Y215" s="641"/>
      <c r="Z215" s="641"/>
      <c r="AA215" s="641"/>
      <c r="AB215" s="641"/>
      <c r="AC215" s="641"/>
      <c r="AD215" s="641"/>
      <c r="AE215" s="641"/>
      <c r="AF215" s="641"/>
      <c r="AG215" s="641"/>
      <c r="AH215" s="641"/>
      <c r="AI215" s="641"/>
      <c r="AJ215" s="641"/>
      <c r="AK215" s="641"/>
      <c r="AL215" s="641"/>
      <c r="AM215" s="641"/>
      <c r="AN215" s="641"/>
      <c r="AO215" s="641"/>
      <c r="AP215" s="641"/>
      <c r="AQ215" s="641"/>
    </row>
    <row r="216" spans="1:43" hidden="1" outlineLevel="1" x14ac:dyDescent="0.2">
      <c r="A216" s="638"/>
      <c r="B216" s="638"/>
      <c r="C216" s="707"/>
      <c r="D216" s="13" t="s">
        <v>107</v>
      </c>
      <c r="E216" s="38">
        <f t="shared" ref="E216:K216" si="95">E218-E217</f>
        <v>0</v>
      </c>
      <c r="F216" s="38">
        <f t="shared" si="95"/>
        <v>0</v>
      </c>
      <c r="G216" s="38">
        <f t="shared" si="95"/>
        <v>0</v>
      </c>
      <c r="H216" s="38">
        <f t="shared" si="95"/>
        <v>0</v>
      </c>
      <c r="I216" s="38">
        <f t="shared" si="95"/>
        <v>0</v>
      </c>
      <c r="J216" s="38">
        <f t="shared" si="95"/>
        <v>0</v>
      </c>
      <c r="K216" s="38">
        <f t="shared" si="95"/>
        <v>0</v>
      </c>
      <c r="L216" s="638"/>
      <c r="M216" s="638"/>
      <c r="N216" s="638"/>
      <c r="O216" s="638"/>
      <c r="P216" s="638"/>
      <c r="Q216" s="638"/>
      <c r="R216" s="638"/>
      <c r="S216" s="638"/>
      <c r="T216" s="638"/>
      <c r="U216" s="9"/>
      <c r="V216" s="9"/>
      <c r="W216" s="9"/>
      <c r="X216" s="9"/>
      <c r="Y216" s="9"/>
      <c r="Z216" s="9"/>
      <c r="AA216" s="9"/>
      <c r="AB216" s="9"/>
      <c r="AC216" s="9"/>
      <c r="AD216" s="9"/>
      <c r="AE216" s="9"/>
      <c r="AF216" s="9"/>
      <c r="AG216" s="9"/>
      <c r="AH216" s="9"/>
      <c r="AI216" s="9"/>
      <c r="AJ216" s="9"/>
      <c r="AK216" s="9"/>
      <c r="AL216" s="9"/>
      <c r="AM216" s="9"/>
      <c r="AN216" s="9"/>
      <c r="AO216" s="9"/>
      <c r="AP216" s="9"/>
      <c r="AQ216" s="9"/>
    </row>
    <row r="217" spans="1:43" hidden="1" outlineLevel="1" x14ac:dyDescent="0.2">
      <c r="A217" s="638"/>
      <c r="B217" s="638"/>
      <c r="C217" s="707"/>
      <c r="D217" s="13" t="s">
        <v>108</v>
      </c>
      <c r="E217" s="38">
        <f t="shared" ref="E217:K217" si="96">ROUND(E218*$T$160,0)</f>
        <v>0</v>
      </c>
      <c r="F217" s="38">
        <f t="shared" si="96"/>
        <v>0</v>
      </c>
      <c r="G217" s="38">
        <f t="shared" si="96"/>
        <v>0</v>
      </c>
      <c r="H217" s="38">
        <f t="shared" si="96"/>
        <v>0</v>
      </c>
      <c r="I217" s="38">
        <f t="shared" si="96"/>
        <v>0</v>
      </c>
      <c r="J217" s="38">
        <f t="shared" si="96"/>
        <v>0</v>
      </c>
      <c r="K217" s="38">
        <f t="shared" si="96"/>
        <v>0</v>
      </c>
      <c r="L217" s="638"/>
      <c r="M217" s="638"/>
      <c r="N217" s="638"/>
      <c r="O217" s="638"/>
      <c r="P217" s="638"/>
      <c r="Q217" s="638"/>
      <c r="R217" s="638"/>
      <c r="S217" s="638"/>
      <c r="T217" s="638"/>
      <c r="U217" s="9"/>
      <c r="V217" s="9"/>
      <c r="W217" s="9"/>
      <c r="X217" s="9"/>
      <c r="Y217" s="9"/>
      <c r="Z217" s="9"/>
      <c r="AA217" s="9"/>
      <c r="AB217" s="9"/>
      <c r="AC217" s="9"/>
      <c r="AD217" s="9"/>
      <c r="AE217" s="9"/>
      <c r="AF217" s="9"/>
      <c r="AG217" s="9"/>
      <c r="AH217" s="9"/>
      <c r="AI217" s="9"/>
      <c r="AJ217" s="9"/>
      <c r="AK217" s="9"/>
      <c r="AL217" s="9"/>
      <c r="AM217" s="9"/>
      <c r="AN217" s="9"/>
      <c r="AO217" s="9"/>
      <c r="AP217" s="9"/>
      <c r="AQ217" s="9"/>
    </row>
    <row r="218" spans="1:43" hidden="1" outlineLevel="1" x14ac:dyDescent="0.2">
      <c r="A218" s="638"/>
      <c r="B218" s="638"/>
      <c r="C218" s="707"/>
      <c r="D218" s="635" t="s">
        <v>844</v>
      </c>
      <c r="E218" s="39">
        <f t="shared" ref="E218:K218" si="97">IF(E212="","",E215*E214*E212)</f>
        <v>0</v>
      </c>
      <c r="F218" s="39">
        <f t="shared" si="97"/>
        <v>0</v>
      </c>
      <c r="G218" s="39">
        <f t="shared" si="97"/>
        <v>0</v>
      </c>
      <c r="H218" s="39">
        <f t="shared" si="97"/>
        <v>0</v>
      </c>
      <c r="I218" s="39">
        <f t="shared" si="97"/>
        <v>0</v>
      </c>
      <c r="J218" s="39">
        <f t="shared" si="97"/>
        <v>0</v>
      </c>
      <c r="K218" s="39">
        <f t="shared" si="97"/>
        <v>0</v>
      </c>
      <c r="L218" s="638"/>
      <c r="M218" s="638"/>
      <c r="N218" s="638"/>
      <c r="O218" s="638"/>
      <c r="P218" s="638"/>
      <c r="Q218" s="638"/>
      <c r="R218" s="638"/>
      <c r="S218" s="638"/>
      <c r="T218" s="638"/>
      <c r="U218" s="9"/>
      <c r="V218" s="9"/>
      <c r="W218" s="9"/>
      <c r="X218" s="9"/>
      <c r="Y218" s="9"/>
      <c r="Z218" s="9"/>
      <c r="AA218" s="9"/>
      <c r="AB218" s="9"/>
      <c r="AC218" s="9"/>
      <c r="AD218" s="9"/>
      <c r="AE218" s="9"/>
      <c r="AF218" s="9"/>
      <c r="AG218" s="9"/>
      <c r="AH218" s="9"/>
      <c r="AI218" s="9"/>
      <c r="AJ218" s="9"/>
      <c r="AK218" s="9"/>
      <c r="AL218" s="9"/>
      <c r="AM218" s="9"/>
      <c r="AN218" s="9"/>
      <c r="AO218" s="9"/>
      <c r="AP218" s="9"/>
      <c r="AQ218" s="9"/>
    </row>
    <row r="219" spans="1:43" hidden="1" outlineLevel="1" x14ac:dyDescent="0.2">
      <c r="A219" s="162"/>
      <c r="B219" s="162"/>
      <c r="C219" s="706"/>
      <c r="D219" s="162"/>
      <c r="E219" s="162"/>
      <c r="F219" s="162"/>
      <c r="G219" s="709"/>
      <c r="H219" s="709"/>
      <c r="I219" s="709"/>
      <c r="J219" s="162"/>
      <c r="K219" s="162"/>
      <c r="L219" s="162"/>
      <c r="M219" s="162"/>
      <c r="N219" s="162"/>
      <c r="O219" s="162"/>
      <c r="P219" s="162"/>
      <c r="Q219" s="162"/>
      <c r="R219" s="162"/>
      <c r="S219" s="162"/>
      <c r="T219" s="162"/>
      <c r="U219" s="641"/>
      <c r="V219" s="641"/>
      <c r="W219" s="641"/>
      <c r="X219" s="641"/>
      <c r="Y219" s="641"/>
      <c r="Z219" s="641"/>
      <c r="AA219" s="641"/>
      <c r="AB219" s="641"/>
      <c r="AC219" s="641"/>
      <c r="AD219" s="641"/>
      <c r="AE219" s="641"/>
      <c r="AF219" s="641"/>
      <c r="AG219" s="641"/>
      <c r="AH219" s="641"/>
      <c r="AI219" s="641"/>
      <c r="AJ219" s="641"/>
      <c r="AK219" s="641"/>
      <c r="AL219" s="641"/>
      <c r="AM219" s="641"/>
      <c r="AN219" s="641"/>
      <c r="AO219" s="641"/>
      <c r="AP219" s="641"/>
      <c r="AQ219" s="641"/>
    </row>
    <row r="220" spans="1:43" collapsed="1" x14ac:dyDescent="0.2">
      <c r="A220" s="162"/>
      <c r="B220" s="162"/>
      <c r="C220" s="706"/>
      <c r="D220" s="162"/>
      <c r="E220" s="162"/>
      <c r="F220" s="162"/>
      <c r="G220" s="162"/>
      <c r="H220" s="162"/>
      <c r="I220" s="162"/>
      <c r="J220" s="162"/>
      <c r="K220" s="162"/>
      <c r="L220" s="162"/>
      <c r="M220" s="162"/>
      <c r="N220" s="162"/>
      <c r="O220" s="162"/>
      <c r="P220" s="162"/>
      <c r="Q220" s="162"/>
      <c r="R220" s="162"/>
      <c r="S220" s="162"/>
      <c r="T220" s="162"/>
      <c r="U220" s="641"/>
      <c r="V220" s="641"/>
      <c r="W220" s="641"/>
      <c r="X220" s="641"/>
      <c r="Y220" s="641"/>
      <c r="Z220" s="641"/>
      <c r="AA220" s="641"/>
      <c r="AB220" s="641"/>
      <c r="AC220" s="641"/>
      <c r="AD220" s="641"/>
      <c r="AE220" s="641"/>
      <c r="AF220" s="641"/>
      <c r="AG220" s="641"/>
      <c r="AH220" s="641"/>
      <c r="AI220" s="641"/>
      <c r="AJ220" s="641"/>
      <c r="AK220" s="641"/>
      <c r="AL220" s="641"/>
      <c r="AM220" s="641"/>
      <c r="AN220" s="641"/>
      <c r="AO220" s="641"/>
      <c r="AP220" s="641"/>
      <c r="AQ220" s="641"/>
    </row>
    <row r="221" spans="1:43" ht="15" x14ac:dyDescent="0.2">
      <c r="A221" s="125"/>
      <c r="B221" s="125"/>
      <c r="C221" s="291">
        <v>4</v>
      </c>
      <c r="D221" s="147" t="str">
        <f>INDEX(NamesMSAdditional,C221,1)</f>
        <v>** NOT USED **</v>
      </c>
      <c r="E221" s="139"/>
      <c r="F221" s="139"/>
      <c r="G221" s="139"/>
      <c r="H221" s="139"/>
      <c r="I221" s="821" t="str">
        <f>IF(D221&lt;&gt;MsgNotUsed,"Co-payment group " &amp; INDEX(CoPayBandMSAdditional,C221),"")</f>
        <v/>
      </c>
      <c r="J221" s="821"/>
      <c r="K221" s="139"/>
      <c r="L221" s="139"/>
      <c r="M221" s="139"/>
      <c r="N221" s="139"/>
      <c r="O221" s="139"/>
      <c r="P221" s="139"/>
      <c r="Q221" s="139"/>
      <c r="R221" s="139"/>
      <c r="S221" s="139"/>
      <c r="T221" s="139"/>
      <c r="U221" s="139"/>
      <c r="V221" s="139"/>
      <c r="W221" s="139"/>
      <c r="X221" s="139"/>
      <c r="Y221" s="139"/>
      <c r="Z221" s="139"/>
      <c r="AA221" s="139"/>
      <c r="AB221" s="139"/>
      <c r="AC221" s="139"/>
      <c r="AD221" s="139"/>
      <c r="AE221" s="139"/>
      <c r="AF221" s="139"/>
      <c r="AG221" s="139"/>
      <c r="AH221" s="139"/>
      <c r="AI221" s="139"/>
      <c r="AJ221" s="139"/>
      <c r="AK221" s="139"/>
      <c r="AL221" s="139"/>
      <c r="AM221" s="139"/>
      <c r="AN221" s="139"/>
      <c r="AO221" s="139"/>
      <c r="AP221" s="139"/>
      <c r="AQ221" s="139"/>
    </row>
    <row r="222" spans="1:43" ht="15.75" hidden="1" outlineLevel="1" x14ac:dyDescent="0.2">
      <c r="A222" s="131"/>
      <c r="B222" s="131"/>
      <c r="C222" s="705"/>
      <c r="D222" s="655"/>
      <c r="E222" s="131"/>
      <c r="F222" s="131"/>
      <c r="G222" s="131"/>
      <c r="H222" s="131"/>
      <c r="I222" s="131"/>
      <c r="J222" s="131"/>
      <c r="K222" s="131"/>
      <c r="L222" s="131"/>
      <c r="M222" s="131"/>
      <c r="N222" s="131"/>
      <c r="O222" s="131"/>
      <c r="P222" s="131"/>
      <c r="Q222" s="131"/>
      <c r="R222" s="131"/>
      <c r="S222" s="26"/>
      <c r="T222" s="26"/>
      <c r="U222" s="26"/>
      <c r="V222" s="26"/>
      <c r="W222" s="26"/>
      <c r="X222" s="26"/>
      <c r="Y222" s="26"/>
      <c r="Z222" s="26"/>
      <c r="AA222" s="26"/>
      <c r="AB222" s="26"/>
      <c r="AC222" s="26"/>
      <c r="AD222" s="26"/>
      <c r="AE222" s="26"/>
      <c r="AF222" s="26"/>
      <c r="AG222" s="26"/>
      <c r="AH222" s="26"/>
      <c r="AI222" s="26"/>
      <c r="AJ222" s="26"/>
      <c r="AK222" s="26"/>
      <c r="AL222" s="26"/>
      <c r="AM222" s="26"/>
      <c r="AN222" s="26"/>
      <c r="AO222" s="26"/>
      <c r="AP222" s="26"/>
      <c r="AQ222" s="26"/>
    </row>
    <row r="223" spans="1:43" ht="14.25" hidden="1" customHeight="1" outlineLevel="1" x14ac:dyDescent="0.2">
      <c r="A223" s="162"/>
      <c r="B223" s="162"/>
      <c r="C223" s="706"/>
      <c r="D223" s="708"/>
      <c r="E223" s="64">
        <f>F223-1</f>
        <v>2020</v>
      </c>
      <c r="F223" s="64">
        <f>FirstYear</f>
        <v>2021</v>
      </c>
      <c r="G223" s="64">
        <f>F223+1</f>
        <v>2022</v>
      </c>
      <c r="H223" s="64">
        <f>G223+1</f>
        <v>2023</v>
      </c>
      <c r="I223" s="64">
        <f>H223+1</f>
        <v>2024</v>
      </c>
      <c r="J223" s="64">
        <f>I223+1</f>
        <v>2025</v>
      </c>
      <c r="K223" s="64">
        <f>J223+1</f>
        <v>2026</v>
      </c>
      <c r="L223" s="162"/>
      <c r="M223" s="616"/>
      <c r="N223" s="162"/>
      <c r="O223" s="162"/>
      <c r="P223" s="616"/>
      <c r="Q223" s="162"/>
      <c r="R223" s="162"/>
      <c r="S223" s="641"/>
      <c r="T223" s="641"/>
      <c r="U223" s="641"/>
      <c r="V223" s="641"/>
      <c r="W223" s="641"/>
      <c r="X223" s="641"/>
      <c r="Y223" s="641"/>
      <c r="Z223" s="641"/>
      <c r="AA223" s="641"/>
      <c r="AB223" s="641"/>
      <c r="AC223" s="641"/>
      <c r="AD223" s="641"/>
      <c r="AE223" s="641"/>
      <c r="AF223" s="641"/>
      <c r="AG223" s="641"/>
      <c r="AH223" s="641"/>
      <c r="AI223" s="641"/>
      <c r="AJ223" s="641"/>
      <c r="AK223" s="641"/>
      <c r="AL223" s="641"/>
      <c r="AM223" s="641"/>
      <c r="AN223" s="641"/>
      <c r="AO223" s="641"/>
      <c r="AP223" s="641"/>
      <c r="AQ223" s="641"/>
    </row>
    <row r="224" spans="1:43" hidden="1" outlineLevel="1" x14ac:dyDescent="0.2">
      <c r="A224" s="162"/>
      <c r="B224" s="162"/>
      <c r="C224" s="706"/>
      <c r="D224" s="4" t="s">
        <v>114</v>
      </c>
      <c r="E224" s="38">
        <f>INDEX(ScriptsMSAdditional,$C221) * INDEX(NamesMSAdditional,$C221,3)</f>
        <v>0</v>
      </c>
      <c r="F224" s="38">
        <f t="shared" ref="F224:K224" si="98">IF(E224="","",E224*(1+E225))</f>
        <v>0</v>
      </c>
      <c r="G224" s="38">
        <f t="shared" si="98"/>
        <v>0</v>
      </c>
      <c r="H224" s="38">
        <f t="shared" si="98"/>
        <v>0</v>
      </c>
      <c r="I224" s="38">
        <f t="shared" si="98"/>
        <v>0</v>
      </c>
      <c r="J224" s="38">
        <f>IF(I224="","",I224*(1+I225))</f>
        <v>0</v>
      </c>
      <c r="K224" s="38">
        <f t="shared" si="98"/>
        <v>0</v>
      </c>
      <c r="L224" s="162"/>
      <c r="M224" s="36" t="s">
        <v>258</v>
      </c>
      <c r="N224" s="162"/>
      <c r="O224" s="616"/>
      <c r="P224" s="162"/>
      <c r="Q224" s="162"/>
      <c r="R224" s="616"/>
      <c r="S224" s="162"/>
      <c r="T224" s="162"/>
      <c r="U224" s="641"/>
      <c r="V224" s="641"/>
      <c r="W224" s="641"/>
      <c r="X224" s="641"/>
      <c r="Y224" s="641"/>
      <c r="Z224" s="641"/>
      <c r="AA224" s="641"/>
      <c r="AB224" s="641"/>
      <c r="AC224" s="641"/>
      <c r="AD224" s="641"/>
      <c r="AE224" s="641"/>
      <c r="AF224" s="641"/>
      <c r="AG224" s="641"/>
      <c r="AH224" s="641"/>
      <c r="AI224" s="641"/>
      <c r="AJ224" s="641"/>
      <c r="AK224" s="641"/>
      <c r="AL224" s="641"/>
      <c r="AM224" s="641"/>
      <c r="AN224" s="641"/>
      <c r="AO224" s="641"/>
      <c r="AP224" s="641"/>
      <c r="AQ224" s="641"/>
    </row>
    <row r="225" spans="1:43" hidden="1" outlineLevel="1" x14ac:dyDescent="0.2">
      <c r="A225" s="162"/>
      <c r="B225" s="162"/>
      <c r="C225" s="706"/>
      <c r="D225" s="11" t="s">
        <v>26</v>
      </c>
      <c r="E225" s="34"/>
      <c r="F225" s="34"/>
      <c r="G225" s="34"/>
      <c r="H225" s="34"/>
      <c r="I225" s="34"/>
      <c r="J225" s="34"/>
      <c r="K225" s="33"/>
      <c r="L225" s="162"/>
      <c r="M225" s="867"/>
      <c r="N225" s="867"/>
      <c r="O225" s="867"/>
      <c r="P225" s="867"/>
      <c r="Q225" s="867"/>
      <c r="R225" s="867"/>
      <c r="S225" s="867"/>
      <c r="T225" s="867"/>
      <c r="U225" s="641"/>
      <c r="V225" s="641"/>
      <c r="W225" s="641"/>
      <c r="X225" s="641"/>
      <c r="Y225" s="641"/>
      <c r="Z225" s="641"/>
      <c r="AA225" s="641"/>
      <c r="AB225" s="641"/>
      <c r="AC225" s="641"/>
      <c r="AD225" s="641"/>
      <c r="AE225" s="641"/>
      <c r="AF225" s="641"/>
      <c r="AG225" s="641"/>
      <c r="AH225" s="641"/>
      <c r="AI225" s="641"/>
      <c r="AJ225" s="641"/>
      <c r="AK225" s="641"/>
      <c r="AL225" s="641"/>
      <c r="AM225" s="641"/>
      <c r="AN225" s="641"/>
      <c r="AO225" s="641"/>
      <c r="AP225" s="641"/>
      <c r="AQ225" s="641"/>
    </row>
    <row r="226" spans="1:43" hidden="1" outlineLevel="1" x14ac:dyDescent="0.2">
      <c r="A226" s="162"/>
      <c r="B226" s="162"/>
      <c r="C226" s="706"/>
      <c r="D226" s="11" t="s">
        <v>33</v>
      </c>
      <c r="E226" s="34"/>
      <c r="F226" s="34"/>
      <c r="G226" s="34"/>
      <c r="H226" s="34"/>
      <c r="I226" s="34"/>
      <c r="J226" s="34"/>
      <c r="K226" s="34"/>
      <c r="L226" s="162"/>
      <c r="M226" s="867"/>
      <c r="N226" s="867"/>
      <c r="O226" s="867"/>
      <c r="P226" s="867"/>
      <c r="Q226" s="867"/>
      <c r="R226" s="867"/>
      <c r="S226" s="867"/>
      <c r="T226" s="867"/>
      <c r="U226" s="641"/>
      <c r="V226" s="641"/>
      <c r="W226" s="641"/>
      <c r="X226" s="641"/>
      <c r="Y226" s="641"/>
      <c r="Z226" s="641"/>
      <c r="AA226" s="641"/>
      <c r="AB226" s="641"/>
      <c r="AC226" s="641"/>
      <c r="AD226" s="641"/>
      <c r="AE226" s="641"/>
      <c r="AF226" s="641"/>
      <c r="AG226" s="641"/>
      <c r="AH226" s="641"/>
      <c r="AI226" s="641"/>
      <c r="AJ226" s="641"/>
      <c r="AK226" s="641"/>
      <c r="AL226" s="641"/>
      <c r="AM226" s="641"/>
      <c r="AN226" s="641"/>
      <c r="AO226" s="641"/>
      <c r="AP226" s="641"/>
      <c r="AQ226" s="641"/>
    </row>
    <row r="227" spans="1:43" hidden="1" outlineLevel="1" x14ac:dyDescent="0.2">
      <c r="A227" s="162"/>
      <c r="B227" s="162"/>
      <c r="C227" s="706"/>
      <c r="D227" s="11" t="s">
        <v>849</v>
      </c>
      <c r="E227" s="34"/>
      <c r="F227" s="34"/>
      <c r="G227" s="34"/>
      <c r="H227" s="34"/>
      <c r="I227" s="34"/>
      <c r="J227" s="34"/>
      <c r="K227" s="34"/>
      <c r="L227" s="162"/>
      <c r="M227" s="867"/>
      <c r="N227" s="867"/>
      <c r="O227" s="867"/>
      <c r="P227" s="867"/>
      <c r="Q227" s="867"/>
      <c r="R227" s="867"/>
      <c r="S227" s="867"/>
      <c r="T227" s="867"/>
      <c r="U227" s="641"/>
      <c r="V227" s="641"/>
      <c r="W227" s="641"/>
      <c r="X227" s="641"/>
      <c r="Y227" s="641"/>
      <c r="Z227" s="641"/>
      <c r="AA227" s="641"/>
      <c r="AB227" s="641"/>
      <c r="AC227" s="641"/>
      <c r="AD227" s="641"/>
      <c r="AE227" s="641"/>
      <c r="AF227" s="641"/>
      <c r="AG227" s="641"/>
      <c r="AH227" s="641"/>
      <c r="AI227" s="641"/>
      <c r="AJ227" s="641"/>
      <c r="AK227" s="641"/>
      <c r="AL227" s="641"/>
      <c r="AM227" s="641"/>
      <c r="AN227" s="641"/>
      <c r="AO227" s="641"/>
      <c r="AP227" s="641"/>
      <c r="AQ227" s="641"/>
    </row>
    <row r="228" spans="1:43" hidden="1" outlineLevel="1" x14ac:dyDescent="0.2">
      <c r="A228" s="638"/>
      <c r="B228" s="638"/>
      <c r="C228" s="707"/>
      <c r="D228" s="13" t="s">
        <v>107</v>
      </c>
      <c r="E228" s="38">
        <f t="shared" ref="E228:K228" si="99">E230-E229</f>
        <v>0</v>
      </c>
      <c r="F228" s="38">
        <f t="shared" si="99"/>
        <v>0</v>
      </c>
      <c r="G228" s="38">
        <f t="shared" si="99"/>
        <v>0</v>
      </c>
      <c r="H228" s="38">
        <f t="shared" si="99"/>
        <v>0</v>
      </c>
      <c r="I228" s="38">
        <f t="shared" si="99"/>
        <v>0</v>
      </c>
      <c r="J228" s="38">
        <f t="shared" si="99"/>
        <v>0</v>
      </c>
      <c r="K228" s="38">
        <f t="shared" si="99"/>
        <v>0</v>
      </c>
      <c r="L228" s="638"/>
      <c r="M228" s="638"/>
      <c r="N228" s="638"/>
      <c r="O228" s="638"/>
      <c r="P228" s="638"/>
      <c r="Q228" s="638"/>
      <c r="R228" s="638"/>
      <c r="S228" s="638"/>
      <c r="T228" s="638"/>
      <c r="U228" s="9"/>
      <c r="V228" s="9"/>
      <c r="W228" s="9"/>
      <c r="X228" s="9"/>
      <c r="Y228" s="9"/>
      <c r="Z228" s="9"/>
      <c r="AA228" s="9"/>
      <c r="AB228" s="9"/>
      <c r="AC228" s="9"/>
      <c r="AD228" s="9"/>
      <c r="AE228" s="9"/>
      <c r="AF228" s="9"/>
      <c r="AG228" s="9"/>
      <c r="AH228" s="9"/>
      <c r="AI228" s="9"/>
      <c r="AJ228" s="9"/>
      <c r="AK228" s="9"/>
      <c r="AL228" s="9"/>
      <c r="AM228" s="9"/>
      <c r="AN228" s="9"/>
      <c r="AO228" s="9"/>
      <c r="AP228" s="9"/>
      <c r="AQ228" s="9"/>
    </row>
    <row r="229" spans="1:43" hidden="1" outlineLevel="1" x14ac:dyDescent="0.2">
      <c r="A229" s="638"/>
      <c r="B229" s="638"/>
      <c r="C229" s="707"/>
      <c r="D229" s="13" t="s">
        <v>108</v>
      </c>
      <c r="E229" s="38">
        <f t="shared" ref="E229:K229" si="100">ROUND(E230*$T$161,0)</f>
        <v>0</v>
      </c>
      <c r="F229" s="38">
        <f t="shared" si="100"/>
        <v>0</v>
      </c>
      <c r="G229" s="38">
        <f t="shared" si="100"/>
        <v>0</v>
      </c>
      <c r="H229" s="38">
        <f t="shared" si="100"/>
        <v>0</v>
      </c>
      <c r="I229" s="38">
        <f t="shared" si="100"/>
        <v>0</v>
      </c>
      <c r="J229" s="38">
        <f t="shared" si="100"/>
        <v>0</v>
      </c>
      <c r="K229" s="38">
        <f t="shared" si="100"/>
        <v>0</v>
      </c>
      <c r="L229" s="638"/>
      <c r="M229" s="638"/>
      <c r="N229" s="638"/>
      <c r="O229" s="638"/>
      <c r="P229" s="638"/>
      <c r="Q229" s="638"/>
      <c r="R229" s="638"/>
      <c r="S229" s="638"/>
      <c r="T229" s="638"/>
      <c r="U229" s="9"/>
      <c r="V229" s="9"/>
      <c r="W229" s="9"/>
      <c r="X229" s="9"/>
      <c r="Y229" s="9"/>
      <c r="Z229" s="9"/>
      <c r="AA229" s="9"/>
      <c r="AB229" s="9"/>
      <c r="AC229" s="9"/>
      <c r="AD229" s="9"/>
      <c r="AE229" s="9"/>
      <c r="AF229" s="9"/>
      <c r="AG229" s="9"/>
      <c r="AH229" s="9"/>
      <c r="AI229" s="9"/>
      <c r="AJ229" s="9"/>
      <c r="AK229" s="9"/>
      <c r="AL229" s="9"/>
      <c r="AM229" s="9"/>
      <c r="AN229" s="9"/>
      <c r="AO229" s="9"/>
      <c r="AP229" s="9"/>
      <c r="AQ229" s="9"/>
    </row>
    <row r="230" spans="1:43" hidden="1" outlineLevel="1" x14ac:dyDescent="0.2">
      <c r="A230" s="638"/>
      <c r="B230" s="638"/>
      <c r="C230" s="707"/>
      <c r="D230" s="635" t="s">
        <v>844</v>
      </c>
      <c r="E230" s="39">
        <f t="shared" ref="E230:K230" si="101">IF(E224="","",E227*E226*E224)</f>
        <v>0</v>
      </c>
      <c r="F230" s="39">
        <f t="shared" si="101"/>
        <v>0</v>
      </c>
      <c r="G230" s="39">
        <f t="shared" si="101"/>
        <v>0</v>
      </c>
      <c r="H230" s="39">
        <f t="shared" si="101"/>
        <v>0</v>
      </c>
      <c r="I230" s="39">
        <f t="shared" si="101"/>
        <v>0</v>
      </c>
      <c r="J230" s="39">
        <f t="shared" si="101"/>
        <v>0</v>
      </c>
      <c r="K230" s="39">
        <f t="shared" si="101"/>
        <v>0</v>
      </c>
      <c r="L230" s="638"/>
      <c r="M230" s="638"/>
      <c r="N230" s="638"/>
      <c r="O230" s="638"/>
      <c r="P230" s="638"/>
      <c r="Q230" s="638"/>
      <c r="R230" s="638"/>
      <c r="S230" s="638"/>
      <c r="T230" s="638"/>
      <c r="U230" s="9"/>
      <c r="V230" s="9"/>
      <c r="W230" s="9"/>
      <c r="X230" s="9"/>
      <c r="Y230" s="9"/>
      <c r="Z230" s="9"/>
      <c r="AA230" s="9"/>
      <c r="AB230" s="9"/>
      <c r="AC230" s="9"/>
      <c r="AD230" s="9"/>
      <c r="AE230" s="9"/>
      <c r="AF230" s="9"/>
      <c r="AG230" s="9"/>
      <c r="AH230" s="9"/>
      <c r="AI230" s="9"/>
      <c r="AJ230" s="9"/>
      <c r="AK230" s="9"/>
      <c r="AL230" s="9"/>
      <c r="AM230" s="9"/>
      <c r="AN230" s="9"/>
      <c r="AO230" s="9"/>
      <c r="AP230" s="9"/>
      <c r="AQ230" s="9"/>
    </row>
    <row r="231" spans="1:43" hidden="1" outlineLevel="1" x14ac:dyDescent="0.2">
      <c r="A231" s="162"/>
      <c r="B231" s="162"/>
      <c r="C231" s="706"/>
      <c r="D231" s="162"/>
      <c r="E231" s="162"/>
      <c r="F231" s="162"/>
      <c r="G231" s="709"/>
      <c r="H231" s="709"/>
      <c r="I231" s="709"/>
      <c r="J231" s="162"/>
      <c r="K231" s="162"/>
      <c r="L231" s="162"/>
      <c r="M231" s="162"/>
      <c r="N231" s="162"/>
      <c r="O231" s="162"/>
      <c r="P231" s="162"/>
      <c r="Q231" s="162"/>
      <c r="R231" s="162"/>
      <c r="S231" s="162"/>
      <c r="T231" s="162"/>
      <c r="U231" s="641"/>
      <c r="V231" s="641"/>
      <c r="W231" s="641"/>
      <c r="X231" s="641"/>
      <c r="Y231" s="641"/>
      <c r="Z231" s="641"/>
      <c r="AA231" s="641"/>
      <c r="AB231" s="641"/>
      <c r="AC231" s="641"/>
      <c r="AD231" s="641"/>
      <c r="AE231" s="641"/>
      <c r="AF231" s="641"/>
      <c r="AG231" s="641"/>
      <c r="AH231" s="641"/>
      <c r="AI231" s="641"/>
      <c r="AJ231" s="641"/>
      <c r="AK231" s="641"/>
      <c r="AL231" s="641"/>
      <c r="AM231" s="641"/>
      <c r="AN231" s="641"/>
      <c r="AO231" s="641"/>
      <c r="AP231" s="641"/>
      <c r="AQ231" s="641"/>
    </row>
    <row r="232" spans="1:43" collapsed="1" x14ac:dyDescent="0.2">
      <c r="A232" s="162"/>
      <c r="B232" s="162"/>
      <c r="C232" s="706"/>
      <c r="D232" s="162"/>
      <c r="E232" s="162"/>
      <c r="F232" s="162"/>
      <c r="G232" s="162"/>
      <c r="H232" s="162"/>
      <c r="I232" s="162"/>
      <c r="J232" s="162"/>
      <c r="K232" s="162"/>
      <c r="L232" s="162"/>
      <c r="M232" s="162"/>
      <c r="N232" s="162"/>
      <c r="O232" s="162"/>
      <c r="P232" s="162"/>
      <c r="Q232" s="162"/>
      <c r="R232" s="162"/>
      <c r="S232" s="162"/>
      <c r="T232" s="162"/>
      <c r="U232" s="641"/>
      <c r="V232" s="641"/>
      <c r="W232" s="641"/>
      <c r="X232" s="641"/>
      <c r="Y232" s="641"/>
      <c r="Z232" s="641"/>
      <c r="AA232" s="641"/>
      <c r="AB232" s="641"/>
      <c r="AC232" s="641"/>
      <c r="AD232" s="641"/>
      <c r="AE232" s="641"/>
      <c r="AF232" s="641"/>
      <c r="AG232" s="641"/>
      <c r="AH232" s="641"/>
      <c r="AI232" s="641"/>
      <c r="AJ232" s="641"/>
      <c r="AK232" s="641"/>
      <c r="AL232" s="641"/>
      <c r="AM232" s="641"/>
      <c r="AN232" s="641"/>
      <c r="AO232" s="641"/>
      <c r="AP232" s="641"/>
      <c r="AQ232" s="641"/>
    </row>
    <row r="233" spans="1:43" ht="15" x14ac:dyDescent="0.2">
      <c r="A233" s="125"/>
      <c r="B233" s="125"/>
      <c r="C233" s="291">
        <v>5</v>
      </c>
      <c r="D233" s="147" t="str">
        <f>INDEX(NamesMSAdditional,C233,1)</f>
        <v>** NOT USED **</v>
      </c>
      <c r="E233" s="139"/>
      <c r="F233" s="139"/>
      <c r="G233" s="139"/>
      <c r="H233" s="139"/>
      <c r="I233" s="821" t="str">
        <f>IF(D233&lt;&gt;MsgNotUsed,"Co-payment group " &amp; INDEX(CoPayBandMSAdditional,C233),"")</f>
        <v/>
      </c>
      <c r="J233" s="821"/>
      <c r="K233" s="139"/>
      <c r="L233" s="139"/>
      <c r="M233" s="139"/>
      <c r="N233" s="139"/>
      <c r="O233" s="139"/>
      <c r="P233" s="139"/>
      <c r="Q233" s="139"/>
      <c r="R233" s="139"/>
      <c r="S233" s="139"/>
      <c r="T233" s="139"/>
      <c r="U233" s="139"/>
      <c r="V233" s="139"/>
      <c r="W233" s="139"/>
      <c r="X233" s="139"/>
      <c r="Y233" s="139"/>
      <c r="Z233" s="139"/>
      <c r="AA233" s="139"/>
      <c r="AB233" s="139"/>
      <c r="AC233" s="139"/>
      <c r="AD233" s="139"/>
      <c r="AE233" s="139"/>
      <c r="AF233" s="139"/>
      <c r="AG233" s="139"/>
      <c r="AH233" s="139"/>
      <c r="AI233" s="139"/>
      <c r="AJ233" s="139"/>
      <c r="AK233" s="139"/>
      <c r="AL233" s="139"/>
      <c r="AM233" s="139"/>
      <c r="AN233" s="139"/>
      <c r="AO233" s="139"/>
      <c r="AP233" s="139"/>
      <c r="AQ233" s="139"/>
    </row>
    <row r="234" spans="1:43" ht="15.75" hidden="1" outlineLevel="1" x14ac:dyDescent="0.2">
      <c r="A234" s="131"/>
      <c r="B234" s="131"/>
      <c r="C234" s="705"/>
      <c r="D234" s="655"/>
      <c r="E234" s="131"/>
      <c r="F234" s="131"/>
      <c r="G234" s="131"/>
      <c r="H234" s="131"/>
      <c r="I234" s="131"/>
      <c r="J234" s="131"/>
      <c r="K234" s="131"/>
      <c r="L234" s="131"/>
      <c r="M234" s="131"/>
      <c r="N234" s="131"/>
      <c r="O234" s="131"/>
      <c r="P234" s="131"/>
      <c r="Q234" s="131"/>
      <c r="R234" s="131"/>
      <c r="S234" s="26"/>
      <c r="T234" s="26"/>
      <c r="U234" s="26"/>
      <c r="V234" s="26"/>
      <c r="W234" s="26"/>
      <c r="X234" s="26"/>
      <c r="Y234" s="26"/>
      <c r="Z234" s="26"/>
      <c r="AA234" s="26"/>
      <c r="AB234" s="26"/>
      <c r="AC234" s="26"/>
      <c r="AD234" s="26"/>
      <c r="AE234" s="26"/>
      <c r="AF234" s="26"/>
      <c r="AG234" s="26"/>
      <c r="AH234" s="26"/>
      <c r="AI234" s="26"/>
      <c r="AJ234" s="26"/>
      <c r="AK234" s="26"/>
      <c r="AL234" s="26"/>
      <c r="AM234" s="26"/>
      <c r="AN234" s="26"/>
      <c r="AO234" s="26"/>
      <c r="AP234" s="26"/>
      <c r="AQ234" s="26"/>
    </row>
    <row r="235" spans="1:43" ht="14.25" hidden="1" customHeight="1" outlineLevel="1" x14ac:dyDescent="0.2">
      <c r="A235" s="162"/>
      <c r="B235" s="162"/>
      <c r="C235" s="706"/>
      <c r="D235" s="708"/>
      <c r="E235" s="64">
        <f>F235-1</f>
        <v>2020</v>
      </c>
      <c r="F235" s="64">
        <f>FirstYear</f>
        <v>2021</v>
      </c>
      <c r="G235" s="64">
        <f>F235+1</f>
        <v>2022</v>
      </c>
      <c r="H235" s="64">
        <f>G235+1</f>
        <v>2023</v>
      </c>
      <c r="I235" s="64">
        <f>H235+1</f>
        <v>2024</v>
      </c>
      <c r="J235" s="64">
        <f>I235+1</f>
        <v>2025</v>
      </c>
      <c r="K235" s="64">
        <f>J235+1</f>
        <v>2026</v>
      </c>
      <c r="L235" s="162"/>
      <c r="M235" s="616"/>
      <c r="N235" s="162"/>
      <c r="O235" s="162"/>
      <c r="P235" s="616"/>
      <c r="Q235" s="162"/>
      <c r="R235" s="162"/>
      <c r="S235" s="641"/>
      <c r="T235" s="641"/>
      <c r="U235" s="641"/>
      <c r="V235" s="641"/>
      <c r="W235" s="641"/>
      <c r="X235" s="641"/>
      <c r="Y235" s="641"/>
      <c r="Z235" s="641"/>
      <c r="AA235" s="641"/>
      <c r="AB235" s="641"/>
      <c r="AC235" s="641"/>
      <c r="AD235" s="641"/>
      <c r="AE235" s="641"/>
      <c r="AF235" s="641"/>
      <c r="AG235" s="641"/>
      <c r="AH235" s="641"/>
      <c r="AI235" s="641"/>
      <c r="AJ235" s="641"/>
      <c r="AK235" s="641"/>
      <c r="AL235" s="641"/>
      <c r="AM235" s="641"/>
      <c r="AN235" s="641"/>
      <c r="AO235" s="641"/>
      <c r="AP235" s="641"/>
      <c r="AQ235" s="641"/>
    </row>
    <row r="236" spans="1:43" hidden="1" outlineLevel="1" x14ac:dyDescent="0.2">
      <c r="A236" s="162"/>
      <c r="B236" s="162"/>
      <c r="C236" s="706"/>
      <c r="D236" s="4" t="s">
        <v>114</v>
      </c>
      <c r="E236" s="38">
        <f>INDEX(ScriptsMSAdditional,$C233) * INDEX(NamesMSAdditional,$C233,3)</f>
        <v>0</v>
      </c>
      <c r="F236" s="38">
        <f t="shared" ref="F236:K236" si="102">IF(E236="","",E236*(1+E237))</f>
        <v>0</v>
      </c>
      <c r="G236" s="38">
        <f t="shared" si="102"/>
        <v>0</v>
      </c>
      <c r="H236" s="38">
        <f t="shared" si="102"/>
        <v>0</v>
      </c>
      <c r="I236" s="38">
        <f t="shared" si="102"/>
        <v>0</v>
      </c>
      <c r="J236" s="38">
        <f>IF(I236="","",I236*(1+I237))</f>
        <v>0</v>
      </c>
      <c r="K236" s="38">
        <f t="shared" si="102"/>
        <v>0</v>
      </c>
      <c r="L236" s="162"/>
      <c r="M236" s="36" t="s">
        <v>258</v>
      </c>
      <c r="N236" s="162"/>
      <c r="O236" s="616"/>
      <c r="P236" s="162"/>
      <c r="Q236" s="162"/>
      <c r="R236" s="616"/>
      <c r="S236" s="162"/>
      <c r="T236" s="162"/>
      <c r="U236" s="641"/>
      <c r="V236" s="641"/>
      <c r="W236" s="641"/>
      <c r="X236" s="641"/>
      <c r="Y236" s="641"/>
      <c r="Z236" s="641"/>
      <c r="AA236" s="641"/>
      <c r="AB236" s="641"/>
      <c r="AC236" s="641"/>
      <c r="AD236" s="641"/>
      <c r="AE236" s="641"/>
      <c r="AF236" s="641"/>
      <c r="AG236" s="641"/>
      <c r="AH236" s="641"/>
      <c r="AI236" s="641"/>
      <c r="AJ236" s="641"/>
      <c r="AK236" s="641"/>
      <c r="AL236" s="641"/>
      <c r="AM236" s="641"/>
      <c r="AN236" s="641"/>
      <c r="AO236" s="641"/>
      <c r="AP236" s="641"/>
      <c r="AQ236" s="641"/>
    </row>
    <row r="237" spans="1:43" hidden="1" outlineLevel="1" x14ac:dyDescent="0.2">
      <c r="A237" s="162"/>
      <c r="B237" s="162"/>
      <c r="C237" s="706"/>
      <c r="D237" s="11" t="s">
        <v>26</v>
      </c>
      <c r="E237" s="34"/>
      <c r="F237" s="34"/>
      <c r="G237" s="34"/>
      <c r="H237" s="34"/>
      <c r="I237" s="34"/>
      <c r="J237" s="34"/>
      <c r="K237" s="33"/>
      <c r="L237" s="162"/>
      <c r="M237" s="867"/>
      <c r="N237" s="867"/>
      <c r="O237" s="867"/>
      <c r="P237" s="867"/>
      <c r="Q237" s="867"/>
      <c r="R237" s="867"/>
      <c r="S237" s="867"/>
      <c r="T237" s="867"/>
      <c r="U237" s="641"/>
      <c r="V237" s="641"/>
      <c r="W237" s="641"/>
      <c r="X237" s="641"/>
      <c r="Y237" s="641"/>
      <c r="Z237" s="641"/>
      <c r="AA237" s="641"/>
      <c r="AB237" s="641"/>
      <c r="AC237" s="641"/>
      <c r="AD237" s="641"/>
      <c r="AE237" s="641"/>
      <c r="AF237" s="641"/>
      <c r="AG237" s="641"/>
      <c r="AH237" s="641"/>
      <c r="AI237" s="641"/>
      <c r="AJ237" s="641"/>
      <c r="AK237" s="641"/>
      <c r="AL237" s="641"/>
      <c r="AM237" s="641"/>
      <c r="AN237" s="641"/>
      <c r="AO237" s="641"/>
      <c r="AP237" s="641"/>
      <c r="AQ237" s="641"/>
    </row>
    <row r="238" spans="1:43" hidden="1" outlineLevel="1" x14ac:dyDescent="0.2">
      <c r="A238" s="162"/>
      <c r="B238" s="162"/>
      <c r="C238" s="706"/>
      <c r="D238" s="11" t="s">
        <v>33</v>
      </c>
      <c r="E238" s="34"/>
      <c r="F238" s="34"/>
      <c r="G238" s="34"/>
      <c r="H238" s="34"/>
      <c r="I238" s="34"/>
      <c r="J238" s="34"/>
      <c r="K238" s="34"/>
      <c r="L238" s="162"/>
      <c r="M238" s="867"/>
      <c r="N238" s="867"/>
      <c r="O238" s="867"/>
      <c r="P238" s="867"/>
      <c r="Q238" s="867"/>
      <c r="R238" s="867"/>
      <c r="S238" s="867"/>
      <c r="T238" s="867"/>
      <c r="U238" s="641"/>
      <c r="V238" s="641"/>
      <c r="W238" s="641"/>
      <c r="X238" s="641"/>
      <c r="Y238" s="641"/>
      <c r="Z238" s="641"/>
      <c r="AA238" s="641"/>
      <c r="AB238" s="641"/>
      <c r="AC238" s="641"/>
      <c r="AD238" s="641"/>
      <c r="AE238" s="641"/>
      <c r="AF238" s="641"/>
      <c r="AG238" s="641"/>
      <c r="AH238" s="641"/>
      <c r="AI238" s="641"/>
      <c r="AJ238" s="641"/>
      <c r="AK238" s="641"/>
      <c r="AL238" s="641"/>
      <c r="AM238" s="641"/>
      <c r="AN238" s="641"/>
      <c r="AO238" s="641"/>
      <c r="AP238" s="641"/>
      <c r="AQ238" s="641"/>
    </row>
    <row r="239" spans="1:43" hidden="1" outlineLevel="1" x14ac:dyDescent="0.2">
      <c r="A239" s="162"/>
      <c r="B239" s="162"/>
      <c r="C239" s="706"/>
      <c r="D239" s="11" t="s">
        <v>849</v>
      </c>
      <c r="E239" s="34"/>
      <c r="F239" s="34"/>
      <c r="G239" s="34"/>
      <c r="H239" s="34"/>
      <c r="I239" s="34"/>
      <c r="J239" s="34"/>
      <c r="K239" s="34"/>
      <c r="L239" s="162"/>
      <c r="M239" s="867"/>
      <c r="N239" s="867"/>
      <c r="O239" s="867"/>
      <c r="P239" s="867"/>
      <c r="Q239" s="867"/>
      <c r="R239" s="867"/>
      <c r="S239" s="867"/>
      <c r="T239" s="867"/>
      <c r="U239" s="641"/>
      <c r="V239" s="641"/>
      <c r="W239" s="641"/>
      <c r="X239" s="641"/>
      <c r="Y239" s="641"/>
      <c r="Z239" s="641"/>
      <c r="AA239" s="641"/>
      <c r="AB239" s="641"/>
      <c r="AC239" s="641"/>
      <c r="AD239" s="641"/>
      <c r="AE239" s="641"/>
      <c r="AF239" s="641"/>
      <c r="AG239" s="641"/>
      <c r="AH239" s="641"/>
      <c r="AI239" s="641"/>
      <c r="AJ239" s="641"/>
      <c r="AK239" s="641"/>
      <c r="AL239" s="641"/>
      <c r="AM239" s="641"/>
      <c r="AN239" s="641"/>
      <c r="AO239" s="641"/>
      <c r="AP239" s="641"/>
      <c r="AQ239" s="641"/>
    </row>
    <row r="240" spans="1:43" hidden="1" outlineLevel="1" x14ac:dyDescent="0.2">
      <c r="A240" s="638"/>
      <c r="B240" s="638"/>
      <c r="C240" s="707"/>
      <c r="D240" s="13" t="s">
        <v>107</v>
      </c>
      <c r="E240" s="38">
        <f t="shared" ref="E240:K240" si="103">E242-E241</f>
        <v>0</v>
      </c>
      <c r="F240" s="38">
        <f t="shared" si="103"/>
        <v>0</v>
      </c>
      <c r="G240" s="38">
        <f t="shared" si="103"/>
        <v>0</v>
      </c>
      <c r="H240" s="38">
        <f t="shared" si="103"/>
        <v>0</v>
      </c>
      <c r="I240" s="38">
        <f t="shared" si="103"/>
        <v>0</v>
      </c>
      <c r="J240" s="38">
        <f t="shared" si="103"/>
        <v>0</v>
      </c>
      <c r="K240" s="38">
        <f t="shared" si="103"/>
        <v>0</v>
      </c>
      <c r="L240" s="638"/>
      <c r="M240" s="638"/>
      <c r="N240" s="638"/>
      <c r="O240" s="638"/>
      <c r="P240" s="638"/>
      <c r="Q240" s="638"/>
      <c r="R240" s="638"/>
      <c r="S240" s="638"/>
      <c r="T240" s="638"/>
      <c r="U240" s="9"/>
      <c r="V240" s="9"/>
      <c r="W240" s="9"/>
      <c r="X240" s="9"/>
      <c r="Y240" s="9"/>
      <c r="Z240" s="9"/>
      <c r="AA240" s="9"/>
      <c r="AB240" s="9"/>
      <c r="AC240" s="9"/>
      <c r="AD240" s="9"/>
      <c r="AE240" s="9"/>
      <c r="AF240" s="9"/>
      <c r="AG240" s="9"/>
      <c r="AH240" s="9"/>
      <c r="AI240" s="9"/>
      <c r="AJ240" s="9"/>
      <c r="AK240" s="9"/>
      <c r="AL240" s="9"/>
      <c r="AM240" s="9"/>
      <c r="AN240" s="9"/>
      <c r="AO240" s="9"/>
      <c r="AP240" s="9"/>
      <c r="AQ240" s="9"/>
    </row>
    <row r="241" spans="1:43" hidden="1" outlineLevel="1" x14ac:dyDescent="0.2">
      <c r="A241" s="638"/>
      <c r="B241" s="638"/>
      <c r="C241" s="707"/>
      <c r="D241" s="13" t="s">
        <v>108</v>
      </c>
      <c r="E241" s="38">
        <f t="shared" ref="E241:K241" si="104">ROUND(E242*$T$162,0)</f>
        <v>0</v>
      </c>
      <c r="F241" s="38">
        <f t="shared" si="104"/>
        <v>0</v>
      </c>
      <c r="G241" s="38">
        <f t="shared" si="104"/>
        <v>0</v>
      </c>
      <c r="H241" s="38">
        <f t="shared" si="104"/>
        <v>0</v>
      </c>
      <c r="I241" s="38">
        <f t="shared" si="104"/>
        <v>0</v>
      </c>
      <c r="J241" s="38">
        <f t="shared" si="104"/>
        <v>0</v>
      </c>
      <c r="K241" s="38">
        <f t="shared" si="104"/>
        <v>0</v>
      </c>
      <c r="L241" s="638"/>
      <c r="M241" s="638"/>
      <c r="N241" s="638"/>
      <c r="O241" s="638"/>
      <c r="P241" s="638"/>
      <c r="Q241" s="638"/>
      <c r="R241" s="638"/>
      <c r="S241" s="638"/>
      <c r="T241" s="638"/>
      <c r="U241" s="9"/>
      <c r="V241" s="9"/>
      <c r="W241" s="9"/>
      <c r="X241" s="9"/>
      <c r="Y241" s="9"/>
      <c r="Z241" s="9"/>
      <c r="AA241" s="9"/>
      <c r="AB241" s="9"/>
      <c r="AC241" s="9"/>
      <c r="AD241" s="9"/>
      <c r="AE241" s="9"/>
      <c r="AF241" s="9"/>
      <c r="AG241" s="9"/>
      <c r="AH241" s="9"/>
      <c r="AI241" s="9"/>
      <c r="AJ241" s="9"/>
      <c r="AK241" s="9"/>
      <c r="AL241" s="9"/>
      <c r="AM241" s="9"/>
      <c r="AN241" s="9"/>
      <c r="AO241" s="9"/>
      <c r="AP241" s="9"/>
      <c r="AQ241" s="9"/>
    </row>
    <row r="242" spans="1:43" hidden="1" outlineLevel="1" x14ac:dyDescent="0.2">
      <c r="A242" s="638"/>
      <c r="B242" s="638"/>
      <c r="C242" s="707"/>
      <c r="D242" s="635" t="s">
        <v>844</v>
      </c>
      <c r="E242" s="39">
        <f t="shared" ref="E242:K242" si="105">IF(E236="","",E239*E238*E236)</f>
        <v>0</v>
      </c>
      <c r="F242" s="39">
        <f t="shared" si="105"/>
        <v>0</v>
      </c>
      <c r="G242" s="39">
        <f t="shared" si="105"/>
        <v>0</v>
      </c>
      <c r="H242" s="39">
        <f t="shared" si="105"/>
        <v>0</v>
      </c>
      <c r="I242" s="39">
        <f t="shared" si="105"/>
        <v>0</v>
      </c>
      <c r="J242" s="39">
        <f t="shared" si="105"/>
        <v>0</v>
      </c>
      <c r="K242" s="39">
        <f t="shared" si="105"/>
        <v>0</v>
      </c>
      <c r="L242" s="638"/>
      <c r="M242" s="638"/>
      <c r="N242" s="638"/>
      <c r="O242" s="638"/>
      <c r="P242" s="638"/>
      <c r="Q242" s="638"/>
      <c r="R242" s="638"/>
      <c r="S242" s="638"/>
      <c r="T242" s="638"/>
      <c r="U242" s="9"/>
      <c r="V242" s="9"/>
      <c r="W242" s="9"/>
      <c r="X242" s="9"/>
      <c r="Y242" s="9"/>
      <c r="Z242" s="9"/>
      <c r="AA242" s="9"/>
      <c r="AB242" s="9"/>
      <c r="AC242" s="9"/>
      <c r="AD242" s="9"/>
      <c r="AE242" s="9"/>
      <c r="AF242" s="9"/>
      <c r="AG242" s="9"/>
      <c r="AH242" s="9"/>
      <c r="AI242" s="9"/>
      <c r="AJ242" s="9"/>
      <c r="AK242" s="9"/>
      <c r="AL242" s="9"/>
      <c r="AM242" s="9"/>
      <c r="AN242" s="9"/>
      <c r="AO242" s="9"/>
      <c r="AP242" s="9"/>
      <c r="AQ242" s="9"/>
    </row>
    <row r="243" spans="1:43" hidden="1" outlineLevel="1" x14ac:dyDescent="0.2">
      <c r="A243" s="162"/>
      <c r="B243" s="162"/>
      <c r="C243" s="706"/>
      <c r="D243" s="162"/>
      <c r="E243" s="162"/>
      <c r="F243" s="162"/>
      <c r="G243" s="709"/>
      <c r="H243" s="709"/>
      <c r="I243" s="709"/>
      <c r="J243" s="162"/>
      <c r="K243" s="162"/>
      <c r="L243" s="162"/>
      <c r="M243" s="162"/>
      <c r="N243" s="162"/>
      <c r="O243" s="162"/>
      <c r="P243" s="162"/>
      <c r="Q243" s="162"/>
      <c r="R243" s="162"/>
      <c r="S243" s="162"/>
      <c r="T243" s="162"/>
      <c r="U243" s="641"/>
      <c r="V243" s="641"/>
      <c r="W243" s="641"/>
      <c r="X243" s="641"/>
      <c r="Y243" s="641"/>
      <c r="Z243" s="641"/>
      <c r="AA243" s="641"/>
      <c r="AB243" s="641"/>
      <c r="AC243" s="641"/>
      <c r="AD243" s="641"/>
      <c r="AE243" s="641"/>
      <c r="AF243" s="641"/>
      <c r="AG243" s="641"/>
      <c r="AH243" s="641"/>
      <c r="AI243" s="641"/>
      <c r="AJ243" s="641"/>
      <c r="AK243" s="641"/>
      <c r="AL243" s="641"/>
      <c r="AM243" s="641"/>
      <c r="AN243" s="641"/>
      <c r="AO243" s="641"/>
      <c r="AP243" s="641"/>
      <c r="AQ243" s="641"/>
    </row>
    <row r="244" spans="1:43" collapsed="1" x14ac:dyDescent="0.2">
      <c r="A244" s="162"/>
      <c r="B244" s="162"/>
      <c r="C244" s="706"/>
      <c r="D244" s="162"/>
      <c r="E244" s="162"/>
      <c r="F244" s="162"/>
      <c r="G244" s="162"/>
      <c r="H244" s="162"/>
      <c r="I244" s="162"/>
      <c r="J244" s="162"/>
      <c r="K244" s="162"/>
      <c r="L244" s="162"/>
      <c r="M244" s="162"/>
      <c r="N244" s="162"/>
      <c r="O244" s="162"/>
      <c r="P244" s="162"/>
      <c r="Q244" s="162"/>
      <c r="R244" s="162"/>
      <c r="S244" s="162"/>
      <c r="T244" s="162"/>
      <c r="U244" s="641"/>
      <c r="V244" s="641"/>
      <c r="W244" s="641"/>
      <c r="X244" s="641"/>
      <c r="Y244" s="641"/>
      <c r="Z244" s="641"/>
      <c r="AA244" s="641"/>
      <c r="AB244" s="641"/>
      <c r="AC244" s="641"/>
      <c r="AD244" s="641"/>
      <c r="AE244" s="641"/>
      <c r="AF244" s="641"/>
      <c r="AG244" s="641"/>
      <c r="AH244" s="641"/>
      <c r="AI244" s="641"/>
      <c r="AJ244" s="641"/>
      <c r="AK244" s="641"/>
      <c r="AL244" s="641"/>
      <c r="AM244" s="641"/>
      <c r="AN244" s="641"/>
      <c r="AO244" s="641"/>
      <c r="AP244" s="641"/>
      <c r="AQ244" s="641"/>
    </row>
    <row r="245" spans="1:43" ht="15" x14ac:dyDescent="0.2">
      <c r="A245" s="125"/>
      <c r="B245" s="125"/>
      <c r="C245" s="291">
        <v>6</v>
      </c>
      <c r="D245" s="147" t="str">
        <f>INDEX(NamesMSAdditional,C245,1)</f>
        <v>** NOT USED **</v>
      </c>
      <c r="E245" s="139"/>
      <c r="F245" s="139"/>
      <c r="G245" s="139"/>
      <c r="H245" s="139"/>
      <c r="I245" s="821" t="str">
        <f>IF(D245&lt;&gt;MsgNotUsed,"Co-payment group " &amp; INDEX(CoPayBandMSAdditional,C245),"")</f>
        <v/>
      </c>
      <c r="J245" s="821"/>
      <c r="K245" s="139"/>
      <c r="L245" s="139"/>
      <c r="M245" s="139"/>
      <c r="N245" s="139"/>
      <c r="O245" s="139"/>
      <c r="P245" s="139"/>
      <c r="Q245" s="139"/>
      <c r="R245" s="139"/>
      <c r="S245" s="139"/>
      <c r="T245" s="139"/>
      <c r="U245" s="139"/>
      <c r="V245" s="139"/>
      <c r="W245" s="139"/>
      <c r="X245" s="139"/>
      <c r="Y245" s="139"/>
      <c r="Z245" s="139"/>
      <c r="AA245" s="139"/>
      <c r="AB245" s="139"/>
      <c r="AC245" s="139"/>
      <c r="AD245" s="139"/>
      <c r="AE245" s="139"/>
      <c r="AF245" s="139"/>
      <c r="AG245" s="139"/>
      <c r="AH245" s="139"/>
      <c r="AI245" s="139"/>
      <c r="AJ245" s="139"/>
      <c r="AK245" s="139"/>
      <c r="AL245" s="139"/>
      <c r="AM245" s="139"/>
      <c r="AN245" s="139"/>
      <c r="AO245" s="139"/>
      <c r="AP245" s="139"/>
      <c r="AQ245" s="139"/>
    </row>
    <row r="246" spans="1:43" ht="15.75" hidden="1" outlineLevel="1" x14ac:dyDescent="0.2">
      <c r="A246" s="131"/>
      <c r="B246" s="131"/>
      <c r="C246" s="705"/>
      <c r="D246" s="655"/>
      <c r="E246" s="131"/>
      <c r="F246" s="131"/>
      <c r="G246" s="131"/>
      <c r="H246" s="131"/>
      <c r="I246" s="131"/>
      <c r="J246" s="131"/>
      <c r="K246" s="131"/>
      <c r="L246" s="131"/>
      <c r="M246" s="131"/>
      <c r="N246" s="131"/>
      <c r="O246" s="131"/>
      <c r="P246" s="131"/>
      <c r="Q246" s="131"/>
      <c r="R246" s="131"/>
      <c r="S246" s="26"/>
      <c r="T246" s="26"/>
      <c r="U246" s="26"/>
      <c r="V246" s="26"/>
      <c r="W246" s="26"/>
      <c r="X246" s="26"/>
      <c r="Y246" s="26"/>
      <c r="Z246" s="26"/>
      <c r="AA246" s="26"/>
      <c r="AB246" s="26"/>
      <c r="AC246" s="26"/>
      <c r="AD246" s="26"/>
      <c r="AE246" s="26"/>
      <c r="AF246" s="26"/>
      <c r="AG246" s="26"/>
      <c r="AH246" s="26"/>
      <c r="AI246" s="26"/>
      <c r="AJ246" s="26"/>
      <c r="AK246" s="26"/>
      <c r="AL246" s="26"/>
      <c r="AM246" s="26"/>
      <c r="AN246" s="26"/>
      <c r="AO246" s="26"/>
      <c r="AP246" s="26"/>
      <c r="AQ246" s="26"/>
    </row>
    <row r="247" spans="1:43" ht="14.25" hidden="1" customHeight="1" outlineLevel="1" x14ac:dyDescent="0.2">
      <c r="A247" s="162"/>
      <c r="B247" s="162"/>
      <c r="C247" s="706"/>
      <c r="D247" s="708"/>
      <c r="E247" s="64">
        <f>F247-1</f>
        <v>2020</v>
      </c>
      <c r="F247" s="64">
        <f>FirstYear</f>
        <v>2021</v>
      </c>
      <c r="G247" s="64">
        <f>F247+1</f>
        <v>2022</v>
      </c>
      <c r="H247" s="64">
        <f>G247+1</f>
        <v>2023</v>
      </c>
      <c r="I247" s="64">
        <f>H247+1</f>
        <v>2024</v>
      </c>
      <c r="J247" s="64">
        <f>I247+1</f>
        <v>2025</v>
      </c>
      <c r="K247" s="64">
        <f>J247+1</f>
        <v>2026</v>
      </c>
      <c r="L247" s="162"/>
      <c r="M247" s="616"/>
      <c r="N247" s="162"/>
      <c r="O247" s="162"/>
      <c r="P247" s="616"/>
      <c r="Q247" s="162"/>
      <c r="R247" s="162"/>
      <c r="S247" s="641"/>
      <c r="T247" s="641"/>
      <c r="U247" s="641"/>
      <c r="V247" s="641"/>
      <c r="W247" s="641"/>
      <c r="X247" s="641"/>
      <c r="Y247" s="641"/>
      <c r="Z247" s="641"/>
      <c r="AA247" s="641"/>
      <c r="AB247" s="641"/>
      <c r="AC247" s="641"/>
      <c r="AD247" s="641"/>
      <c r="AE247" s="641"/>
      <c r="AF247" s="641"/>
      <c r="AG247" s="641"/>
      <c r="AH247" s="641"/>
      <c r="AI247" s="641"/>
      <c r="AJ247" s="641"/>
      <c r="AK247" s="641"/>
      <c r="AL247" s="641"/>
      <c r="AM247" s="641"/>
      <c r="AN247" s="641"/>
      <c r="AO247" s="641"/>
      <c r="AP247" s="641"/>
      <c r="AQ247" s="641"/>
    </row>
    <row r="248" spans="1:43" hidden="1" outlineLevel="1" x14ac:dyDescent="0.2">
      <c r="A248" s="162"/>
      <c r="B248" s="162"/>
      <c r="C248" s="706"/>
      <c r="D248" s="4" t="s">
        <v>114</v>
      </c>
      <c r="E248" s="38">
        <f>INDEX(ScriptsMSAdditional,$C245) * INDEX(NamesMSAdditional,$C245,3)</f>
        <v>0</v>
      </c>
      <c r="F248" s="38">
        <f t="shared" ref="F248:K248" si="106">IF(E248="","",E248*(1+E249))</f>
        <v>0</v>
      </c>
      <c r="G248" s="38">
        <f t="shared" si="106"/>
        <v>0</v>
      </c>
      <c r="H248" s="38">
        <f t="shared" si="106"/>
        <v>0</v>
      </c>
      <c r="I248" s="38">
        <f t="shared" si="106"/>
        <v>0</v>
      </c>
      <c r="J248" s="38">
        <f>IF(I248="","",I248*(1+I249))</f>
        <v>0</v>
      </c>
      <c r="K248" s="38">
        <f t="shared" si="106"/>
        <v>0</v>
      </c>
      <c r="L248" s="162"/>
      <c r="M248" s="36" t="s">
        <v>258</v>
      </c>
      <c r="N248" s="162"/>
      <c r="O248" s="616"/>
      <c r="P248" s="162"/>
      <c r="Q248" s="162"/>
      <c r="R248" s="616"/>
      <c r="S248" s="162"/>
      <c r="T248" s="162"/>
      <c r="U248" s="641"/>
      <c r="V248" s="641"/>
      <c r="W248" s="641"/>
      <c r="X248" s="641"/>
      <c r="Y248" s="641"/>
      <c r="Z248" s="641"/>
      <c r="AA248" s="641"/>
      <c r="AB248" s="641"/>
      <c r="AC248" s="641"/>
      <c r="AD248" s="641"/>
      <c r="AE248" s="641"/>
      <c r="AF248" s="641"/>
      <c r="AG248" s="641"/>
      <c r="AH248" s="641"/>
      <c r="AI248" s="641"/>
      <c r="AJ248" s="641"/>
      <c r="AK248" s="641"/>
      <c r="AL248" s="641"/>
      <c r="AM248" s="641"/>
      <c r="AN248" s="641"/>
      <c r="AO248" s="641"/>
      <c r="AP248" s="641"/>
      <c r="AQ248" s="641"/>
    </row>
    <row r="249" spans="1:43" hidden="1" outlineLevel="1" x14ac:dyDescent="0.2">
      <c r="A249" s="162"/>
      <c r="B249" s="162"/>
      <c r="C249" s="706"/>
      <c r="D249" s="11" t="s">
        <v>26</v>
      </c>
      <c r="E249" s="34"/>
      <c r="F249" s="34"/>
      <c r="G249" s="34"/>
      <c r="H249" s="34"/>
      <c r="I249" s="34"/>
      <c r="J249" s="34"/>
      <c r="K249" s="33"/>
      <c r="L249" s="162"/>
      <c r="M249" s="867"/>
      <c r="N249" s="867"/>
      <c r="O249" s="867"/>
      <c r="P249" s="867"/>
      <c r="Q249" s="867"/>
      <c r="R249" s="867"/>
      <c r="S249" s="867"/>
      <c r="T249" s="867"/>
      <c r="U249" s="641"/>
      <c r="V249" s="641"/>
      <c r="W249" s="641"/>
      <c r="X249" s="641"/>
      <c r="Y249" s="641"/>
      <c r="Z249" s="641"/>
      <c r="AA249" s="641"/>
      <c r="AB249" s="641"/>
      <c r="AC249" s="641"/>
      <c r="AD249" s="641"/>
      <c r="AE249" s="641"/>
      <c r="AF249" s="641"/>
      <c r="AG249" s="641"/>
      <c r="AH249" s="641"/>
      <c r="AI249" s="641"/>
      <c r="AJ249" s="641"/>
      <c r="AK249" s="641"/>
      <c r="AL249" s="641"/>
      <c r="AM249" s="641"/>
      <c r="AN249" s="641"/>
      <c r="AO249" s="641"/>
      <c r="AP249" s="641"/>
      <c r="AQ249" s="641"/>
    </row>
    <row r="250" spans="1:43" hidden="1" outlineLevel="1" x14ac:dyDescent="0.2">
      <c r="A250" s="162"/>
      <c r="B250" s="162"/>
      <c r="C250" s="706"/>
      <c r="D250" s="11" t="s">
        <v>33</v>
      </c>
      <c r="E250" s="34"/>
      <c r="F250" s="34"/>
      <c r="G250" s="34"/>
      <c r="H250" s="34"/>
      <c r="I250" s="34"/>
      <c r="J250" s="34"/>
      <c r="K250" s="34"/>
      <c r="L250" s="162"/>
      <c r="M250" s="867"/>
      <c r="N250" s="867"/>
      <c r="O250" s="867"/>
      <c r="P250" s="867"/>
      <c r="Q250" s="867"/>
      <c r="R250" s="867"/>
      <c r="S250" s="867"/>
      <c r="T250" s="867"/>
      <c r="U250" s="641"/>
      <c r="V250" s="641"/>
      <c r="W250" s="641"/>
      <c r="X250" s="641"/>
      <c r="Y250" s="641"/>
      <c r="Z250" s="641"/>
      <c r="AA250" s="641"/>
      <c r="AB250" s="641"/>
      <c r="AC250" s="641"/>
      <c r="AD250" s="641"/>
      <c r="AE250" s="641"/>
      <c r="AF250" s="641"/>
      <c r="AG250" s="641"/>
      <c r="AH250" s="641"/>
      <c r="AI250" s="641"/>
      <c r="AJ250" s="641"/>
      <c r="AK250" s="641"/>
      <c r="AL250" s="641"/>
      <c r="AM250" s="641"/>
      <c r="AN250" s="641"/>
      <c r="AO250" s="641"/>
      <c r="AP250" s="641"/>
      <c r="AQ250" s="641"/>
    </row>
    <row r="251" spans="1:43" hidden="1" outlineLevel="1" x14ac:dyDescent="0.2">
      <c r="A251" s="162"/>
      <c r="B251" s="162"/>
      <c r="C251" s="706"/>
      <c r="D251" s="11" t="s">
        <v>849</v>
      </c>
      <c r="E251" s="34"/>
      <c r="F251" s="34"/>
      <c r="G251" s="34"/>
      <c r="H251" s="34"/>
      <c r="I251" s="34"/>
      <c r="J251" s="34"/>
      <c r="K251" s="34"/>
      <c r="L251" s="162"/>
      <c r="M251" s="867"/>
      <c r="N251" s="867"/>
      <c r="O251" s="867"/>
      <c r="P251" s="867"/>
      <c r="Q251" s="867"/>
      <c r="R251" s="867"/>
      <c r="S251" s="867"/>
      <c r="T251" s="867"/>
      <c r="U251" s="641"/>
      <c r="V251" s="641"/>
      <c r="W251" s="641"/>
      <c r="X251" s="641"/>
      <c r="Y251" s="641"/>
      <c r="Z251" s="641"/>
      <c r="AA251" s="641"/>
      <c r="AB251" s="641"/>
      <c r="AC251" s="641"/>
      <c r="AD251" s="641"/>
      <c r="AE251" s="641"/>
      <c r="AF251" s="641"/>
      <c r="AG251" s="641"/>
      <c r="AH251" s="641"/>
      <c r="AI251" s="641"/>
      <c r="AJ251" s="641"/>
      <c r="AK251" s="641"/>
      <c r="AL251" s="641"/>
      <c r="AM251" s="641"/>
      <c r="AN251" s="641"/>
      <c r="AO251" s="641"/>
      <c r="AP251" s="641"/>
      <c r="AQ251" s="641"/>
    </row>
    <row r="252" spans="1:43" hidden="1" outlineLevel="1" x14ac:dyDescent="0.2">
      <c r="A252" s="638"/>
      <c r="B252" s="638"/>
      <c r="C252" s="707"/>
      <c r="D252" s="13" t="s">
        <v>107</v>
      </c>
      <c r="E252" s="38">
        <f t="shared" ref="E252:K252" si="107">E254-E253</f>
        <v>0</v>
      </c>
      <c r="F252" s="38">
        <f t="shared" si="107"/>
        <v>0</v>
      </c>
      <c r="G252" s="38">
        <f t="shared" si="107"/>
        <v>0</v>
      </c>
      <c r="H252" s="38">
        <f t="shared" si="107"/>
        <v>0</v>
      </c>
      <c r="I252" s="38">
        <f t="shared" si="107"/>
        <v>0</v>
      </c>
      <c r="J252" s="38">
        <f t="shared" si="107"/>
        <v>0</v>
      </c>
      <c r="K252" s="38">
        <f t="shared" si="107"/>
        <v>0</v>
      </c>
      <c r="L252" s="638"/>
      <c r="M252" s="638"/>
      <c r="N252" s="638"/>
      <c r="O252" s="638"/>
      <c r="P252" s="638"/>
      <c r="Q252" s="638"/>
      <c r="R252" s="638"/>
      <c r="S252" s="638"/>
      <c r="T252" s="638"/>
      <c r="U252" s="9"/>
      <c r="V252" s="9"/>
      <c r="W252" s="9"/>
      <c r="X252" s="9"/>
      <c r="Y252" s="9"/>
      <c r="Z252" s="9"/>
      <c r="AA252" s="9"/>
      <c r="AB252" s="9"/>
      <c r="AC252" s="9"/>
      <c r="AD252" s="9"/>
      <c r="AE252" s="9"/>
      <c r="AF252" s="9"/>
      <c r="AG252" s="9"/>
      <c r="AH252" s="9"/>
      <c r="AI252" s="9"/>
      <c r="AJ252" s="9"/>
      <c r="AK252" s="9"/>
      <c r="AL252" s="9"/>
      <c r="AM252" s="9"/>
      <c r="AN252" s="9"/>
      <c r="AO252" s="9"/>
      <c r="AP252" s="9"/>
      <c r="AQ252" s="9"/>
    </row>
    <row r="253" spans="1:43" hidden="1" outlineLevel="1" x14ac:dyDescent="0.2">
      <c r="A253" s="638"/>
      <c r="B253" s="638"/>
      <c r="C253" s="707"/>
      <c r="D253" s="13" t="s">
        <v>108</v>
      </c>
      <c r="E253" s="38">
        <f t="shared" ref="E253:K253" si="108">ROUND(E254*$T$163,0)</f>
        <v>0</v>
      </c>
      <c r="F253" s="38">
        <f t="shared" si="108"/>
        <v>0</v>
      </c>
      <c r="G253" s="38">
        <f t="shared" si="108"/>
        <v>0</v>
      </c>
      <c r="H253" s="38">
        <f t="shared" si="108"/>
        <v>0</v>
      </c>
      <c r="I253" s="38">
        <f t="shared" si="108"/>
        <v>0</v>
      </c>
      <c r="J253" s="38">
        <f t="shared" si="108"/>
        <v>0</v>
      </c>
      <c r="K253" s="38">
        <f t="shared" si="108"/>
        <v>0</v>
      </c>
      <c r="L253" s="638"/>
      <c r="M253" s="638"/>
      <c r="N253" s="638"/>
      <c r="O253" s="638"/>
      <c r="P253" s="638"/>
      <c r="Q253" s="638"/>
      <c r="R253" s="638"/>
      <c r="S253" s="638"/>
      <c r="T253" s="638"/>
      <c r="U253" s="9"/>
      <c r="V253" s="9"/>
      <c r="W253" s="9"/>
      <c r="X253" s="9"/>
      <c r="Y253" s="9"/>
      <c r="Z253" s="9"/>
      <c r="AA253" s="9"/>
      <c r="AB253" s="9"/>
      <c r="AC253" s="9"/>
      <c r="AD253" s="9"/>
      <c r="AE253" s="9"/>
      <c r="AF253" s="9"/>
      <c r="AG253" s="9"/>
      <c r="AH253" s="9"/>
      <c r="AI253" s="9"/>
      <c r="AJ253" s="9"/>
      <c r="AK253" s="9"/>
      <c r="AL253" s="9"/>
      <c r="AM253" s="9"/>
      <c r="AN253" s="9"/>
      <c r="AO253" s="9"/>
      <c r="AP253" s="9"/>
      <c r="AQ253" s="9"/>
    </row>
    <row r="254" spans="1:43" hidden="1" outlineLevel="1" x14ac:dyDescent="0.2">
      <c r="A254" s="638"/>
      <c r="B254" s="638"/>
      <c r="C254" s="707"/>
      <c r="D254" s="635" t="s">
        <v>844</v>
      </c>
      <c r="E254" s="39">
        <f t="shared" ref="E254:K254" si="109">IF(E248="","",E251*E250*E248)</f>
        <v>0</v>
      </c>
      <c r="F254" s="39">
        <f t="shared" si="109"/>
        <v>0</v>
      </c>
      <c r="G254" s="39">
        <f t="shared" si="109"/>
        <v>0</v>
      </c>
      <c r="H254" s="39">
        <f t="shared" si="109"/>
        <v>0</v>
      </c>
      <c r="I254" s="39">
        <f t="shared" si="109"/>
        <v>0</v>
      </c>
      <c r="J254" s="39">
        <f t="shared" si="109"/>
        <v>0</v>
      </c>
      <c r="K254" s="39">
        <f t="shared" si="109"/>
        <v>0</v>
      </c>
      <c r="L254" s="638"/>
      <c r="M254" s="638"/>
      <c r="N254" s="638"/>
      <c r="O254" s="638"/>
      <c r="P254" s="638"/>
      <c r="Q254" s="638"/>
      <c r="R254" s="638"/>
      <c r="S254" s="638"/>
      <c r="T254" s="638"/>
      <c r="U254" s="9"/>
      <c r="V254" s="9"/>
      <c r="W254" s="9"/>
      <c r="X254" s="9"/>
      <c r="Y254" s="9"/>
      <c r="Z254" s="9"/>
      <c r="AA254" s="9"/>
      <c r="AB254" s="9"/>
      <c r="AC254" s="9"/>
      <c r="AD254" s="9"/>
      <c r="AE254" s="9"/>
      <c r="AF254" s="9"/>
      <c r="AG254" s="9"/>
      <c r="AH254" s="9"/>
      <c r="AI254" s="9"/>
      <c r="AJ254" s="9"/>
      <c r="AK254" s="9"/>
      <c r="AL254" s="9"/>
      <c r="AM254" s="9"/>
      <c r="AN254" s="9"/>
      <c r="AO254" s="9"/>
      <c r="AP254" s="9"/>
      <c r="AQ254" s="9"/>
    </row>
    <row r="255" spans="1:43" hidden="1" outlineLevel="1" x14ac:dyDescent="0.2">
      <c r="A255" s="162"/>
      <c r="B255" s="162"/>
      <c r="C255" s="706"/>
      <c r="D255" s="162"/>
      <c r="E255" s="162"/>
      <c r="F255" s="162"/>
      <c r="G255" s="709"/>
      <c r="H255" s="709"/>
      <c r="I255" s="709"/>
      <c r="J255" s="162"/>
      <c r="K255" s="162"/>
      <c r="L255" s="162"/>
      <c r="M255" s="162"/>
      <c r="N255" s="162"/>
      <c r="O255" s="162"/>
      <c r="P255" s="162"/>
      <c r="Q255" s="162"/>
      <c r="R255" s="162"/>
      <c r="S255" s="162"/>
      <c r="T255" s="162"/>
      <c r="U255" s="641"/>
      <c r="V255" s="641"/>
      <c r="W255" s="641"/>
      <c r="X255" s="641"/>
      <c r="Y255" s="641"/>
      <c r="Z255" s="641"/>
      <c r="AA255" s="641"/>
      <c r="AB255" s="641"/>
      <c r="AC255" s="641"/>
      <c r="AD255" s="641"/>
      <c r="AE255" s="641"/>
      <c r="AF255" s="641"/>
      <c r="AG255" s="641"/>
      <c r="AH255" s="641"/>
      <c r="AI255" s="641"/>
      <c r="AJ255" s="641"/>
      <c r="AK255" s="641"/>
      <c r="AL255" s="641"/>
      <c r="AM255" s="641"/>
      <c r="AN255" s="641"/>
      <c r="AO255" s="641"/>
      <c r="AP255" s="641"/>
      <c r="AQ255" s="641"/>
    </row>
    <row r="256" spans="1:43" collapsed="1" x14ac:dyDescent="0.2">
      <c r="A256" s="162"/>
      <c r="B256" s="162"/>
      <c r="C256" s="706"/>
      <c r="D256" s="162"/>
      <c r="E256" s="162"/>
      <c r="F256" s="162"/>
      <c r="G256" s="162"/>
      <c r="H256" s="162"/>
      <c r="I256" s="162"/>
      <c r="J256" s="162"/>
      <c r="K256" s="162"/>
      <c r="L256" s="162"/>
      <c r="M256" s="162"/>
      <c r="N256" s="162"/>
      <c r="O256" s="162"/>
      <c r="P256" s="162"/>
      <c r="Q256" s="162"/>
      <c r="R256" s="162"/>
      <c r="S256" s="162"/>
      <c r="T256" s="162"/>
      <c r="U256" s="641"/>
      <c r="V256" s="641"/>
      <c r="W256" s="641"/>
      <c r="X256" s="641"/>
      <c r="Y256" s="641"/>
      <c r="Z256" s="641"/>
      <c r="AA256" s="641"/>
      <c r="AB256" s="641"/>
      <c r="AC256" s="641"/>
      <c r="AD256" s="641"/>
      <c r="AE256" s="641"/>
      <c r="AF256" s="641"/>
      <c r="AG256" s="641"/>
      <c r="AH256" s="641"/>
      <c r="AI256" s="641"/>
      <c r="AJ256" s="641"/>
      <c r="AK256" s="641"/>
      <c r="AL256" s="641"/>
      <c r="AM256" s="641"/>
      <c r="AN256" s="641"/>
      <c r="AO256" s="641"/>
      <c r="AP256" s="641"/>
      <c r="AQ256" s="641"/>
    </row>
    <row r="257" spans="1:43" ht="15" x14ac:dyDescent="0.2">
      <c r="A257" s="125"/>
      <c r="B257" s="125"/>
      <c r="C257" s="291">
        <v>7</v>
      </c>
      <c r="D257" s="147" t="str">
        <f>INDEX(NamesMSAdditional,C257,1)</f>
        <v>** NOT USED **</v>
      </c>
      <c r="E257" s="139"/>
      <c r="F257" s="139"/>
      <c r="G257" s="139"/>
      <c r="H257" s="139"/>
      <c r="I257" s="821" t="str">
        <f>IF(D257&lt;&gt;MsgNotUsed,"Co-payment group " &amp; INDEX(CoPayBandMSAdditional,C257),"")</f>
        <v/>
      </c>
      <c r="J257" s="821"/>
      <c r="K257" s="139"/>
      <c r="L257" s="139"/>
      <c r="M257" s="139"/>
      <c r="N257" s="139"/>
      <c r="O257" s="139"/>
      <c r="P257" s="139"/>
      <c r="Q257" s="139"/>
      <c r="R257" s="139"/>
      <c r="S257" s="139"/>
      <c r="T257" s="139"/>
      <c r="U257" s="139"/>
      <c r="V257" s="139"/>
      <c r="W257" s="139"/>
      <c r="X257" s="139"/>
      <c r="Y257" s="139"/>
      <c r="Z257" s="139"/>
      <c r="AA257" s="139"/>
      <c r="AB257" s="139"/>
      <c r="AC257" s="139"/>
      <c r="AD257" s="139"/>
      <c r="AE257" s="139"/>
      <c r="AF257" s="139"/>
      <c r="AG257" s="139"/>
      <c r="AH257" s="139"/>
      <c r="AI257" s="139"/>
      <c r="AJ257" s="139"/>
      <c r="AK257" s="139"/>
      <c r="AL257" s="139"/>
      <c r="AM257" s="139"/>
      <c r="AN257" s="139"/>
      <c r="AO257" s="139"/>
      <c r="AP257" s="139"/>
      <c r="AQ257" s="139"/>
    </row>
    <row r="258" spans="1:43" ht="15.75" hidden="1" outlineLevel="1" x14ac:dyDescent="0.2">
      <c r="A258" s="131"/>
      <c r="B258" s="131"/>
      <c r="C258" s="705"/>
      <c r="D258" s="655"/>
      <c r="E258" s="131"/>
      <c r="F258" s="131"/>
      <c r="G258" s="131"/>
      <c r="H258" s="131"/>
      <c r="I258" s="131"/>
      <c r="J258" s="131"/>
      <c r="K258" s="131"/>
      <c r="L258" s="131"/>
      <c r="M258" s="131"/>
      <c r="N258" s="131"/>
      <c r="O258" s="131"/>
      <c r="P258" s="131"/>
      <c r="Q258" s="131"/>
      <c r="R258" s="131"/>
      <c r="S258" s="26"/>
      <c r="T258" s="26"/>
      <c r="U258" s="26"/>
      <c r="V258" s="26"/>
      <c r="W258" s="26"/>
      <c r="X258" s="26"/>
      <c r="Y258" s="26"/>
      <c r="Z258" s="26"/>
      <c r="AA258" s="26"/>
      <c r="AB258" s="26"/>
      <c r="AC258" s="26"/>
      <c r="AD258" s="26"/>
      <c r="AE258" s="26"/>
      <c r="AF258" s="26"/>
      <c r="AG258" s="26"/>
      <c r="AH258" s="26"/>
      <c r="AI258" s="26"/>
      <c r="AJ258" s="26"/>
      <c r="AK258" s="26"/>
      <c r="AL258" s="26"/>
      <c r="AM258" s="26"/>
      <c r="AN258" s="26"/>
      <c r="AO258" s="26"/>
      <c r="AP258" s="26"/>
      <c r="AQ258" s="26"/>
    </row>
    <row r="259" spans="1:43" ht="14.25" hidden="1" customHeight="1" outlineLevel="1" x14ac:dyDescent="0.2">
      <c r="A259" s="162"/>
      <c r="B259" s="162"/>
      <c r="C259" s="706"/>
      <c r="D259" s="708"/>
      <c r="E259" s="64">
        <f>F259-1</f>
        <v>2020</v>
      </c>
      <c r="F259" s="64">
        <f>FirstYear</f>
        <v>2021</v>
      </c>
      <c r="G259" s="64">
        <f>F259+1</f>
        <v>2022</v>
      </c>
      <c r="H259" s="64">
        <f>G259+1</f>
        <v>2023</v>
      </c>
      <c r="I259" s="64">
        <f>H259+1</f>
        <v>2024</v>
      </c>
      <c r="J259" s="64">
        <f>I259+1</f>
        <v>2025</v>
      </c>
      <c r="K259" s="64">
        <f>J259+1</f>
        <v>2026</v>
      </c>
      <c r="L259" s="162"/>
      <c r="M259" s="616"/>
      <c r="N259" s="162"/>
      <c r="O259" s="162"/>
      <c r="P259" s="616"/>
      <c r="Q259" s="162"/>
      <c r="R259" s="162"/>
      <c r="S259" s="641"/>
      <c r="T259" s="641"/>
      <c r="U259" s="641"/>
      <c r="V259" s="641"/>
      <c r="W259" s="641"/>
      <c r="X259" s="641"/>
      <c r="Y259" s="641"/>
      <c r="Z259" s="641"/>
      <c r="AA259" s="641"/>
      <c r="AB259" s="641"/>
      <c r="AC259" s="641"/>
      <c r="AD259" s="641"/>
      <c r="AE259" s="641"/>
      <c r="AF259" s="641"/>
      <c r="AG259" s="641"/>
      <c r="AH259" s="641"/>
      <c r="AI259" s="641"/>
      <c r="AJ259" s="641"/>
      <c r="AK259" s="641"/>
      <c r="AL259" s="641"/>
      <c r="AM259" s="641"/>
      <c r="AN259" s="641"/>
      <c r="AO259" s="641"/>
      <c r="AP259" s="641"/>
      <c r="AQ259" s="641"/>
    </row>
    <row r="260" spans="1:43" hidden="1" outlineLevel="1" x14ac:dyDescent="0.2">
      <c r="A260" s="162"/>
      <c r="B260" s="162"/>
      <c r="C260" s="706"/>
      <c r="D260" s="4" t="s">
        <v>114</v>
      </c>
      <c r="E260" s="38">
        <f>INDEX(ScriptsMSAdditional,$C257) * INDEX(NamesMSAdditional,$C257,3)</f>
        <v>0</v>
      </c>
      <c r="F260" s="38">
        <f t="shared" ref="F260:K260" si="110">IF(E260="","",E260*(1+E261))</f>
        <v>0</v>
      </c>
      <c r="G260" s="38">
        <f t="shared" si="110"/>
        <v>0</v>
      </c>
      <c r="H260" s="38">
        <f t="shared" si="110"/>
        <v>0</v>
      </c>
      <c r="I260" s="38">
        <f t="shared" si="110"/>
        <v>0</v>
      </c>
      <c r="J260" s="38">
        <f>IF(I260="","",I260*(1+I261))</f>
        <v>0</v>
      </c>
      <c r="K260" s="38">
        <f t="shared" si="110"/>
        <v>0</v>
      </c>
      <c r="L260" s="162"/>
      <c r="M260" s="36" t="s">
        <v>258</v>
      </c>
      <c r="N260" s="162"/>
      <c r="O260" s="616"/>
      <c r="P260" s="162"/>
      <c r="Q260" s="162"/>
      <c r="R260" s="616"/>
      <c r="S260" s="162"/>
      <c r="T260" s="162"/>
      <c r="U260" s="641"/>
      <c r="V260" s="641"/>
      <c r="W260" s="641"/>
      <c r="X260" s="641"/>
      <c r="Y260" s="641"/>
      <c r="Z260" s="641"/>
      <c r="AA260" s="641"/>
      <c r="AB260" s="641"/>
      <c r="AC260" s="641"/>
      <c r="AD260" s="641"/>
      <c r="AE260" s="641"/>
      <c r="AF260" s="641"/>
      <c r="AG260" s="641"/>
      <c r="AH260" s="641"/>
      <c r="AI260" s="641"/>
      <c r="AJ260" s="641"/>
      <c r="AK260" s="641"/>
      <c r="AL260" s="641"/>
      <c r="AM260" s="641"/>
      <c r="AN260" s="641"/>
      <c r="AO260" s="641"/>
      <c r="AP260" s="641"/>
      <c r="AQ260" s="641"/>
    </row>
    <row r="261" spans="1:43" hidden="1" outlineLevel="1" x14ac:dyDescent="0.2">
      <c r="A261" s="162"/>
      <c r="B261" s="162"/>
      <c r="C261" s="706"/>
      <c r="D261" s="11" t="s">
        <v>26</v>
      </c>
      <c r="E261" s="34"/>
      <c r="F261" s="34"/>
      <c r="G261" s="34"/>
      <c r="H261" s="34"/>
      <c r="I261" s="34"/>
      <c r="J261" s="34"/>
      <c r="K261" s="33"/>
      <c r="L261" s="162"/>
      <c r="M261" s="867"/>
      <c r="N261" s="867"/>
      <c r="O261" s="867"/>
      <c r="P261" s="867"/>
      <c r="Q261" s="867"/>
      <c r="R261" s="867"/>
      <c r="S261" s="867"/>
      <c r="T261" s="867"/>
      <c r="U261" s="641"/>
      <c r="V261" s="641"/>
      <c r="W261" s="641"/>
      <c r="X261" s="641"/>
      <c r="Y261" s="641"/>
      <c r="Z261" s="641"/>
      <c r="AA261" s="641"/>
      <c r="AB261" s="641"/>
      <c r="AC261" s="641"/>
      <c r="AD261" s="641"/>
      <c r="AE261" s="641"/>
      <c r="AF261" s="641"/>
      <c r="AG261" s="641"/>
      <c r="AH261" s="641"/>
      <c r="AI261" s="641"/>
      <c r="AJ261" s="641"/>
      <c r="AK261" s="641"/>
      <c r="AL261" s="641"/>
      <c r="AM261" s="641"/>
      <c r="AN261" s="641"/>
      <c r="AO261" s="641"/>
      <c r="AP261" s="641"/>
      <c r="AQ261" s="641"/>
    </row>
    <row r="262" spans="1:43" hidden="1" outlineLevel="1" x14ac:dyDescent="0.2">
      <c r="A262" s="162"/>
      <c r="B262" s="162"/>
      <c r="C262" s="706"/>
      <c r="D262" s="11" t="s">
        <v>33</v>
      </c>
      <c r="E262" s="34"/>
      <c r="F262" s="34"/>
      <c r="G262" s="34"/>
      <c r="H262" s="34"/>
      <c r="I262" s="34"/>
      <c r="J262" s="34"/>
      <c r="K262" s="34"/>
      <c r="L262" s="162"/>
      <c r="M262" s="867"/>
      <c r="N262" s="867"/>
      <c r="O262" s="867"/>
      <c r="P262" s="867"/>
      <c r="Q262" s="867"/>
      <c r="R262" s="867"/>
      <c r="S262" s="867"/>
      <c r="T262" s="867"/>
      <c r="U262" s="641"/>
      <c r="V262" s="641"/>
      <c r="W262" s="641"/>
      <c r="X262" s="641"/>
      <c r="Y262" s="641"/>
      <c r="Z262" s="641"/>
      <c r="AA262" s="641"/>
      <c r="AB262" s="641"/>
      <c r="AC262" s="641"/>
      <c r="AD262" s="641"/>
      <c r="AE262" s="641"/>
      <c r="AF262" s="641"/>
      <c r="AG262" s="641"/>
      <c r="AH262" s="641"/>
      <c r="AI262" s="641"/>
      <c r="AJ262" s="641"/>
      <c r="AK262" s="641"/>
      <c r="AL262" s="641"/>
      <c r="AM262" s="641"/>
      <c r="AN262" s="641"/>
      <c r="AO262" s="641"/>
      <c r="AP262" s="641"/>
      <c r="AQ262" s="641"/>
    </row>
    <row r="263" spans="1:43" hidden="1" outlineLevel="1" x14ac:dyDescent="0.2">
      <c r="A263" s="162"/>
      <c r="B263" s="162"/>
      <c r="C263" s="706"/>
      <c r="D263" s="11" t="s">
        <v>849</v>
      </c>
      <c r="E263" s="34"/>
      <c r="F263" s="34"/>
      <c r="G263" s="34"/>
      <c r="H263" s="34"/>
      <c r="I263" s="34"/>
      <c r="J263" s="34"/>
      <c r="K263" s="34"/>
      <c r="L263" s="162"/>
      <c r="M263" s="867"/>
      <c r="N263" s="867"/>
      <c r="O263" s="867"/>
      <c r="P263" s="867"/>
      <c r="Q263" s="867"/>
      <c r="R263" s="867"/>
      <c r="S263" s="867"/>
      <c r="T263" s="867"/>
      <c r="U263" s="641"/>
      <c r="V263" s="641"/>
      <c r="W263" s="641"/>
      <c r="X263" s="641"/>
      <c r="Y263" s="641"/>
      <c r="Z263" s="641"/>
      <c r="AA263" s="641"/>
      <c r="AB263" s="641"/>
      <c r="AC263" s="641"/>
      <c r="AD263" s="641"/>
      <c r="AE263" s="641"/>
      <c r="AF263" s="641"/>
      <c r="AG263" s="641"/>
      <c r="AH263" s="641"/>
      <c r="AI263" s="641"/>
      <c r="AJ263" s="641"/>
      <c r="AK263" s="641"/>
      <c r="AL263" s="641"/>
      <c r="AM263" s="641"/>
      <c r="AN263" s="641"/>
      <c r="AO263" s="641"/>
      <c r="AP263" s="641"/>
      <c r="AQ263" s="641"/>
    </row>
    <row r="264" spans="1:43" hidden="1" outlineLevel="1" x14ac:dyDescent="0.2">
      <c r="A264" s="638"/>
      <c r="B264" s="638"/>
      <c r="C264" s="707"/>
      <c r="D264" s="13" t="s">
        <v>107</v>
      </c>
      <c r="E264" s="38">
        <f t="shared" ref="E264:K264" si="111">E266-E265</f>
        <v>0</v>
      </c>
      <c r="F264" s="38">
        <f t="shared" si="111"/>
        <v>0</v>
      </c>
      <c r="G264" s="38">
        <f t="shared" si="111"/>
        <v>0</v>
      </c>
      <c r="H264" s="38">
        <f t="shared" si="111"/>
        <v>0</v>
      </c>
      <c r="I264" s="38">
        <f t="shared" si="111"/>
        <v>0</v>
      </c>
      <c r="J264" s="38">
        <f t="shared" si="111"/>
        <v>0</v>
      </c>
      <c r="K264" s="38">
        <f t="shared" si="111"/>
        <v>0</v>
      </c>
      <c r="L264" s="638"/>
      <c r="M264" s="638"/>
      <c r="N264" s="638"/>
      <c r="O264" s="638"/>
      <c r="P264" s="638"/>
      <c r="Q264" s="638"/>
      <c r="R264" s="638"/>
      <c r="S264" s="638"/>
      <c r="T264" s="638"/>
      <c r="U264" s="9"/>
      <c r="V264" s="9"/>
      <c r="W264" s="9"/>
      <c r="X264" s="9"/>
      <c r="Y264" s="9"/>
      <c r="Z264" s="9"/>
      <c r="AA264" s="9"/>
      <c r="AB264" s="9"/>
      <c r="AC264" s="9"/>
      <c r="AD264" s="9"/>
      <c r="AE264" s="9"/>
      <c r="AF264" s="9"/>
      <c r="AG264" s="9"/>
      <c r="AH264" s="9"/>
      <c r="AI264" s="9"/>
      <c r="AJ264" s="9"/>
      <c r="AK264" s="9"/>
      <c r="AL264" s="9"/>
      <c r="AM264" s="9"/>
      <c r="AN264" s="9"/>
      <c r="AO264" s="9"/>
      <c r="AP264" s="9"/>
      <c r="AQ264" s="9"/>
    </row>
    <row r="265" spans="1:43" hidden="1" outlineLevel="1" x14ac:dyDescent="0.2">
      <c r="A265" s="638"/>
      <c r="B265" s="638"/>
      <c r="C265" s="707"/>
      <c r="D265" s="13" t="s">
        <v>108</v>
      </c>
      <c r="E265" s="38">
        <f t="shared" ref="E265:K265" si="112">ROUND(E266*$T$164,0)</f>
        <v>0</v>
      </c>
      <c r="F265" s="38">
        <f t="shared" si="112"/>
        <v>0</v>
      </c>
      <c r="G265" s="38">
        <f t="shared" si="112"/>
        <v>0</v>
      </c>
      <c r="H265" s="38">
        <f t="shared" si="112"/>
        <v>0</v>
      </c>
      <c r="I265" s="38">
        <f t="shared" si="112"/>
        <v>0</v>
      </c>
      <c r="J265" s="38">
        <f t="shared" si="112"/>
        <v>0</v>
      </c>
      <c r="K265" s="38">
        <f t="shared" si="112"/>
        <v>0</v>
      </c>
      <c r="L265" s="638"/>
      <c r="M265" s="638"/>
      <c r="N265" s="638"/>
      <c r="O265" s="638"/>
      <c r="P265" s="638"/>
      <c r="Q265" s="638"/>
      <c r="R265" s="638"/>
      <c r="S265" s="638"/>
      <c r="T265" s="638"/>
      <c r="U265" s="9"/>
      <c r="V265" s="9"/>
      <c r="W265" s="9"/>
      <c r="X265" s="9"/>
      <c r="Y265" s="9"/>
      <c r="Z265" s="9"/>
      <c r="AA265" s="9"/>
      <c r="AB265" s="9"/>
      <c r="AC265" s="9"/>
      <c r="AD265" s="9"/>
      <c r="AE265" s="9"/>
      <c r="AF265" s="9"/>
      <c r="AG265" s="9"/>
      <c r="AH265" s="9"/>
      <c r="AI265" s="9"/>
      <c r="AJ265" s="9"/>
      <c r="AK265" s="9"/>
      <c r="AL265" s="9"/>
      <c r="AM265" s="9"/>
      <c r="AN265" s="9"/>
      <c r="AO265" s="9"/>
      <c r="AP265" s="9"/>
      <c r="AQ265" s="9"/>
    </row>
    <row r="266" spans="1:43" hidden="1" outlineLevel="1" x14ac:dyDescent="0.2">
      <c r="A266" s="638"/>
      <c r="B266" s="638"/>
      <c r="C266" s="707"/>
      <c r="D266" s="635" t="s">
        <v>844</v>
      </c>
      <c r="E266" s="39">
        <f t="shared" ref="E266:K266" si="113">IF(E260="","",E263*E262*E260)</f>
        <v>0</v>
      </c>
      <c r="F266" s="39">
        <f t="shared" si="113"/>
        <v>0</v>
      </c>
      <c r="G266" s="39">
        <f t="shared" si="113"/>
        <v>0</v>
      </c>
      <c r="H266" s="39">
        <f t="shared" si="113"/>
        <v>0</v>
      </c>
      <c r="I266" s="39">
        <f t="shared" si="113"/>
        <v>0</v>
      </c>
      <c r="J266" s="39">
        <f t="shared" si="113"/>
        <v>0</v>
      </c>
      <c r="K266" s="39">
        <f t="shared" si="113"/>
        <v>0</v>
      </c>
      <c r="L266" s="638"/>
      <c r="M266" s="638"/>
      <c r="N266" s="638"/>
      <c r="O266" s="638"/>
      <c r="P266" s="638"/>
      <c r="Q266" s="638"/>
      <c r="R266" s="638"/>
      <c r="S266" s="638"/>
      <c r="T266" s="638"/>
      <c r="U266" s="9"/>
      <c r="V266" s="9"/>
      <c r="W266" s="9"/>
      <c r="X266" s="9"/>
      <c r="Y266" s="9"/>
      <c r="Z266" s="9"/>
      <c r="AA266" s="9"/>
      <c r="AB266" s="9"/>
      <c r="AC266" s="9"/>
      <c r="AD266" s="9"/>
      <c r="AE266" s="9"/>
      <c r="AF266" s="9"/>
      <c r="AG266" s="9"/>
      <c r="AH266" s="9"/>
      <c r="AI266" s="9"/>
      <c r="AJ266" s="9"/>
      <c r="AK266" s="9"/>
      <c r="AL266" s="9"/>
      <c r="AM266" s="9"/>
      <c r="AN266" s="9"/>
      <c r="AO266" s="9"/>
      <c r="AP266" s="9"/>
      <c r="AQ266" s="9"/>
    </row>
    <row r="267" spans="1:43" hidden="1" outlineLevel="1" x14ac:dyDescent="0.2">
      <c r="A267" s="162"/>
      <c r="B267" s="162"/>
      <c r="C267" s="706"/>
      <c r="D267" s="162"/>
      <c r="E267" s="162"/>
      <c r="F267" s="162"/>
      <c r="G267" s="709"/>
      <c r="H267" s="709"/>
      <c r="I267" s="709"/>
      <c r="J267" s="162"/>
      <c r="K267" s="162"/>
      <c r="L267" s="162"/>
      <c r="M267" s="162"/>
      <c r="N267" s="162"/>
      <c r="O267" s="162"/>
      <c r="P267" s="162"/>
      <c r="Q267" s="162"/>
      <c r="R267" s="162"/>
      <c r="S267" s="162"/>
      <c r="T267" s="162"/>
      <c r="U267" s="641"/>
      <c r="V267" s="641"/>
      <c r="W267" s="641"/>
      <c r="X267" s="641"/>
      <c r="Y267" s="641"/>
      <c r="Z267" s="641"/>
      <c r="AA267" s="641"/>
      <c r="AB267" s="641"/>
      <c r="AC267" s="641"/>
      <c r="AD267" s="641"/>
      <c r="AE267" s="641"/>
      <c r="AF267" s="641"/>
      <c r="AG267" s="641"/>
      <c r="AH267" s="641"/>
      <c r="AI267" s="641"/>
      <c r="AJ267" s="641"/>
      <c r="AK267" s="641"/>
      <c r="AL267" s="641"/>
      <c r="AM267" s="641"/>
      <c r="AN267" s="641"/>
      <c r="AO267" s="641"/>
      <c r="AP267" s="641"/>
      <c r="AQ267" s="641"/>
    </row>
    <row r="268" spans="1:43" collapsed="1" x14ac:dyDescent="0.2">
      <c r="A268" s="162"/>
      <c r="B268" s="162"/>
      <c r="C268" s="706"/>
      <c r="D268" s="162"/>
      <c r="E268" s="162"/>
      <c r="F268" s="162"/>
      <c r="G268" s="162"/>
      <c r="H268" s="162"/>
      <c r="I268" s="162"/>
      <c r="J268" s="162"/>
      <c r="K268" s="162"/>
      <c r="L268" s="162"/>
      <c r="M268" s="162"/>
      <c r="N268" s="162"/>
      <c r="O268" s="162"/>
      <c r="P268" s="162"/>
      <c r="Q268" s="162"/>
      <c r="R268" s="162"/>
      <c r="S268" s="162"/>
      <c r="T268" s="162"/>
      <c r="U268" s="641"/>
      <c r="V268" s="641"/>
      <c r="W268" s="641"/>
      <c r="X268" s="641"/>
      <c r="Y268" s="641"/>
      <c r="Z268" s="641"/>
      <c r="AA268" s="641"/>
      <c r="AB268" s="641"/>
      <c r="AC268" s="641"/>
      <c r="AD268" s="641"/>
      <c r="AE268" s="641"/>
      <c r="AF268" s="641"/>
      <c r="AG268" s="641"/>
      <c r="AH268" s="641"/>
      <c r="AI268" s="641"/>
      <c r="AJ268" s="641"/>
      <c r="AK268" s="641"/>
      <c r="AL268" s="641"/>
      <c r="AM268" s="641"/>
      <c r="AN268" s="641"/>
      <c r="AO268" s="641"/>
      <c r="AP268" s="641"/>
      <c r="AQ268" s="641"/>
    </row>
    <row r="269" spans="1:43" ht="15" x14ac:dyDescent="0.2">
      <c r="A269" s="125"/>
      <c r="B269" s="125"/>
      <c r="C269" s="291">
        <v>8</v>
      </c>
      <c r="D269" s="147" t="str">
        <f>INDEX(NamesMSAdditional,C269,1)</f>
        <v>** NOT USED **</v>
      </c>
      <c r="E269" s="139"/>
      <c r="F269" s="139"/>
      <c r="G269" s="139"/>
      <c r="H269" s="139"/>
      <c r="I269" s="821" t="str">
        <f>IF(D269&lt;&gt;MsgNotUsed,"Co-payment group " &amp; INDEX(CoPayBandMSAdditional,C269),"")</f>
        <v/>
      </c>
      <c r="J269" s="821"/>
      <c r="K269" s="139"/>
      <c r="L269" s="139"/>
      <c r="M269" s="139"/>
      <c r="N269" s="139"/>
      <c r="O269" s="139"/>
      <c r="P269" s="139"/>
      <c r="Q269" s="139"/>
      <c r="R269" s="139"/>
      <c r="S269" s="139"/>
      <c r="T269" s="139"/>
      <c r="U269" s="139"/>
      <c r="V269" s="139"/>
      <c r="W269" s="139"/>
      <c r="X269" s="139"/>
      <c r="Y269" s="139"/>
      <c r="Z269" s="139"/>
      <c r="AA269" s="139"/>
      <c r="AB269" s="139"/>
      <c r="AC269" s="139"/>
      <c r="AD269" s="139"/>
      <c r="AE269" s="139"/>
      <c r="AF269" s="139"/>
      <c r="AG269" s="139"/>
      <c r="AH269" s="139"/>
      <c r="AI269" s="139"/>
      <c r="AJ269" s="139"/>
      <c r="AK269" s="139"/>
      <c r="AL269" s="139"/>
      <c r="AM269" s="139"/>
      <c r="AN269" s="139"/>
      <c r="AO269" s="139"/>
      <c r="AP269" s="139"/>
      <c r="AQ269" s="139"/>
    </row>
    <row r="270" spans="1:43" ht="15.75" hidden="1" outlineLevel="1" x14ac:dyDescent="0.2">
      <c r="A270" s="131"/>
      <c r="B270" s="131"/>
      <c r="C270" s="705"/>
      <c r="D270" s="655"/>
      <c r="E270" s="131"/>
      <c r="F270" s="131"/>
      <c r="G270" s="131"/>
      <c r="H270" s="131"/>
      <c r="I270" s="131"/>
      <c r="J270" s="131"/>
      <c r="K270" s="131"/>
      <c r="L270" s="131"/>
      <c r="M270" s="131"/>
      <c r="N270" s="131"/>
      <c r="O270" s="131"/>
      <c r="P270" s="131"/>
      <c r="Q270" s="131"/>
      <c r="R270" s="131"/>
      <c r="S270" s="26"/>
      <c r="T270" s="26"/>
      <c r="U270" s="26"/>
      <c r="V270" s="26"/>
      <c r="W270" s="26"/>
      <c r="X270" s="26"/>
      <c r="Y270" s="26"/>
      <c r="Z270" s="26"/>
      <c r="AA270" s="26"/>
      <c r="AB270" s="26"/>
      <c r="AC270" s="26"/>
      <c r="AD270" s="26"/>
      <c r="AE270" s="26"/>
      <c r="AF270" s="26"/>
      <c r="AG270" s="26"/>
      <c r="AH270" s="26"/>
      <c r="AI270" s="26"/>
      <c r="AJ270" s="26"/>
      <c r="AK270" s="26"/>
      <c r="AL270" s="26"/>
      <c r="AM270" s="26"/>
      <c r="AN270" s="26"/>
      <c r="AO270" s="26"/>
      <c r="AP270" s="26"/>
      <c r="AQ270" s="26"/>
    </row>
    <row r="271" spans="1:43" ht="14.25" hidden="1" customHeight="1" outlineLevel="1" x14ac:dyDescent="0.2">
      <c r="A271" s="162"/>
      <c r="B271" s="162"/>
      <c r="C271" s="706"/>
      <c r="D271" s="708"/>
      <c r="E271" s="64">
        <f>F271-1</f>
        <v>2020</v>
      </c>
      <c r="F271" s="64">
        <f>FirstYear</f>
        <v>2021</v>
      </c>
      <c r="G271" s="64">
        <f>F271+1</f>
        <v>2022</v>
      </c>
      <c r="H271" s="64">
        <f>G271+1</f>
        <v>2023</v>
      </c>
      <c r="I271" s="64">
        <f>H271+1</f>
        <v>2024</v>
      </c>
      <c r="J271" s="64">
        <f>I271+1</f>
        <v>2025</v>
      </c>
      <c r="K271" s="64">
        <f>J271+1</f>
        <v>2026</v>
      </c>
      <c r="L271" s="162"/>
      <c r="M271" s="616"/>
      <c r="N271" s="162"/>
      <c r="O271" s="162"/>
      <c r="P271" s="616"/>
      <c r="Q271" s="162"/>
      <c r="R271" s="162"/>
      <c r="S271" s="641"/>
      <c r="T271" s="641"/>
      <c r="U271" s="641"/>
      <c r="V271" s="641"/>
      <c r="W271" s="641"/>
      <c r="X271" s="641"/>
      <c r="Y271" s="641"/>
      <c r="Z271" s="641"/>
      <c r="AA271" s="641"/>
      <c r="AB271" s="641"/>
      <c r="AC271" s="641"/>
      <c r="AD271" s="641"/>
      <c r="AE271" s="641"/>
      <c r="AF271" s="641"/>
      <c r="AG271" s="641"/>
      <c r="AH271" s="641"/>
      <c r="AI271" s="641"/>
      <c r="AJ271" s="641"/>
      <c r="AK271" s="641"/>
      <c r="AL271" s="641"/>
      <c r="AM271" s="641"/>
      <c r="AN271" s="641"/>
      <c r="AO271" s="641"/>
      <c r="AP271" s="641"/>
      <c r="AQ271" s="641"/>
    </row>
    <row r="272" spans="1:43" hidden="1" outlineLevel="1" x14ac:dyDescent="0.2">
      <c r="A272" s="162"/>
      <c r="B272" s="162"/>
      <c r="C272" s="706"/>
      <c r="D272" s="4" t="s">
        <v>114</v>
      </c>
      <c r="E272" s="38">
        <f>INDEX(ScriptsMSAdditional,$C269) * INDEX(NamesMSAdditional,$C269,3)</f>
        <v>0</v>
      </c>
      <c r="F272" s="38">
        <f t="shared" ref="F272:K272" si="114">IF(E272="","",E272*(1+E273))</f>
        <v>0</v>
      </c>
      <c r="G272" s="38">
        <f t="shared" si="114"/>
        <v>0</v>
      </c>
      <c r="H272" s="38">
        <f t="shared" si="114"/>
        <v>0</v>
      </c>
      <c r="I272" s="38">
        <f t="shared" si="114"/>
        <v>0</v>
      </c>
      <c r="J272" s="38">
        <f>IF(I272="","",I272*(1+I273))</f>
        <v>0</v>
      </c>
      <c r="K272" s="38">
        <f t="shared" si="114"/>
        <v>0</v>
      </c>
      <c r="L272" s="162"/>
      <c r="M272" s="36" t="s">
        <v>258</v>
      </c>
      <c r="N272" s="162"/>
      <c r="O272" s="616"/>
      <c r="P272" s="162"/>
      <c r="Q272" s="162"/>
      <c r="R272" s="616"/>
      <c r="S272" s="162"/>
      <c r="T272" s="162"/>
      <c r="U272" s="641"/>
      <c r="V272" s="641"/>
      <c r="W272" s="641"/>
      <c r="X272" s="641"/>
      <c r="Y272" s="641"/>
      <c r="Z272" s="641"/>
      <c r="AA272" s="641"/>
      <c r="AB272" s="641"/>
      <c r="AC272" s="641"/>
      <c r="AD272" s="641"/>
      <c r="AE272" s="641"/>
      <c r="AF272" s="641"/>
      <c r="AG272" s="641"/>
      <c r="AH272" s="641"/>
      <c r="AI272" s="641"/>
      <c r="AJ272" s="641"/>
      <c r="AK272" s="641"/>
      <c r="AL272" s="641"/>
      <c r="AM272" s="641"/>
      <c r="AN272" s="641"/>
      <c r="AO272" s="641"/>
      <c r="AP272" s="641"/>
      <c r="AQ272" s="641"/>
    </row>
    <row r="273" spans="1:43" hidden="1" outlineLevel="1" x14ac:dyDescent="0.2">
      <c r="A273" s="162"/>
      <c r="B273" s="162"/>
      <c r="C273" s="706"/>
      <c r="D273" s="11" t="s">
        <v>26</v>
      </c>
      <c r="E273" s="34"/>
      <c r="F273" s="34"/>
      <c r="G273" s="34"/>
      <c r="H273" s="34"/>
      <c r="I273" s="34"/>
      <c r="J273" s="34"/>
      <c r="K273" s="33"/>
      <c r="L273" s="162"/>
      <c r="M273" s="867"/>
      <c r="N273" s="867"/>
      <c r="O273" s="867"/>
      <c r="P273" s="867"/>
      <c r="Q273" s="867"/>
      <c r="R273" s="867"/>
      <c r="S273" s="867"/>
      <c r="T273" s="867"/>
      <c r="U273" s="641"/>
      <c r="V273" s="641"/>
      <c r="W273" s="641"/>
      <c r="X273" s="641"/>
      <c r="Y273" s="641"/>
      <c r="Z273" s="641"/>
      <c r="AA273" s="641"/>
      <c r="AB273" s="641"/>
      <c r="AC273" s="641"/>
      <c r="AD273" s="641"/>
      <c r="AE273" s="641"/>
      <c r="AF273" s="641"/>
      <c r="AG273" s="641"/>
      <c r="AH273" s="641"/>
      <c r="AI273" s="641"/>
      <c r="AJ273" s="641"/>
      <c r="AK273" s="641"/>
      <c r="AL273" s="641"/>
      <c r="AM273" s="641"/>
      <c r="AN273" s="641"/>
      <c r="AO273" s="641"/>
      <c r="AP273" s="641"/>
      <c r="AQ273" s="641"/>
    </row>
    <row r="274" spans="1:43" hidden="1" outlineLevel="1" x14ac:dyDescent="0.2">
      <c r="A274" s="162"/>
      <c r="B274" s="162"/>
      <c r="C274" s="706"/>
      <c r="D274" s="11" t="s">
        <v>33</v>
      </c>
      <c r="E274" s="34"/>
      <c r="F274" s="34"/>
      <c r="G274" s="34"/>
      <c r="H274" s="34"/>
      <c r="I274" s="34"/>
      <c r="J274" s="34"/>
      <c r="K274" s="34"/>
      <c r="L274" s="162"/>
      <c r="M274" s="867"/>
      <c r="N274" s="867"/>
      <c r="O274" s="867"/>
      <c r="P274" s="867"/>
      <c r="Q274" s="867"/>
      <c r="R274" s="867"/>
      <c r="S274" s="867"/>
      <c r="T274" s="867"/>
      <c r="U274" s="641"/>
      <c r="V274" s="641"/>
      <c r="W274" s="641"/>
      <c r="X274" s="641"/>
      <c r="Y274" s="641"/>
      <c r="Z274" s="641"/>
      <c r="AA274" s="641"/>
      <c r="AB274" s="641"/>
      <c r="AC274" s="641"/>
      <c r="AD274" s="641"/>
      <c r="AE274" s="641"/>
      <c r="AF274" s="641"/>
      <c r="AG274" s="641"/>
      <c r="AH274" s="641"/>
      <c r="AI274" s="641"/>
      <c r="AJ274" s="641"/>
      <c r="AK274" s="641"/>
      <c r="AL274" s="641"/>
      <c r="AM274" s="641"/>
      <c r="AN274" s="641"/>
      <c r="AO274" s="641"/>
      <c r="AP274" s="641"/>
      <c r="AQ274" s="641"/>
    </row>
    <row r="275" spans="1:43" hidden="1" outlineLevel="1" x14ac:dyDescent="0.2">
      <c r="A275" s="162"/>
      <c r="B275" s="162"/>
      <c r="C275" s="706"/>
      <c r="D275" s="11" t="s">
        <v>849</v>
      </c>
      <c r="E275" s="34"/>
      <c r="F275" s="34"/>
      <c r="G275" s="34"/>
      <c r="H275" s="34"/>
      <c r="I275" s="34"/>
      <c r="J275" s="34"/>
      <c r="K275" s="34"/>
      <c r="L275" s="162"/>
      <c r="M275" s="867"/>
      <c r="N275" s="867"/>
      <c r="O275" s="867"/>
      <c r="P275" s="867"/>
      <c r="Q275" s="867"/>
      <c r="R275" s="867"/>
      <c r="S275" s="867"/>
      <c r="T275" s="867"/>
      <c r="U275" s="641"/>
      <c r="V275" s="641"/>
      <c r="W275" s="641"/>
      <c r="X275" s="641"/>
      <c r="Y275" s="641"/>
      <c r="Z275" s="641"/>
      <c r="AA275" s="641"/>
      <c r="AB275" s="641"/>
      <c r="AC275" s="641"/>
      <c r="AD275" s="641"/>
      <c r="AE275" s="641"/>
      <c r="AF275" s="641"/>
      <c r="AG275" s="641"/>
      <c r="AH275" s="641"/>
      <c r="AI275" s="641"/>
      <c r="AJ275" s="641"/>
      <c r="AK275" s="641"/>
      <c r="AL275" s="641"/>
      <c r="AM275" s="641"/>
      <c r="AN275" s="641"/>
      <c r="AO275" s="641"/>
      <c r="AP275" s="641"/>
      <c r="AQ275" s="641"/>
    </row>
    <row r="276" spans="1:43" hidden="1" outlineLevel="1" x14ac:dyDescent="0.2">
      <c r="A276" s="638"/>
      <c r="B276" s="638"/>
      <c r="C276" s="707"/>
      <c r="D276" s="13" t="s">
        <v>107</v>
      </c>
      <c r="E276" s="38">
        <f t="shared" ref="E276:K276" si="115">E278-E277</f>
        <v>0</v>
      </c>
      <c r="F276" s="38">
        <f t="shared" si="115"/>
        <v>0</v>
      </c>
      <c r="G276" s="38">
        <f t="shared" si="115"/>
        <v>0</v>
      </c>
      <c r="H276" s="38">
        <f t="shared" si="115"/>
        <v>0</v>
      </c>
      <c r="I276" s="38">
        <f t="shared" si="115"/>
        <v>0</v>
      </c>
      <c r="J276" s="38">
        <f t="shared" si="115"/>
        <v>0</v>
      </c>
      <c r="K276" s="38">
        <f t="shared" si="115"/>
        <v>0</v>
      </c>
      <c r="L276" s="638"/>
      <c r="M276" s="638"/>
      <c r="N276" s="638"/>
      <c r="O276" s="638"/>
      <c r="P276" s="638"/>
      <c r="Q276" s="638"/>
      <c r="R276" s="638"/>
      <c r="S276" s="638"/>
      <c r="T276" s="638"/>
      <c r="U276" s="9"/>
      <c r="V276" s="9"/>
      <c r="W276" s="9"/>
      <c r="X276" s="9"/>
      <c r="Y276" s="9"/>
      <c r="Z276" s="9"/>
      <c r="AA276" s="9"/>
      <c r="AB276" s="9"/>
      <c r="AC276" s="9"/>
      <c r="AD276" s="9"/>
      <c r="AE276" s="9"/>
      <c r="AF276" s="9"/>
      <c r="AG276" s="9"/>
      <c r="AH276" s="9"/>
      <c r="AI276" s="9"/>
      <c r="AJ276" s="9"/>
      <c r="AK276" s="9"/>
      <c r="AL276" s="9"/>
      <c r="AM276" s="9"/>
      <c r="AN276" s="9"/>
      <c r="AO276" s="9"/>
      <c r="AP276" s="9"/>
      <c r="AQ276" s="9"/>
    </row>
    <row r="277" spans="1:43" hidden="1" outlineLevel="1" x14ac:dyDescent="0.2">
      <c r="A277" s="638"/>
      <c r="B277" s="638"/>
      <c r="C277" s="707"/>
      <c r="D277" s="13" t="s">
        <v>108</v>
      </c>
      <c r="E277" s="38">
        <f t="shared" ref="E277:K277" si="116">ROUND(E278*$T$165,0)</f>
        <v>0</v>
      </c>
      <c r="F277" s="38">
        <f t="shared" si="116"/>
        <v>0</v>
      </c>
      <c r="G277" s="38">
        <f t="shared" si="116"/>
        <v>0</v>
      </c>
      <c r="H277" s="38">
        <f t="shared" si="116"/>
        <v>0</v>
      </c>
      <c r="I277" s="38">
        <f t="shared" si="116"/>
        <v>0</v>
      </c>
      <c r="J277" s="38">
        <f t="shared" si="116"/>
        <v>0</v>
      </c>
      <c r="K277" s="38">
        <f t="shared" si="116"/>
        <v>0</v>
      </c>
      <c r="L277" s="638"/>
      <c r="M277" s="638"/>
      <c r="N277" s="638"/>
      <c r="O277" s="638"/>
      <c r="P277" s="638"/>
      <c r="Q277" s="638"/>
      <c r="R277" s="638"/>
      <c r="S277" s="638"/>
      <c r="T277" s="638"/>
      <c r="U277" s="9"/>
      <c r="V277" s="9"/>
      <c r="W277" s="9"/>
      <c r="X277" s="9"/>
      <c r="Y277" s="9"/>
      <c r="Z277" s="9"/>
      <c r="AA277" s="9"/>
      <c r="AB277" s="9"/>
      <c r="AC277" s="9"/>
      <c r="AD277" s="9"/>
      <c r="AE277" s="9"/>
      <c r="AF277" s="9"/>
      <c r="AG277" s="9"/>
      <c r="AH277" s="9"/>
      <c r="AI277" s="9"/>
      <c r="AJ277" s="9"/>
      <c r="AK277" s="9"/>
      <c r="AL277" s="9"/>
      <c r="AM277" s="9"/>
      <c r="AN277" s="9"/>
      <c r="AO277" s="9"/>
      <c r="AP277" s="9"/>
      <c r="AQ277" s="9"/>
    </row>
    <row r="278" spans="1:43" hidden="1" outlineLevel="1" x14ac:dyDescent="0.2">
      <c r="A278" s="638"/>
      <c r="B278" s="638"/>
      <c r="C278" s="707"/>
      <c r="D278" s="635" t="s">
        <v>844</v>
      </c>
      <c r="E278" s="39">
        <f t="shared" ref="E278:K278" si="117">IF(E272="","",E275*E274*E272)</f>
        <v>0</v>
      </c>
      <c r="F278" s="39">
        <f t="shared" si="117"/>
        <v>0</v>
      </c>
      <c r="G278" s="39">
        <f t="shared" si="117"/>
        <v>0</v>
      </c>
      <c r="H278" s="39">
        <f t="shared" si="117"/>
        <v>0</v>
      </c>
      <c r="I278" s="39">
        <f t="shared" si="117"/>
        <v>0</v>
      </c>
      <c r="J278" s="39">
        <f t="shared" si="117"/>
        <v>0</v>
      </c>
      <c r="K278" s="39">
        <f t="shared" si="117"/>
        <v>0</v>
      </c>
      <c r="L278" s="638"/>
      <c r="M278" s="638"/>
      <c r="N278" s="638"/>
      <c r="O278" s="638"/>
      <c r="P278" s="638"/>
      <c r="Q278" s="638"/>
      <c r="R278" s="638"/>
      <c r="S278" s="638"/>
      <c r="T278" s="638"/>
      <c r="U278" s="9"/>
      <c r="V278" s="9"/>
      <c r="W278" s="9"/>
      <c r="X278" s="9"/>
      <c r="Y278" s="9"/>
      <c r="Z278" s="9"/>
      <c r="AA278" s="9"/>
      <c r="AB278" s="9"/>
      <c r="AC278" s="9"/>
      <c r="AD278" s="9"/>
      <c r="AE278" s="9"/>
      <c r="AF278" s="9"/>
      <c r="AG278" s="9"/>
      <c r="AH278" s="9"/>
      <c r="AI278" s="9"/>
      <c r="AJ278" s="9"/>
      <c r="AK278" s="9"/>
      <c r="AL278" s="9"/>
      <c r="AM278" s="9"/>
      <c r="AN278" s="9"/>
      <c r="AO278" s="9"/>
      <c r="AP278" s="9"/>
      <c r="AQ278" s="9"/>
    </row>
    <row r="279" spans="1:43" hidden="1" outlineLevel="1" x14ac:dyDescent="0.2">
      <c r="A279" s="162"/>
      <c r="B279" s="162"/>
      <c r="C279" s="706"/>
      <c r="D279" s="162"/>
      <c r="E279" s="162"/>
      <c r="F279" s="162"/>
      <c r="G279" s="709"/>
      <c r="H279" s="709"/>
      <c r="I279" s="709"/>
      <c r="J279" s="162"/>
      <c r="K279" s="162"/>
      <c r="L279" s="162"/>
      <c r="M279" s="162"/>
      <c r="N279" s="162"/>
      <c r="O279" s="162"/>
      <c r="P279" s="162"/>
      <c r="Q279" s="162"/>
      <c r="R279" s="162"/>
      <c r="S279" s="162"/>
      <c r="T279" s="162"/>
      <c r="U279" s="641"/>
      <c r="V279" s="641"/>
      <c r="W279" s="641"/>
      <c r="X279" s="641"/>
      <c r="Y279" s="641"/>
      <c r="Z279" s="641"/>
      <c r="AA279" s="641"/>
      <c r="AB279" s="641"/>
      <c r="AC279" s="641"/>
      <c r="AD279" s="641"/>
      <c r="AE279" s="641"/>
      <c r="AF279" s="641"/>
      <c r="AG279" s="641"/>
      <c r="AH279" s="641"/>
      <c r="AI279" s="641"/>
      <c r="AJ279" s="641"/>
      <c r="AK279" s="641"/>
      <c r="AL279" s="641"/>
      <c r="AM279" s="641"/>
      <c r="AN279" s="641"/>
      <c r="AO279" s="641"/>
      <c r="AP279" s="641"/>
      <c r="AQ279" s="641"/>
    </row>
    <row r="280" spans="1:43" collapsed="1" x14ac:dyDescent="0.2">
      <c r="A280" s="162"/>
      <c r="B280" s="162"/>
      <c r="C280" s="706"/>
      <c r="D280" s="162"/>
      <c r="E280" s="162"/>
      <c r="F280" s="162"/>
      <c r="G280" s="162"/>
      <c r="H280" s="162"/>
      <c r="I280" s="162"/>
      <c r="J280" s="162"/>
      <c r="K280" s="162"/>
      <c r="L280" s="162"/>
      <c r="M280" s="162"/>
      <c r="N280" s="162"/>
      <c r="O280" s="162"/>
      <c r="P280" s="162"/>
      <c r="Q280" s="162"/>
      <c r="R280" s="162"/>
      <c r="S280" s="162"/>
      <c r="T280" s="162"/>
      <c r="U280" s="641"/>
      <c r="V280" s="641"/>
      <c r="W280" s="641"/>
      <c r="X280" s="641"/>
      <c r="Y280" s="641"/>
      <c r="Z280" s="641"/>
      <c r="AA280" s="641"/>
      <c r="AB280" s="641"/>
      <c r="AC280" s="641"/>
      <c r="AD280" s="641"/>
      <c r="AE280" s="641"/>
      <c r="AF280" s="641"/>
      <c r="AG280" s="641"/>
      <c r="AH280" s="641"/>
      <c r="AI280" s="641"/>
      <c r="AJ280" s="641"/>
      <c r="AK280" s="641"/>
      <c r="AL280" s="641"/>
      <c r="AM280" s="641"/>
      <c r="AN280" s="641"/>
      <c r="AO280" s="641"/>
      <c r="AP280" s="641"/>
      <c r="AQ280" s="641"/>
    </row>
    <row r="281" spans="1:43" ht="15" x14ac:dyDescent="0.2">
      <c r="A281" s="125"/>
      <c r="B281" s="125"/>
      <c r="C281" s="291">
        <v>9</v>
      </c>
      <c r="D281" s="147" t="str">
        <f>INDEX(NamesMSAdditional,C281,1)</f>
        <v>** NOT USED **</v>
      </c>
      <c r="E281" s="139"/>
      <c r="F281" s="139"/>
      <c r="G281" s="139"/>
      <c r="H281" s="139"/>
      <c r="I281" s="821" t="str">
        <f>IF(D281&lt;&gt;MsgNotUsed,"Co-payment group " &amp; INDEX(CoPayBandMSAdditional,C281),"")</f>
        <v/>
      </c>
      <c r="J281" s="821"/>
      <c r="K281" s="139"/>
      <c r="L281" s="139"/>
      <c r="M281" s="139"/>
      <c r="N281" s="139"/>
      <c r="O281" s="139"/>
      <c r="P281" s="139"/>
      <c r="Q281" s="139"/>
      <c r="R281" s="139"/>
      <c r="S281" s="139"/>
      <c r="T281" s="139"/>
      <c r="U281" s="139"/>
      <c r="V281" s="139"/>
      <c r="W281" s="139"/>
      <c r="X281" s="139"/>
      <c r="Y281" s="139"/>
      <c r="Z281" s="139"/>
      <c r="AA281" s="139"/>
      <c r="AB281" s="139"/>
      <c r="AC281" s="139"/>
      <c r="AD281" s="139"/>
      <c r="AE281" s="139"/>
      <c r="AF281" s="139"/>
      <c r="AG281" s="139"/>
      <c r="AH281" s="139"/>
      <c r="AI281" s="139"/>
      <c r="AJ281" s="139"/>
      <c r="AK281" s="139"/>
      <c r="AL281" s="139"/>
      <c r="AM281" s="139"/>
      <c r="AN281" s="139"/>
      <c r="AO281" s="139"/>
      <c r="AP281" s="139"/>
      <c r="AQ281" s="139"/>
    </row>
    <row r="282" spans="1:43" ht="15.75" hidden="1" outlineLevel="1" x14ac:dyDescent="0.2">
      <c r="A282" s="131"/>
      <c r="B282" s="131"/>
      <c r="C282" s="705"/>
      <c r="D282" s="655"/>
      <c r="E282" s="131"/>
      <c r="F282" s="131"/>
      <c r="G282" s="131"/>
      <c r="H282" s="131"/>
      <c r="I282" s="131"/>
      <c r="J282" s="131"/>
      <c r="K282" s="131"/>
      <c r="L282" s="131"/>
      <c r="M282" s="131"/>
      <c r="N282" s="131"/>
      <c r="O282" s="131"/>
      <c r="P282" s="131"/>
      <c r="Q282" s="131"/>
      <c r="R282" s="131"/>
      <c r="S282" s="26"/>
      <c r="T282" s="26"/>
      <c r="U282" s="26"/>
      <c r="V282" s="26"/>
      <c r="W282" s="26"/>
      <c r="X282" s="26"/>
      <c r="Y282" s="26"/>
      <c r="Z282" s="26"/>
      <c r="AA282" s="26"/>
      <c r="AB282" s="26"/>
      <c r="AC282" s="26"/>
      <c r="AD282" s="26"/>
      <c r="AE282" s="26"/>
      <c r="AF282" s="26"/>
      <c r="AG282" s="26"/>
      <c r="AH282" s="26"/>
      <c r="AI282" s="26"/>
      <c r="AJ282" s="26"/>
      <c r="AK282" s="26"/>
      <c r="AL282" s="26"/>
      <c r="AM282" s="26"/>
      <c r="AN282" s="26"/>
      <c r="AO282" s="26"/>
      <c r="AP282" s="26"/>
      <c r="AQ282" s="26"/>
    </row>
    <row r="283" spans="1:43" ht="14.25" hidden="1" customHeight="1" outlineLevel="1" x14ac:dyDescent="0.2">
      <c r="A283" s="162"/>
      <c r="B283" s="162"/>
      <c r="C283" s="706"/>
      <c r="D283" s="708"/>
      <c r="E283" s="64">
        <f>F283-1</f>
        <v>2020</v>
      </c>
      <c r="F283" s="64">
        <f>FirstYear</f>
        <v>2021</v>
      </c>
      <c r="G283" s="64">
        <f>F283+1</f>
        <v>2022</v>
      </c>
      <c r="H283" s="64">
        <f>G283+1</f>
        <v>2023</v>
      </c>
      <c r="I283" s="64">
        <f>H283+1</f>
        <v>2024</v>
      </c>
      <c r="J283" s="64">
        <f>I283+1</f>
        <v>2025</v>
      </c>
      <c r="K283" s="64">
        <f>J283+1</f>
        <v>2026</v>
      </c>
      <c r="L283" s="162"/>
      <c r="M283" s="616"/>
      <c r="N283" s="162"/>
      <c r="O283" s="162"/>
      <c r="P283" s="616"/>
      <c r="Q283" s="162"/>
      <c r="R283" s="162"/>
      <c r="S283" s="641"/>
      <c r="T283" s="641"/>
      <c r="U283" s="641"/>
      <c r="V283" s="641"/>
      <c r="W283" s="641"/>
      <c r="X283" s="641"/>
      <c r="Y283" s="641"/>
      <c r="Z283" s="641"/>
      <c r="AA283" s="641"/>
      <c r="AB283" s="641"/>
      <c r="AC283" s="641"/>
      <c r="AD283" s="641"/>
      <c r="AE283" s="641"/>
      <c r="AF283" s="641"/>
      <c r="AG283" s="641"/>
      <c r="AH283" s="641"/>
      <c r="AI283" s="641"/>
      <c r="AJ283" s="641"/>
      <c r="AK283" s="641"/>
      <c r="AL283" s="641"/>
      <c r="AM283" s="641"/>
      <c r="AN283" s="641"/>
      <c r="AO283" s="641"/>
      <c r="AP283" s="641"/>
      <c r="AQ283" s="641"/>
    </row>
    <row r="284" spans="1:43" hidden="1" outlineLevel="1" x14ac:dyDescent="0.2">
      <c r="A284" s="162"/>
      <c r="B284" s="162"/>
      <c r="C284" s="706"/>
      <c r="D284" s="4" t="s">
        <v>114</v>
      </c>
      <c r="E284" s="38">
        <f>INDEX(ScriptsMSAdditional,$C281) * INDEX(NamesMSAdditional,$C281,3)</f>
        <v>0</v>
      </c>
      <c r="F284" s="38">
        <f t="shared" ref="F284:K284" si="118">IF(E284="","",E284*(1+E285))</f>
        <v>0</v>
      </c>
      <c r="G284" s="38">
        <f t="shared" si="118"/>
        <v>0</v>
      </c>
      <c r="H284" s="38">
        <f t="shared" si="118"/>
        <v>0</v>
      </c>
      <c r="I284" s="38">
        <f t="shared" si="118"/>
        <v>0</v>
      </c>
      <c r="J284" s="38">
        <f>IF(I284="","",I284*(1+I285))</f>
        <v>0</v>
      </c>
      <c r="K284" s="38">
        <f t="shared" si="118"/>
        <v>0</v>
      </c>
      <c r="L284" s="162"/>
      <c r="M284" s="36" t="s">
        <v>258</v>
      </c>
      <c r="N284" s="162"/>
      <c r="O284" s="616"/>
      <c r="P284" s="162"/>
      <c r="Q284" s="162"/>
      <c r="R284" s="616"/>
      <c r="S284" s="162"/>
      <c r="T284" s="162"/>
      <c r="U284" s="641"/>
      <c r="V284" s="641"/>
      <c r="W284" s="641"/>
      <c r="X284" s="641"/>
      <c r="Y284" s="641"/>
      <c r="Z284" s="641"/>
      <c r="AA284" s="641"/>
      <c r="AB284" s="641"/>
      <c r="AC284" s="641"/>
      <c r="AD284" s="641"/>
      <c r="AE284" s="641"/>
      <c r="AF284" s="641"/>
      <c r="AG284" s="641"/>
      <c r="AH284" s="641"/>
      <c r="AI284" s="641"/>
      <c r="AJ284" s="641"/>
      <c r="AK284" s="641"/>
      <c r="AL284" s="641"/>
      <c r="AM284" s="641"/>
      <c r="AN284" s="641"/>
      <c r="AO284" s="641"/>
      <c r="AP284" s="641"/>
      <c r="AQ284" s="641"/>
    </row>
    <row r="285" spans="1:43" hidden="1" outlineLevel="1" x14ac:dyDescent="0.2">
      <c r="A285" s="162"/>
      <c r="B285" s="162"/>
      <c r="C285" s="706"/>
      <c r="D285" s="11" t="s">
        <v>26</v>
      </c>
      <c r="E285" s="34"/>
      <c r="F285" s="34"/>
      <c r="G285" s="34"/>
      <c r="H285" s="34"/>
      <c r="I285" s="34"/>
      <c r="J285" s="34"/>
      <c r="K285" s="33"/>
      <c r="L285" s="162"/>
      <c r="M285" s="867"/>
      <c r="N285" s="867"/>
      <c r="O285" s="867"/>
      <c r="P285" s="867"/>
      <c r="Q285" s="867"/>
      <c r="R285" s="867"/>
      <c r="S285" s="867"/>
      <c r="T285" s="867"/>
      <c r="U285" s="641"/>
      <c r="V285" s="641"/>
      <c r="W285" s="641"/>
      <c r="X285" s="641"/>
      <c r="Y285" s="641"/>
      <c r="Z285" s="641"/>
      <c r="AA285" s="641"/>
      <c r="AB285" s="641"/>
      <c r="AC285" s="641"/>
      <c r="AD285" s="641"/>
      <c r="AE285" s="641"/>
      <c r="AF285" s="641"/>
      <c r="AG285" s="641"/>
      <c r="AH285" s="641"/>
      <c r="AI285" s="641"/>
      <c r="AJ285" s="641"/>
      <c r="AK285" s="641"/>
      <c r="AL285" s="641"/>
      <c r="AM285" s="641"/>
      <c r="AN285" s="641"/>
      <c r="AO285" s="641"/>
      <c r="AP285" s="641"/>
      <c r="AQ285" s="641"/>
    </row>
    <row r="286" spans="1:43" hidden="1" outlineLevel="1" x14ac:dyDescent="0.2">
      <c r="A286" s="162"/>
      <c r="B286" s="162"/>
      <c r="C286" s="706"/>
      <c r="D286" s="11" t="s">
        <v>33</v>
      </c>
      <c r="E286" s="34"/>
      <c r="F286" s="34"/>
      <c r="G286" s="34"/>
      <c r="H286" s="34"/>
      <c r="I286" s="34"/>
      <c r="J286" s="34"/>
      <c r="K286" s="34"/>
      <c r="L286" s="162"/>
      <c r="M286" s="867"/>
      <c r="N286" s="867"/>
      <c r="O286" s="867"/>
      <c r="P286" s="867"/>
      <c r="Q286" s="867"/>
      <c r="R286" s="867"/>
      <c r="S286" s="867"/>
      <c r="T286" s="867"/>
      <c r="U286" s="641"/>
      <c r="V286" s="641"/>
      <c r="W286" s="641"/>
      <c r="X286" s="641"/>
      <c r="Y286" s="641"/>
      <c r="Z286" s="641"/>
      <c r="AA286" s="641"/>
      <c r="AB286" s="641"/>
      <c r="AC286" s="641"/>
      <c r="AD286" s="641"/>
      <c r="AE286" s="641"/>
      <c r="AF286" s="641"/>
      <c r="AG286" s="641"/>
      <c r="AH286" s="641"/>
      <c r="AI286" s="641"/>
      <c r="AJ286" s="641"/>
      <c r="AK286" s="641"/>
      <c r="AL286" s="641"/>
      <c r="AM286" s="641"/>
      <c r="AN286" s="641"/>
      <c r="AO286" s="641"/>
      <c r="AP286" s="641"/>
      <c r="AQ286" s="641"/>
    </row>
    <row r="287" spans="1:43" hidden="1" outlineLevel="1" x14ac:dyDescent="0.2">
      <c r="A287" s="162"/>
      <c r="B287" s="162"/>
      <c r="C287" s="706"/>
      <c r="D287" s="11" t="s">
        <v>849</v>
      </c>
      <c r="E287" s="34"/>
      <c r="F287" s="34"/>
      <c r="G287" s="34"/>
      <c r="H287" s="34"/>
      <c r="I287" s="34"/>
      <c r="J287" s="34"/>
      <c r="K287" s="34"/>
      <c r="L287" s="162"/>
      <c r="M287" s="867"/>
      <c r="N287" s="867"/>
      <c r="O287" s="867"/>
      <c r="P287" s="867"/>
      <c r="Q287" s="867"/>
      <c r="R287" s="867"/>
      <c r="S287" s="867"/>
      <c r="T287" s="867"/>
      <c r="U287" s="641"/>
      <c r="V287" s="641"/>
      <c r="W287" s="641"/>
      <c r="X287" s="641"/>
      <c r="Y287" s="641"/>
      <c r="Z287" s="641"/>
      <c r="AA287" s="641"/>
      <c r="AB287" s="641"/>
      <c r="AC287" s="641"/>
      <c r="AD287" s="641"/>
      <c r="AE287" s="641"/>
      <c r="AF287" s="641"/>
      <c r="AG287" s="641"/>
      <c r="AH287" s="641"/>
      <c r="AI287" s="641"/>
      <c r="AJ287" s="641"/>
      <c r="AK287" s="641"/>
      <c r="AL287" s="641"/>
      <c r="AM287" s="641"/>
      <c r="AN287" s="641"/>
      <c r="AO287" s="641"/>
      <c r="AP287" s="641"/>
      <c r="AQ287" s="641"/>
    </row>
    <row r="288" spans="1:43" hidden="1" outlineLevel="1" x14ac:dyDescent="0.2">
      <c r="A288" s="638"/>
      <c r="B288" s="638"/>
      <c r="C288" s="707"/>
      <c r="D288" s="13" t="s">
        <v>107</v>
      </c>
      <c r="E288" s="38">
        <f t="shared" ref="E288:K288" si="119">E290-E289</f>
        <v>0</v>
      </c>
      <c r="F288" s="38">
        <f t="shared" si="119"/>
        <v>0</v>
      </c>
      <c r="G288" s="38">
        <f t="shared" si="119"/>
        <v>0</v>
      </c>
      <c r="H288" s="38">
        <f t="shared" si="119"/>
        <v>0</v>
      </c>
      <c r="I288" s="38">
        <f t="shared" si="119"/>
        <v>0</v>
      </c>
      <c r="J288" s="38">
        <f t="shared" si="119"/>
        <v>0</v>
      </c>
      <c r="K288" s="38">
        <f t="shared" si="119"/>
        <v>0</v>
      </c>
      <c r="L288" s="638"/>
      <c r="M288" s="638"/>
      <c r="N288" s="638"/>
      <c r="O288" s="638"/>
      <c r="P288" s="638"/>
      <c r="Q288" s="638"/>
      <c r="R288" s="638"/>
      <c r="S288" s="638"/>
      <c r="T288" s="638"/>
      <c r="U288" s="9"/>
      <c r="V288" s="9"/>
      <c r="W288" s="9"/>
      <c r="X288" s="9"/>
      <c r="Y288" s="9"/>
      <c r="Z288" s="9"/>
      <c r="AA288" s="9"/>
      <c r="AB288" s="9"/>
      <c r="AC288" s="9"/>
      <c r="AD288" s="9"/>
      <c r="AE288" s="9"/>
      <c r="AF288" s="9"/>
      <c r="AG288" s="9"/>
      <c r="AH288" s="9"/>
      <c r="AI288" s="9"/>
      <c r="AJ288" s="9"/>
      <c r="AK288" s="9"/>
      <c r="AL288" s="9"/>
      <c r="AM288" s="9"/>
      <c r="AN288" s="9"/>
      <c r="AO288" s="9"/>
      <c r="AP288" s="9"/>
      <c r="AQ288" s="9"/>
    </row>
    <row r="289" spans="1:43" hidden="1" outlineLevel="1" x14ac:dyDescent="0.2">
      <c r="A289" s="638"/>
      <c r="B289" s="638"/>
      <c r="C289" s="707"/>
      <c r="D289" s="13" t="s">
        <v>108</v>
      </c>
      <c r="E289" s="38">
        <f t="shared" ref="E289:K289" si="120">ROUND(E290*$T$166,0)</f>
        <v>0</v>
      </c>
      <c r="F289" s="38">
        <f t="shared" si="120"/>
        <v>0</v>
      </c>
      <c r="G289" s="38">
        <f t="shared" si="120"/>
        <v>0</v>
      </c>
      <c r="H289" s="38">
        <f t="shared" si="120"/>
        <v>0</v>
      </c>
      <c r="I289" s="38">
        <f t="shared" si="120"/>
        <v>0</v>
      </c>
      <c r="J289" s="38">
        <f t="shared" si="120"/>
        <v>0</v>
      </c>
      <c r="K289" s="38">
        <f t="shared" si="120"/>
        <v>0</v>
      </c>
      <c r="L289" s="638"/>
      <c r="M289" s="638"/>
      <c r="N289" s="638"/>
      <c r="O289" s="638"/>
      <c r="P289" s="638"/>
      <c r="Q289" s="638"/>
      <c r="R289" s="638"/>
      <c r="S289" s="638"/>
      <c r="T289" s="638"/>
      <c r="U289" s="9"/>
      <c r="V289" s="9"/>
      <c r="W289" s="9"/>
      <c r="X289" s="9"/>
      <c r="Y289" s="9"/>
      <c r="Z289" s="9"/>
      <c r="AA289" s="9"/>
      <c r="AB289" s="9"/>
      <c r="AC289" s="9"/>
      <c r="AD289" s="9"/>
      <c r="AE289" s="9"/>
      <c r="AF289" s="9"/>
      <c r="AG289" s="9"/>
      <c r="AH289" s="9"/>
      <c r="AI289" s="9"/>
      <c r="AJ289" s="9"/>
      <c r="AK289" s="9"/>
      <c r="AL289" s="9"/>
      <c r="AM289" s="9"/>
      <c r="AN289" s="9"/>
      <c r="AO289" s="9"/>
      <c r="AP289" s="9"/>
      <c r="AQ289" s="9"/>
    </row>
    <row r="290" spans="1:43" hidden="1" outlineLevel="1" x14ac:dyDescent="0.2">
      <c r="A290" s="638"/>
      <c r="B290" s="638"/>
      <c r="C290" s="707"/>
      <c r="D290" s="635" t="s">
        <v>844</v>
      </c>
      <c r="E290" s="39">
        <f t="shared" ref="E290:K290" si="121">IF(E284="","",E287*E286*E284)</f>
        <v>0</v>
      </c>
      <c r="F290" s="39">
        <f t="shared" si="121"/>
        <v>0</v>
      </c>
      <c r="G290" s="39">
        <f t="shared" si="121"/>
        <v>0</v>
      </c>
      <c r="H290" s="39">
        <f t="shared" si="121"/>
        <v>0</v>
      </c>
      <c r="I290" s="39">
        <f t="shared" si="121"/>
        <v>0</v>
      </c>
      <c r="J290" s="39">
        <f t="shared" si="121"/>
        <v>0</v>
      </c>
      <c r="K290" s="39">
        <f t="shared" si="121"/>
        <v>0</v>
      </c>
      <c r="L290" s="638"/>
      <c r="M290" s="638"/>
      <c r="N290" s="638"/>
      <c r="O290" s="638"/>
      <c r="P290" s="638"/>
      <c r="Q290" s="638"/>
      <c r="R290" s="638"/>
      <c r="S290" s="638"/>
      <c r="T290" s="638"/>
      <c r="U290" s="9"/>
      <c r="V290" s="9"/>
      <c r="W290" s="9"/>
      <c r="X290" s="9"/>
      <c r="Y290" s="9"/>
      <c r="Z290" s="9"/>
      <c r="AA290" s="9"/>
      <c r="AB290" s="9"/>
      <c r="AC290" s="9"/>
      <c r="AD290" s="9"/>
      <c r="AE290" s="9"/>
      <c r="AF290" s="9"/>
      <c r="AG290" s="9"/>
      <c r="AH290" s="9"/>
      <c r="AI290" s="9"/>
      <c r="AJ290" s="9"/>
      <c r="AK290" s="9"/>
      <c r="AL290" s="9"/>
      <c r="AM290" s="9"/>
      <c r="AN290" s="9"/>
      <c r="AO290" s="9"/>
      <c r="AP290" s="9"/>
      <c r="AQ290" s="9"/>
    </row>
    <row r="291" spans="1:43" hidden="1" outlineLevel="1" x14ac:dyDescent="0.2">
      <c r="A291" s="162"/>
      <c r="B291" s="162"/>
      <c r="C291" s="706"/>
      <c r="D291" s="162"/>
      <c r="E291" s="162"/>
      <c r="F291" s="162"/>
      <c r="G291" s="709"/>
      <c r="H291" s="709"/>
      <c r="I291" s="709"/>
      <c r="J291" s="162"/>
      <c r="K291" s="162"/>
      <c r="L291" s="162"/>
      <c r="M291" s="162"/>
      <c r="N291" s="162"/>
      <c r="O291" s="162"/>
      <c r="P291" s="162"/>
      <c r="Q291" s="162"/>
      <c r="R291" s="162"/>
      <c r="S291" s="162"/>
      <c r="T291" s="162"/>
      <c r="U291" s="641"/>
      <c r="V291" s="641"/>
      <c r="W291" s="641"/>
      <c r="X291" s="641"/>
      <c r="Y291" s="641"/>
      <c r="Z291" s="641"/>
      <c r="AA291" s="641"/>
      <c r="AB291" s="641"/>
      <c r="AC291" s="641"/>
      <c r="AD291" s="641"/>
      <c r="AE291" s="641"/>
      <c r="AF291" s="641"/>
      <c r="AG291" s="641"/>
      <c r="AH291" s="641"/>
      <c r="AI291" s="641"/>
      <c r="AJ291" s="641"/>
      <c r="AK291" s="641"/>
      <c r="AL291" s="641"/>
      <c r="AM291" s="641"/>
      <c r="AN291" s="641"/>
      <c r="AO291" s="641"/>
      <c r="AP291" s="641"/>
      <c r="AQ291" s="641"/>
    </row>
    <row r="292" spans="1:43" collapsed="1" x14ac:dyDescent="0.2">
      <c r="A292" s="162"/>
      <c r="B292" s="162"/>
      <c r="C292" s="706"/>
      <c r="D292" s="162"/>
      <c r="E292" s="162"/>
      <c r="F292" s="162"/>
      <c r="G292" s="162"/>
      <c r="H292" s="162"/>
      <c r="I292" s="162"/>
      <c r="J292" s="162"/>
      <c r="K292" s="162"/>
      <c r="L292" s="162"/>
      <c r="M292" s="162"/>
      <c r="N292" s="162"/>
      <c r="O292" s="162"/>
      <c r="P292" s="162"/>
      <c r="Q292" s="162"/>
      <c r="R292" s="162"/>
      <c r="S292" s="162"/>
      <c r="T292" s="162"/>
      <c r="U292" s="641"/>
      <c r="V292" s="641"/>
      <c r="W292" s="641"/>
      <c r="X292" s="641"/>
      <c r="Y292" s="641"/>
      <c r="Z292" s="641"/>
      <c r="AA292" s="641"/>
      <c r="AB292" s="641"/>
      <c r="AC292" s="641"/>
      <c r="AD292" s="641"/>
      <c r="AE292" s="641"/>
      <c r="AF292" s="641"/>
      <c r="AG292" s="641"/>
      <c r="AH292" s="641"/>
      <c r="AI292" s="641"/>
      <c r="AJ292" s="641"/>
      <c r="AK292" s="641"/>
      <c r="AL292" s="641"/>
      <c r="AM292" s="641"/>
      <c r="AN292" s="641"/>
      <c r="AO292" s="641"/>
      <c r="AP292" s="641"/>
      <c r="AQ292" s="641"/>
    </row>
    <row r="293" spans="1:43" ht="15" x14ac:dyDescent="0.2">
      <c r="A293" s="125"/>
      <c r="B293" s="125"/>
      <c r="C293" s="291">
        <v>10</v>
      </c>
      <c r="D293" s="147" t="str">
        <f>INDEX(NamesMSAdditional,C293,1)</f>
        <v>** NOT USED **</v>
      </c>
      <c r="E293" s="139"/>
      <c r="F293" s="139"/>
      <c r="G293" s="139"/>
      <c r="H293" s="139"/>
      <c r="I293" s="821" t="str">
        <f>IF(D293&lt;&gt;MsgNotUsed,"Co-payment group " &amp; INDEX(CoPayBandMSAdditional,C293),"")</f>
        <v/>
      </c>
      <c r="J293" s="821"/>
      <c r="K293" s="139"/>
      <c r="L293" s="139"/>
      <c r="M293" s="139"/>
      <c r="N293" s="139"/>
      <c r="O293" s="139"/>
      <c r="P293" s="139"/>
      <c r="Q293" s="139"/>
      <c r="R293" s="139"/>
      <c r="S293" s="139"/>
      <c r="T293" s="139"/>
      <c r="U293" s="139"/>
      <c r="V293" s="139"/>
      <c r="W293" s="139"/>
      <c r="X293" s="139"/>
      <c r="Y293" s="139"/>
      <c r="Z293" s="139"/>
      <c r="AA293" s="139"/>
      <c r="AB293" s="139"/>
      <c r="AC293" s="139"/>
      <c r="AD293" s="139"/>
      <c r="AE293" s="139"/>
      <c r="AF293" s="139"/>
      <c r="AG293" s="139"/>
      <c r="AH293" s="139"/>
      <c r="AI293" s="139"/>
      <c r="AJ293" s="139"/>
      <c r="AK293" s="139"/>
      <c r="AL293" s="139"/>
      <c r="AM293" s="139"/>
      <c r="AN293" s="139"/>
      <c r="AO293" s="139"/>
      <c r="AP293" s="139"/>
      <c r="AQ293" s="139"/>
    </row>
    <row r="294" spans="1:43" ht="15.75" hidden="1" outlineLevel="1" x14ac:dyDescent="0.2">
      <c r="A294" s="131"/>
      <c r="B294" s="131"/>
      <c r="C294" s="705"/>
      <c r="D294" s="655"/>
      <c r="E294" s="131"/>
      <c r="F294" s="131"/>
      <c r="G294" s="131"/>
      <c r="H294" s="131"/>
      <c r="I294" s="131"/>
      <c r="J294" s="131"/>
      <c r="K294" s="131"/>
      <c r="L294" s="131"/>
      <c r="M294" s="131"/>
      <c r="N294" s="131"/>
      <c r="O294" s="131"/>
      <c r="P294" s="131"/>
      <c r="Q294" s="131"/>
      <c r="R294" s="131"/>
      <c r="S294" s="26"/>
      <c r="T294" s="26"/>
      <c r="U294" s="26"/>
      <c r="V294" s="26"/>
      <c r="W294" s="26"/>
      <c r="X294" s="26"/>
      <c r="Y294" s="26"/>
      <c r="Z294" s="26"/>
      <c r="AA294" s="26"/>
      <c r="AB294" s="26"/>
      <c r="AC294" s="26"/>
      <c r="AD294" s="26"/>
      <c r="AE294" s="26"/>
      <c r="AF294" s="26"/>
      <c r="AG294" s="26"/>
      <c r="AH294" s="26"/>
      <c r="AI294" s="26"/>
      <c r="AJ294" s="26"/>
      <c r="AK294" s="26"/>
      <c r="AL294" s="26"/>
      <c r="AM294" s="26"/>
      <c r="AN294" s="26"/>
      <c r="AO294" s="26"/>
      <c r="AP294" s="26"/>
      <c r="AQ294" s="26"/>
    </row>
    <row r="295" spans="1:43" ht="14.25" hidden="1" customHeight="1" outlineLevel="1" x14ac:dyDescent="0.2">
      <c r="A295" s="162"/>
      <c r="B295" s="162"/>
      <c r="C295" s="706"/>
      <c r="D295" s="708"/>
      <c r="E295" s="64">
        <f>F295-1</f>
        <v>2020</v>
      </c>
      <c r="F295" s="64">
        <f>FirstYear</f>
        <v>2021</v>
      </c>
      <c r="G295" s="64">
        <f>F295+1</f>
        <v>2022</v>
      </c>
      <c r="H295" s="64">
        <f>G295+1</f>
        <v>2023</v>
      </c>
      <c r="I295" s="64">
        <f>H295+1</f>
        <v>2024</v>
      </c>
      <c r="J295" s="64">
        <f>I295+1</f>
        <v>2025</v>
      </c>
      <c r="K295" s="64">
        <f>J295+1</f>
        <v>2026</v>
      </c>
      <c r="L295" s="162"/>
      <c r="M295" s="616"/>
      <c r="N295" s="162"/>
      <c r="O295" s="162"/>
      <c r="P295" s="616"/>
      <c r="Q295" s="162"/>
      <c r="R295" s="162"/>
      <c r="S295" s="641"/>
      <c r="T295" s="641"/>
      <c r="U295" s="641"/>
      <c r="V295" s="641"/>
      <c r="W295" s="641"/>
      <c r="X295" s="641"/>
      <c r="Y295" s="641"/>
      <c r="Z295" s="641"/>
      <c r="AA295" s="641"/>
      <c r="AB295" s="641"/>
      <c r="AC295" s="641"/>
      <c r="AD295" s="641"/>
      <c r="AE295" s="641"/>
      <c r="AF295" s="641"/>
      <c r="AG295" s="641"/>
      <c r="AH295" s="641"/>
      <c r="AI295" s="641"/>
      <c r="AJ295" s="641"/>
      <c r="AK295" s="641"/>
      <c r="AL295" s="641"/>
      <c r="AM295" s="641"/>
      <c r="AN295" s="641"/>
      <c r="AO295" s="641"/>
      <c r="AP295" s="641"/>
      <c r="AQ295" s="641"/>
    </row>
    <row r="296" spans="1:43" hidden="1" outlineLevel="1" x14ac:dyDescent="0.2">
      <c r="A296" s="162"/>
      <c r="B296" s="162"/>
      <c r="C296" s="706"/>
      <c r="D296" s="4" t="s">
        <v>114</v>
      </c>
      <c r="E296" s="38">
        <f>INDEX(ScriptsMSAdditional,$C293) * INDEX(NamesMSAdditional,$C293,3)</f>
        <v>0</v>
      </c>
      <c r="F296" s="38">
        <f t="shared" ref="F296:K296" si="122">IF(E296="","",E296*(1+E297))</f>
        <v>0</v>
      </c>
      <c r="G296" s="38">
        <f t="shared" si="122"/>
        <v>0</v>
      </c>
      <c r="H296" s="38">
        <f t="shared" si="122"/>
        <v>0</v>
      </c>
      <c r="I296" s="38">
        <f t="shared" si="122"/>
        <v>0</v>
      </c>
      <c r="J296" s="38">
        <f>IF(I296="","",I296*(1+I297))</f>
        <v>0</v>
      </c>
      <c r="K296" s="38">
        <f t="shared" si="122"/>
        <v>0</v>
      </c>
      <c r="L296" s="162"/>
      <c r="M296" s="36" t="s">
        <v>258</v>
      </c>
      <c r="N296" s="162"/>
      <c r="O296" s="616"/>
      <c r="P296" s="162"/>
      <c r="Q296" s="162"/>
      <c r="R296" s="616"/>
      <c r="S296" s="162"/>
      <c r="T296" s="162"/>
      <c r="U296" s="641"/>
      <c r="V296" s="641"/>
      <c r="W296" s="641"/>
      <c r="X296" s="641"/>
      <c r="Y296" s="641"/>
      <c r="Z296" s="641"/>
      <c r="AA296" s="641"/>
      <c r="AB296" s="641"/>
      <c r="AC296" s="641"/>
      <c r="AD296" s="641"/>
      <c r="AE296" s="641"/>
      <c r="AF296" s="641"/>
      <c r="AG296" s="641"/>
      <c r="AH296" s="641"/>
      <c r="AI296" s="641"/>
      <c r="AJ296" s="641"/>
      <c r="AK296" s="641"/>
      <c r="AL296" s="641"/>
      <c r="AM296" s="641"/>
      <c r="AN296" s="641"/>
      <c r="AO296" s="641"/>
      <c r="AP296" s="641"/>
      <c r="AQ296" s="641"/>
    </row>
    <row r="297" spans="1:43" hidden="1" outlineLevel="1" x14ac:dyDescent="0.2">
      <c r="A297" s="162"/>
      <c r="B297" s="162"/>
      <c r="C297" s="706"/>
      <c r="D297" s="11" t="s">
        <v>26</v>
      </c>
      <c r="E297" s="34"/>
      <c r="F297" s="34"/>
      <c r="G297" s="34"/>
      <c r="H297" s="34"/>
      <c r="I297" s="34"/>
      <c r="J297" s="34"/>
      <c r="K297" s="33"/>
      <c r="L297" s="162"/>
      <c r="M297" s="867"/>
      <c r="N297" s="867"/>
      <c r="O297" s="867"/>
      <c r="P297" s="867"/>
      <c r="Q297" s="867"/>
      <c r="R297" s="867"/>
      <c r="S297" s="867"/>
      <c r="T297" s="867"/>
      <c r="U297" s="641"/>
      <c r="V297" s="641"/>
      <c r="W297" s="641"/>
      <c r="X297" s="641"/>
      <c r="Y297" s="641"/>
      <c r="Z297" s="641"/>
      <c r="AA297" s="641"/>
      <c r="AB297" s="641"/>
      <c r="AC297" s="641"/>
      <c r="AD297" s="641"/>
      <c r="AE297" s="641"/>
      <c r="AF297" s="641"/>
      <c r="AG297" s="641"/>
      <c r="AH297" s="641"/>
      <c r="AI297" s="641"/>
      <c r="AJ297" s="641"/>
      <c r="AK297" s="641"/>
      <c r="AL297" s="641"/>
      <c r="AM297" s="641"/>
      <c r="AN297" s="641"/>
      <c r="AO297" s="641"/>
      <c r="AP297" s="641"/>
      <c r="AQ297" s="641"/>
    </row>
    <row r="298" spans="1:43" hidden="1" outlineLevel="1" x14ac:dyDescent="0.2">
      <c r="A298" s="162"/>
      <c r="B298" s="162"/>
      <c r="C298" s="706"/>
      <c r="D298" s="11" t="s">
        <v>33</v>
      </c>
      <c r="E298" s="34"/>
      <c r="F298" s="34"/>
      <c r="G298" s="34"/>
      <c r="H298" s="34"/>
      <c r="I298" s="34"/>
      <c r="J298" s="34"/>
      <c r="K298" s="34"/>
      <c r="L298" s="162"/>
      <c r="M298" s="867"/>
      <c r="N298" s="867"/>
      <c r="O298" s="867"/>
      <c r="P298" s="867"/>
      <c r="Q298" s="867"/>
      <c r="R298" s="867"/>
      <c r="S298" s="867"/>
      <c r="T298" s="867"/>
      <c r="U298" s="641"/>
      <c r="V298" s="641"/>
      <c r="W298" s="641"/>
      <c r="X298" s="641"/>
      <c r="Y298" s="641"/>
      <c r="Z298" s="641"/>
      <c r="AA298" s="641"/>
      <c r="AB298" s="641"/>
      <c r="AC298" s="641"/>
      <c r="AD298" s="641"/>
      <c r="AE298" s="641"/>
      <c r="AF298" s="641"/>
      <c r="AG298" s="641"/>
      <c r="AH298" s="641"/>
      <c r="AI298" s="641"/>
      <c r="AJ298" s="641"/>
      <c r="AK298" s="641"/>
      <c r="AL298" s="641"/>
      <c r="AM298" s="641"/>
      <c r="AN298" s="641"/>
      <c r="AO298" s="641"/>
      <c r="AP298" s="641"/>
      <c r="AQ298" s="641"/>
    </row>
    <row r="299" spans="1:43" hidden="1" outlineLevel="1" x14ac:dyDescent="0.2">
      <c r="A299" s="162"/>
      <c r="B299" s="162"/>
      <c r="C299" s="706"/>
      <c r="D299" s="11" t="s">
        <v>849</v>
      </c>
      <c r="E299" s="34"/>
      <c r="F299" s="34"/>
      <c r="G299" s="34"/>
      <c r="H299" s="34"/>
      <c r="I299" s="34"/>
      <c r="J299" s="34"/>
      <c r="K299" s="34"/>
      <c r="L299" s="162"/>
      <c r="M299" s="867"/>
      <c r="N299" s="867"/>
      <c r="O299" s="867"/>
      <c r="P299" s="867"/>
      <c r="Q299" s="867"/>
      <c r="R299" s="867"/>
      <c r="S299" s="867"/>
      <c r="T299" s="867"/>
      <c r="U299" s="641"/>
      <c r="V299" s="641"/>
      <c r="W299" s="641"/>
      <c r="X299" s="641"/>
      <c r="Y299" s="641"/>
      <c r="Z299" s="641"/>
      <c r="AA299" s="641"/>
      <c r="AB299" s="641"/>
      <c r="AC299" s="641"/>
      <c r="AD299" s="641"/>
      <c r="AE299" s="641"/>
      <c r="AF299" s="641"/>
      <c r="AG299" s="641"/>
      <c r="AH299" s="641"/>
      <c r="AI299" s="641"/>
      <c r="AJ299" s="641"/>
      <c r="AK299" s="641"/>
      <c r="AL299" s="641"/>
      <c r="AM299" s="641"/>
      <c r="AN299" s="641"/>
      <c r="AO299" s="641"/>
      <c r="AP299" s="641"/>
      <c r="AQ299" s="641"/>
    </row>
    <row r="300" spans="1:43" hidden="1" outlineLevel="1" x14ac:dyDescent="0.2">
      <c r="A300" s="638"/>
      <c r="B300" s="638"/>
      <c r="C300" s="707"/>
      <c r="D300" s="13" t="s">
        <v>107</v>
      </c>
      <c r="E300" s="38">
        <f t="shared" ref="E300:K300" si="123">E302-E301</f>
        <v>0</v>
      </c>
      <c r="F300" s="38">
        <f t="shared" si="123"/>
        <v>0</v>
      </c>
      <c r="G300" s="38">
        <f t="shared" si="123"/>
        <v>0</v>
      </c>
      <c r="H300" s="38">
        <f t="shared" si="123"/>
        <v>0</v>
      </c>
      <c r="I300" s="38">
        <f t="shared" si="123"/>
        <v>0</v>
      </c>
      <c r="J300" s="38">
        <f t="shared" si="123"/>
        <v>0</v>
      </c>
      <c r="K300" s="38">
        <f t="shared" si="123"/>
        <v>0</v>
      </c>
      <c r="L300" s="638"/>
      <c r="M300" s="638"/>
      <c r="N300" s="638"/>
      <c r="O300" s="638"/>
      <c r="P300" s="638"/>
      <c r="Q300" s="638"/>
      <c r="R300" s="638"/>
      <c r="S300" s="638"/>
      <c r="T300" s="638"/>
      <c r="U300" s="9"/>
      <c r="V300" s="9"/>
      <c r="W300" s="9"/>
      <c r="X300" s="9"/>
      <c r="Y300" s="9"/>
      <c r="Z300" s="9"/>
      <c r="AA300" s="9"/>
      <c r="AB300" s="9"/>
      <c r="AC300" s="9"/>
      <c r="AD300" s="9"/>
      <c r="AE300" s="9"/>
      <c r="AF300" s="9"/>
      <c r="AG300" s="9"/>
      <c r="AH300" s="9"/>
      <c r="AI300" s="9"/>
      <c r="AJ300" s="9"/>
      <c r="AK300" s="9"/>
      <c r="AL300" s="9"/>
      <c r="AM300" s="9"/>
      <c r="AN300" s="9"/>
      <c r="AO300" s="9"/>
      <c r="AP300" s="9"/>
      <c r="AQ300" s="9"/>
    </row>
    <row r="301" spans="1:43" hidden="1" outlineLevel="1" x14ac:dyDescent="0.2">
      <c r="A301" s="638"/>
      <c r="B301" s="638"/>
      <c r="C301" s="707"/>
      <c r="D301" s="13" t="s">
        <v>108</v>
      </c>
      <c r="E301" s="38">
        <f t="shared" ref="E301:K301" si="124">ROUND(E302*$T$167,0)</f>
        <v>0</v>
      </c>
      <c r="F301" s="38">
        <f t="shared" si="124"/>
        <v>0</v>
      </c>
      <c r="G301" s="38">
        <f t="shared" si="124"/>
        <v>0</v>
      </c>
      <c r="H301" s="38">
        <f t="shared" si="124"/>
        <v>0</v>
      </c>
      <c r="I301" s="38">
        <f t="shared" si="124"/>
        <v>0</v>
      </c>
      <c r="J301" s="38">
        <f t="shared" si="124"/>
        <v>0</v>
      </c>
      <c r="K301" s="38">
        <f t="shared" si="124"/>
        <v>0</v>
      </c>
      <c r="L301" s="638"/>
      <c r="M301" s="638"/>
      <c r="N301" s="638"/>
      <c r="O301" s="638"/>
      <c r="P301" s="638"/>
      <c r="Q301" s="638"/>
      <c r="R301" s="638"/>
      <c r="S301" s="638"/>
      <c r="T301" s="638"/>
      <c r="U301" s="9"/>
      <c r="V301" s="9"/>
      <c r="W301" s="9"/>
      <c r="X301" s="9"/>
      <c r="Y301" s="9"/>
      <c r="Z301" s="9"/>
      <c r="AA301" s="9"/>
      <c r="AB301" s="9"/>
      <c r="AC301" s="9"/>
      <c r="AD301" s="9"/>
      <c r="AE301" s="9"/>
      <c r="AF301" s="9"/>
      <c r="AG301" s="9"/>
      <c r="AH301" s="9"/>
      <c r="AI301" s="9"/>
      <c r="AJ301" s="9"/>
      <c r="AK301" s="9"/>
      <c r="AL301" s="9"/>
      <c r="AM301" s="9"/>
      <c r="AN301" s="9"/>
      <c r="AO301" s="9"/>
      <c r="AP301" s="9"/>
      <c r="AQ301" s="9"/>
    </row>
    <row r="302" spans="1:43" hidden="1" outlineLevel="1" x14ac:dyDescent="0.2">
      <c r="A302" s="638"/>
      <c r="B302" s="638"/>
      <c r="C302" s="707"/>
      <c r="D302" s="635" t="s">
        <v>844</v>
      </c>
      <c r="E302" s="39">
        <f t="shared" ref="E302:K302" si="125">IF(E296="","",E299*E298*E296)</f>
        <v>0</v>
      </c>
      <c r="F302" s="39">
        <f t="shared" si="125"/>
        <v>0</v>
      </c>
      <c r="G302" s="39">
        <f t="shared" si="125"/>
        <v>0</v>
      </c>
      <c r="H302" s="39">
        <f t="shared" si="125"/>
        <v>0</v>
      </c>
      <c r="I302" s="39">
        <f t="shared" si="125"/>
        <v>0</v>
      </c>
      <c r="J302" s="39">
        <f t="shared" si="125"/>
        <v>0</v>
      </c>
      <c r="K302" s="39">
        <f t="shared" si="125"/>
        <v>0</v>
      </c>
      <c r="L302" s="638"/>
      <c r="M302" s="638"/>
      <c r="N302" s="638"/>
      <c r="O302" s="638"/>
      <c r="P302" s="638"/>
      <c r="Q302" s="638"/>
      <c r="R302" s="638"/>
      <c r="S302" s="638"/>
      <c r="T302" s="638"/>
      <c r="U302" s="9"/>
      <c r="V302" s="9"/>
      <c r="W302" s="9"/>
      <c r="X302" s="9"/>
      <c r="Y302" s="9"/>
      <c r="Z302" s="9"/>
      <c r="AA302" s="9"/>
      <c r="AB302" s="9"/>
      <c r="AC302" s="9"/>
      <c r="AD302" s="9"/>
      <c r="AE302" s="9"/>
      <c r="AF302" s="9"/>
      <c r="AG302" s="9"/>
      <c r="AH302" s="9"/>
      <c r="AI302" s="9"/>
      <c r="AJ302" s="9"/>
      <c r="AK302" s="9"/>
      <c r="AL302" s="9"/>
      <c r="AM302" s="9"/>
      <c r="AN302" s="9"/>
      <c r="AO302" s="9"/>
      <c r="AP302" s="9"/>
      <c r="AQ302" s="9"/>
    </row>
    <row r="303" spans="1:43" hidden="1" outlineLevel="1" x14ac:dyDescent="0.2">
      <c r="A303" s="162"/>
      <c r="B303" s="162"/>
      <c r="C303" s="706"/>
      <c r="D303" s="162"/>
      <c r="E303" s="162"/>
      <c r="F303" s="162"/>
      <c r="G303" s="709"/>
      <c r="H303" s="709"/>
      <c r="I303" s="709"/>
      <c r="J303" s="162"/>
      <c r="K303" s="162"/>
      <c r="L303" s="162"/>
      <c r="M303" s="162"/>
      <c r="N303" s="162"/>
      <c r="O303" s="162"/>
      <c r="P303" s="162"/>
      <c r="Q303" s="162"/>
      <c r="R303" s="162"/>
      <c r="S303" s="162"/>
      <c r="T303" s="162"/>
      <c r="U303" s="641"/>
      <c r="V303" s="641"/>
      <c r="W303" s="641"/>
      <c r="X303" s="641"/>
      <c r="Y303" s="641"/>
      <c r="Z303" s="641"/>
      <c r="AA303" s="641"/>
      <c r="AB303" s="641"/>
      <c r="AC303" s="641"/>
      <c r="AD303" s="641"/>
      <c r="AE303" s="641"/>
      <c r="AF303" s="641"/>
      <c r="AG303" s="641"/>
      <c r="AH303" s="641"/>
      <c r="AI303" s="641"/>
      <c r="AJ303" s="641"/>
      <c r="AK303" s="641"/>
      <c r="AL303" s="641"/>
      <c r="AM303" s="641"/>
      <c r="AN303" s="641"/>
      <c r="AO303" s="641"/>
      <c r="AP303" s="641"/>
      <c r="AQ303" s="641"/>
    </row>
    <row r="304" spans="1:43" collapsed="1" x14ac:dyDescent="0.2">
      <c r="A304" s="162"/>
      <c r="B304" s="162"/>
      <c r="C304" s="706"/>
      <c r="D304" s="162"/>
      <c r="E304" s="162"/>
      <c r="F304" s="162"/>
      <c r="G304" s="162"/>
      <c r="H304" s="162"/>
      <c r="I304" s="162"/>
      <c r="J304" s="162"/>
      <c r="K304" s="162"/>
      <c r="L304" s="162"/>
      <c r="M304" s="162"/>
      <c r="N304" s="162"/>
      <c r="O304" s="162"/>
      <c r="P304" s="162"/>
      <c r="Q304" s="162"/>
      <c r="R304" s="162"/>
      <c r="S304" s="162"/>
      <c r="T304" s="162"/>
      <c r="U304" s="641"/>
      <c r="V304" s="641"/>
      <c r="W304" s="641"/>
      <c r="X304" s="641"/>
      <c r="Y304" s="641"/>
      <c r="Z304" s="641"/>
      <c r="AA304" s="641"/>
      <c r="AB304" s="641"/>
      <c r="AC304" s="641"/>
      <c r="AD304" s="641"/>
      <c r="AE304" s="641"/>
      <c r="AF304" s="641"/>
      <c r="AG304" s="641"/>
      <c r="AH304" s="641"/>
      <c r="AI304" s="641"/>
      <c r="AJ304" s="641"/>
      <c r="AK304" s="641"/>
      <c r="AL304" s="641"/>
      <c r="AM304" s="641"/>
      <c r="AN304" s="641"/>
      <c r="AO304" s="641"/>
      <c r="AP304" s="641"/>
      <c r="AQ304" s="641"/>
    </row>
    <row r="305" spans="1:43" ht="15" x14ac:dyDescent="0.2">
      <c r="A305" s="125"/>
      <c r="B305" s="125"/>
      <c r="C305" s="291">
        <v>11</v>
      </c>
      <c r="D305" s="147" t="str">
        <f>INDEX(NamesMSAdditional,C305,1)</f>
        <v>** NOT USED **</v>
      </c>
      <c r="E305" s="139"/>
      <c r="F305" s="139"/>
      <c r="G305" s="139"/>
      <c r="H305" s="139"/>
      <c r="I305" s="821" t="str">
        <f>IF(D305&lt;&gt;MsgNotUsed,"Co-payment group " &amp; INDEX(CoPayBandMSAdditional,C305),"")</f>
        <v/>
      </c>
      <c r="J305" s="821"/>
      <c r="K305" s="139"/>
      <c r="L305" s="139"/>
      <c r="M305" s="139"/>
      <c r="N305" s="139"/>
      <c r="O305" s="139"/>
      <c r="P305" s="139"/>
      <c r="Q305" s="139"/>
      <c r="R305" s="139"/>
      <c r="S305" s="139"/>
      <c r="T305" s="139"/>
      <c r="U305" s="139"/>
      <c r="V305" s="139"/>
      <c r="W305" s="139"/>
      <c r="X305" s="139"/>
      <c r="Y305" s="139"/>
      <c r="Z305" s="139"/>
      <c r="AA305" s="139"/>
      <c r="AB305" s="139"/>
      <c r="AC305" s="139"/>
      <c r="AD305" s="139"/>
      <c r="AE305" s="139"/>
      <c r="AF305" s="139"/>
      <c r="AG305" s="139"/>
      <c r="AH305" s="139"/>
      <c r="AI305" s="139"/>
      <c r="AJ305" s="139"/>
      <c r="AK305" s="139"/>
      <c r="AL305" s="139"/>
      <c r="AM305" s="139"/>
      <c r="AN305" s="139"/>
      <c r="AO305" s="139"/>
      <c r="AP305" s="139"/>
      <c r="AQ305" s="139"/>
    </row>
    <row r="306" spans="1:43" ht="15.75" hidden="1" outlineLevel="1" x14ac:dyDescent="0.2">
      <c r="A306" s="131"/>
      <c r="B306" s="131"/>
      <c r="C306" s="705"/>
      <c r="D306" s="655"/>
      <c r="E306" s="131"/>
      <c r="F306" s="131"/>
      <c r="G306" s="131"/>
      <c r="H306" s="131"/>
      <c r="I306" s="131"/>
      <c r="J306" s="131"/>
      <c r="K306" s="131"/>
      <c r="L306" s="131"/>
      <c r="M306" s="131"/>
      <c r="N306" s="131"/>
      <c r="O306" s="131"/>
      <c r="P306" s="131"/>
      <c r="Q306" s="131"/>
      <c r="R306" s="131"/>
      <c r="S306" s="26"/>
      <c r="T306" s="26"/>
      <c r="U306" s="26"/>
      <c r="V306" s="26"/>
      <c r="W306" s="26"/>
      <c r="X306" s="26"/>
      <c r="Y306" s="26"/>
      <c r="Z306" s="26"/>
      <c r="AA306" s="26"/>
      <c r="AB306" s="26"/>
      <c r="AC306" s="26"/>
      <c r="AD306" s="26"/>
      <c r="AE306" s="26"/>
      <c r="AF306" s="26"/>
      <c r="AG306" s="26"/>
      <c r="AH306" s="26"/>
      <c r="AI306" s="26"/>
      <c r="AJ306" s="26"/>
      <c r="AK306" s="26"/>
      <c r="AL306" s="26"/>
      <c r="AM306" s="26"/>
      <c r="AN306" s="26"/>
      <c r="AO306" s="26"/>
      <c r="AP306" s="26"/>
      <c r="AQ306" s="26"/>
    </row>
    <row r="307" spans="1:43" ht="14.25" hidden="1" customHeight="1" outlineLevel="1" x14ac:dyDescent="0.2">
      <c r="A307" s="162"/>
      <c r="B307" s="162"/>
      <c r="C307" s="706"/>
      <c r="D307" s="708"/>
      <c r="E307" s="64">
        <f>F307-1</f>
        <v>2020</v>
      </c>
      <c r="F307" s="64">
        <f>FirstYear</f>
        <v>2021</v>
      </c>
      <c r="G307" s="64">
        <f>F307+1</f>
        <v>2022</v>
      </c>
      <c r="H307" s="64">
        <f>G307+1</f>
        <v>2023</v>
      </c>
      <c r="I307" s="64">
        <f>H307+1</f>
        <v>2024</v>
      </c>
      <c r="J307" s="64">
        <f>I307+1</f>
        <v>2025</v>
      </c>
      <c r="K307" s="64">
        <f>J307+1</f>
        <v>2026</v>
      </c>
      <c r="L307" s="162"/>
      <c r="M307" s="616"/>
      <c r="N307" s="162"/>
      <c r="O307" s="162"/>
      <c r="P307" s="616"/>
      <c r="Q307" s="162"/>
      <c r="R307" s="162"/>
      <c r="S307" s="641"/>
      <c r="T307" s="641"/>
      <c r="U307" s="641"/>
      <c r="V307" s="641"/>
      <c r="W307" s="641"/>
      <c r="X307" s="641"/>
      <c r="Y307" s="641"/>
      <c r="Z307" s="641"/>
      <c r="AA307" s="641"/>
      <c r="AB307" s="641"/>
      <c r="AC307" s="641"/>
      <c r="AD307" s="641"/>
      <c r="AE307" s="641"/>
      <c r="AF307" s="641"/>
      <c r="AG307" s="641"/>
      <c r="AH307" s="641"/>
      <c r="AI307" s="641"/>
      <c r="AJ307" s="641"/>
      <c r="AK307" s="641"/>
      <c r="AL307" s="641"/>
      <c r="AM307" s="641"/>
      <c r="AN307" s="641"/>
      <c r="AO307" s="641"/>
      <c r="AP307" s="641"/>
      <c r="AQ307" s="641"/>
    </row>
    <row r="308" spans="1:43" hidden="1" outlineLevel="1" x14ac:dyDescent="0.2">
      <c r="A308" s="162"/>
      <c r="B308" s="162"/>
      <c r="C308" s="706"/>
      <c r="D308" s="4" t="s">
        <v>114</v>
      </c>
      <c r="E308" s="38">
        <f>INDEX(ScriptsMSAdditional,$C305) * INDEX(NamesMSAdditional,$C305,3)</f>
        <v>0</v>
      </c>
      <c r="F308" s="38">
        <f t="shared" ref="F308:K308" si="126">IF(E308="","",E308*(1+E309))</f>
        <v>0</v>
      </c>
      <c r="G308" s="38">
        <f t="shared" si="126"/>
        <v>0</v>
      </c>
      <c r="H308" s="38">
        <f t="shared" si="126"/>
        <v>0</v>
      </c>
      <c r="I308" s="38">
        <f t="shared" si="126"/>
        <v>0</v>
      </c>
      <c r="J308" s="38">
        <f t="shared" si="126"/>
        <v>0</v>
      </c>
      <c r="K308" s="38">
        <f t="shared" si="126"/>
        <v>0</v>
      </c>
      <c r="L308" s="162"/>
      <c r="M308" s="36" t="s">
        <v>258</v>
      </c>
      <c r="N308" s="162"/>
      <c r="O308" s="616"/>
      <c r="P308" s="162"/>
      <c r="Q308" s="162"/>
      <c r="R308" s="616"/>
      <c r="S308" s="162"/>
      <c r="T308" s="162"/>
      <c r="U308" s="641"/>
      <c r="V308" s="641"/>
      <c r="W308" s="641"/>
      <c r="X308" s="641"/>
      <c r="Y308" s="641"/>
      <c r="Z308" s="641"/>
      <c r="AA308" s="641"/>
      <c r="AB308" s="641"/>
      <c r="AC308" s="641"/>
      <c r="AD308" s="641"/>
      <c r="AE308" s="641"/>
      <c r="AF308" s="641"/>
      <c r="AG308" s="641"/>
      <c r="AH308" s="641"/>
      <c r="AI308" s="641"/>
      <c r="AJ308" s="641"/>
      <c r="AK308" s="641"/>
      <c r="AL308" s="641"/>
      <c r="AM308" s="641"/>
      <c r="AN308" s="641"/>
      <c r="AO308" s="641"/>
      <c r="AP308" s="641"/>
      <c r="AQ308" s="641"/>
    </row>
    <row r="309" spans="1:43" hidden="1" outlineLevel="1" x14ac:dyDescent="0.2">
      <c r="A309" s="162"/>
      <c r="B309" s="162"/>
      <c r="C309" s="706"/>
      <c r="D309" s="11" t="s">
        <v>26</v>
      </c>
      <c r="E309" s="34"/>
      <c r="F309" s="34"/>
      <c r="G309" s="34"/>
      <c r="H309" s="34"/>
      <c r="I309" s="34"/>
      <c r="J309" s="34"/>
      <c r="K309" s="33"/>
      <c r="L309" s="162"/>
      <c r="M309" s="867"/>
      <c r="N309" s="867"/>
      <c r="O309" s="867"/>
      <c r="P309" s="867"/>
      <c r="Q309" s="867"/>
      <c r="R309" s="867"/>
      <c r="S309" s="867"/>
      <c r="T309" s="867"/>
      <c r="U309" s="641"/>
      <c r="V309" s="641"/>
      <c r="W309" s="641"/>
      <c r="X309" s="641"/>
      <c r="Y309" s="641"/>
      <c r="Z309" s="641"/>
      <c r="AA309" s="641"/>
      <c r="AB309" s="641"/>
      <c r="AC309" s="641"/>
      <c r="AD309" s="641"/>
      <c r="AE309" s="641"/>
      <c r="AF309" s="641"/>
      <c r="AG309" s="641"/>
      <c r="AH309" s="641"/>
      <c r="AI309" s="641"/>
      <c r="AJ309" s="641"/>
      <c r="AK309" s="641"/>
      <c r="AL309" s="641"/>
      <c r="AM309" s="641"/>
      <c r="AN309" s="641"/>
      <c r="AO309" s="641"/>
      <c r="AP309" s="641"/>
      <c r="AQ309" s="641"/>
    </row>
    <row r="310" spans="1:43" hidden="1" outlineLevel="1" x14ac:dyDescent="0.2">
      <c r="A310" s="162"/>
      <c r="B310" s="162"/>
      <c r="C310" s="706"/>
      <c r="D310" s="11" t="s">
        <v>33</v>
      </c>
      <c r="E310" s="34"/>
      <c r="F310" s="34"/>
      <c r="G310" s="34"/>
      <c r="H310" s="34"/>
      <c r="I310" s="34"/>
      <c r="J310" s="34"/>
      <c r="K310" s="34"/>
      <c r="L310" s="162"/>
      <c r="M310" s="867"/>
      <c r="N310" s="867"/>
      <c r="O310" s="867"/>
      <c r="P310" s="867"/>
      <c r="Q310" s="867"/>
      <c r="R310" s="867"/>
      <c r="S310" s="867"/>
      <c r="T310" s="867"/>
      <c r="U310" s="641"/>
      <c r="V310" s="641"/>
      <c r="W310" s="641"/>
      <c r="X310" s="641"/>
      <c r="Y310" s="641"/>
      <c r="Z310" s="641"/>
      <c r="AA310" s="641"/>
      <c r="AB310" s="641"/>
      <c r="AC310" s="641"/>
      <c r="AD310" s="641"/>
      <c r="AE310" s="641"/>
      <c r="AF310" s="641"/>
      <c r="AG310" s="641"/>
      <c r="AH310" s="641"/>
      <c r="AI310" s="641"/>
      <c r="AJ310" s="641"/>
      <c r="AK310" s="641"/>
      <c r="AL310" s="641"/>
      <c r="AM310" s="641"/>
      <c r="AN310" s="641"/>
      <c r="AO310" s="641"/>
      <c r="AP310" s="641"/>
      <c r="AQ310" s="641"/>
    </row>
    <row r="311" spans="1:43" hidden="1" outlineLevel="1" x14ac:dyDescent="0.2">
      <c r="A311" s="162"/>
      <c r="B311" s="162"/>
      <c r="C311" s="706"/>
      <c r="D311" s="11" t="s">
        <v>849</v>
      </c>
      <c r="E311" s="34"/>
      <c r="F311" s="34"/>
      <c r="G311" s="34"/>
      <c r="H311" s="34"/>
      <c r="I311" s="34"/>
      <c r="J311" s="34"/>
      <c r="K311" s="34"/>
      <c r="L311" s="162"/>
      <c r="M311" s="867"/>
      <c r="N311" s="867"/>
      <c r="O311" s="867"/>
      <c r="P311" s="867"/>
      <c r="Q311" s="867"/>
      <c r="R311" s="867"/>
      <c r="S311" s="867"/>
      <c r="T311" s="867"/>
      <c r="U311" s="641"/>
      <c r="V311" s="641"/>
      <c r="W311" s="641"/>
      <c r="X311" s="641"/>
      <c r="Y311" s="641"/>
      <c r="Z311" s="641"/>
      <c r="AA311" s="641"/>
      <c r="AB311" s="641"/>
      <c r="AC311" s="641"/>
      <c r="AD311" s="641"/>
      <c r="AE311" s="641"/>
      <c r="AF311" s="641"/>
      <c r="AG311" s="641"/>
      <c r="AH311" s="641"/>
      <c r="AI311" s="641"/>
      <c r="AJ311" s="641"/>
      <c r="AK311" s="641"/>
      <c r="AL311" s="641"/>
      <c r="AM311" s="641"/>
      <c r="AN311" s="641"/>
      <c r="AO311" s="641"/>
      <c r="AP311" s="641"/>
      <c r="AQ311" s="641"/>
    </row>
    <row r="312" spans="1:43" hidden="1" outlineLevel="1" x14ac:dyDescent="0.2">
      <c r="A312" s="638"/>
      <c r="B312" s="638"/>
      <c r="C312" s="707"/>
      <c r="D312" s="13" t="s">
        <v>107</v>
      </c>
      <c r="E312" s="38">
        <f t="shared" ref="E312:K312" si="127">E314-E313</f>
        <v>0</v>
      </c>
      <c r="F312" s="38">
        <f t="shared" si="127"/>
        <v>0</v>
      </c>
      <c r="G312" s="38">
        <f t="shared" si="127"/>
        <v>0</v>
      </c>
      <c r="H312" s="38">
        <f t="shared" si="127"/>
        <v>0</v>
      </c>
      <c r="I312" s="38">
        <f t="shared" si="127"/>
        <v>0</v>
      </c>
      <c r="J312" s="38">
        <f t="shared" si="127"/>
        <v>0</v>
      </c>
      <c r="K312" s="38">
        <f t="shared" si="127"/>
        <v>0</v>
      </c>
      <c r="L312" s="638"/>
      <c r="M312" s="638"/>
      <c r="N312" s="638"/>
      <c r="O312" s="638"/>
      <c r="P312" s="638"/>
      <c r="Q312" s="638"/>
      <c r="R312" s="638"/>
      <c r="S312" s="638"/>
      <c r="T312" s="638"/>
      <c r="U312" s="9"/>
      <c r="V312" s="9"/>
      <c r="W312" s="9"/>
      <c r="X312" s="9"/>
      <c r="Y312" s="9"/>
      <c r="Z312" s="9"/>
      <c r="AA312" s="9"/>
      <c r="AB312" s="9"/>
      <c r="AC312" s="9"/>
      <c r="AD312" s="9"/>
      <c r="AE312" s="9"/>
      <c r="AF312" s="9"/>
      <c r="AG312" s="9"/>
      <c r="AH312" s="9"/>
      <c r="AI312" s="9"/>
      <c r="AJ312" s="9"/>
      <c r="AK312" s="9"/>
      <c r="AL312" s="9"/>
      <c r="AM312" s="9"/>
      <c r="AN312" s="9"/>
      <c r="AO312" s="9"/>
      <c r="AP312" s="9"/>
      <c r="AQ312" s="9"/>
    </row>
    <row r="313" spans="1:43" hidden="1" outlineLevel="1" x14ac:dyDescent="0.2">
      <c r="A313" s="638"/>
      <c r="B313" s="638"/>
      <c r="C313" s="707"/>
      <c r="D313" s="13" t="s">
        <v>108</v>
      </c>
      <c r="E313" s="38">
        <f t="shared" ref="E313:K313" si="128">ROUND(E314*$T$167,0)</f>
        <v>0</v>
      </c>
      <c r="F313" s="38">
        <f t="shared" si="128"/>
        <v>0</v>
      </c>
      <c r="G313" s="38">
        <f t="shared" si="128"/>
        <v>0</v>
      </c>
      <c r="H313" s="38">
        <f t="shared" si="128"/>
        <v>0</v>
      </c>
      <c r="I313" s="38">
        <f t="shared" si="128"/>
        <v>0</v>
      </c>
      <c r="J313" s="38">
        <f t="shared" si="128"/>
        <v>0</v>
      </c>
      <c r="K313" s="38">
        <f t="shared" si="128"/>
        <v>0</v>
      </c>
      <c r="L313" s="638"/>
      <c r="M313" s="638"/>
      <c r="N313" s="638"/>
      <c r="O313" s="638"/>
      <c r="P313" s="638"/>
      <c r="Q313" s="638"/>
      <c r="R313" s="638"/>
      <c r="S313" s="638"/>
      <c r="T313" s="638"/>
      <c r="U313" s="9"/>
      <c r="V313" s="9"/>
      <c r="W313" s="9"/>
      <c r="X313" s="9"/>
      <c r="Y313" s="9"/>
      <c r="Z313" s="9"/>
      <c r="AA313" s="9"/>
      <c r="AB313" s="9"/>
      <c r="AC313" s="9"/>
      <c r="AD313" s="9"/>
      <c r="AE313" s="9"/>
      <c r="AF313" s="9"/>
      <c r="AG313" s="9"/>
      <c r="AH313" s="9"/>
      <c r="AI313" s="9"/>
      <c r="AJ313" s="9"/>
      <c r="AK313" s="9"/>
      <c r="AL313" s="9"/>
      <c r="AM313" s="9"/>
      <c r="AN313" s="9"/>
      <c r="AO313" s="9"/>
      <c r="AP313" s="9"/>
      <c r="AQ313" s="9"/>
    </row>
    <row r="314" spans="1:43" hidden="1" outlineLevel="1" x14ac:dyDescent="0.2">
      <c r="A314" s="638"/>
      <c r="B314" s="638"/>
      <c r="C314" s="707"/>
      <c r="D314" s="635" t="s">
        <v>844</v>
      </c>
      <c r="E314" s="39">
        <f t="shared" ref="E314:K314" si="129">IF(E308="","",E311*E310*E308)</f>
        <v>0</v>
      </c>
      <c r="F314" s="39">
        <f t="shared" si="129"/>
        <v>0</v>
      </c>
      <c r="G314" s="39">
        <f t="shared" si="129"/>
        <v>0</v>
      </c>
      <c r="H314" s="39">
        <f t="shared" si="129"/>
        <v>0</v>
      </c>
      <c r="I314" s="39">
        <f t="shared" si="129"/>
        <v>0</v>
      </c>
      <c r="J314" s="39">
        <f t="shared" si="129"/>
        <v>0</v>
      </c>
      <c r="K314" s="39">
        <f t="shared" si="129"/>
        <v>0</v>
      </c>
      <c r="L314" s="638"/>
      <c r="M314" s="638"/>
      <c r="N314" s="638"/>
      <c r="O314" s="638"/>
      <c r="P314" s="638"/>
      <c r="Q314" s="638"/>
      <c r="R314" s="638"/>
      <c r="S314" s="638"/>
      <c r="T314" s="638"/>
      <c r="U314" s="9"/>
      <c r="V314" s="9"/>
      <c r="W314" s="9"/>
      <c r="X314" s="9"/>
      <c r="Y314" s="9"/>
      <c r="Z314" s="9"/>
      <c r="AA314" s="9"/>
      <c r="AB314" s="9"/>
      <c r="AC314" s="9"/>
      <c r="AD314" s="9"/>
      <c r="AE314" s="9"/>
      <c r="AF314" s="9"/>
      <c r="AG314" s="9"/>
      <c r="AH314" s="9"/>
      <c r="AI314" s="9"/>
      <c r="AJ314" s="9"/>
      <c r="AK314" s="9"/>
      <c r="AL314" s="9"/>
      <c r="AM314" s="9"/>
      <c r="AN314" s="9"/>
      <c r="AO314" s="9"/>
      <c r="AP314" s="9"/>
      <c r="AQ314" s="9"/>
    </row>
    <row r="315" spans="1:43" hidden="1" outlineLevel="1" x14ac:dyDescent="0.2">
      <c r="A315" s="162"/>
      <c r="B315" s="162"/>
      <c r="C315" s="706"/>
      <c r="D315" s="162"/>
      <c r="E315" s="162"/>
      <c r="F315" s="162"/>
      <c r="G315" s="709"/>
      <c r="H315" s="709"/>
      <c r="I315" s="709"/>
      <c r="J315" s="162"/>
      <c r="K315" s="162"/>
      <c r="L315" s="162"/>
      <c r="M315" s="162"/>
      <c r="N315" s="162"/>
      <c r="O315" s="162"/>
      <c r="P315" s="162"/>
      <c r="Q315" s="162"/>
      <c r="R315" s="162"/>
      <c r="S315" s="162"/>
      <c r="T315" s="162"/>
      <c r="U315" s="641"/>
      <c r="V315" s="641"/>
      <c r="W315" s="641"/>
      <c r="X315" s="641"/>
      <c r="Y315" s="641"/>
      <c r="Z315" s="641"/>
      <c r="AA315" s="641"/>
      <c r="AB315" s="641"/>
      <c r="AC315" s="641"/>
      <c r="AD315" s="641"/>
      <c r="AE315" s="641"/>
      <c r="AF315" s="641"/>
      <c r="AG315" s="641"/>
      <c r="AH315" s="641"/>
      <c r="AI315" s="641"/>
      <c r="AJ315" s="641"/>
      <c r="AK315" s="641"/>
      <c r="AL315" s="641"/>
      <c r="AM315" s="641"/>
      <c r="AN315" s="641"/>
      <c r="AO315" s="641"/>
      <c r="AP315" s="641"/>
      <c r="AQ315" s="641"/>
    </row>
    <row r="316" spans="1:43" collapsed="1" x14ac:dyDescent="0.2">
      <c r="A316" s="162"/>
      <c r="B316" s="162"/>
      <c r="C316" s="706"/>
      <c r="D316" s="162"/>
      <c r="E316" s="162"/>
      <c r="F316" s="162"/>
      <c r="G316" s="162"/>
      <c r="H316" s="162"/>
      <c r="I316" s="162"/>
      <c r="J316" s="162"/>
      <c r="K316" s="162"/>
      <c r="L316" s="162"/>
      <c r="M316" s="162"/>
      <c r="N316" s="162"/>
      <c r="O316" s="162"/>
      <c r="P316" s="162"/>
      <c r="Q316" s="162"/>
      <c r="R316" s="162"/>
      <c r="S316" s="162"/>
      <c r="T316" s="162"/>
      <c r="U316" s="641"/>
      <c r="V316" s="641"/>
      <c r="W316" s="641"/>
      <c r="X316" s="641"/>
      <c r="Y316" s="641"/>
      <c r="Z316" s="641"/>
      <c r="AA316" s="641"/>
      <c r="AB316" s="641"/>
      <c r="AC316" s="641"/>
      <c r="AD316" s="641"/>
      <c r="AE316" s="641"/>
      <c r="AF316" s="641"/>
      <c r="AG316" s="641"/>
      <c r="AH316" s="641"/>
      <c r="AI316" s="641"/>
      <c r="AJ316" s="641"/>
      <c r="AK316" s="641"/>
      <c r="AL316" s="641"/>
      <c r="AM316" s="641"/>
      <c r="AN316" s="641"/>
      <c r="AO316" s="641"/>
      <c r="AP316" s="641"/>
      <c r="AQ316" s="641"/>
    </row>
    <row r="317" spans="1:43" ht="15" x14ac:dyDescent="0.2">
      <c r="A317" s="125"/>
      <c r="B317" s="125"/>
      <c r="C317" s="291">
        <v>12</v>
      </c>
      <c r="D317" s="147" t="str">
        <f>INDEX(NamesMSAdditional,C317,1)</f>
        <v>** NOT USED **</v>
      </c>
      <c r="E317" s="139"/>
      <c r="F317" s="139"/>
      <c r="G317" s="139"/>
      <c r="H317" s="139"/>
      <c r="I317" s="821" t="str">
        <f>IF(D317&lt;&gt;MsgNotUsed,"Co-payment group " &amp; INDEX(CoPayBandMSAdditional,C317),"")</f>
        <v/>
      </c>
      <c r="J317" s="821"/>
      <c r="K317" s="139"/>
      <c r="L317" s="139"/>
      <c r="M317" s="139"/>
      <c r="N317" s="139"/>
      <c r="O317" s="139"/>
      <c r="P317" s="139"/>
      <c r="Q317" s="139"/>
      <c r="R317" s="139"/>
      <c r="S317" s="139"/>
      <c r="T317" s="139"/>
      <c r="U317" s="139"/>
      <c r="V317" s="139"/>
      <c r="W317" s="139"/>
      <c r="X317" s="139"/>
      <c r="Y317" s="139"/>
      <c r="Z317" s="139"/>
      <c r="AA317" s="139"/>
      <c r="AB317" s="139"/>
      <c r="AC317" s="139"/>
      <c r="AD317" s="139"/>
      <c r="AE317" s="139"/>
      <c r="AF317" s="139"/>
      <c r="AG317" s="139"/>
      <c r="AH317" s="139"/>
      <c r="AI317" s="139"/>
      <c r="AJ317" s="139"/>
      <c r="AK317" s="139"/>
      <c r="AL317" s="139"/>
      <c r="AM317" s="139"/>
      <c r="AN317" s="139"/>
      <c r="AO317" s="139"/>
      <c r="AP317" s="139"/>
      <c r="AQ317" s="139"/>
    </row>
    <row r="318" spans="1:43" ht="15.75" hidden="1" outlineLevel="1" x14ac:dyDescent="0.2">
      <c r="A318" s="131"/>
      <c r="B318" s="131"/>
      <c r="C318" s="705"/>
      <c r="D318" s="655"/>
      <c r="E318" s="131"/>
      <c r="F318" s="131"/>
      <c r="G318" s="131"/>
      <c r="H318" s="131"/>
      <c r="I318" s="131"/>
      <c r="J318" s="131"/>
      <c r="K318" s="131"/>
      <c r="L318" s="131"/>
      <c r="M318" s="131"/>
      <c r="N318" s="131"/>
      <c r="O318" s="131"/>
      <c r="P318" s="131"/>
      <c r="Q318" s="131"/>
      <c r="R318" s="131"/>
      <c r="S318" s="26"/>
      <c r="T318" s="26"/>
      <c r="U318" s="26"/>
      <c r="V318" s="26"/>
      <c r="W318" s="26"/>
      <c r="X318" s="26"/>
      <c r="Y318" s="26"/>
      <c r="Z318" s="26"/>
      <c r="AA318" s="26"/>
      <c r="AB318" s="26"/>
      <c r="AC318" s="26"/>
      <c r="AD318" s="26"/>
      <c r="AE318" s="26"/>
      <c r="AF318" s="26"/>
      <c r="AG318" s="26"/>
      <c r="AH318" s="26"/>
      <c r="AI318" s="26"/>
      <c r="AJ318" s="26"/>
      <c r="AK318" s="26"/>
      <c r="AL318" s="26"/>
      <c r="AM318" s="26"/>
      <c r="AN318" s="26"/>
      <c r="AO318" s="26"/>
      <c r="AP318" s="26"/>
      <c r="AQ318" s="26"/>
    </row>
    <row r="319" spans="1:43" ht="14.25" hidden="1" customHeight="1" outlineLevel="1" x14ac:dyDescent="0.2">
      <c r="A319" s="162"/>
      <c r="B319" s="162"/>
      <c r="C319" s="706"/>
      <c r="D319" s="708"/>
      <c r="E319" s="64">
        <f>F319-1</f>
        <v>2020</v>
      </c>
      <c r="F319" s="64">
        <f>FirstYear</f>
        <v>2021</v>
      </c>
      <c r="G319" s="64">
        <f>F319+1</f>
        <v>2022</v>
      </c>
      <c r="H319" s="64">
        <f>G319+1</f>
        <v>2023</v>
      </c>
      <c r="I319" s="64">
        <f>H319+1</f>
        <v>2024</v>
      </c>
      <c r="J319" s="64">
        <f>I319+1</f>
        <v>2025</v>
      </c>
      <c r="K319" s="64">
        <f>J319+1</f>
        <v>2026</v>
      </c>
      <c r="L319" s="162"/>
      <c r="M319" s="616"/>
      <c r="N319" s="162"/>
      <c r="O319" s="162"/>
      <c r="P319" s="616"/>
      <c r="Q319" s="162"/>
      <c r="R319" s="162"/>
      <c r="S319" s="641"/>
      <c r="T319" s="641"/>
      <c r="U319" s="641"/>
      <c r="V319" s="641"/>
      <c r="W319" s="641"/>
      <c r="X319" s="641"/>
      <c r="Y319" s="641"/>
      <c r="Z319" s="641"/>
      <c r="AA319" s="641"/>
      <c r="AB319" s="641"/>
      <c r="AC319" s="641"/>
      <c r="AD319" s="641"/>
      <c r="AE319" s="641"/>
      <c r="AF319" s="641"/>
      <c r="AG319" s="641"/>
      <c r="AH319" s="641"/>
      <c r="AI319" s="641"/>
      <c r="AJ319" s="641"/>
      <c r="AK319" s="641"/>
      <c r="AL319" s="641"/>
      <c r="AM319" s="641"/>
      <c r="AN319" s="641"/>
      <c r="AO319" s="641"/>
      <c r="AP319" s="641"/>
      <c r="AQ319" s="641"/>
    </row>
    <row r="320" spans="1:43" hidden="1" outlineLevel="1" x14ac:dyDescent="0.2">
      <c r="A320" s="162"/>
      <c r="B320" s="162"/>
      <c r="C320" s="706"/>
      <c r="D320" s="4" t="s">
        <v>114</v>
      </c>
      <c r="E320" s="38">
        <f>INDEX(ScriptsMSAdditional,$C317) * INDEX(NamesMSAdditional,$C317,3)</f>
        <v>0</v>
      </c>
      <c r="F320" s="38">
        <f t="shared" ref="F320:K320" si="130">IF(E320="","",E320*(1+E321))</f>
        <v>0</v>
      </c>
      <c r="G320" s="38">
        <f t="shared" si="130"/>
        <v>0</v>
      </c>
      <c r="H320" s="38">
        <f t="shared" si="130"/>
        <v>0</v>
      </c>
      <c r="I320" s="38">
        <f t="shared" si="130"/>
        <v>0</v>
      </c>
      <c r="J320" s="38">
        <f t="shared" si="130"/>
        <v>0</v>
      </c>
      <c r="K320" s="38">
        <f t="shared" si="130"/>
        <v>0</v>
      </c>
      <c r="L320" s="162"/>
      <c r="M320" s="36" t="s">
        <v>258</v>
      </c>
      <c r="N320" s="162"/>
      <c r="O320" s="616"/>
      <c r="P320" s="162"/>
      <c r="Q320" s="162"/>
      <c r="R320" s="616"/>
      <c r="S320" s="162"/>
      <c r="T320" s="162"/>
      <c r="U320" s="641"/>
      <c r="V320" s="641"/>
      <c r="W320" s="641"/>
      <c r="X320" s="641"/>
      <c r="Y320" s="641"/>
      <c r="Z320" s="641"/>
      <c r="AA320" s="641"/>
      <c r="AB320" s="641"/>
      <c r="AC320" s="641"/>
      <c r="AD320" s="641"/>
      <c r="AE320" s="641"/>
      <c r="AF320" s="641"/>
      <c r="AG320" s="641"/>
      <c r="AH320" s="641"/>
      <c r="AI320" s="641"/>
      <c r="AJ320" s="641"/>
      <c r="AK320" s="641"/>
      <c r="AL320" s="641"/>
      <c r="AM320" s="641"/>
      <c r="AN320" s="641"/>
      <c r="AO320" s="641"/>
      <c r="AP320" s="641"/>
      <c r="AQ320" s="641"/>
    </row>
    <row r="321" spans="1:43" hidden="1" outlineLevel="1" x14ac:dyDescent="0.2">
      <c r="A321" s="162"/>
      <c r="B321" s="162"/>
      <c r="C321" s="706"/>
      <c r="D321" s="11" t="s">
        <v>26</v>
      </c>
      <c r="E321" s="34"/>
      <c r="F321" s="34"/>
      <c r="G321" s="34"/>
      <c r="H321" s="34"/>
      <c r="I321" s="34"/>
      <c r="J321" s="34"/>
      <c r="K321" s="33"/>
      <c r="L321" s="162"/>
      <c r="M321" s="867"/>
      <c r="N321" s="867"/>
      <c r="O321" s="867"/>
      <c r="P321" s="867"/>
      <c r="Q321" s="867"/>
      <c r="R321" s="867"/>
      <c r="S321" s="867"/>
      <c r="T321" s="867"/>
      <c r="U321" s="641"/>
      <c r="V321" s="641"/>
      <c r="W321" s="641"/>
      <c r="X321" s="641"/>
      <c r="Y321" s="641"/>
      <c r="Z321" s="641"/>
      <c r="AA321" s="641"/>
      <c r="AB321" s="641"/>
      <c r="AC321" s="641"/>
      <c r="AD321" s="641"/>
      <c r="AE321" s="641"/>
      <c r="AF321" s="641"/>
      <c r="AG321" s="641"/>
      <c r="AH321" s="641"/>
      <c r="AI321" s="641"/>
      <c r="AJ321" s="641"/>
      <c r="AK321" s="641"/>
      <c r="AL321" s="641"/>
      <c r="AM321" s="641"/>
      <c r="AN321" s="641"/>
      <c r="AO321" s="641"/>
      <c r="AP321" s="641"/>
      <c r="AQ321" s="641"/>
    </row>
    <row r="322" spans="1:43" hidden="1" outlineLevel="1" x14ac:dyDescent="0.2">
      <c r="A322" s="162"/>
      <c r="B322" s="162"/>
      <c r="C322" s="706"/>
      <c r="D322" s="11" t="s">
        <v>33</v>
      </c>
      <c r="E322" s="34"/>
      <c r="F322" s="34"/>
      <c r="G322" s="34"/>
      <c r="H322" s="34"/>
      <c r="I322" s="34"/>
      <c r="J322" s="34"/>
      <c r="K322" s="34"/>
      <c r="L322" s="162"/>
      <c r="M322" s="867"/>
      <c r="N322" s="867"/>
      <c r="O322" s="867"/>
      <c r="P322" s="867"/>
      <c r="Q322" s="867"/>
      <c r="R322" s="867"/>
      <c r="S322" s="867"/>
      <c r="T322" s="867"/>
      <c r="U322" s="641"/>
      <c r="V322" s="641"/>
      <c r="W322" s="641"/>
      <c r="X322" s="641"/>
      <c r="Y322" s="641"/>
      <c r="Z322" s="641"/>
      <c r="AA322" s="641"/>
      <c r="AB322" s="641"/>
      <c r="AC322" s="641"/>
      <c r="AD322" s="641"/>
      <c r="AE322" s="641"/>
      <c r="AF322" s="641"/>
      <c r="AG322" s="641"/>
      <c r="AH322" s="641"/>
      <c r="AI322" s="641"/>
      <c r="AJ322" s="641"/>
      <c r="AK322" s="641"/>
      <c r="AL322" s="641"/>
      <c r="AM322" s="641"/>
      <c r="AN322" s="641"/>
      <c r="AO322" s="641"/>
      <c r="AP322" s="641"/>
      <c r="AQ322" s="641"/>
    </row>
    <row r="323" spans="1:43" hidden="1" outlineLevel="1" x14ac:dyDescent="0.2">
      <c r="A323" s="162"/>
      <c r="B323" s="162"/>
      <c r="C323" s="706"/>
      <c r="D323" s="11" t="s">
        <v>849</v>
      </c>
      <c r="E323" s="34"/>
      <c r="F323" s="34"/>
      <c r="G323" s="34"/>
      <c r="H323" s="34"/>
      <c r="I323" s="34"/>
      <c r="J323" s="34"/>
      <c r="K323" s="34"/>
      <c r="L323" s="162"/>
      <c r="M323" s="867"/>
      <c r="N323" s="867"/>
      <c r="O323" s="867"/>
      <c r="P323" s="867"/>
      <c r="Q323" s="867"/>
      <c r="R323" s="867"/>
      <c r="S323" s="867"/>
      <c r="T323" s="867"/>
      <c r="U323" s="641"/>
      <c r="V323" s="641"/>
      <c r="W323" s="641"/>
      <c r="X323" s="641"/>
      <c r="Y323" s="641"/>
      <c r="Z323" s="641"/>
      <c r="AA323" s="641"/>
      <c r="AB323" s="641"/>
      <c r="AC323" s="641"/>
      <c r="AD323" s="641"/>
      <c r="AE323" s="641"/>
      <c r="AF323" s="641"/>
      <c r="AG323" s="641"/>
      <c r="AH323" s="641"/>
      <c r="AI323" s="641"/>
      <c r="AJ323" s="641"/>
      <c r="AK323" s="641"/>
      <c r="AL323" s="641"/>
      <c r="AM323" s="641"/>
      <c r="AN323" s="641"/>
      <c r="AO323" s="641"/>
      <c r="AP323" s="641"/>
      <c r="AQ323" s="641"/>
    </row>
    <row r="324" spans="1:43" hidden="1" outlineLevel="1" x14ac:dyDescent="0.2">
      <c r="A324" s="638"/>
      <c r="B324" s="638"/>
      <c r="C324" s="707"/>
      <c r="D324" s="13" t="s">
        <v>107</v>
      </c>
      <c r="E324" s="38">
        <f t="shared" ref="E324:K324" si="131">E326-E325</f>
        <v>0</v>
      </c>
      <c r="F324" s="38">
        <f t="shared" si="131"/>
        <v>0</v>
      </c>
      <c r="G324" s="38">
        <f t="shared" si="131"/>
        <v>0</v>
      </c>
      <c r="H324" s="38">
        <f t="shared" si="131"/>
        <v>0</v>
      </c>
      <c r="I324" s="38">
        <f t="shared" si="131"/>
        <v>0</v>
      </c>
      <c r="J324" s="38">
        <f t="shared" si="131"/>
        <v>0</v>
      </c>
      <c r="K324" s="38">
        <f t="shared" si="131"/>
        <v>0</v>
      </c>
      <c r="L324" s="638"/>
      <c r="M324" s="638"/>
      <c r="N324" s="638"/>
      <c r="O324" s="638"/>
      <c r="P324" s="638"/>
      <c r="Q324" s="638"/>
      <c r="R324" s="638"/>
      <c r="S324" s="638"/>
      <c r="T324" s="638"/>
      <c r="U324" s="9"/>
      <c r="V324" s="9"/>
      <c r="W324" s="9"/>
      <c r="X324" s="9"/>
      <c r="Y324" s="9"/>
      <c r="Z324" s="9"/>
      <c r="AA324" s="9"/>
      <c r="AB324" s="9"/>
      <c r="AC324" s="9"/>
      <c r="AD324" s="9"/>
      <c r="AE324" s="9"/>
      <c r="AF324" s="9"/>
      <c r="AG324" s="9"/>
      <c r="AH324" s="9"/>
      <c r="AI324" s="9"/>
      <c r="AJ324" s="9"/>
      <c r="AK324" s="9"/>
      <c r="AL324" s="9"/>
      <c r="AM324" s="9"/>
      <c r="AN324" s="9"/>
      <c r="AO324" s="9"/>
      <c r="AP324" s="9"/>
      <c r="AQ324" s="9"/>
    </row>
    <row r="325" spans="1:43" hidden="1" outlineLevel="1" x14ac:dyDescent="0.2">
      <c r="A325" s="638"/>
      <c r="B325" s="638"/>
      <c r="C325" s="707"/>
      <c r="D325" s="13" t="s">
        <v>108</v>
      </c>
      <c r="E325" s="38">
        <f t="shared" ref="E325:K325" si="132">ROUND(E326*$T$167,0)</f>
        <v>0</v>
      </c>
      <c r="F325" s="38">
        <f t="shared" si="132"/>
        <v>0</v>
      </c>
      <c r="G325" s="38">
        <f t="shared" si="132"/>
        <v>0</v>
      </c>
      <c r="H325" s="38">
        <f t="shared" si="132"/>
        <v>0</v>
      </c>
      <c r="I325" s="38">
        <f t="shared" si="132"/>
        <v>0</v>
      </c>
      <c r="J325" s="38">
        <f t="shared" si="132"/>
        <v>0</v>
      </c>
      <c r="K325" s="38">
        <f t="shared" si="132"/>
        <v>0</v>
      </c>
      <c r="L325" s="638"/>
      <c r="M325" s="638"/>
      <c r="N325" s="638"/>
      <c r="O325" s="638"/>
      <c r="P325" s="638"/>
      <c r="Q325" s="638"/>
      <c r="R325" s="638"/>
      <c r="S325" s="638"/>
      <c r="T325" s="638"/>
      <c r="U325" s="9"/>
      <c r="V325" s="9"/>
      <c r="W325" s="9"/>
      <c r="X325" s="9"/>
      <c r="Y325" s="9"/>
      <c r="Z325" s="9"/>
      <c r="AA325" s="9"/>
      <c r="AB325" s="9"/>
      <c r="AC325" s="9"/>
      <c r="AD325" s="9"/>
      <c r="AE325" s="9"/>
      <c r="AF325" s="9"/>
      <c r="AG325" s="9"/>
      <c r="AH325" s="9"/>
      <c r="AI325" s="9"/>
      <c r="AJ325" s="9"/>
      <c r="AK325" s="9"/>
      <c r="AL325" s="9"/>
      <c r="AM325" s="9"/>
      <c r="AN325" s="9"/>
      <c r="AO325" s="9"/>
      <c r="AP325" s="9"/>
      <c r="AQ325" s="9"/>
    </row>
    <row r="326" spans="1:43" hidden="1" outlineLevel="1" x14ac:dyDescent="0.2">
      <c r="A326" s="638"/>
      <c r="B326" s="638"/>
      <c r="C326" s="707"/>
      <c r="D326" s="635" t="s">
        <v>844</v>
      </c>
      <c r="E326" s="39">
        <f t="shared" ref="E326:K326" si="133">IF(E320="","",E323*E322*E320)</f>
        <v>0</v>
      </c>
      <c r="F326" s="39">
        <f t="shared" si="133"/>
        <v>0</v>
      </c>
      <c r="G326" s="39">
        <f t="shared" si="133"/>
        <v>0</v>
      </c>
      <c r="H326" s="39">
        <f t="shared" si="133"/>
        <v>0</v>
      </c>
      <c r="I326" s="39">
        <f t="shared" si="133"/>
        <v>0</v>
      </c>
      <c r="J326" s="39">
        <f t="shared" si="133"/>
        <v>0</v>
      </c>
      <c r="K326" s="39">
        <f t="shared" si="133"/>
        <v>0</v>
      </c>
      <c r="L326" s="638"/>
      <c r="M326" s="638"/>
      <c r="N326" s="638"/>
      <c r="O326" s="638"/>
      <c r="P326" s="638"/>
      <c r="Q326" s="638"/>
      <c r="R326" s="638"/>
      <c r="S326" s="638"/>
      <c r="T326" s="638"/>
      <c r="U326" s="9"/>
      <c r="V326" s="9"/>
      <c r="W326" s="9"/>
      <c r="X326" s="9"/>
      <c r="Y326" s="9"/>
      <c r="Z326" s="9"/>
      <c r="AA326" s="9"/>
      <c r="AB326" s="9"/>
      <c r="AC326" s="9"/>
      <c r="AD326" s="9"/>
      <c r="AE326" s="9"/>
      <c r="AF326" s="9"/>
      <c r="AG326" s="9"/>
      <c r="AH326" s="9"/>
      <c r="AI326" s="9"/>
      <c r="AJ326" s="9"/>
      <c r="AK326" s="9"/>
      <c r="AL326" s="9"/>
      <c r="AM326" s="9"/>
      <c r="AN326" s="9"/>
      <c r="AO326" s="9"/>
      <c r="AP326" s="9"/>
      <c r="AQ326" s="9"/>
    </row>
    <row r="327" spans="1:43" hidden="1" outlineLevel="1" x14ac:dyDescent="0.2">
      <c r="A327" s="162"/>
      <c r="B327" s="162"/>
      <c r="C327" s="706"/>
      <c r="D327" s="162"/>
      <c r="E327" s="162"/>
      <c r="F327" s="162"/>
      <c r="G327" s="709"/>
      <c r="H327" s="709"/>
      <c r="I327" s="709"/>
      <c r="J327" s="162"/>
      <c r="K327" s="162"/>
      <c r="L327" s="162"/>
      <c r="M327" s="162"/>
      <c r="N327" s="162"/>
      <c r="O327" s="162"/>
      <c r="P327" s="162"/>
      <c r="Q327" s="162"/>
      <c r="R327" s="162"/>
      <c r="S327" s="162"/>
      <c r="T327" s="162"/>
      <c r="U327" s="641"/>
      <c r="V327" s="641"/>
      <c r="W327" s="641"/>
      <c r="X327" s="641"/>
      <c r="Y327" s="641"/>
      <c r="Z327" s="641"/>
      <c r="AA327" s="641"/>
      <c r="AB327" s="641"/>
      <c r="AC327" s="641"/>
      <c r="AD327" s="641"/>
      <c r="AE327" s="641"/>
      <c r="AF327" s="641"/>
      <c r="AG327" s="641"/>
      <c r="AH327" s="641"/>
      <c r="AI327" s="641"/>
      <c r="AJ327" s="641"/>
      <c r="AK327" s="641"/>
      <c r="AL327" s="641"/>
      <c r="AM327" s="641"/>
      <c r="AN327" s="641"/>
      <c r="AO327" s="641"/>
      <c r="AP327" s="641"/>
      <c r="AQ327" s="641"/>
    </row>
    <row r="328" spans="1:43" collapsed="1" x14ac:dyDescent="0.2">
      <c r="A328" s="162"/>
      <c r="B328" s="162"/>
      <c r="C328" s="706"/>
      <c r="D328" s="162"/>
      <c r="E328" s="162"/>
      <c r="F328" s="162"/>
      <c r="G328" s="162"/>
      <c r="H328" s="162"/>
      <c r="I328" s="162"/>
      <c r="J328" s="162"/>
      <c r="K328" s="162"/>
      <c r="L328" s="162"/>
      <c r="M328" s="162"/>
      <c r="N328" s="162"/>
      <c r="O328" s="162"/>
      <c r="P328" s="162"/>
      <c r="Q328" s="162"/>
      <c r="R328" s="162"/>
      <c r="S328" s="162"/>
      <c r="T328" s="162"/>
      <c r="U328" s="641"/>
      <c r="V328" s="641"/>
      <c r="W328" s="641"/>
      <c r="X328" s="641"/>
      <c r="Y328" s="641"/>
      <c r="Z328" s="641"/>
      <c r="AA328" s="641"/>
      <c r="AB328" s="641"/>
      <c r="AC328" s="641"/>
      <c r="AD328" s="641"/>
      <c r="AE328" s="641"/>
      <c r="AF328" s="641"/>
      <c r="AG328" s="641"/>
      <c r="AH328" s="641"/>
      <c r="AI328" s="641"/>
      <c r="AJ328" s="641"/>
      <c r="AK328" s="641"/>
      <c r="AL328" s="641"/>
      <c r="AM328" s="641"/>
      <c r="AN328" s="641"/>
      <c r="AO328" s="641"/>
      <c r="AP328" s="641"/>
      <c r="AQ328" s="641"/>
    </row>
    <row r="329" spans="1:43" ht="15" x14ac:dyDescent="0.2">
      <c r="A329" s="125"/>
      <c r="B329" s="125"/>
      <c r="C329" s="291">
        <v>13</v>
      </c>
      <c r="D329" s="147" t="str">
        <f>INDEX(NamesMSAdditional,C329,1)</f>
        <v>** NOT USED **</v>
      </c>
      <c r="E329" s="139"/>
      <c r="F329" s="139"/>
      <c r="G329" s="139"/>
      <c r="H329" s="139"/>
      <c r="I329" s="821" t="str">
        <f>IF(D329&lt;&gt;MsgNotUsed,"Co-payment group " &amp; INDEX(CoPayBandMSAdditional,C329),"")</f>
        <v/>
      </c>
      <c r="J329" s="821"/>
      <c r="K329" s="139"/>
      <c r="L329" s="139"/>
      <c r="M329" s="139"/>
      <c r="N329" s="139"/>
      <c r="O329" s="139"/>
      <c r="P329" s="139"/>
      <c r="Q329" s="139"/>
      <c r="R329" s="139"/>
      <c r="S329" s="139"/>
      <c r="T329" s="139"/>
      <c r="U329" s="139"/>
      <c r="V329" s="139"/>
      <c r="W329" s="139"/>
      <c r="X329" s="139"/>
      <c r="Y329" s="139"/>
      <c r="Z329" s="139"/>
      <c r="AA329" s="139"/>
      <c r="AB329" s="139"/>
      <c r="AC329" s="139"/>
      <c r="AD329" s="139"/>
      <c r="AE329" s="139"/>
      <c r="AF329" s="139"/>
      <c r="AG329" s="139"/>
      <c r="AH329" s="139"/>
      <c r="AI329" s="139"/>
      <c r="AJ329" s="139"/>
      <c r="AK329" s="139"/>
      <c r="AL329" s="139"/>
      <c r="AM329" s="139"/>
      <c r="AN329" s="139"/>
      <c r="AO329" s="139"/>
      <c r="AP329" s="139"/>
      <c r="AQ329" s="139"/>
    </row>
    <row r="330" spans="1:43" ht="15.75" hidden="1" outlineLevel="1" x14ac:dyDescent="0.2">
      <c r="A330" s="131"/>
      <c r="B330" s="131"/>
      <c r="C330" s="705"/>
      <c r="D330" s="655"/>
      <c r="E330" s="131"/>
      <c r="F330" s="131"/>
      <c r="G330" s="131"/>
      <c r="H330" s="131"/>
      <c r="I330" s="131"/>
      <c r="J330" s="131"/>
      <c r="K330" s="131"/>
      <c r="L330" s="131"/>
      <c r="M330" s="131"/>
      <c r="N330" s="131"/>
      <c r="O330" s="131"/>
      <c r="P330" s="131"/>
      <c r="Q330" s="131"/>
      <c r="R330" s="131"/>
      <c r="S330" s="26"/>
      <c r="T330" s="26"/>
      <c r="U330" s="26"/>
      <c r="V330" s="26"/>
      <c r="W330" s="26"/>
      <c r="X330" s="26"/>
      <c r="Y330" s="26"/>
      <c r="Z330" s="26"/>
      <c r="AA330" s="26"/>
      <c r="AB330" s="26"/>
      <c r="AC330" s="26"/>
      <c r="AD330" s="26"/>
      <c r="AE330" s="26"/>
      <c r="AF330" s="26"/>
      <c r="AG330" s="26"/>
      <c r="AH330" s="26"/>
      <c r="AI330" s="26"/>
      <c r="AJ330" s="26"/>
      <c r="AK330" s="26"/>
      <c r="AL330" s="26"/>
      <c r="AM330" s="26"/>
      <c r="AN330" s="26"/>
      <c r="AO330" s="26"/>
      <c r="AP330" s="26"/>
      <c r="AQ330" s="26"/>
    </row>
    <row r="331" spans="1:43" ht="14.25" hidden="1" customHeight="1" outlineLevel="1" x14ac:dyDescent="0.2">
      <c r="A331" s="162"/>
      <c r="B331" s="162"/>
      <c r="C331" s="706"/>
      <c r="D331" s="708"/>
      <c r="E331" s="64">
        <f>F331-1</f>
        <v>2020</v>
      </c>
      <c r="F331" s="64">
        <f>FirstYear</f>
        <v>2021</v>
      </c>
      <c r="G331" s="64">
        <f>F331+1</f>
        <v>2022</v>
      </c>
      <c r="H331" s="64">
        <f>G331+1</f>
        <v>2023</v>
      </c>
      <c r="I331" s="64">
        <f>H331+1</f>
        <v>2024</v>
      </c>
      <c r="J331" s="64">
        <f>I331+1</f>
        <v>2025</v>
      </c>
      <c r="K331" s="64">
        <f>J331+1</f>
        <v>2026</v>
      </c>
      <c r="L331" s="162"/>
      <c r="M331" s="616"/>
      <c r="N331" s="162"/>
      <c r="O331" s="162"/>
      <c r="P331" s="616"/>
      <c r="Q331" s="162"/>
      <c r="R331" s="162"/>
      <c r="S331" s="641"/>
      <c r="T331" s="641"/>
      <c r="U331" s="641"/>
      <c r="V331" s="641"/>
      <c r="W331" s="641"/>
      <c r="X331" s="641"/>
      <c r="Y331" s="641"/>
      <c r="Z331" s="641"/>
      <c r="AA331" s="641"/>
      <c r="AB331" s="641"/>
      <c r="AC331" s="641"/>
      <c r="AD331" s="641"/>
      <c r="AE331" s="641"/>
      <c r="AF331" s="641"/>
      <c r="AG331" s="641"/>
      <c r="AH331" s="641"/>
      <c r="AI331" s="641"/>
      <c r="AJ331" s="641"/>
      <c r="AK331" s="641"/>
      <c r="AL331" s="641"/>
      <c r="AM331" s="641"/>
      <c r="AN331" s="641"/>
      <c r="AO331" s="641"/>
      <c r="AP331" s="641"/>
      <c r="AQ331" s="641"/>
    </row>
    <row r="332" spans="1:43" hidden="1" outlineLevel="1" x14ac:dyDescent="0.2">
      <c r="A332" s="162"/>
      <c r="B332" s="162"/>
      <c r="C332" s="706"/>
      <c r="D332" s="4" t="s">
        <v>114</v>
      </c>
      <c r="E332" s="38">
        <f>INDEX(ScriptsMSAdditional,$C329) * INDEX(NamesMSAdditional,$C329,3)</f>
        <v>0</v>
      </c>
      <c r="F332" s="38">
        <f t="shared" ref="F332:K332" si="134">IF(E332="","",E332*(1+E333))</f>
        <v>0</v>
      </c>
      <c r="G332" s="38">
        <f t="shared" si="134"/>
        <v>0</v>
      </c>
      <c r="H332" s="38">
        <f t="shared" si="134"/>
        <v>0</v>
      </c>
      <c r="I332" s="38">
        <f t="shared" si="134"/>
        <v>0</v>
      </c>
      <c r="J332" s="38">
        <f t="shared" si="134"/>
        <v>0</v>
      </c>
      <c r="K332" s="38">
        <f t="shared" si="134"/>
        <v>0</v>
      </c>
      <c r="L332" s="162"/>
      <c r="M332" s="36" t="s">
        <v>258</v>
      </c>
      <c r="N332" s="162"/>
      <c r="O332" s="616"/>
      <c r="P332" s="162"/>
      <c r="Q332" s="162"/>
      <c r="R332" s="616"/>
      <c r="S332" s="162"/>
      <c r="T332" s="162"/>
      <c r="U332" s="641"/>
      <c r="V332" s="641"/>
      <c r="W332" s="641"/>
      <c r="X332" s="641"/>
      <c r="Y332" s="641"/>
      <c r="Z332" s="641"/>
      <c r="AA332" s="641"/>
      <c r="AB332" s="641"/>
      <c r="AC332" s="641"/>
      <c r="AD332" s="641"/>
      <c r="AE332" s="641"/>
      <c r="AF332" s="641"/>
      <c r="AG332" s="641"/>
      <c r="AH332" s="641"/>
      <c r="AI332" s="641"/>
      <c r="AJ332" s="641"/>
      <c r="AK332" s="641"/>
      <c r="AL332" s="641"/>
      <c r="AM332" s="641"/>
      <c r="AN332" s="641"/>
      <c r="AO332" s="641"/>
      <c r="AP332" s="641"/>
      <c r="AQ332" s="641"/>
    </row>
    <row r="333" spans="1:43" hidden="1" outlineLevel="1" x14ac:dyDescent="0.2">
      <c r="A333" s="162"/>
      <c r="B333" s="162"/>
      <c r="C333" s="706"/>
      <c r="D333" s="11" t="s">
        <v>26</v>
      </c>
      <c r="E333" s="34"/>
      <c r="F333" s="34"/>
      <c r="G333" s="34"/>
      <c r="H333" s="34"/>
      <c r="I333" s="34"/>
      <c r="J333" s="34"/>
      <c r="K333" s="33"/>
      <c r="L333" s="162"/>
      <c r="M333" s="867"/>
      <c r="N333" s="867"/>
      <c r="O333" s="867"/>
      <c r="P333" s="867"/>
      <c r="Q333" s="867"/>
      <c r="R333" s="867"/>
      <c r="S333" s="867"/>
      <c r="T333" s="867"/>
      <c r="U333" s="641"/>
      <c r="V333" s="641"/>
      <c r="W333" s="641"/>
      <c r="X333" s="641"/>
      <c r="Y333" s="641"/>
      <c r="Z333" s="641"/>
      <c r="AA333" s="641"/>
      <c r="AB333" s="641"/>
      <c r="AC333" s="641"/>
      <c r="AD333" s="641"/>
      <c r="AE333" s="641"/>
      <c r="AF333" s="641"/>
      <c r="AG333" s="641"/>
      <c r="AH333" s="641"/>
      <c r="AI333" s="641"/>
      <c r="AJ333" s="641"/>
      <c r="AK333" s="641"/>
      <c r="AL333" s="641"/>
      <c r="AM333" s="641"/>
      <c r="AN333" s="641"/>
      <c r="AO333" s="641"/>
      <c r="AP333" s="641"/>
      <c r="AQ333" s="641"/>
    </row>
    <row r="334" spans="1:43" hidden="1" outlineLevel="1" x14ac:dyDescent="0.2">
      <c r="A334" s="162"/>
      <c r="B334" s="162"/>
      <c r="C334" s="706"/>
      <c r="D334" s="11" t="s">
        <v>33</v>
      </c>
      <c r="E334" s="34"/>
      <c r="F334" s="34"/>
      <c r="G334" s="34"/>
      <c r="H334" s="34"/>
      <c r="I334" s="34"/>
      <c r="J334" s="34"/>
      <c r="K334" s="34"/>
      <c r="L334" s="162"/>
      <c r="M334" s="867"/>
      <c r="N334" s="867"/>
      <c r="O334" s="867"/>
      <c r="P334" s="867"/>
      <c r="Q334" s="867"/>
      <c r="R334" s="867"/>
      <c r="S334" s="867"/>
      <c r="T334" s="867"/>
      <c r="U334" s="641"/>
      <c r="V334" s="641"/>
      <c r="W334" s="641"/>
      <c r="X334" s="641"/>
      <c r="Y334" s="641"/>
      <c r="Z334" s="641"/>
      <c r="AA334" s="641"/>
      <c r="AB334" s="641"/>
      <c r="AC334" s="641"/>
      <c r="AD334" s="641"/>
      <c r="AE334" s="641"/>
      <c r="AF334" s="641"/>
      <c r="AG334" s="641"/>
      <c r="AH334" s="641"/>
      <c r="AI334" s="641"/>
      <c r="AJ334" s="641"/>
      <c r="AK334" s="641"/>
      <c r="AL334" s="641"/>
      <c r="AM334" s="641"/>
      <c r="AN334" s="641"/>
      <c r="AO334" s="641"/>
      <c r="AP334" s="641"/>
      <c r="AQ334" s="641"/>
    </row>
    <row r="335" spans="1:43" hidden="1" outlineLevel="1" x14ac:dyDescent="0.2">
      <c r="A335" s="162"/>
      <c r="B335" s="162"/>
      <c r="C335" s="706"/>
      <c r="D335" s="11" t="s">
        <v>849</v>
      </c>
      <c r="E335" s="34"/>
      <c r="F335" s="34"/>
      <c r="G335" s="34"/>
      <c r="H335" s="34"/>
      <c r="I335" s="34"/>
      <c r="J335" s="34"/>
      <c r="K335" s="34"/>
      <c r="L335" s="162"/>
      <c r="M335" s="867"/>
      <c r="N335" s="867"/>
      <c r="O335" s="867"/>
      <c r="P335" s="867"/>
      <c r="Q335" s="867"/>
      <c r="R335" s="867"/>
      <c r="S335" s="867"/>
      <c r="T335" s="867"/>
      <c r="U335" s="641"/>
      <c r="V335" s="641"/>
      <c r="W335" s="641"/>
      <c r="X335" s="641"/>
      <c r="Y335" s="641"/>
      <c r="Z335" s="641"/>
      <c r="AA335" s="641"/>
      <c r="AB335" s="641"/>
      <c r="AC335" s="641"/>
      <c r="AD335" s="641"/>
      <c r="AE335" s="641"/>
      <c r="AF335" s="641"/>
      <c r="AG335" s="641"/>
      <c r="AH335" s="641"/>
      <c r="AI335" s="641"/>
      <c r="AJ335" s="641"/>
      <c r="AK335" s="641"/>
      <c r="AL335" s="641"/>
      <c r="AM335" s="641"/>
      <c r="AN335" s="641"/>
      <c r="AO335" s="641"/>
      <c r="AP335" s="641"/>
      <c r="AQ335" s="641"/>
    </row>
    <row r="336" spans="1:43" hidden="1" outlineLevel="1" x14ac:dyDescent="0.2">
      <c r="A336" s="638"/>
      <c r="B336" s="638"/>
      <c r="C336" s="707"/>
      <c r="D336" s="13" t="s">
        <v>107</v>
      </c>
      <c r="E336" s="38">
        <f t="shared" ref="E336:K336" si="135">E338-E337</f>
        <v>0</v>
      </c>
      <c r="F336" s="38">
        <f t="shared" si="135"/>
        <v>0</v>
      </c>
      <c r="G336" s="38">
        <f t="shared" si="135"/>
        <v>0</v>
      </c>
      <c r="H336" s="38">
        <f t="shared" si="135"/>
        <v>0</v>
      </c>
      <c r="I336" s="38">
        <f t="shared" si="135"/>
        <v>0</v>
      </c>
      <c r="J336" s="38">
        <f t="shared" si="135"/>
        <v>0</v>
      </c>
      <c r="K336" s="38">
        <f t="shared" si="135"/>
        <v>0</v>
      </c>
      <c r="L336" s="638"/>
      <c r="M336" s="638"/>
      <c r="N336" s="638"/>
      <c r="O336" s="638"/>
      <c r="P336" s="638"/>
      <c r="Q336" s="638"/>
      <c r="R336" s="638"/>
      <c r="S336" s="638"/>
      <c r="T336" s="638"/>
      <c r="U336" s="9"/>
      <c r="V336" s="9"/>
      <c r="W336" s="9"/>
      <c r="X336" s="9"/>
      <c r="Y336" s="9"/>
      <c r="Z336" s="9"/>
      <c r="AA336" s="9"/>
      <c r="AB336" s="9"/>
      <c r="AC336" s="9"/>
      <c r="AD336" s="9"/>
      <c r="AE336" s="9"/>
      <c r="AF336" s="9"/>
      <c r="AG336" s="9"/>
      <c r="AH336" s="9"/>
      <c r="AI336" s="9"/>
      <c r="AJ336" s="9"/>
      <c r="AK336" s="9"/>
      <c r="AL336" s="9"/>
      <c r="AM336" s="9"/>
      <c r="AN336" s="9"/>
      <c r="AO336" s="9"/>
      <c r="AP336" s="9"/>
      <c r="AQ336" s="9"/>
    </row>
    <row r="337" spans="1:43" hidden="1" outlineLevel="1" x14ac:dyDescent="0.2">
      <c r="A337" s="638"/>
      <c r="B337" s="638"/>
      <c r="C337" s="707"/>
      <c r="D337" s="13" t="s">
        <v>108</v>
      </c>
      <c r="E337" s="38">
        <f t="shared" ref="E337:K337" si="136">ROUND(E338*$T$167,0)</f>
        <v>0</v>
      </c>
      <c r="F337" s="38">
        <f t="shared" si="136"/>
        <v>0</v>
      </c>
      <c r="G337" s="38">
        <f t="shared" si="136"/>
        <v>0</v>
      </c>
      <c r="H337" s="38">
        <f t="shared" si="136"/>
        <v>0</v>
      </c>
      <c r="I337" s="38">
        <f t="shared" si="136"/>
        <v>0</v>
      </c>
      <c r="J337" s="38">
        <f t="shared" si="136"/>
        <v>0</v>
      </c>
      <c r="K337" s="38">
        <f t="shared" si="136"/>
        <v>0</v>
      </c>
      <c r="L337" s="638"/>
      <c r="M337" s="638"/>
      <c r="N337" s="638"/>
      <c r="O337" s="638"/>
      <c r="P337" s="638"/>
      <c r="Q337" s="638"/>
      <c r="R337" s="638"/>
      <c r="S337" s="638"/>
      <c r="T337" s="638"/>
      <c r="U337" s="9"/>
      <c r="V337" s="9"/>
      <c r="W337" s="9"/>
      <c r="X337" s="9"/>
      <c r="Y337" s="9"/>
      <c r="Z337" s="9"/>
      <c r="AA337" s="9"/>
      <c r="AB337" s="9"/>
      <c r="AC337" s="9"/>
      <c r="AD337" s="9"/>
      <c r="AE337" s="9"/>
      <c r="AF337" s="9"/>
      <c r="AG337" s="9"/>
      <c r="AH337" s="9"/>
      <c r="AI337" s="9"/>
      <c r="AJ337" s="9"/>
      <c r="AK337" s="9"/>
      <c r="AL337" s="9"/>
      <c r="AM337" s="9"/>
      <c r="AN337" s="9"/>
      <c r="AO337" s="9"/>
      <c r="AP337" s="9"/>
      <c r="AQ337" s="9"/>
    </row>
    <row r="338" spans="1:43" hidden="1" outlineLevel="1" x14ac:dyDescent="0.2">
      <c r="A338" s="638"/>
      <c r="B338" s="638"/>
      <c r="C338" s="707"/>
      <c r="D338" s="635" t="s">
        <v>844</v>
      </c>
      <c r="E338" s="39">
        <f t="shared" ref="E338:K338" si="137">IF(E332="","",E335*E334*E332)</f>
        <v>0</v>
      </c>
      <c r="F338" s="39">
        <f t="shared" si="137"/>
        <v>0</v>
      </c>
      <c r="G338" s="39">
        <f t="shared" si="137"/>
        <v>0</v>
      </c>
      <c r="H338" s="39">
        <f t="shared" si="137"/>
        <v>0</v>
      </c>
      <c r="I338" s="39">
        <f t="shared" si="137"/>
        <v>0</v>
      </c>
      <c r="J338" s="39">
        <f t="shared" si="137"/>
        <v>0</v>
      </c>
      <c r="K338" s="39">
        <f t="shared" si="137"/>
        <v>0</v>
      </c>
      <c r="L338" s="638"/>
      <c r="M338" s="638"/>
      <c r="N338" s="638"/>
      <c r="O338" s="638"/>
      <c r="P338" s="638"/>
      <c r="Q338" s="638"/>
      <c r="R338" s="638"/>
      <c r="S338" s="638"/>
      <c r="T338" s="638"/>
      <c r="U338" s="9"/>
      <c r="V338" s="9"/>
      <c r="W338" s="9"/>
      <c r="X338" s="9"/>
      <c r="Y338" s="9"/>
      <c r="Z338" s="9"/>
      <c r="AA338" s="9"/>
      <c r="AB338" s="9"/>
      <c r="AC338" s="9"/>
      <c r="AD338" s="9"/>
      <c r="AE338" s="9"/>
      <c r="AF338" s="9"/>
      <c r="AG338" s="9"/>
      <c r="AH338" s="9"/>
      <c r="AI338" s="9"/>
      <c r="AJ338" s="9"/>
      <c r="AK338" s="9"/>
      <c r="AL338" s="9"/>
      <c r="AM338" s="9"/>
      <c r="AN338" s="9"/>
      <c r="AO338" s="9"/>
      <c r="AP338" s="9"/>
      <c r="AQ338" s="9"/>
    </row>
    <row r="339" spans="1:43" hidden="1" outlineLevel="1" x14ac:dyDescent="0.2">
      <c r="A339" s="162"/>
      <c r="B339" s="162"/>
      <c r="C339" s="706"/>
      <c r="D339" s="162"/>
      <c r="E339" s="162"/>
      <c r="F339" s="162"/>
      <c r="G339" s="709"/>
      <c r="H339" s="709"/>
      <c r="I339" s="709"/>
      <c r="J339" s="162"/>
      <c r="K339" s="162"/>
      <c r="L339" s="162"/>
      <c r="M339" s="162"/>
      <c r="N339" s="162"/>
      <c r="O339" s="162"/>
      <c r="P339" s="162"/>
      <c r="Q339" s="162"/>
      <c r="R339" s="162"/>
      <c r="S339" s="162"/>
      <c r="T339" s="162"/>
      <c r="U339" s="641"/>
      <c r="V339" s="641"/>
      <c r="W339" s="641"/>
      <c r="X339" s="641"/>
      <c r="Y339" s="641"/>
      <c r="Z339" s="641"/>
      <c r="AA339" s="641"/>
      <c r="AB339" s="641"/>
      <c r="AC339" s="641"/>
      <c r="AD339" s="641"/>
      <c r="AE339" s="641"/>
      <c r="AF339" s="641"/>
      <c r="AG339" s="641"/>
      <c r="AH339" s="641"/>
      <c r="AI339" s="641"/>
      <c r="AJ339" s="641"/>
      <c r="AK339" s="641"/>
      <c r="AL339" s="641"/>
      <c r="AM339" s="641"/>
      <c r="AN339" s="641"/>
      <c r="AO339" s="641"/>
      <c r="AP339" s="641"/>
      <c r="AQ339" s="641"/>
    </row>
    <row r="340" spans="1:43" collapsed="1" x14ac:dyDescent="0.2">
      <c r="A340" s="162"/>
      <c r="B340" s="162"/>
      <c r="C340" s="706"/>
      <c r="D340" s="162"/>
      <c r="E340" s="162"/>
      <c r="F340" s="162"/>
      <c r="G340" s="162"/>
      <c r="H340" s="162"/>
      <c r="I340" s="162"/>
      <c r="J340" s="162"/>
      <c r="K340" s="162"/>
      <c r="L340" s="162"/>
      <c r="M340" s="162"/>
      <c r="N340" s="162"/>
      <c r="O340" s="162"/>
      <c r="P340" s="162"/>
      <c r="Q340" s="162"/>
      <c r="R340" s="162"/>
      <c r="S340" s="162"/>
      <c r="T340" s="162"/>
      <c r="U340" s="641"/>
      <c r="V340" s="641"/>
      <c r="W340" s="641"/>
      <c r="X340" s="641"/>
      <c r="Y340" s="641"/>
      <c r="Z340" s="641"/>
      <c r="AA340" s="641"/>
      <c r="AB340" s="641"/>
      <c r="AC340" s="641"/>
      <c r="AD340" s="641"/>
      <c r="AE340" s="641"/>
      <c r="AF340" s="641"/>
      <c r="AG340" s="641"/>
      <c r="AH340" s="641"/>
      <c r="AI340" s="641"/>
      <c r="AJ340" s="641"/>
      <c r="AK340" s="641"/>
      <c r="AL340" s="641"/>
      <c r="AM340" s="641"/>
      <c r="AN340" s="641"/>
      <c r="AO340" s="641"/>
      <c r="AP340" s="641"/>
      <c r="AQ340" s="641"/>
    </row>
    <row r="341" spans="1:43" ht="15" x14ac:dyDescent="0.2">
      <c r="A341" s="125"/>
      <c r="B341" s="125"/>
      <c r="C341" s="291">
        <v>14</v>
      </c>
      <c r="D341" s="147" t="str">
        <f>INDEX(NamesMSAdditional,C341,1)</f>
        <v>** NOT USED **</v>
      </c>
      <c r="E341" s="139"/>
      <c r="F341" s="139"/>
      <c r="G341" s="139"/>
      <c r="H341" s="139"/>
      <c r="I341" s="821" t="str">
        <f>IF(D341&lt;&gt;MsgNotUsed,"Co-payment group " &amp; INDEX(CoPayBandMSAdditional,C341),"")</f>
        <v/>
      </c>
      <c r="J341" s="821"/>
      <c r="K341" s="139"/>
      <c r="L341" s="139"/>
      <c r="M341" s="139"/>
      <c r="N341" s="139"/>
      <c r="O341" s="139"/>
      <c r="P341" s="139"/>
      <c r="Q341" s="139"/>
      <c r="R341" s="139"/>
      <c r="S341" s="139"/>
      <c r="T341" s="139"/>
      <c r="U341" s="139"/>
      <c r="V341" s="139"/>
      <c r="W341" s="139"/>
      <c r="X341" s="139"/>
      <c r="Y341" s="139"/>
      <c r="Z341" s="139"/>
      <c r="AA341" s="139"/>
      <c r="AB341" s="139"/>
      <c r="AC341" s="139"/>
      <c r="AD341" s="139"/>
      <c r="AE341" s="139"/>
      <c r="AF341" s="139"/>
      <c r="AG341" s="139"/>
      <c r="AH341" s="139"/>
      <c r="AI341" s="139"/>
      <c r="AJ341" s="139"/>
      <c r="AK341" s="139"/>
      <c r="AL341" s="139"/>
      <c r="AM341" s="139"/>
      <c r="AN341" s="139"/>
      <c r="AO341" s="139"/>
      <c r="AP341" s="139"/>
      <c r="AQ341" s="139"/>
    </row>
    <row r="342" spans="1:43" ht="15.75" hidden="1" outlineLevel="1" x14ac:dyDescent="0.2">
      <c r="A342" s="131"/>
      <c r="B342" s="131"/>
      <c r="C342" s="705"/>
      <c r="D342" s="655"/>
      <c r="E342" s="131"/>
      <c r="F342" s="131"/>
      <c r="G342" s="131"/>
      <c r="H342" s="131"/>
      <c r="I342" s="131"/>
      <c r="J342" s="131"/>
      <c r="K342" s="131"/>
      <c r="L342" s="131"/>
      <c r="M342" s="131"/>
      <c r="N342" s="131"/>
      <c r="O342" s="131"/>
      <c r="P342" s="131"/>
      <c r="Q342" s="131"/>
      <c r="R342" s="131"/>
      <c r="S342" s="26"/>
      <c r="T342" s="26"/>
      <c r="U342" s="26"/>
      <c r="V342" s="26"/>
      <c r="W342" s="26"/>
      <c r="X342" s="26"/>
      <c r="Y342" s="26"/>
      <c r="Z342" s="26"/>
      <c r="AA342" s="26"/>
      <c r="AB342" s="26"/>
      <c r="AC342" s="26"/>
      <c r="AD342" s="26"/>
      <c r="AE342" s="26"/>
      <c r="AF342" s="26"/>
      <c r="AG342" s="26"/>
      <c r="AH342" s="26"/>
      <c r="AI342" s="26"/>
      <c r="AJ342" s="26"/>
      <c r="AK342" s="26"/>
      <c r="AL342" s="26"/>
      <c r="AM342" s="26"/>
      <c r="AN342" s="26"/>
      <c r="AO342" s="26"/>
      <c r="AP342" s="26"/>
      <c r="AQ342" s="26"/>
    </row>
    <row r="343" spans="1:43" ht="14.25" hidden="1" customHeight="1" outlineLevel="1" x14ac:dyDescent="0.2">
      <c r="A343" s="162"/>
      <c r="B343" s="162"/>
      <c r="C343" s="706"/>
      <c r="D343" s="708"/>
      <c r="E343" s="64">
        <f>F343-1</f>
        <v>2020</v>
      </c>
      <c r="F343" s="64">
        <f>FirstYear</f>
        <v>2021</v>
      </c>
      <c r="G343" s="64">
        <f>F343+1</f>
        <v>2022</v>
      </c>
      <c r="H343" s="64">
        <f>G343+1</f>
        <v>2023</v>
      </c>
      <c r="I343" s="64">
        <f>H343+1</f>
        <v>2024</v>
      </c>
      <c r="J343" s="64">
        <f>I343+1</f>
        <v>2025</v>
      </c>
      <c r="K343" s="64">
        <f>J343+1</f>
        <v>2026</v>
      </c>
      <c r="L343" s="162"/>
      <c r="M343" s="616"/>
      <c r="N343" s="162"/>
      <c r="O343" s="162"/>
      <c r="P343" s="616"/>
      <c r="Q343" s="162"/>
      <c r="R343" s="162"/>
      <c r="S343" s="641"/>
      <c r="T343" s="641"/>
      <c r="U343" s="641"/>
      <c r="V343" s="641"/>
      <c r="W343" s="641"/>
      <c r="X343" s="641"/>
      <c r="Y343" s="641"/>
      <c r="Z343" s="641"/>
      <c r="AA343" s="641"/>
      <c r="AB343" s="641"/>
      <c r="AC343" s="641"/>
      <c r="AD343" s="641"/>
      <c r="AE343" s="641"/>
      <c r="AF343" s="641"/>
      <c r="AG343" s="641"/>
      <c r="AH343" s="641"/>
      <c r="AI343" s="641"/>
      <c r="AJ343" s="641"/>
      <c r="AK343" s="641"/>
      <c r="AL343" s="641"/>
      <c r="AM343" s="641"/>
      <c r="AN343" s="641"/>
      <c r="AO343" s="641"/>
      <c r="AP343" s="641"/>
      <c r="AQ343" s="641"/>
    </row>
    <row r="344" spans="1:43" hidden="1" outlineLevel="1" x14ac:dyDescent="0.2">
      <c r="A344" s="162"/>
      <c r="B344" s="162"/>
      <c r="C344" s="706"/>
      <c r="D344" s="4" t="s">
        <v>114</v>
      </c>
      <c r="E344" s="38">
        <f>INDEX(ScriptsMSAdditional,$C341) * INDEX(NamesMSAdditional,$C341,3)</f>
        <v>0</v>
      </c>
      <c r="F344" s="38">
        <f t="shared" ref="F344:K344" si="138">IF(E344="","",E344*(1+E345))</f>
        <v>0</v>
      </c>
      <c r="G344" s="38">
        <f t="shared" si="138"/>
        <v>0</v>
      </c>
      <c r="H344" s="38">
        <f t="shared" si="138"/>
        <v>0</v>
      </c>
      <c r="I344" s="38">
        <f t="shared" si="138"/>
        <v>0</v>
      </c>
      <c r="J344" s="38">
        <f t="shared" si="138"/>
        <v>0</v>
      </c>
      <c r="K344" s="38">
        <f t="shared" si="138"/>
        <v>0</v>
      </c>
      <c r="L344" s="162"/>
      <c r="M344" s="36" t="s">
        <v>258</v>
      </c>
      <c r="N344" s="162"/>
      <c r="O344" s="616"/>
      <c r="P344" s="162"/>
      <c r="Q344" s="162"/>
      <c r="R344" s="616"/>
      <c r="S344" s="162"/>
      <c r="T344" s="162"/>
      <c r="U344" s="641"/>
      <c r="V344" s="641"/>
      <c r="W344" s="641"/>
      <c r="X344" s="641"/>
      <c r="Y344" s="641"/>
      <c r="Z344" s="641"/>
      <c r="AA344" s="641"/>
      <c r="AB344" s="641"/>
      <c r="AC344" s="641"/>
      <c r="AD344" s="641"/>
      <c r="AE344" s="641"/>
      <c r="AF344" s="641"/>
      <c r="AG344" s="641"/>
      <c r="AH344" s="641"/>
      <c r="AI344" s="641"/>
      <c r="AJ344" s="641"/>
      <c r="AK344" s="641"/>
      <c r="AL344" s="641"/>
      <c r="AM344" s="641"/>
      <c r="AN344" s="641"/>
      <c r="AO344" s="641"/>
      <c r="AP344" s="641"/>
      <c r="AQ344" s="641"/>
    </row>
    <row r="345" spans="1:43" hidden="1" outlineLevel="1" x14ac:dyDescent="0.2">
      <c r="A345" s="162"/>
      <c r="B345" s="162"/>
      <c r="C345" s="706"/>
      <c r="D345" s="11" t="s">
        <v>26</v>
      </c>
      <c r="E345" s="34"/>
      <c r="F345" s="34"/>
      <c r="G345" s="34"/>
      <c r="H345" s="34"/>
      <c r="I345" s="34"/>
      <c r="J345" s="34"/>
      <c r="K345" s="33"/>
      <c r="L345" s="162"/>
      <c r="M345" s="867"/>
      <c r="N345" s="867"/>
      <c r="O345" s="867"/>
      <c r="P345" s="867"/>
      <c r="Q345" s="867"/>
      <c r="R345" s="867"/>
      <c r="S345" s="867"/>
      <c r="T345" s="867"/>
      <c r="U345" s="641"/>
      <c r="V345" s="641"/>
      <c r="W345" s="641"/>
      <c r="X345" s="641"/>
      <c r="Y345" s="641"/>
      <c r="Z345" s="641"/>
      <c r="AA345" s="641"/>
      <c r="AB345" s="641"/>
      <c r="AC345" s="641"/>
      <c r="AD345" s="641"/>
      <c r="AE345" s="641"/>
      <c r="AF345" s="641"/>
      <c r="AG345" s="641"/>
      <c r="AH345" s="641"/>
      <c r="AI345" s="641"/>
      <c r="AJ345" s="641"/>
      <c r="AK345" s="641"/>
      <c r="AL345" s="641"/>
      <c r="AM345" s="641"/>
      <c r="AN345" s="641"/>
      <c r="AO345" s="641"/>
      <c r="AP345" s="641"/>
      <c r="AQ345" s="641"/>
    </row>
    <row r="346" spans="1:43" hidden="1" outlineLevel="1" x14ac:dyDescent="0.2">
      <c r="A346" s="162"/>
      <c r="B346" s="162"/>
      <c r="C346" s="706"/>
      <c r="D346" s="11" t="s">
        <v>33</v>
      </c>
      <c r="E346" s="34"/>
      <c r="F346" s="34"/>
      <c r="G346" s="34"/>
      <c r="H346" s="34"/>
      <c r="I346" s="34"/>
      <c r="J346" s="34"/>
      <c r="K346" s="34"/>
      <c r="L346" s="162"/>
      <c r="M346" s="867"/>
      <c r="N346" s="867"/>
      <c r="O346" s="867"/>
      <c r="P346" s="867"/>
      <c r="Q346" s="867"/>
      <c r="R346" s="867"/>
      <c r="S346" s="867"/>
      <c r="T346" s="867"/>
      <c r="U346" s="641"/>
      <c r="V346" s="641"/>
      <c r="W346" s="641"/>
      <c r="X346" s="641"/>
      <c r="Y346" s="641"/>
      <c r="Z346" s="641"/>
      <c r="AA346" s="641"/>
      <c r="AB346" s="641"/>
      <c r="AC346" s="641"/>
      <c r="AD346" s="641"/>
      <c r="AE346" s="641"/>
      <c r="AF346" s="641"/>
      <c r="AG346" s="641"/>
      <c r="AH346" s="641"/>
      <c r="AI346" s="641"/>
      <c r="AJ346" s="641"/>
      <c r="AK346" s="641"/>
      <c r="AL346" s="641"/>
      <c r="AM346" s="641"/>
      <c r="AN346" s="641"/>
      <c r="AO346" s="641"/>
      <c r="AP346" s="641"/>
      <c r="AQ346" s="641"/>
    </row>
    <row r="347" spans="1:43" hidden="1" outlineLevel="1" x14ac:dyDescent="0.2">
      <c r="A347" s="162"/>
      <c r="B347" s="162"/>
      <c r="C347" s="706"/>
      <c r="D347" s="11" t="s">
        <v>849</v>
      </c>
      <c r="E347" s="34"/>
      <c r="F347" s="34"/>
      <c r="G347" s="34"/>
      <c r="H347" s="34"/>
      <c r="I347" s="34"/>
      <c r="J347" s="34"/>
      <c r="K347" s="34"/>
      <c r="L347" s="162"/>
      <c r="M347" s="867"/>
      <c r="N347" s="867"/>
      <c r="O347" s="867"/>
      <c r="P347" s="867"/>
      <c r="Q347" s="867"/>
      <c r="R347" s="867"/>
      <c r="S347" s="867"/>
      <c r="T347" s="867"/>
      <c r="U347" s="641"/>
      <c r="V347" s="641"/>
      <c r="W347" s="641"/>
      <c r="X347" s="641"/>
      <c r="Y347" s="641"/>
      <c r="Z347" s="641"/>
      <c r="AA347" s="641"/>
      <c r="AB347" s="641"/>
      <c r="AC347" s="641"/>
      <c r="AD347" s="641"/>
      <c r="AE347" s="641"/>
      <c r="AF347" s="641"/>
      <c r="AG347" s="641"/>
      <c r="AH347" s="641"/>
      <c r="AI347" s="641"/>
      <c r="AJ347" s="641"/>
      <c r="AK347" s="641"/>
      <c r="AL347" s="641"/>
      <c r="AM347" s="641"/>
      <c r="AN347" s="641"/>
      <c r="AO347" s="641"/>
      <c r="AP347" s="641"/>
      <c r="AQ347" s="641"/>
    </row>
    <row r="348" spans="1:43" hidden="1" outlineLevel="1" x14ac:dyDescent="0.2">
      <c r="A348" s="638"/>
      <c r="B348" s="638"/>
      <c r="C348" s="707"/>
      <c r="D348" s="13" t="s">
        <v>107</v>
      </c>
      <c r="E348" s="38">
        <f t="shared" ref="E348:K348" si="139">E350-E349</f>
        <v>0</v>
      </c>
      <c r="F348" s="38">
        <f t="shared" si="139"/>
        <v>0</v>
      </c>
      <c r="G348" s="38">
        <f t="shared" si="139"/>
        <v>0</v>
      </c>
      <c r="H348" s="38">
        <f t="shared" si="139"/>
        <v>0</v>
      </c>
      <c r="I348" s="38">
        <f t="shared" si="139"/>
        <v>0</v>
      </c>
      <c r="J348" s="38">
        <f t="shared" si="139"/>
        <v>0</v>
      </c>
      <c r="K348" s="38">
        <f t="shared" si="139"/>
        <v>0</v>
      </c>
      <c r="L348" s="638"/>
      <c r="M348" s="638"/>
      <c r="N348" s="638"/>
      <c r="O348" s="638"/>
      <c r="P348" s="638"/>
      <c r="Q348" s="638"/>
      <c r="R348" s="638"/>
      <c r="S348" s="638"/>
      <c r="T348" s="638"/>
      <c r="U348" s="9"/>
      <c r="V348" s="9"/>
      <c r="W348" s="9"/>
      <c r="X348" s="9"/>
      <c r="Y348" s="9"/>
      <c r="Z348" s="9"/>
      <c r="AA348" s="9"/>
      <c r="AB348" s="9"/>
      <c r="AC348" s="9"/>
      <c r="AD348" s="9"/>
      <c r="AE348" s="9"/>
      <c r="AF348" s="9"/>
      <c r="AG348" s="9"/>
      <c r="AH348" s="9"/>
      <c r="AI348" s="9"/>
      <c r="AJ348" s="9"/>
      <c r="AK348" s="9"/>
      <c r="AL348" s="9"/>
      <c r="AM348" s="9"/>
      <c r="AN348" s="9"/>
      <c r="AO348" s="9"/>
      <c r="AP348" s="9"/>
      <c r="AQ348" s="9"/>
    </row>
    <row r="349" spans="1:43" hidden="1" outlineLevel="1" x14ac:dyDescent="0.2">
      <c r="A349" s="638"/>
      <c r="B349" s="638"/>
      <c r="C349" s="707"/>
      <c r="D349" s="13" t="s">
        <v>108</v>
      </c>
      <c r="E349" s="38">
        <f t="shared" ref="E349:K349" si="140">ROUND(E350*$T$167,0)</f>
        <v>0</v>
      </c>
      <c r="F349" s="38">
        <f t="shared" si="140"/>
        <v>0</v>
      </c>
      <c r="G349" s="38">
        <f t="shared" si="140"/>
        <v>0</v>
      </c>
      <c r="H349" s="38">
        <f t="shared" si="140"/>
        <v>0</v>
      </c>
      <c r="I349" s="38">
        <f t="shared" si="140"/>
        <v>0</v>
      </c>
      <c r="J349" s="38">
        <f t="shared" si="140"/>
        <v>0</v>
      </c>
      <c r="K349" s="38">
        <f t="shared" si="140"/>
        <v>0</v>
      </c>
      <c r="L349" s="638"/>
      <c r="M349" s="638"/>
      <c r="N349" s="638"/>
      <c r="O349" s="638"/>
      <c r="P349" s="638"/>
      <c r="Q349" s="638"/>
      <c r="R349" s="638"/>
      <c r="S349" s="638"/>
      <c r="T349" s="638"/>
      <c r="U349" s="9"/>
      <c r="V349" s="9"/>
      <c r="W349" s="9"/>
      <c r="X349" s="9"/>
      <c r="Y349" s="9"/>
      <c r="Z349" s="9"/>
      <c r="AA349" s="9"/>
      <c r="AB349" s="9"/>
      <c r="AC349" s="9"/>
      <c r="AD349" s="9"/>
      <c r="AE349" s="9"/>
      <c r="AF349" s="9"/>
      <c r="AG349" s="9"/>
      <c r="AH349" s="9"/>
      <c r="AI349" s="9"/>
      <c r="AJ349" s="9"/>
      <c r="AK349" s="9"/>
      <c r="AL349" s="9"/>
      <c r="AM349" s="9"/>
      <c r="AN349" s="9"/>
      <c r="AO349" s="9"/>
      <c r="AP349" s="9"/>
      <c r="AQ349" s="9"/>
    </row>
    <row r="350" spans="1:43" hidden="1" outlineLevel="1" x14ac:dyDescent="0.2">
      <c r="A350" s="638"/>
      <c r="B350" s="638"/>
      <c r="C350" s="707"/>
      <c r="D350" s="635" t="s">
        <v>844</v>
      </c>
      <c r="E350" s="39">
        <f t="shared" ref="E350:K350" si="141">IF(E344="","",E347*E346*E344)</f>
        <v>0</v>
      </c>
      <c r="F350" s="39">
        <f t="shared" si="141"/>
        <v>0</v>
      </c>
      <c r="G350" s="39">
        <f t="shared" si="141"/>
        <v>0</v>
      </c>
      <c r="H350" s="39">
        <f t="shared" si="141"/>
        <v>0</v>
      </c>
      <c r="I350" s="39">
        <f t="shared" si="141"/>
        <v>0</v>
      </c>
      <c r="J350" s="39">
        <f t="shared" si="141"/>
        <v>0</v>
      </c>
      <c r="K350" s="39">
        <f t="shared" si="141"/>
        <v>0</v>
      </c>
      <c r="L350" s="638"/>
      <c r="M350" s="638"/>
      <c r="N350" s="638"/>
      <c r="O350" s="638"/>
      <c r="P350" s="638"/>
      <c r="Q350" s="638"/>
      <c r="R350" s="638"/>
      <c r="S350" s="638"/>
      <c r="T350" s="638"/>
      <c r="U350" s="9"/>
      <c r="V350" s="9"/>
      <c r="W350" s="9"/>
      <c r="X350" s="9"/>
      <c r="Y350" s="9"/>
      <c r="Z350" s="9"/>
      <c r="AA350" s="9"/>
      <c r="AB350" s="9"/>
      <c r="AC350" s="9"/>
      <c r="AD350" s="9"/>
      <c r="AE350" s="9"/>
      <c r="AF350" s="9"/>
      <c r="AG350" s="9"/>
      <c r="AH350" s="9"/>
      <c r="AI350" s="9"/>
      <c r="AJ350" s="9"/>
      <c r="AK350" s="9"/>
      <c r="AL350" s="9"/>
      <c r="AM350" s="9"/>
      <c r="AN350" s="9"/>
      <c r="AO350" s="9"/>
      <c r="AP350" s="9"/>
      <c r="AQ350" s="9"/>
    </row>
    <row r="351" spans="1:43" hidden="1" outlineLevel="1" x14ac:dyDescent="0.2">
      <c r="A351" s="162"/>
      <c r="B351" s="162"/>
      <c r="C351" s="706"/>
      <c r="D351" s="162"/>
      <c r="E351" s="162"/>
      <c r="F351" s="162"/>
      <c r="G351" s="709"/>
      <c r="H351" s="709"/>
      <c r="I351" s="709"/>
      <c r="J351" s="162"/>
      <c r="K351" s="162"/>
      <c r="L351" s="162"/>
      <c r="M351" s="162"/>
      <c r="N351" s="162"/>
      <c r="O351" s="162"/>
      <c r="P351" s="162"/>
      <c r="Q351" s="162"/>
      <c r="R351" s="162"/>
      <c r="S351" s="162"/>
      <c r="T351" s="162"/>
      <c r="U351" s="641"/>
      <c r="V351" s="641"/>
      <c r="W351" s="641"/>
      <c r="X351" s="641"/>
      <c r="Y351" s="641"/>
      <c r="Z351" s="641"/>
      <c r="AA351" s="641"/>
      <c r="AB351" s="641"/>
      <c r="AC351" s="641"/>
      <c r="AD351" s="641"/>
      <c r="AE351" s="641"/>
      <c r="AF351" s="641"/>
      <c r="AG351" s="641"/>
      <c r="AH351" s="641"/>
      <c r="AI351" s="641"/>
      <c r="AJ351" s="641"/>
      <c r="AK351" s="641"/>
      <c r="AL351" s="641"/>
      <c r="AM351" s="641"/>
      <c r="AN351" s="641"/>
      <c r="AO351" s="641"/>
      <c r="AP351" s="641"/>
      <c r="AQ351" s="641"/>
    </row>
    <row r="352" spans="1:43" collapsed="1" x14ac:dyDescent="0.2">
      <c r="A352" s="162"/>
      <c r="B352" s="162"/>
      <c r="C352" s="706"/>
      <c r="D352" s="162"/>
      <c r="E352" s="162"/>
      <c r="F352" s="162"/>
      <c r="G352" s="162"/>
      <c r="H352" s="162"/>
      <c r="I352" s="162"/>
      <c r="J352" s="162"/>
      <c r="K352" s="162"/>
      <c r="L352" s="162"/>
      <c r="M352" s="162"/>
      <c r="N352" s="162"/>
      <c r="O352" s="162"/>
      <c r="P352" s="162"/>
      <c r="Q352" s="162"/>
      <c r="R352" s="162"/>
      <c r="S352" s="162"/>
      <c r="T352" s="162"/>
      <c r="U352" s="641"/>
      <c r="V352" s="641"/>
      <c r="W352" s="641"/>
      <c r="X352" s="641"/>
      <c r="Y352" s="641"/>
      <c r="Z352" s="641"/>
      <c r="AA352" s="641"/>
      <c r="AB352" s="641"/>
      <c r="AC352" s="641"/>
      <c r="AD352" s="641"/>
      <c r="AE352" s="641"/>
      <c r="AF352" s="641"/>
      <c r="AG352" s="641"/>
      <c r="AH352" s="641"/>
      <c r="AI352" s="641"/>
      <c r="AJ352" s="641"/>
      <c r="AK352" s="641"/>
      <c r="AL352" s="641"/>
      <c r="AM352" s="641"/>
      <c r="AN352" s="641"/>
      <c r="AO352" s="641"/>
      <c r="AP352" s="641"/>
      <c r="AQ352" s="641"/>
    </row>
    <row r="353" spans="1:43" ht="15" x14ac:dyDescent="0.2">
      <c r="A353" s="125"/>
      <c r="B353" s="125"/>
      <c r="C353" s="291">
        <v>15</v>
      </c>
      <c r="D353" s="147" t="str">
        <f>INDEX(NamesMSAdditional,C353,1)</f>
        <v>** NOT USED **</v>
      </c>
      <c r="E353" s="139"/>
      <c r="F353" s="139"/>
      <c r="G353" s="139"/>
      <c r="H353" s="139"/>
      <c r="I353" s="821" t="str">
        <f>IF(D353&lt;&gt;MsgNotUsed,"Co-payment group " &amp; INDEX(CoPayBandMSAdditional,C353),"")</f>
        <v/>
      </c>
      <c r="J353" s="821"/>
      <c r="K353" s="139"/>
      <c r="L353" s="139"/>
      <c r="M353" s="139"/>
      <c r="N353" s="139"/>
      <c r="O353" s="139"/>
      <c r="P353" s="139"/>
      <c r="Q353" s="139"/>
      <c r="R353" s="139"/>
      <c r="S353" s="139"/>
      <c r="T353" s="139"/>
      <c r="U353" s="139"/>
      <c r="V353" s="139"/>
      <c r="W353" s="139"/>
      <c r="X353" s="139"/>
      <c r="Y353" s="139"/>
      <c r="Z353" s="139"/>
      <c r="AA353" s="139"/>
      <c r="AB353" s="139"/>
      <c r="AC353" s="139"/>
      <c r="AD353" s="139"/>
      <c r="AE353" s="139"/>
      <c r="AF353" s="139"/>
      <c r="AG353" s="139"/>
      <c r="AH353" s="139"/>
      <c r="AI353" s="139"/>
      <c r="AJ353" s="139"/>
      <c r="AK353" s="139"/>
      <c r="AL353" s="139"/>
      <c r="AM353" s="139"/>
      <c r="AN353" s="139"/>
      <c r="AO353" s="139"/>
      <c r="AP353" s="139"/>
      <c r="AQ353" s="139"/>
    </row>
    <row r="354" spans="1:43" ht="15.75" hidden="1" outlineLevel="1" x14ac:dyDescent="0.2">
      <c r="A354" s="131"/>
      <c r="B354" s="131"/>
      <c r="C354" s="705"/>
      <c r="D354" s="655"/>
      <c r="E354" s="131"/>
      <c r="F354" s="131"/>
      <c r="G354" s="131"/>
      <c r="H354" s="131"/>
      <c r="I354" s="131"/>
      <c r="J354" s="131"/>
      <c r="K354" s="131"/>
      <c r="L354" s="131"/>
      <c r="M354" s="131"/>
      <c r="N354" s="131"/>
      <c r="O354" s="131"/>
      <c r="P354" s="131"/>
      <c r="Q354" s="131"/>
      <c r="R354" s="131"/>
      <c r="S354" s="26"/>
      <c r="T354" s="26"/>
      <c r="U354" s="26"/>
      <c r="V354" s="26"/>
      <c r="W354" s="26"/>
      <c r="X354" s="26"/>
      <c r="Y354" s="26"/>
      <c r="Z354" s="26"/>
      <c r="AA354" s="26"/>
      <c r="AB354" s="26"/>
      <c r="AC354" s="26"/>
      <c r="AD354" s="26"/>
      <c r="AE354" s="26"/>
      <c r="AF354" s="26"/>
      <c r="AG354" s="26"/>
      <c r="AH354" s="26"/>
      <c r="AI354" s="26"/>
      <c r="AJ354" s="26"/>
      <c r="AK354" s="26"/>
      <c r="AL354" s="26"/>
      <c r="AM354" s="26"/>
      <c r="AN354" s="26"/>
      <c r="AO354" s="26"/>
      <c r="AP354" s="26"/>
      <c r="AQ354" s="26"/>
    </row>
    <row r="355" spans="1:43" ht="14.25" hidden="1" customHeight="1" outlineLevel="1" x14ac:dyDescent="0.2">
      <c r="A355" s="162"/>
      <c r="B355" s="162"/>
      <c r="C355" s="706"/>
      <c r="D355" s="708"/>
      <c r="E355" s="64">
        <f>F355-1</f>
        <v>2020</v>
      </c>
      <c r="F355" s="64">
        <f>FirstYear</f>
        <v>2021</v>
      </c>
      <c r="G355" s="64">
        <f>F355+1</f>
        <v>2022</v>
      </c>
      <c r="H355" s="64">
        <f>G355+1</f>
        <v>2023</v>
      </c>
      <c r="I355" s="64">
        <f>H355+1</f>
        <v>2024</v>
      </c>
      <c r="J355" s="64">
        <f>I355+1</f>
        <v>2025</v>
      </c>
      <c r="K355" s="64">
        <f>J355+1</f>
        <v>2026</v>
      </c>
      <c r="L355" s="162"/>
      <c r="M355" s="616"/>
      <c r="N355" s="162"/>
      <c r="O355" s="162"/>
      <c r="P355" s="616"/>
      <c r="Q355" s="162"/>
      <c r="R355" s="162"/>
      <c r="S355" s="641"/>
      <c r="T355" s="641"/>
      <c r="U355" s="641"/>
      <c r="V355" s="641"/>
      <c r="W355" s="641"/>
      <c r="X355" s="641"/>
      <c r="Y355" s="641"/>
      <c r="Z355" s="641"/>
      <c r="AA355" s="641"/>
      <c r="AB355" s="641"/>
      <c r="AC355" s="641"/>
      <c r="AD355" s="641"/>
      <c r="AE355" s="641"/>
      <c r="AF355" s="641"/>
      <c r="AG355" s="641"/>
      <c r="AH355" s="641"/>
      <c r="AI355" s="641"/>
      <c r="AJ355" s="641"/>
      <c r="AK355" s="641"/>
      <c r="AL355" s="641"/>
      <c r="AM355" s="641"/>
      <c r="AN355" s="641"/>
      <c r="AO355" s="641"/>
      <c r="AP355" s="641"/>
      <c r="AQ355" s="641"/>
    </row>
    <row r="356" spans="1:43" hidden="1" outlineLevel="1" x14ac:dyDescent="0.2">
      <c r="A356" s="162"/>
      <c r="B356" s="162"/>
      <c r="C356" s="706"/>
      <c r="D356" s="4" t="s">
        <v>114</v>
      </c>
      <c r="E356" s="38">
        <f>INDEX(ScriptsMSAdditional,$C353) * INDEX(NamesMSAdditional,$C353,3)</f>
        <v>0</v>
      </c>
      <c r="F356" s="38">
        <f t="shared" ref="F356:K356" si="142">IF(E356="","",E356*(1+E357))</f>
        <v>0</v>
      </c>
      <c r="G356" s="38">
        <f t="shared" si="142"/>
        <v>0</v>
      </c>
      <c r="H356" s="38">
        <f t="shared" si="142"/>
        <v>0</v>
      </c>
      <c r="I356" s="38">
        <f t="shared" si="142"/>
        <v>0</v>
      </c>
      <c r="J356" s="38">
        <f t="shared" si="142"/>
        <v>0</v>
      </c>
      <c r="K356" s="38">
        <f t="shared" si="142"/>
        <v>0</v>
      </c>
      <c r="L356" s="162"/>
      <c r="M356" s="36" t="s">
        <v>258</v>
      </c>
      <c r="N356" s="162"/>
      <c r="O356" s="616"/>
      <c r="P356" s="162"/>
      <c r="Q356" s="162"/>
      <c r="R356" s="616"/>
      <c r="S356" s="162"/>
      <c r="T356" s="162"/>
      <c r="U356" s="641"/>
      <c r="V356" s="641"/>
      <c r="W356" s="641"/>
      <c r="X356" s="641"/>
      <c r="Y356" s="641"/>
      <c r="Z356" s="641"/>
      <c r="AA356" s="641"/>
      <c r="AB356" s="641"/>
      <c r="AC356" s="641"/>
      <c r="AD356" s="641"/>
      <c r="AE356" s="641"/>
      <c r="AF356" s="641"/>
      <c r="AG356" s="641"/>
      <c r="AH356" s="641"/>
      <c r="AI356" s="641"/>
      <c r="AJ356" s="641"/>
      <c r="AK356" s="641"/>
      <c r="AL356" s="641"/>
      <c r="AM356" s="641"/>
      <c r="AN356" s="641"/>
      <c r="AO356" s="641"/>
      <c r="AP356" s="641"/>
      <c r="AQ356" s="641"/>
    </row>
    <row r="357" spans="1:43" hidden="1" outlineLevel="1" x14ac:dyDescent="0.2">
      <c r="A357" s="162"/>
      <c r="B357" s="162"/>
      <c r="C357" s="706"/>
      <c r="D357" s="11" t="s">
        <v>26</v>
      </c>
      <c r="E357" s="34"/>
      <c r="F357" s="34"/>
      <c r="G357" s="34"/>
      <c r="H357" s="34"/>
      <c r="I357" s="34"/>
      <c r="J357" s="34"/>
      <c r="K357" s="33"/>
      <c r="L357" s="162"/>
      <c r="M357" s="867"/>
      <c r="N357" s="867"/>
      <c r="O357" s="867"/>
      <c r="P357" s="867"/>
      <c r="Q357" s="867"/>
      <c r="R357" s="867"/>
      <c r="S357" s="867"/>
      <c r="T357" s="867"/>
      <c r="U357" s="641"/>
      <c r="V357" s="641"/>
      <c r="W357" s="641"/>
      <c r="X357" s="641"/>
      <c r="Y357" s="641"/>
      <c r="Z357" s="641"/>
      <c r="AA357" s="641"/>
      <c r="AB357" s="641"/>
      <c r="AC357" s="641"/>
      <c r="AD357" s="641"/>
      <c r="AE357" s="641"/>
      <c r="AF357" s="641"/>
      <c r="AG357" s="641"/>
      <c r="AH357" s="641"/>
      <c r="AI357" s="641"/>
      <c r="AJ357" s="641"/>
      <c r="AK357" s="641"/>
      <c r="AL357" s="641"/>
      <c r="AM357" s="641"/>
      <c r="AN357" s="641"/>
      <c r="AO357" s="641"/>
      <c r="AP357" s="641"/>
      <c r="AQ357" s="641"/>
    </row>
    <row r="358" spans="1:43" hidden="1" outlineLevel="1" x14ac:dyDescent="0.2">
      <c r="A358" s="162"/>
      <c r="B358" s="162"/>
      <c r="C358" s="706"/>
      <c r="D358" s="11" t="s">
        <v>33</v>
      </c>
      <c r="E358" s="34"/>
      <c r="F358" s="34"/>
      <c r="G358" s="34"/>
      <c r="H358" s="34"/>
      <c r="I358" s="34"/>
      <c r="J358" s="34"/>
      <c r="K358" s="34"/>
      <c r="L358" s="162"/>
      <c r="M358" s="867"/>
      <c r="N358" s="867"/>
      <c r="O358" s="867"/>
      <c r="P358" s="867"/>
      <c r="Q358" s="867"/>
      <c r="R358" s="867"/>
      <c r="S358" s="867"/>
      <c r="T358" s="867"/>
      <c r="U358" s="641"/>
      <c r="V358" s="641"/>
      <c r="W358" s="641"/>
      <c r="X358" s="641"/>
      <c r="Y358" s="641"/>
      <c r="Z358" s="641"/>
      <c r="AA358" s="641"/>
      <c r="AB358" s="641"/>
      <c r="AC358" s="641"/>
      <c r="AD358" s="641"/>
      <c r="AE358" s="641"/>
      <c r="AF358" s="641"/>
      <c r="AG358" s="641"/>
      <c r="AH358" s="641"/>
      <c r="AI358" s="641"/>
      <c r="AJ358" s="641"/>
      <c r="AK358" s="641"/>
      <c r="AL358" s="641"/>
      <c r="AM358" s="641"/>
      <c r="AN358" s="641"/>
      <c r="AO358" s="641"/>
      <c r="AP358" s="641"/>
      <c r="AQ358" s="641"/>
    </row>
    <row r="359" spans="1:43" hidden="1" outlineLevel="1" x14ac:dyDescent="0.2">
      <c r="A359" s="162"/>
      <c r="B359" s="162"/>
      <c r="C359" s="706"/>
      <c r="D359" s="11" t="s">
        <v>849</v>
      </c>
      <c r="E359" s="34"/>
      <c r="F359" s="34"/>
      <c r="G359" s="34"/>
      <c r="H359" s="34"/>
      <c r="I359" s="34"/>
      <c r="J359" s="34"/>
      <c r="K359" s="34"/>
      <c r="L359" s="162"/>
      <c r="M359" s="867"/>
      <c r="N359" s="867"/>
      <c r="O359" s="867"/>
      <c r="P359" s="867"/>
      <c r="Q359" s="867"/>
      <c r="R359" s="867"/>
      <c r="S359" s="867"/>
      <c r="T359" s="867"/>
      <c r="U359" s="641"/>
      <c r="V359" s="641"/>
      <c r="W359" s="641"/>
      <c r="X359" s="641"/>
      <c r="Y359" s="641"/>
      <c r="Z359" s="641"/>
      <c r="AA359" s="641"/>
      <c r="AB359" s="641"/>
      <c r="AC359" s="641"/>
      <c r="AD359" s="641"/>
      <c r="AE359" s="641"/>
      <c r="AF359" s="641"/>
      <c r="AG359" s="641"/>
      <c r="AH359" s="641"/>
      <c r="AI359" s="641"/>
      <c r="AJ359" s="641"/>
      <c r="AK359" s="641"/>
      <c r="AL359" s="641"/>
      <c r="AM359" s="641"/>
      <c r="AN359" s="641"/>
      <c r="AO359" s="641"/>
      <c r="AP359" s="641"/>
      <c r="AQ359" s="641"/>
    </row>
    <row r="360" spans="1:43" hidden="1" outlineLevel="1" x14ac:dyDescent="0.2">
      <c r="A360" s="638"/>
      <c r="B360" s="638"/>
      <c r="C360" s="707"/>
      <c r="D360" s="13" t="s">
        <v>107</v>
      </c>
      <c r="E360" s="38">
        <f t="shared" ref="E360:K360" si="143">E362-E361</f>
        <v>0</v>
      </c>
      <c r="F360" s="38">
        <f t="shared" si="143"/>
        <v>0</v>
      </c>
      <c r="G360" s="38">
        <f t="shared" si="143"/>
        <v>0</v>
      </c>
      <c r="H360" s="38">
        <f t="shared" si="143"/>
        <v>0</v>
      </c>
      <c r="I360" s="38">
        <f t="shared" si="143"/>
        <v>0</v>
      </c>
      <c r="J360" s="38">
        <f t="shared" si="143"/>
        <v>0</v>
      </c>
      <c r="K360" s="38">
        <f t="shared" si="143"/>
        <v>0</v>
      </c>
      <c r="L360" s="638"/>
      <c r="M360" s="638"/>
      <c r="N360" s="638"/>
      <c r="O360" s="638"/>
      <c r="P360" s="638"/>
      <c r="Q360" s="638"/>
      <c r="R360" s="638"/>
      <c r="S360" s="638"/>
      <c r="T360" s="638"/>
      <c r="U360" s="9"/>
      <c r="V360" s="9"/>
      <c r="W360" s="9"/>
      <c r="X360" s="9"/>
      <c r="Y360" s="9"/>
      <c r="Z360" s="9"/>
      <c r="AA360" s="9"/>
      <c r="AB360" s="9"/>
      <c r="AC360" s="9"/>
      <c r="AD360" s="9"/>
      <c r="AE360" s="9"/>
      <c r="AF360" s="9"/>
      <c r="AG360" s="9"/>
      <c r="AH360" s="9"/>
      <c r="AI360" s="9"/>
      <c r="AJ360" s="9"/>
      <c r="AK360" s="9"/>
      <c r="AL360" s="9"/>
      <c r="AM360" s="9"/>
      <c r="AN360" s="9"/>
      <c r="AO360" s="9"/>
      <c r="AP360" s="9"/>
      <c r="AQ360" s="9"/>
    </row>
    <row r="361" spans="1:43" hidden="1" outlineLevel="1" x14ac:dyDescent="0.2">
      <c r="A361" s="638"/>
      <c r="B361" s="638"/>
      <c r="C361" s="707"/>
      <c r="D361" s="13" t="s">
        <v>108</v>
      </c>
      <c r="E361" s="38">
        <f t="shared" ref="E361:K361" si="144">ROUND(E362*$T$167,0)</f>
        <v>0</v>
      </c>
      <c r="F361" s="38">
        <f t="shared" si="144"/>
        <v>0</v>
      </c>
      <c r="G361" s="38">
        <f t="shared" si="144"/>
        <v>0</v>
      </c>
      <c r="H361" s="38">
        <f t="shared" si="144"/>
        <v>0</v>
      </c>
      <c r="I361" s="38">
        <f t="shared" si="144"/>
        <v>0</v>
      </c>
      <c r="J361" s="38">
        <f t="shared" si="144"/>
        <v>0</v>
      </c>
      <c r="K361" s="38">
        <f t="shared" si="144"/>
        <v>0</v>
      </c>
      <c r="L361" s="638"/>
      <c r="M361" s="638"/>
      <c r="N361" s="638"/>
      <c r="O361" s="638"/>
      <c r="P361" s="638"/>
      <c r="Q361" s="638"/>
      <c r="R361" s="638"/>
      <c r="S361" s="638"/>
      <c r="T361" s="638"/>
      <c r="U361" s="9"/>
      <c r="V361" s="9"/>
      <c r="W361" s="9"/>
      <c r="X361" s="9"/>
      <c r="Y361" s="9"/>
      <c r="Z361" s="9"/>
      <c r="AA361" s="9"/>
      <c r="AB361" s="9"/>
      <c r="AC361" s="9"/>
      <c r="AD361" s="9"/>
      <c r="AE361" s="9"/>
      <c r="AF361" s="9"/>
      <c r="AG361" s="9"/>
      <c r="AH361" s="9"/>
      <c r="AI361" s="9"/>
      <c r="AJ361" s="9"/>
      <c r="AK361" s="9"/>
      <c r="AL361" s="9"/>
      <c r="AM361" s="9"/>
      <c r="AN361" s="9"/>
      <c r="AO361" s="9"/>
      <c r="AP361" s="9"/>
      <c r="AQ361" s="9"/>
    </row>
    <row r="362" spans="1:43" hidden="1" outlineLevel="1" x14ac:dyDescent="0.2">
      <c r="A362" s="638"/>
      <c r="B362" s="638"/>
      <c r="C362" s="707"/>
      <c r="D362" s="635" t="s">
        <v>844</v>
      </c>
      <c r="E362" s="39">
        <f t="shared" ref="E362:K362" si="145">IF(E356="","",E359*E358*E356)</f>
        <v>0</v>
      </c>
      <c r="F362" s="39">
        <f t="shared" si="145"/>
        <v>0</v>
      </c>
      <c r="G362" s="39">
        <f t="shared" si="145"/>
        <v>0</v>
      </c>
      <c r="H362" s="39">
        <f t="shared" si="145"/>
        <v>0</v>
      </c>
      <c r="I362" s="39">
        <f t="shared" si="145"/>
        <v>0</v>
      </c>
      <c r="J362" s="39">
        <f t="shared" si="145"/>
        <v>0</v>
      </c>
      <c r="K362" s="39">
        <f t="shared" si="145"/>
        <v>0</v>
      </c>
      <c r="L362" s="638"/>
      <c r="M362" s="638"/>
      <c r="N362" s="638"/>
      <c r="O362" s="638"/>
      <c r="P362" s="638"/>
      <c r="Q362" s="638"/>
      <c r="R362" s="638"/>
      <c r="S362" s="638"/>
      <c r="T362" s="638"/>
      <c r="U362" s="9"/>
      <c r="V362" s="9"/>
      <c r="W362" s="9"/>
      <c r="X362" s="9"/>
      <c r="Y362" s="9"/>
      <c r="Z362" s="9"/>
      <c r="AA362" s="9"/>
      <c r="AB362" s="9"/>
      <c r="AC362" s="9"/>
      <c r="AD362" s="9"/>
      <c r="AE362" s="9"/>
      <c r="AF362" s="9"/>
      <c r="AG362" s="9"/>
      <c r="AH362" s="9"/>
      <c r="AI362" s="9"/>
      <c r="AJ362" s="9"/>
      <c r="AK362" s="9"/>
      <c r="AL362" s="9"/>
      <c r="AM362" s="9"/>
      <c r="AN362" s="9"/>
      <c r="AO362" s="9"/>
      <c r="AP362" s="9"/>
      <c r="AQ362" s="9"/>
    </row>
    <row r="363" spans="1:43" hidden="1" outlineLevel="1" x14ac:dyDescent="0.2">
      <c r="A363" s="162"/>
      <c r="B363" s="162"/>
      <c r="C363" s="706"/>
      <c r="D363" s="162"/>
      <c r="E363" s="162"/>
      <c r="F363" s="162"/>
      <c r="G363" s="709"/>
      <c r="H363" s="709"/>
      <c r="I363" s="709"/>
      <c r="J363" s="162"/>
      <c r="K363" s="162"/>
      <c r="L363" s="162"/>
      <c r="M363" s="162"/>
      <c r="N363" s="162"/>
      <c r="O363" s="162"/>
      <c r="P363" s="162"/>
      <c r="Q363" s="162"/>
      <c r="R363" s="162"/>
      <c r="S363" s="162"/>
      <c r="T363" s="162"/>
      <c r="U363" s="641"/>
      <c r="V363" s="641"/>
      <c r="W363" s="641"/>
      <c r="X363" s="641"/>
      <c r="Y363" s="641"/>
      <c r="Z363" s="641"/>
      <c r="AA363" s="641"/>
      <c r="AB363" s="641"/>
      <c r="AC363" s="641"/>
      <c r="AD363" s="641"/>
      <c r="AE363" s="641"/>
      <c r="AF363" s="641"/>
      <c r="AG363" s="641"/>
      <c r="AH363" s="641"/>
      <c r="AI363" s="641"/>
      <c r="AJ363" s="641"/>
      <c r="AK363" s="641"/>
      <c r="AL363" s="641"/>
      <c r="AM363" s="641"/>
      <c r="AN363" s="641"/>
      <c r="AO363" s="641"/>
      <c r="AP363" s="641"/>
      <c r="AQ363" s="641"/>
    </row>
    <row r="364" spans="1:43" collapsed="1" x14ac:dyDescent="0.2">
      <c r="A364" s="162"/>
      <c r="B364" s="162"/>
      <c r="C364" s="706"/>
      <c r="D364" s="162"/>
      <c r="E364" s="162"/>
      <c r="F364" s="162"/>
      <c r="G364" s="162"/>
      <c r="H364" s="162"/>
      <c r="I364" s="162"/>
      <c r="J364" s="162"/>
      <c r="K364" s="162"/>
      <c r="L364" s="162"/>
      <c r="M364" s="162"/>
      <c r="N364" s="162"/>
      <c r="O364" s="162"/>
      <c r="P364" s="162"/>
      <c r="Q364" s="162"/>
      <c r="R364" s="162"/>
      <c r="S364" s="162"/>
      <c r="T364" s="162"/>
      <c r="U364" s="641"/>
      <c r="V364" s="641"/>
      <c r="W364" s="641"/>
      <c r="X364" s="641"/>
      <c r="Y364" s="641"/>
      <c r="Z364" s="641"/>
      <c r="AA364" s="641"/>
      <c r="AB364" s="641"/>
      <c r="AC364" s="641"/>
      <c r="AD364" s="641"/>
      <c r="AE364" s="641"/>
      <c r="AF364" s="641"/>
      <c r="AG364" s="641"/>
      <c r="AH364" s="641"/>
      <c r="AI364" s="641"/>
      <c r="AJ364" s="641"/>
      <c r="AK364" s="641"/>
      <c r="AL364" s="641"/>
      <c r="AM364" s="641"/>
      <c r="AN364" s="641"/>
      <c r="AO364" s="641"/>
      <c r="AP364" s="641"/>
      <c r="AQ364" s="641"/>
    </row>
    <row r="365" spans="1:43" ht="15" x14ac:dyDescent="0.2">
      <c r="A365" s="125"/>
      <c r="B365" s="125"/>
      <c r="C365" s="291">
        <v>16</v>
      </c>
      <c r="D365" s="147" t="str">
        <f>INDEX(NamesMSAdditional,C365,1)</f>
        <v>** NOT USED **</v>
      </c>
      <c r="E365" s="139"/>
      <c r="F365" s="139"/>
      <c r="G365" s="139"/>
      <c r="H365" s="139"/>
      <c r="I365" s="821" t="str">
        <f>IF(D365&lt;&gt;MsgNotUsed,"Co-payment group " &amp; INDEX(CoPayBandMSAdditional,C365),"")</f>
        <v/>
      </c>
      <c r="J365" s="821"/>
      <c r="K365" s="139"/>
      <c r="L365" s="139"/>
      <c r="M365" s="139"/>
      <c r="N365" s="139"/>
      <c r="O365" s="139"/>
      <c r="P365" s="139"/>
      <c r="Q365" s="139"/>
      <c r="R365" s="139"/>
      <c r="S365" s="139"/>
      <c r="T365" s="139"/>
      <c r="U365" s="139"/>
      <c r="V365" s="139"/>
      <c r="W365" s="139"/>
      <c r="X365" s="139"/>
      <c r="Y365" s="139"/>
      <c r="Z365" s="139"/>
      <c r="AA365" s="139"/>
      <c r="AB365" s="139"/>
      <c r="AC365" s="139"/>
      <c r="AD365" s="139"/>
      <c r="AE365" s="139"/>
      <c r="AF365" s="139"/>
      <c r="AG365" s="139"/>
      <c r="AH365" s="139"/>
      <c r="AI365" s="139"/>
      <c r="AJ365" s="139"/>
      <c r="AK365" s="139"/>
      <c r="AL365" s="139"/>
      <c r="AM365" s="139"/>
      <c r="AN365" s="139"/>
      <c r="AO365" s="139"/>
      <c r="AP365" s="139"/>
      <c r="AQ365" s="139"/>
    </row>
    <row r="366" spans="1:43" ht="15.75" hidden="1" outlineLevel="1" x14ac:dyDescent="0.2">
      <c r="A366" s="131"/>
      <c r="B366" s="131"/>
      <c r="C366" s="705"/>
      <c r="D366" s="655"/>
      <c r="E366" s="131"/>
      <c r="F366" s="131"/>
      <c r="G366" s="131"/>
      <c r="H366" s="131"/>
      <c r="I366" s="131"/>
      <c r="J366" s="131"/>
      <c r="K366" s="131"/>
      <c r="L366" s="131"/>
      <c r="M366" s="131"/>
      <c r="N366" s="131"/>
      <c r="O366" s="131"/>
      <c r="P366" s="131"/>
      <c r="Q366" s="131"/>
      <c r="R366" s="131"/>
      <c r="S366" s="26"/>
      <c r="T366" s="26"/>
      <c r="U366" s="26"/>
      <c r="V366" s="26"/>
      <c r="W366" s="26"/>
      <c r="X366" s="26"/>
      <c r="Y366" s="26"/>
      <c r="Z366" s="26"/>
      <c r="AA366" s="26"/>
      <c r="AB366" s="26"/>
      <c r="AC366" s="26"/>
      <c r="AD366" s="26"/>
      <c r="AE366" s="26"/>
      <c r="AF366" s="26"/>
      <c r="AG366" s="26"/>
      <c r="AH366" s="26"/>
      <c r="AI366" s="26"/>
      <c r="AJ366" s="26"/>
      <c r="AK366" s="26"/>
      <c r="AL366" s="26"/>
      <c r="AM366" s="26"/>
      <c r="AN366" s="26"/>
      <c r="AO366" s="26"/>
      <c r="AP366" s="26"/>
      <c r="AQ366" s="26"/>
    </row>
    <row r="367" spans="1:43" ht="14.25" hidden="1" customHeight="1" outlineLevel="1" x14ac:dyDescent="0.2">
      <c r="A367" s="162"/>
      <c r="B367" s="162"/>
      <c r="C367" s="706"/>
      <c r="D367" s="708"/>
      <c r="E367" s="64">
        <f>F367-1</f>
        <v>2020</v>
      </c>
      <c r="F367" s="64">
        <f>FirstYear</f>
        <v>2021</v>
      </c>
      <c r="G367" s="64">
        <f>F367+1</f>
        <v>2022</v>
      </c>
      <c r="H367" s="64">
        <f>G367+1</f>
        <v>2023</v>
      </c>
      <c r="I367" s="64">
        <f>H367+1</f>
        <v>2024</v>
      </c>
      <c r="J367" s="64">
        <f>I367+1</f>
        <v>2025</v>
      </c>
      <c r="K367" s="64">
        <f>J367+1</f>
        <v>2026</v>
      </c>
      <c r="L367" s="162"/>
      <c r="M367" s="616"/>
      <c r="N367" s="162"/>
      <c r="O367" s="162"/>
      <c r="P367" s="616"/>
      <c r="Q367" s="162"/>
      <c r="R367" s="162"/>
      <c r="S367" s="641"/>
      <c r="T367" s="641"/>
      <c r="U367" s="641"/>
      <c r="V367" s="641"/>
      <c r="W367" s="641"/>
      <c r="X367" s="641"/>
      <c r="Y367" s="641"/>
      <c r="Z367" s="641"/>
      <c r="AA367" s="641"/>
      <c r="AB367" s="641"/>
      <c r="AC367" s="641"/>
      <c r="AD367" s="641"/>
      <c r="AE367" s="641"/>
      <c r="AF367" s="641"/>
      <c r="AG367" s="641"/>
      <c r="AH367" s="641"/>
      <c r="AI367" s="641"/>
      <c r="AJ367" s="641"/>
      <c r="AK367" s="641"/>
      <c r="AL367" s="641"/>
      <c r="AM367" s="641"/>
      <c r="AN367" s="641"/>
      <c r="AO367" s="641"/>
      <c r="AP367" s="641"/>
      <c r="AQ367" s="641"/>
    </row>
    <row r="368" spans="1:43" hidden="1" outlineLevel="1" x14ac:dyDescent="0.2">
      <c r="A368" s="162"/>
      <c r="B368" s="162"/>
      <c r="C368" s="706"/>
      <c r="D368" s="4" t="s">
        <v>114</v>
      </c>
      <c r="E368" s="38">
        <f>INDEX(ScriptsMSAdditional,$C365) * INDEX(NamesMSAdditional,$C365,3)</f>
        <v>0</v>
      </c>
      <c r="F368" s="38">
        <f t="shared" ref="F368:K368" si="146">IF(E368="","",E368*(1+E369))</f>
        <v>0</v>
      </c>
      <c r="G368" s="38">
        <f t="shared" si="146"/>
        <v>0</v>
      </c>
      <c r="H368" s="38">
        <f t="shared" si="146"/>
        <v>0</v>
      </c>
      <c r="I368" s="38">
        <f t="shared" si="146"/>
        <v>0</v>
      </c>
      <c r="J368" s="38">
        <f t="shared" si="146"/>
        <v>0</v>
      </c>
      <c r="K368" s="38">
        <f t="shared" si="146"/>
        <v>0</v>
      </c>
      <c r="L368" s="162"/>
      <c r="M368" s="36" t="s">
        <v>258</v>
      </c>
      <c r="N368" s="162"/>
      <c r="O368" s="616"/>
      <c r="P368" s="162"/>
      <c r="Q368" s="162"/>
      <c r="R368" s="616"/>
      <c r="S368" s="162"/>
      <c r="T368" s="162"/>
      <c r="U368" s="641"/>
      <c r="V368" s="641"/>
      <c r="W368" s="641"/>
      <c r="X368" s="641"/>
      <c r="Y368" s="641"/>
      <c r="Z368" s="641"/>
      <c r="AA368" s="641"/>
      <c r="AB368" s="641"/>
      <c r="AC368" s="641"/>
      <c r="AD368" s="641"/>
      <c r="AE368" s="641"/>
      <c r="AF368" s="641"/>
      <c r="AG368" s="641"/>
      <c r="AH368" s="641"/>
      <c r="AI368" s="641"/>
      <c r="AJ368" s="641"/>
      <c r="AK368" s="641"/>
      <c r="AL368" s="641"/>
      <c r="AM368" s="641"/>
      <c r="AN368" s="641"/>
      <c r="AO368" s="641"/>
      <c r="AP368" s="641"/>
      <c r="AQ368" s="641"/>
    </row>
    <row r="369" spans="1:43" hidden="1" outlineLevel="1" x14ac:dyDescent="0.2">
      <c r="A369" s="162"/>
      <c r="B369" s="162"/>
      <c r="C369" s="706"/>
      <c r="D369" s="11" t="s">
        <v>26</v>
      </c>
      <c r="E369" s="34"/>
      <c r="F369" s="34"/>
      <c r="G369" s="34"/>
      <c r="H369" s="34"/>
      <c r="I369" s="34"/>
      <c r="J369" s="34"/>
      <c r="K369" s="33"/>
      <c r="L369" s="162"/>
      <c r="M369" s="867"/>
      <c r="N369" s="867"/>
      <c r="O369" s="867"/>
      <c r="P369" s="867"/>
      <c r="Q369" s="867"/>
      <c r="R369" s="867"/>
      <c r="S369" s="867"/>
      <c r="T369" s="867"/>
      <c r="U369" s="641"/>
      <c r="V369" s="641"/>
      <c r="W369" s="641"/>
      <c r="X369" s="641"/>
      <c r="Y369" s="641"/>
      <c r="Z369" s="641"/>
      <c r="AA369" s="641"/>
      <c r="AB369" s="641"/>
      <c r="AC369" s="641"/>
      <c r="AD369" s="641"/>
      <c r="AE369" s="641"/>
      <c r="AF369" s="641"/>
      <c r="AG369" s="641"/>
      <c r="AH369" s="641"/>
      <c r="AI369" s="641"/>
      <c r="AJ369" s="641"/>
      <c r="AK369" s="641"/>
      <c r="AL369" s="641"/>
      <c r="AM369" s="641"/>
      <c r="AN369" s="641"/>
      <c r="AO369" s="641"/>
      <c r="AP369" s="641"/>
      <c r="AQ369" s="641"/>
    </row>
    <row r="370" spans="1:43" hidden="1" outlineLevel="1" x14ac:dyDescent="0.2">
      <c r="A370" s="162"/>
      <c r="B370" s="162"/>
      <c r="C370" s="706"/>
      <c r="D370" s="11" t="s">
        <v>33</v>
      </c>
      <c r="E370" s="34"/>
      <c r="F370" s="34"/>
      <c r="G370" s="34"/>
      <c r="H370" s="34"/>
      <c r="I370" s="34"/>
      <c r="J370" s="34"/>
      <c r="K370" s="34"/>
      <c r="L370" s="162"/>
      <c r="M370" s="867"/>
      <c r="N370" s="867"/>
      <c r="O370" s="867"/>
      <c r="P370" s="867"/>
      <c r="Q370" s="867"/>
      <c r="R370" s="867"/>
      <c r="S370" s="867"/>
      <c r="T370" s="867"/>
      <c r="U370" s="641"/>
      <c r="V370" s="641"/>
      <c r="W370" s="641"/>
      <c r="X370" s="641"/>
      <c r="Y370" s="641"/>
      <c r="Z370" s="641"/>
      <c r="AA370" s="641"/>
      <c r="AB370" s="641"/>
      <c r="AC370" s="641"/>
      <c r="AD370" s="641"/>
      <c r="AE370" s="641"/>
      <c r="AF370" s="641"/>
      <c r="AG370" s="641"/>
      <c r="AH370" s="641"/>
      <c r="AI370" s="641"/>
      <c r="AJ370" s="641"/>
      <c r="AK370" s="641"/>
      <c r="AL370" s="641"/>
      <c r="AM370" s="641"/>
      <c r="AN370" s="641"/>
      <c r="AO370" s="641"/>
      <c r="AP370" s="641"/>
      <c r="AQ370" s="641"/>
    </row>
    <row r="371" spans="1:43" hidden="1" outlineLevel="1" x14ac:dyDescent="0.2">
      <c r="A371" s="162"/>
      <c r="B371" s="162"/>
      <c r="C371" s="706"/>
      <c r="D371" s="11" t="s">
        <v>849</v>
      </c>
      <c r="E371" s="34"/>
      <c r="F371" s="34"/>
      <c r="G371" s="34"/>
      <c r="H371" s="34"/>
      <c r="I371" s="34"/>
      <c r="J371" s="34"/>
      <c r="K371" s="34"/>
      <c r="L371" s="162"/>
      <c r="M371" s="867"/>
      <c r="N371" s="867"/>
      <c r="O371" s="867"/>
      <c r="P371" s="867"/>
      <c r="Q371" s="867"/>
      <c r="R371" s="867"/>
      <c r="S371" s="867"/>
      <c r="T371" s="867"/>
      <c r="U371" s="641"/>
      <c r="V371" s="641"/>
      <c r="W371" s="641"/>
      <c r="X371" s="641"/>
      <c r="Y371" s="641"/>
      <c r="Z371" s="641"/>
      <c r="AA371" s="641"/>
      <c r="AB371" s="641"/>
      <c r="AC371" s="641"/>
      <c r="AD371" s="641"/>
      <c r="AE371" s="641"/>
      <c r="AF371" s="641"/>
      <c r="AG371" s="641"/>
      <c r="AH371" s="641"/>
      <c r="AI371" s="641"/>
      <c r="AJ371" s="641"/>
      <c r="AK371" s="641"/>
      <c r="AL371" s="641"/>
      <c r="AM371" s="641"/>
      <c r="AN371" s="641"/>
      <c r="AO371" s="641"/>
      <c r="AP371" s="641"/>
      <c r="AQ371" s="641"/>
    </row>
    <row r="372" spans="1:43" hidden="1" outlineLevel="1" x14ac:dyDescent="0.2">
      <c r="A372" s="638"/>
      <c r="B372" s="638"/>
      <c r="C372" s="707"/>
      <c r="D372" s="13" t="s">
        <v>107</v>
      </c>
      <c r="E372" s="38">
        <f t="shared" ref="E372:K372" si="147">E374-E373</f>
        <v>0</v>
      </c>
      <c r="F372" s="38">
        <f t="shared" si="147"/>
        <v>0</v>
      </c>
      <c r="G372" s="38">
        <f t="shared" si="147"/>
        <v>0</v>
      </c>
      <c r="H372" s="38">
        <f t="shared" si="147"/>
        <v>0</v>
      </c>
      <c r="I372" s="38">
        <f t="shared" si="147"/>
        <v>0</v>
      </c>
      <c r="J372" s="38">
        <f t="shared" si="147"/>
        <v>0</v>
      </c>
      <c r="K372" s="38">
        <f t="shared" si="147"/>
        <v>0</v>
      </c>
      <c r="L372" s="638"/>
      <c r="M372" s="638"/>
      <c r="N372" s="638"/>
      <c r="O372" s="638"/>
      <c r="P372" s="638"/>
      <c r="Q372" s="638"/>
      <c r="R372" s="638"/>
      <c r="S372" s="638"/>
      <c r="T372" s="638"/>
      <c r="U372" s="9"/>
      <c r="V372" s="9"/>
      <c r="W372" s="9"/>
      <c r="X372" s="9"/>
      <c r="Y372" s="9"/>
      <c r="Z372" s="9"/>
      <c r="AA372" s="9"/>
      <c r="AB372" s="9"/>
      <c r="AC372" s="9"/>
      <c r="AD372" s="9"/>
      <c r="AE372" s="9"/>
      <c r="AF372" s="9"/>
      <c r="AG372" s="9"/>
      <c r="AH372" s="9"/>
      <c r="AI372" s="9"/>
      <c r="AJ372" s="9"/>
      <c r="AK372" s="9"/>
      <c r="AL372" s="9"/>
      <c r="AM372" s="9"/>
      <c r="AN372" s="9"/>
      <c r="AO372" s="9"/>
      <c r="AP372" s="9"/>
      <c r="AQ372" s="9"/>
    </row>
    <row r="373" spans="1:43" hidden="1" outlineLevel="1" x14ac:dyDescent="0.2">
      <c r="A373" s="638"/>
      <c r="B373" s="638"/>
      <c r="C373" s="707"/>
      <c r="D373" s="13" t="s">
        <v>108</v>
      </c>
      <c r="E373" s="38">
        <f t="shared" ref="E373:K373" si="148">ROUND(E374*$T$167,0)</f>
        <v>0</v>
      </c>
      <c r="F373" s="38">
        <f t="shared" si="148"/>
        <v>0</v>
      </c>
      <c r="G373" s="38">
        <f t="shared" si="148"/>
        <v>0</v>
      </c>
      <c r="H373" s="38">
        <f t="shared" si="148"/>
        <v>0</v>
      </c>
      <c r="I373" s="38">
        <f t="shared" si="148"/>
        <v>0</v>
      </c>
      <c r="J373" s="38">
        <f t="shared" si="148"/>
        <v>0</v>
      </c>
      <c r="K373" s="38">
        <f t="shared" si="148"/>
        <v>0</v>
      </c>
      <c r="L373" s="638"/>
      <c r="M373" s="638"/>
      <c r="N373" s="638"/>
      <c r="O373" s="638"/>
      <c r="P373" s="638"/>
      <c r="Q373" s="638"/>
      <c r="R373" s="638"/>
      <c r="S373" s="638"/>
      <c r="T373" s="638"/>
      <c r="U373" s="9"/>
      <c r="V373" s="9"/>
      <c r="W373" s="9"/>
      <c r="X373" s="9"/>
      <c r="Y373" s="9"/>
      <c r="Z373" s="9"/>
      <c r="AA373" s="9"/>
      <c r="AB373" s="9"/>
      <c r="AC373" s="9"/>
      <c r="AD373" s="9"/>
      <c r="AE373" s="9"/>
      <c r="AF373" s="9"/>
      <c r="AG373" s="9"/>
      <c r="AH373" s="9"/>
      <c r="AI373" s="9"/>
      <c r="AJ373" s="9"/>
      <c r="AK373" s="9"/>
      <c r="AL373" s="9"/>
      <c r="AM373" s="9"/>
      <c r="AN373" s="9"/>
      <c r="AO373" s="9"/>
      <c r="AP373" s="9"/>
      <c r="AQ373" s="9"/>
    </row>
    <row r="374" spans="1:43" hidden="1" outlineLevel="1" x14ac:dyDescent="0.2">
      <c r="A374" s="638"/>
      <c r="B374" s="638"/>
      <c r="C374" s="707"/>
      <c r="D374" s="635" t="s">
        <v>844</v>
      </c>
      <c r="E374" s="39">
        <f t="shared" ref="E374:K374" si="149">IF(E368="","",E371*E370*E368)</f>
        <v>0</v>
      </c>
      <c r="F374" s="39">
        <f t="shared" si="149"/>
        <v>0</v>
      </c>
      <c r="G374" s="39">
        <f t="shared" si="149"/>
        <v>0</v>
      </c>
      <c r="H374" s="39">
        <f t="shared" si="149"/>
        <v>0</v>
      </c>
      <c r="I374" s="39">
        <f t="shared" si="149"/>
        <v>0</v>
      </c>
      <c r="J374" s="39">
        <f t="shared" si="149"/>
        <v>0</v>
      </c>
      <c r="K374" s="39">
        <f t="shared" si="149"/>
        <v>0</v>
      </c>
      <c r="L374" s="638"/>
      <c r="M374" s="638"/>
      <c r="N374" s="638"/>
      <c r="O374" s="638"/>
      <c r="P374" s="638"/>
      <c r="Q374" s="638"/>
      <c r="R374" s="638"/>
      <c r="S374" s="638"/>
      <c r="T374" s="638"/>
      <c r="U374" s="9"/>
      <c r="V374" s="9"/>
      <c r="W374" s="9"/>
      <c r="X374" s="9"/>
      <c r="Y374" s="9"/>
      <c r="Z374" s="9"/>
      <c r="AA374" s="9"/>
      <c r="AB374" s="9"/>
      <c r="AC374" s="9"/>
      <c r="AD374" s="9"/>
      <c r="AE374" s="9"/>
      <c r="AF374" s="9"/>
      <c r="AG374" s="9"/>
      <c r="AH374" s="9"/>
      <c r="AI374" s="9"/>
      <c r="AJ374" s="9"/>
      <c r="AK374" s="9"/>
      <c r="AL374" s="9"/>
      <c r="AM374" s="9"/>
      <c r="AN374" s="9"/>
      <c r="AO374" s="9"/>
      <c r="AP374" s="9"/>
      <c r="AQ374" s="9"/>
    </row>
    <row r="375" spans="1:43" hidden="1" outlineLevel="1" x14ac:dyDescent="0.2">
      <c r="A375" s="162"/>
      <c r="B375" s="162"/>
      <c r="C375" s="706"/>
      <c r="D375" s="162"/>
      <c r="E375" s="162"/>
      <c r="F375" s="162"/>
      <c r="G375" s="709"/>
      <c r="H375" s="709"/>
      <c r="I375" s="709"/>
      <c r="J375" s="162"/>
      <c r="K375" s="162"/>
      <c r="L375" s="162"/>
      <c r="M375" s="162"/>
      <c r="N375" s="162"/>
      <c r="O375" s="162"/>
      <c r="P375" s="162"/>
      <c r="Q375" s="162"/>
      <c r="R375" s="162"/>
      <c r="S375" s="162"/>
      <c r="T375" s="162"/>
      <c r="U375" s="641"/>
      <c r="V375" s="641"/>
      <c r="W375" s="641"/>
      <c r="X375" s="641"/>
      <c r="Y375" s="641"/>
      <c r="Z375" s="641"/>
      <c r="AA375" s="641"/>
      <c r="AB375" s="641"/>
      <c r="AC375" s="641"/>
      <c r="AD375" s="641"/>
      <c r="AE375" s="641"/>
      <c r="AF375" s="641"/>
      <c r="AG375" s="641"/>
      <c r="AH375" s="641"/>
      <c r="AI375" s="641"/>
      <c r="AJ375" s="641"/>
      <c r="AK375" s="641"/>
      <c r="AL375" s="641"/>
      <c r="AM375" s="641"/>
      <c r="AN375" s="641"/>
      <c r="AO375" s="641"/>
      <c r="AP375" s="641"/>
      <c r="AQ375" s="641"/>
    </row>
    <row r="376" spans="1:43" collapsed="1" x14ac:dyDescent="0.2">
      <c r="A376" s="162"/>
      <c r="B376" s="162"/>
      <c r="C376" s="706"/>
      <c r="D376" s="162"/>
      <c r="E376" s="162"/>
      <c r="F376" s="162"/>
      <c r="G376" s="162"/>
      <c r="H376" s="162"/>
      <c r="I376" s="162"/>
      <c r="J376" s="162"/>
      <c r="K376" s="162"/>
      <c r="L376" s="162"/>
      <c r="M376" s="162"/>
      <c r="N376" s="162"/>
      <c r="O376" s="162"/>
      <c r="P376" s="162"/>
      <c r="Q376" s="162"/>
      <c r="R376" s="162"/>
      <c r="S376" s="162"/>
      <c r="T376" s="162"/>
      <c r="U376" s="641"/>
      <c r="V376" s="641"/>
      <c r="W376" s="641"/>
      <c r="X376" s="641"/>
      <c r="Y376" s="641"/>
      <c r="Z376" s="641"/>
      <c r="AA376" s="641"/>
      <c r="AB376" s="641"/>
      <c r="AC376" s="641"/>
      <c r="AD376" s="641"/>
      <c r="AE376" s="641"/>
      <c r="AF376" s="641"/>
      <c r="AG376" s="641"/>
      <c r="AH376" s="641"/>
      <c r="AI376" s="641"/>
      <c r="AJ376" s="641"/>
      <c r="AK376" s="641"/>
      <c r="AL376" s="641"/>
      <c r="AM376" s="641"/>
      <c r="AN376" s="641"/>
      <c r="AO376" s="641"/>
      <c r="AP376" s="641"/>
      <c r="AQ376" s="641"/>
    </row>
    <row r="377" spans="1:43" ht="15" x14ac:dyDescent="0.2">
      <c r="A377" s="125"/>
      <c r="B377" s="125"/>
      <c r="C377" s="291">
        <v>17</v>
      </c>
      <c r="D377" s="147" t="str">
        <f>INDEX(NamesMSAdditional,C377,1)</f>
        <v>** NOT USED **</v>
      </c>
      <c r="E377" s="139"/>
      <c r="F377" s="139"/>
      <c r="G377" s="139"/>
      <c r="H377" s="139"/>
      <c r="I377" s="821" t="str">
        <f>IF(D377&lt;&gt;MsgNotUsed,"Co-payment group " &amp; INDEX(CoPayBandMSAdditional,C377),"")</f>
        <v/>
      </c>
      <c r="J377" s="821"/>
      <c r="K377" s="139"/>
      <c r="L377" s="139"/>
      <c r="M377" s="139"/>
      <c r="N377" s="139"/>
      <c r="O377" s="139"/>
      <c r="P377" s="139"/>
      <c r="Q377" s="139"/>
      <c r="R377" s="139"/>
      <c r="S377" s="139"/>
      <c r="T377" s="139"/>
      <c r="U377" s="139"/>
      <c r="V377" s="139"/>
      <c r="W377" s="139"/>
      <c r="X377" s="139"/>
      <c r="Y377" s="139"/>
      <c r="Z377" s="139"/>
      <c r="AA377" s="139"/>
      <c r="AB377" s="139"/>
      <c r="AC377" s="139"/>
      <c r="AD377" s="139"/>
      <c r="AE377" s="139"/>
      <c r="AF377" s="139"/>
      <c r="AG377" s="139"/>
      <c r="AH377" s="139"/>
      <c r="AI377" s="139"/>
      <c r="AJ377" s="139"/>
      <c r="AK377" s="139"/>
      <c r="AL377" s="139"/>
      <c r="AM377" s="139"/>
      <c r="AN377" s="139"/>
      <c r="AO377" s="139"/>
      <c r="AP377" s="139"/>
      <c r="AQ377" s="139"/>
    </row>
    <row r="378" spans="1:43" ht="15.75" hidden="1" outlineLevel="1" x14ac:dyDescent="0.2">
      <c r="A378" s="131"/>
      <c r="B378" s="131"/>
      <c r="C378" s="705"/>
      <c r="D378" s="655"/>
      <c r="E378" s="131"/>
      <c r="F378" s="131"/>
      <c r="G378" s="131"/>
      <c r="H378" s="131"/>
      <c r="I378" s="131"/>
      <c r="J378" s="131"/>
      <c r="K378" s="131"/>
      <c r="L378" s="131"/>
      <c r="M378" s="131"/>
      <c r="N378" s="131"/>
      <c r="O378" s="131"/>
      <c r="P378" s="131"/>
      <c r="Q378" s="131"/>
      <c r="R378" s="131"/>
      <c r="S378" s="26"/>
      <c r="T378" s="26"/>
      <c r="U378" s="26"/>
      <c r="V378" s="26"/>
      <c r="W378" s="26"/>
      <c r="X378" s="26"/>
      <c r="Y378" s="26"/>
      <c r="Z378" s="26"/>
      <c r="AA378" s="26"/>
      <c r="AB378" s="26"/>
      <c r="AC378" s="26"/>
      <c r="AD378" s="26"/>
      <c r="AE378" s="26"/>
      <c r="AF378" s="26"/>
      <c r="AG378" s="26"/>
      <c r="AH378" s="26"/>
      <c r="AI378" s="26"/>
      <c r="AJ378" s="26"/>
      <c r="AK378" s="26"/>
      <c r="AL378" s="26"/>
      <c r="AM378" s="26"/>
      <c r="AN378" s="26"/>
      <c r="AO378" s="26"/>
      <c r="AP378" s="26"/>
      <c r="AQ378" s="26"/>
    </row>
    <row r="379" spans="1:43" ht="14.25" hidden="1" customHeight="1" outlineLevel="1" x14ac:dyDescent="0.2">
      <c r="A379" s="162"/>
      <c r="B379" s="162"/>
      <c r="C379" s="706"/>
      <c r="D379" s="708"/>
      <c r="E379" s="64">
        <f>F379-1</f>
        <v>2020</v>
      </c>
      <c r="F379" s="64">
        <f>FirstYear</f>
        <v>2021</v>
      </c>
      <c r="G379" s="64">
        <f>F379+1</f>
        <v>2022</v>
      </c>
      <c r="H379" s="64">
        <f>G379+1</f>
        <v>2023</v>
      </c>
      <c r="I379" s="64">
        <f>H379+1</f>
        <v>2024</v>
      </c>
      <c r="J379" s="64">
        <f>I379+1</f>
        <v>2025</v>
      </c>
      <c r="K379" s="64">
        <f>J379+1</f>
        <v>2026</v>
      </c>
      <c r="L379" s="162"/>
      <c r="M379" s="616"/>
      <c r="N379" s="162"/>
      <c r="O379" s="162"/>
      <c r="P379" s="616"/>
      <c r="Q379" s="162"/>
      <c r="R379" s="162"/>
      <c r="S379" s="641"/>
      <c r="T379" s="641"/>
      <c r="U379" s="641"/>
      <c r="V379" s="641"/>
      <c r="W379" s="641"/>
      <c r="X379" s="641"/>
      <c r="Y379" s="641"/>
      <c r="Z379" s="641"/>
      <c r="AA379" s="641"/>
      <c r="AB379" s="641"/>
      <c r="AC379" s="641"/>
      <c r="AD379" s="641"/>
      <c r="AE379" s="641"/>
      <c r="AF379" s="641"/>
      <c r="AG379" s="641"/>
      <c r="AH379" s="641"/>
      <c r="AI379" s="641"/>
      <c r="AJ379" s="641"/>
      <c r="AK379" s="641"/>
      <c r="AL379" s="641"/>
      <c r="AM379" s="641"/>
      <c r="AN379" s="641"/>
      <c r="AO379" s="641"/>
      <c r="AP379" s="641"/>
      <c r="AQ379" s="641"/>
    </row>
    <row r="380" spans="1:43" hidden="1" outlineLevel="1" x14ac:dyDescent="0.2">
      <c r="A380" s="162"/>
      <c r="B380" s="162"/>
      <c r="C380" s="706"/>
      <c r="D380" s="4" t="s">
        <v>114</v>
      </c>
      <c r="E380" s="38">
        <f>INDEX(ScriptsMSAdditional,$C377) * INDEX(NamesMSAdditional,$C377,3)</f>
        <v>0</v>
      </c>
      <c r="F380" s="38">
        <f t="shared" ref="F380:K380" si="150">IF(E380="","",E380*(1+E381))</f>
        <v>0</v>
      </c>
      <c r="G380" s="38">
        <f t="shared" si="150"/>
        <v>0</v>
      </c>
      <c r="H380" s="38">
        <f t="shared" si="150"/>
        <v>0</v>
      </c>
      <c r="I380" s="38">
        <f t="shared" si="150"/>
        <v>0</v>
      </c>
      <c r="J380" s="38">
        <f t="shared" si="150"/>
        <v>0</v>
      </c>
      <c r="K380" s="38">
        <f t="shared" si="150"/>
        <v>0</v>
      </c>
      <c r="L380" s="162"/>
      <c r="M380" s="36" t="s">
        <v>258</v>
      </c>
      <c r="N380" s="162"/>
      <c r="O380" s="616"/>
      <c r="P380" s="162"/>
      <c r="Q380" s="162"/>
      <c r="R380" s="616"/>
      <c r="S380" s="162"/>
      <c r="T380" s="162"/>
      <c r="U380" s="641"/>
      <c r="V380" s="641"/>
      <c r="W380" s="641"/>
      <c r="X380" s="641"/>
      <c r="Y380" s="641"/>
      <c r="Z380" s="641"/>
      <c r="AA380" s="641"/>
      <c r="AB380" s="641"/>
      <c r="AC380" s="641"/>
      <c r="AD380" s="641"/>
      <c r="AE380" s="641"/>
      <c r="AF380" s="641"/>
      <c r="AG380" s="641"/>
      <c r="AH380" s="641"/>
      <c r="AI380" s="641"/>
      <c r="AJ380" s="641"/>
      <c r="AK380" s="641"/>
      <c r="AL380" s="641"/>
      <c r="AM380" s="641"/>
      <c r="AN380" s="641"/>
      <c r="AO380" s="641"/>
      <c r="AP380" s="641"/>
      <c r="AQ380" s="641"/>
    </row>
    <row r="381" spans="1:43" hidden="1" outlineLevel="1" x14ac:dyDescent="0.2">
      <c r="A381" s="162"/>
      <c r="B381" s="162"/>
      <c r="C381" s="706"/>
      <c r="D381" s="11" t="s">
        <v>26</v>
      </c>
      <c r="E381" s="34"/>
      <c r="F381" s="34"/>
      <c r="G381" s="34"/>
      <c r="H381" s="34"/>
      <c r="I381" s="34"/>
      <c r="J381" s="34"/>
      <c r="K381" s="33"/>
      <c r="L381" s="162"/>
      <c r="M381" s="867"/>
      <c r="N381" s="867"/>
      <c r="O381" s="867"/>
      <c r="P381" s="867"/>
      <c r="Q381" s="867"/>
      <c r="R381" s="867"/>
      <c r="S381" s="867"/>
      <c r="T381" s="867"/>
      <c r="U381" s="641"/>
      <c r="V381" s="641"/>
      <c r="W381" s="641"/>
      <c r="X381" s="641"/>
      <c r="Y381" s="641"/>
      <c r="Z381" s="641"/>
      <c r="AA381" s="641"/>
      <c r="AB381" s="641"/>
      <c r="AC381" s="641"/>
      <c r="AD381" s="641"/>
      <c r="AE381" s="641"/>
      <c r="AF381" s="641"/>
      <c r="AG381" s="641"/>
      <c r="AH381" s="641"/>
      <c r="AI381" s="641"/>
      <c r="AJ381" s="641"/>
      <c r="AK381" s="641"/>
      <c r="AL381" s="641"/>
      <c r="AM381" s="641"/>
      <c r="AN381" s="641"/>
      <c r="AO381" s="641"/>
      <c r="AP381" s="641"/>
      <c r="AQ381" s="641"/>
    </row>
    <row r="382" spans="1:43" hidden="1" outlineLevel="1" x14ac:dyDescent="0.2">
      <c r="A382" s="162"/>
      <c r="B382" s="162"/>
      <c r="C382" s="706"/>
      <c r="D382" s="11" t="s">
        <v>33</v>
      </c>
      <c r="E382" s="34"/>
      <c r="F382" s="34"/>
      <c r="G382" s="34"/>
      <c r="H382" s="34"/>
      <c r="I382" s="34"/>
      <c r="J382" s="34"/>
      <c r="K382" s="34"/>
      <c r="L382" s="162"/>
      <c r="M382" s="867"/>
      <c r="N382" s="867"/>
      <c r="O382" s="867"/>
      <c r="P382" s="867"/>
      <c r="Q382" s="867"/>
      <c r="R382" s="867"/>
      <c r="S382" s="867"/>
      <c r="T382" s="867"/>
      <c r="U382" s="641"/>
      <c r="V382" s="641"/>
      <c r="W382" s="641"/>
      <c r="X382" s="641"/>
      <c r="Y382" s="641"/>
      <c r="Z382" s="641"/>
      <c r="AA382" s="641"/>
      <c r="AB382" s="641"/>
      <c r="AC382" s="641"/>
      <c r="AD382" s="641"/>
      <c r="AE382" s="641"/>
      <c r="AF382" s="641"/>
      <c r="AG382" s="641"/>
      <c r="AH382" s="641"/>
      <c r="AI382" s="641"/>
      <c r="AJ382" s="641"/>
      <c r="AK382" s="641"/>
      <c r="AL382" s="641"/>
      <c r="AM382" s="641"/>
      <c r="AN382" s="641"/>
      <c r="AO382" s="641"/>
      <c r="AP382" s="641"/>
      <c r="AQ382" s="641"/>
    </row>
    <row r="383" spans="1:43" hidden="1" outlineLevel="1" x14ac:dyDescent="0.2">
      <c r="A383" s="162"/>
      <c r="B383" s="162"/>
      <c r="C383" s="706"/>
      <c r="D383" s="11" t="s">
        <v>849</v>
      </c>
      <c r="E383" s="34"/>
      <c r="F383" s="34"/>
      <c r="G383" s="34"/>
      <c r="H383" s="34"/>
      <c r="I383" s="34"/>
      <c r="J383" s="34"/>
      <c r="K383" s="34"/>
      <c r="L383" s="162"/>
      <c r="M383" s="867"/>
      <c r="N383" s="867"/>
      <c r="O383" s="867"/>
      <c r="P383" s="867"/>
      <c r="Q383" s="867"/>
      <c r="R383" s="867"/>
      <c r="S383" s="867"/>
      <c r="T383" s="867"/>
      <c r="U383" s="641"/>
      <c r="V383" s="641"/>
      <c r="W383" s="641"/>
      <c r="X383" s="641"/>
      <c r="Y383" s="641"/>
      <c r="Z383" s="641"/>
      <c r="AA383" s="641"/>
      <c r="AB383" s="641"/>
      <c r="AC383" s="641"/>
      <c r="AD383" s="641"/>
      <c r="AE383" s="641"/>
      <c r="AF383" s="641"/>
      <c r="AG383" s="641"/>
      <c r="AH383" s="641"/>
      <c r="AI383" s="641"/>
      <c r="AJ383" s="641"/>
      <c r="AK383" s="641"/>
      <c r="AL383" s="641"/>
      <c r="AM383" s="641"/>
      <c r="AN383" s="641"/>
      <c r="AO383" s="641"/>
      <c r="AP383" s="641"/>
      <c r="AQ383" s="641"/>
    </row>
    <row r="384" spans="1:43" hidden="1" outlineLevel="1" x14ac:dyDescent="0.2">
      <c r="A384" s="638"/>
      <c r="B384" s="638"/>
      <c r="C384" s="707"/>
      <c r="D384" s="13" t="s">
        <v>107</v>
      </c>
      <c r="E384" s="38">
        <f t="shared" ref="E384:K384" si="151">E386-E385</f>
        <v>0</v>
      </c>
      <c r="F384" s="38">
        <f t="shared" si="151"/>
        <v>0</v>
      </c>
      <c r="G384" s="38">
        <f t="shared" si="151"/>
        <v>0</v>
      </c>
      <c r="H384" s="38">
        <f t="shared" si="151"/>
        <v>0</v>
      </c>
      <c r="I384" s="38">
        <f t="shared" si="151"/>
        <v>0</v>
      </c>
      <c r="J384" s="38">
        <f t="shared" si="151"/>
        <v>0</v>
      </c>
      <c r="K384" s="38">
        <f t="shared" si="151"/>
        <v>0</v>
      </c>
      <c r="L384" s="638"/>
      <c r="M384" s="638"/>
      <c r="N384" s="638"/>
      <c r="O384" s="638"/>
      <c r="P384" s="638"/>
      <c r="Q384" s="638"/>
      <c r="R384" s="638"/>
      <c r="S384" s="638"/>
      <c r="T384" s="638"/>
      <c r="U384" s="9"/>
      <c r="V384" s="9"/>
      <c r="W384" s="9"/>
      <c r="X384" s="9"/>
      <c r="Y384" s="9"/>
      <c r="Z384" s="9"/>
      <c r="AA384" s="9"/>
      <c r="AB384" s="9"/>
      <c r="AC384" s="9"/>
      <c r="AD384" s="9"/>
      <c r="AE384" s="9"/>
      <c r="AF384" s="9"/>
      <c r="AG384" s="9"/>
      <c r="AH384" s="9"/>
      <c r="AI384" s="9"/>
      <c r="AJ384" s="9"/>
      <c r="AK384" s="9"/>
      <c r="AL384" s="9"/>
      <c r="AM384" s="9"/>
      <c r="AN384" s="9"/>
      <c r="AO384" s="9"/>
      <c r="AP384" s="9"/>
      <c r="AQ384" s="9"/>
    </row>
    <row r="385" spans="1:43" hidden="1" outlineLevel="1" x14ac:dyDescent="0.2">
      <c r="A385" s="638"/>
      <c r="B385" s="638"/>
      <c r="C385" s="707"/>
      <c r="D385" s="13" t="s">
        <v>108</v>
      </c>
      <c r="E385" s="38">
        <f t="shared" ref="E385:K385" si="152">ROUND(E386*$T$167,0)</f>
        <v>0</v>
      </c>
      <c r="F385" s="38">
        <f t="shared" si="152"/>
        <v>0</v>
      </c>
      <c r="G385" s="38">
        <f t="shared" si="152"/>
        <v>0</v>
      </c>
      <c r="H385" s="38">
        <f t="shared" si="152"/>
        <v>0</v>
      </c>
      <c r="I385" s="38">
        <f t="shared" si="152"/>
        <v>0</v>
      </c>
      <c r="J385" s="38">
        <f t="shared" si="152"/>
        <v>0</v>
      </c>
      <c r="K385" s="38">
        <f t="shared" si="152"/>
        <v>0</v>
      </c>
      <c r="L385" s="638"/>
      <c r="M385" s="638"/>
      <c r="N385" s="638"/>
      <c r="O385" s="638"/>
      <c r="P385" s="638"/>
      <c r="Q385" s="638"/>
      <c r="R385" s="638"/>
      <c r="S385" s="638"/>
      <c r="T385" s="638"/>
      <c r="U385" s="9"/>
      <c r="V385" s="9"/>
      <c r="W385" s="9"/>
      <c r="X385" s="9"/>
      <c r="Y385" s="9"/>
      <c r="Z385" s="9"/>
      <c r="AA385" s="9"/>
      <c r="AB385" s="9"/>
      <c r="AC385" s="9"/>
      <c r="AD385" s="9"/>
      <c r="AE385" s="9"/>
      <c r="AF385" s="9"/>
      <c r="AG385" s="9"/>
      <c r="AH385" s="9"/>
      <c r="AI385" s="9"/>
      <c r="AJ385" s="9"/>
      <c r="AK385" s="9"/>
      <c r="AL385" s="9"/>
      <c r="AM385" s="9"/>
      <c r="AN385" s="9"/>
      <c r="AO385" s="9"/>
      <c r="AP385" s="9"/>
      <c r="AQ385" s="9"/>
    </row>
    <row r="386" spans="1:43" hidden="1" outlineLevel="1" x14ac:dyDescent="0.2">
      <c r="A386" s="638"/>
      <c r="B386" s="638"/>
      <c r="C386" s="707"/>
      <c r="D386" s="635" t="s">
        <v>844</v>
      </c>
      <c r="E386" s="39">
        <f t="shared" ref="E386:K386" si="153">IF(E380="","",E383*E382*E380)</f>
        <v>0</v>
      </c>
      <c r="F386" s="39">
        <f t="shared" si="153"/>
        <v>0</v>
      </c>
      <c r="G386" s="39">
        <f t="shared" si="153"/>
        <v>0</v>
      </c>
      <c r="H386" s="39">
        <f t="shared" si="153"/>
        <v>0</v>
      </c>
      <c r="I386" s="39">
        <f t="shared" si="153"/>
        <v>0</v>
      </c>
      <c r="J386" s="39">
        <f t="shared" si="153"/>
        <v>0</v>
      </c>
      <c r="K386" s="39">
        <f t="shared" si="153"/>
        <v>0</v>
      </c>
      <c r="L386" s="638"/>
      <c r="M386" s="638"/>
      <c r="N386" s="638"/>
      <c r="O386" s="638"/>
      <c r="P386" s="638"/>
      <c r="Q386" s="638"/>
      <c r="R386" s="638"/>
      <c r="S386" s="638"/>
      <c r="T386" s="638"/>
      <c r="U386" s="9"/>
      <c r="V386" s="9"/>
      <c r="W386" s="9"/>
      <c r="X386" s="9"/>
      <c r="Y386" s="9"/>
      <c r="Z386" s="9"/>
      <c r="AA386" s="9"/>
      <c r="AB386" s="9"/>
      <c r="AC386" s="9"/>
      <c r="AD386" s="9"/>
      <c r="AE386" s="9"/>
      <c r="AF386" s="9"/>
      <c r="AG386" s="9"/>
      <c r="AH386" s="9"/>
      <c r="AI386" s="9"/>
      <c r="AJ386" s="9"/>
      <c r="AK386" s="9"/>
      <c r="AL386" s="9"/>
      <c r="AM386" s="9"/>
      <c r="AN386" s="9"/>
      <c r="AO386" s="9"/>
      <c r="AP386" s="9"/>
      <c r="AQ386" s="9"/>
    </row>
    <row r="387" spans="1:43" hidden="1" outlineLevel="1" x14ac:dyDescent="0.2">
      <c r="A387" s="162"/>
      <c r="B387" s="162"/>
      <c r="C387" s="706"/>
      <c r="D387" s="162"/>
      <c r="E387" s="162"/>
      <c r="F387" s="162"/>
      <c r="G387" s="709"/>
      <c r="H387" s="709"/>
      <c r="I387" s="709"/>
      <c r="J387" s="162"/>
      <c r="K387" s="162"/>
      <c r="L387" s="162"/>
      <c r="M387" s="162"/>
      <c r="N387" s="162"/>
      <c r="O387" s="162"/>
      <c r="P387" s="162"/>
      <c r="Q387" s="162"/>
      <c r="R387" s="162"/>
      <c r="S387" s="162"/>
      <c r="T387" s="162"/>
      <c r="U387" s="641"/>
      <c r="V387" s="641"/>
      <c r="W387" s="641"/>
      <c r="X387" s="641"/>
      <c r="Y387" s="641"/>
      <c r="Z387" s="641"/>
      <c r="AA387" s="641"/>
      <c r="AB387" s="641"/>
      <c r="AC387" s="641"/>
      <c r="AD387" s="641"/>
      <c r="AE387" s="641"/>
      <c r="AF387" s="641"/>
      <c r="AG387" s="641"/>
      <c r="AH387" s="641"/>
      <c r="AI387" s="641"/>
      <c r="AJ387" s="641"/>
      <c r="AK387" s="641"/>
      <c r="AL387" s="641"/>
      <c r="AM387" s="641"/>
      <c r="AN387" s="641"/>
      <c r="AO387" s="641"/>
      <c r="AP387" s="641"/>
      <c r="AQ387" s="641"/>
    </row>
    <row r="388" spans="1:43" collapsed="1" x14ac:dyDescent="0.2">
      <c r="A388" s="162"/>
      <c r="B388" s="162"/>
      <c r="C388" s="706"/>
      <c r="D388" s="162"/>
      <c r="E388" s="162"/>
      <c r="F388" s="162"/>
      <c r="G388" s="162"/>
      <c r="H388" s="162"/>
      <c r="I388" s="162"/>
      <c r="J388" s="162"/>
      <c r="K388" s="162"/>
      <c r="L388" s="162"/>
      <c r="M388" s="162"/>
      <c r="N388" s="162"/>
      <c r="O388" s="162"/>
      <c r="P388" s="162"/>
      <c r="Q388" s="162"/>
      <c r="R388" s="162"/>
      <c r="S388" s="162"/>
      <c r="T388" s="162"/>
      <c r="U388" s="641"/>
      <c r="V388" s="641"/>
      <c r="W388" s="641"/>
      <c r="X388" s="641"/>
      <c r="Y388" s="641"/>
      <c r="Z388" s="641"/>
      <c r="AA388" s="641"/>
      <c r="AB388" s="641"/>
      <c r="AC388" s="641"/>
      <c r="AD388" s="641"/>
      <c r="AE388" s="641"/>
      <c r="AF388" s="641"/>
      <c r="AG388" s="641"/>
      <c r="AH388" s="641"/>
      <c r="AI388" s="641"/>
      <c r="AJ388" s="641"/>
      <c r="AK388" s="641"/>
      <c r="AL388" s="641"/>
      <c r="AM388" s="641"/>
      <c r="AN388" s="641"/>
      <c r="AO388" s="641"/>
      <c r="AP388" s="641"/>
      <c r="AQ388" s="641"/>
    </row>
    <row r="389" spans="1:43" ht="15" x14ac:dyDescent="0.2">
      <c r="A389" s="125"/>
      <c r="B389" s="125"/>
      <c r="C389" s="291">
        <v>18</v>
      </c>
      <c r="D389" s="147" t="str">
        <f>INDEX(NamesMSAdditional,C389,1)</f>
        <v>** NOT USED **</v>
      </c>
      <c r="E389" s="139"/>
      <c r="F389" s="139"/>
      <c r="G389" s="139"/>
      <c r="H389" s="139"/>
      <c r="I389" s="821" t="str">
        <f>IF(D389&lt;&gt;MsgNotUsed,"Co-payment group " &amp; INDEX(CoPayBandMSAdditional,C389),"")</f>
        <v/>
      </c>
      <c r="J389" s="821"/>
      <c r="K389" s="139"/>
      <c r="L389" s="139"/>
      <c r="M389" s="139"/>
      <c r="N389" s="139"/>
      <c r="O389" s="139"/>
      <c r="P389" s="139"/>
      <c r="Q389" s="139"/>
      <c r="R389" s="139"/>
      <c r="S389" s="139"/>
      <c r="T389" s="139"/>
      <c r="U389" s="139"/>
      <c r="V389" s="139"/>
      <c r="W389" s="139"/>
      <c r="X389" s="139"/>
      <c r="Y389" s="139"/>
      <c r="Z389" s="139"/>
      <c r="AA389" s="139"/>
      <c r="AB389" s="139"/>
      <c r="AC389" s="139"/>
      <c r="AD389" s="139"/>
      <c r="AE389" s="139"/>
      <c r="AF389" s="139"/>
      <c r="AG389" s="139"/>
      <c r="AH389" s="139"/>
      <c r="AI389" s="139"/>
      <c r="AJ389" s="139"/>
      <c r="AK389" s="139"/>
      <c r="AL389" s="139"/>
      <c r="AM389" s="139"/>
      <c r="AN389" s="139"/>
      <c r="AO389" s="139"/>
      <c r="AP389" s="139"/>
      <c r="AQ389" s="139"/>
    </row>
    <row r="390" spans="1:43" ht="15.75" hidden="1" outlineLevel="1" x14ac:dyDescent="0.2">
      <c r="A390" s="131"/>
      <c r="B390" s="131"/>
      <c r="C390" s="705"/>
      <c r="D390" s="655"/>
      <c r="E390" s="131"/>
      <c r="F390" s="131"/>
      <c r="G390" s="131"/>
      <c r="H390" s="131"/>
      <c r="I390" s="131"/>
      <c r="J390" s="131"/>
      <c r="K390" s="131"/>
      <c r="L390" s="131"/>
      <c r="M390" s="131"/>
      <c r="N390" s="131"/>
      <c r="O390" s="131"/>
      <c r="P390" s="131"/>
      <c r="Q390" s="131"/>
      <c r="R390" s="131"/>
      <c r="S390" s="26"/>
      <c r="T390" s="26"/>
      <c r="U390" s="26"/>
      <c r="V390" s="26"/>
      <c r="W390" s="26"/>
      <c r="X390" s="26"/>
      <c r="Y390" s="26"/>
      <c r="Z390" s="26"/>
      <c r="AA390" s="26"/>
      <c r="AB390" s="26"/>
      <c r="AC390" s="26"/>
      <c r="AD390" s="26"/>
      <c r="AE390" s="26"/>
      <c r="AF390" s="26"/>
      <c r="AG390" s="26"/>
      <c r="AH390" s="26"/>
      <c r="AI390" s="26"/>
      <c r="AJ390" s="26"/>
      <c r="AK390" s="26"/>
      <c r="AL390" s="26"/>
      <c r="AM390" s="26"/>
      <c r="AN390" s="26"/>
      <c r="AO390" s="26"/>
      <c r="AP390" s="26"/>
      <c r="AQ390" s="26"/>
    </row>
    <row r="391" spans="1:43" ht="14.25" hidden="1" customHeight="1" outlineLevel="1" x14ac:dyDescent="0.2">
      <c r="A391" s="162"/>
      <c r="B391" s="162"/>
      <c r="C391" s="706"/>
      <c r="D391" s="708"/>
      <c r="E391" s="64">
        <f>F391-1</f>
        <v>2020</v>
      </c>
      <c r="F391" s="64">
        <f>FirstYear</f>
        <v>2021</v>
      </c>
      <c r="G391" s="64">
        <f>F391+1</f>
        <v>2022</v>
      </c>
      <c r="H391" s="64">
        <f>G391+1</f>
        <v>2023</v>
      </c>
      <c r="I391" s="64">
        <f>H391+1</f>
        <v>2024</v>
      </c>
      <c r="J391" s="64">
        <f>I391+1</f>
        <v>2025</v>
      </c>
      <c r="K391" s="64">
        <f>J391+1</f>
        <v>2026</v>
      </c>
      <c r="L391" s="162"/>
      <c r="M391" s="616"/>
      <c r="N391" s="162"/>
      <c r="O391" s="162"/>
      <c r="P391" s="616"/>
      <c r="Q391" s="162"/>
      <c r="R391" s="162"/>
      <c r="S391" s="641"/>
      <c r="T391" s="641"/>
      <c r="U391" s="641"/>
      <c r="V391" s="641"/>
      <c r="W391" s="641"/>
      <c r="X391" s="641"/>
      <c r="Y391" s="641"/>
      <c r="Z391" s="641"/>
      <c r="AA391" s="641"/>
      <c r="AB391" s="641"/>
      <c r="AC391" s="641"/>
      <c r="AD391" s="641"/>
      <c r="AE391" s="641"/>
      <c r="AF391" s="641"/>
      <c r="AG391" s="641"/>
      <c r="AH391" s="641"/>
      <c r="AI391" s="641"/>
      <c r="AJ391" s="641"/>
      <c r="AK391" s="641"/>
      <c r="AL391" s="641"/>
      <c r="AM391" s="641"/>
      <c r="AN391" s="641"/>
      <c r="AO391" s="641"/>
      <c r="AP391" s="641"/>
      <c r="AQ391" s="641"/>
    </row>
    <row r="392" spans="1:43" hidden="1" outlineLevel="1" x14ac:dyDescent="0.2">
      <c r="A392" s="162"/>
      <c r="B392" s="162"/>
      <c r="C392" s="706"/>
      <c r="D392" s="4" t="s">
        <v>114</v>
      </c>
      <c r="E392" s="38">
        <f>INDEX(ScriptsMSAdditional,$C389) * INDEX(NamesMSAdditional,$C389,3)</f>
        <v>0</v>
      </c>
      <c r="F392" s="38">
        <f t="shared" ref="F392:K392" si="154">IF(E392="","",E392*(1+E393))</f>
        <v>0</v>
      </c>
      <c r="G392" s="38">
        <f t="shared" si="154"/>
        <v>0</v>
      </c>
      <c r="H392" s="38">
        <f t="shared" si="154"/>
        <v>0</v>
      </c>
      <c r="I392" s="38">
        <f t="shared" si="154"/>
        <v>0</v>
      </c>
      <c r="J392" s="38">
        <f t="shared" si="154"/>
        <v>0</v>
      </c>
      <c r="K392" s="38">
        <f t="shared" si="154"/>
        <v>0</v>
      </c>
      <c r="L392" s="162"/>
      <c r="M392" s="36" t="s">
        <v>258</v>
      </c>
      <c r="N392" s="162"/>
      <c r="O392" s="616"/>
      <c r="P392" s="162"/>
      <c r="Q392" s="162"/>
      <c r="R392" s="616"/>
      <c r="S392" s="162"/>
      <c r="T392" s="162"/>
      <c r="U392" s="641"/>
      <c r="V392" s="641"/>
      <c r="W392" s="641"/>
      <c r="X392" s="641"/>
      <c r="Y392" s="641"/>
      <c r="Z392" s="641"/>
      <c r="AA392" s="641"/>
      <c r="AB392" s="641"/>
      <c r="AC392" s="641"/>
      <c r="AD392" s="641"/>
      <c r="AE392" s="641"/>
      <c r="AF392" s="641"/>
      <c r="AG392" s="641"/>
      <c r="AH392" s="641"/>
      <c r="AI392" s="641"/>
      <c r="AJ392" s="641"/>
      <c r="AK392" s="641"/>
      <c r="AL392" s="641"/>
      <c r="AM392" s="641"/>
      <c r="AN392" s="641"/>
      <c r="AO392" s="641"/>
      <c r="AP392" s="641"/>
      <c r="AQ392" s="641"/>
    </row>
    <row r="393" spans="1:43" hidden="1" outlineLevel="1" x14ac:dyDescent="0.2">
      <c r="A393" s="162"/>
      <c r="B393" s="162"/>
      <c r="C393" s="706"/>
      <c r="D393" s="11" t="s">
        <v>26</v>
      </c>
      <c r="E393" s="34"/>
      <c r="F393" s="34"/>
      <c r="G393" s="34"/>
      <c r="H393" s="34"/>
      <c r="I393" s="34"/>
      <c r="J393" s="34"/>
      <c r="K393" s="33"/>
      <c r="L393" s="162"/>
      <c r="M393" s="867"/>
      <c r="N393" s="867"/>
      <c r="O393" s="867"/>
      <c r="P393" s="867"/>
      <c r="Q393" s="867"/>
      <c r="R393" s="867"/>
      <c r="S393" s="867"/>
      <c r="T393" s="867"/>
      <c r="U393" s="641"/>
      <c r="V393" s="641"/>
      <c r="W393" s="641"/>
      <c r="X393" s="641"/>
      <c r="Y393" s="641"/>
      <c r="Z393" s="641"/>
      <c r="AA393" s="641"/>
      <c r="AB393" s="641"/>
      <c r="AC393" s="641"/>
      <c r="AD393" s="641"/>
      <c r="AE393" s="641"/>
      <c r="AF393" s="641"/>
      <c r="AG393" s="641"/>
      <c r="AH393" s="641"/>
      <c r="AI393" s="641"/>
      <c r="AJ393" s="641"/>
      <c r="AK393" s="641"/>
      <c r="AL393" s="641"/>
      <c r="AM393" s="641"/>
      <c r="AN393" s="641"/>
      <c r="AO393" s="641"/>
      <c r="AP393" s="641"/>
      <c r="AQ393" s="641"/>
    </row>
    <row r="394" spans="1:43" hidden="1" outlineLevel="1" x14ac:dyDescent="0.2">
      <c r="A394" s="162"/>
      <c r="B394" s="162"/>
      <c r="C394" s="706"/>
      <c r="D394" s="11" t="s">
        <v>33</v>
      </c>
      <c r="E394" s="34"/>
      <c r="F394" s="34"/>
      <c r="G394" s="34"/>
      <c r="H394" s="34"/>
      <c r="I394" s="34"/>
      <c r="J394" s="34"/>
      <c r="K394" s="34"/>
      <c r="L394" s="162"/>
      <c r="M394" s="867"/>
      <c r="N394" s="867"/>
      <c r="O394" s="867"/>
      <c r="P394" s="867"/>
      <c r="Q394" s="867"/>
      <c r="R394" s="867"/>
      <c r="S394" s="867"/>
      <c r="T394" s="867"/>
      <c r="U394" s="641"/>
      <c r="V394" s="641"/>
      <c r="W394" s="641"/>
      <c r="X394" s="641"/>
      <c r="Y394" s="641"/>
      <c r="Z394" s="641"/>
      <c r="AA394" s="641"/>
      <c r="AB394" s="641"/>
      <c r="AC394" s="641"/>
      <c r="AD394" s="641"/>
      <c r="AE394" s="641"/>
      <c r="AF394" s="641"/>
      <c r="AG394" s="641"/>
      <c r="AH394" s="641"/>
      <c r="AI394" s="641"/>
      <c r="AJ394" s="641"/>
      <c r="AK394" s="641"/>
      <c r="AL394" s="641"/>
      <c r="AM394" s="641"/>
      <c r="AN394" s="641"/>
      <c r="AO394" s="641"/>
      <c r="AP394" s="641"/>
      <c r="AQ394" s="641"/>
    </row>
    <row r="395" spans="1:43" hidden="1" outlineLevel="1" x14ac:dyDescent="0.2">
      <c r="A395" s="162"/>
      <c r="B395" s="162"/>
      <c r="C395" s="706"/>
      <c r="D395" s="11" t="s">
        <v>849</v>
      </c>
      <c r="E395" s="34"/>
      <c r="F395" s="34"/>
      <c r="G395" s="34"/>
      <c r="H395" s="34"/>
      <c r="I395" s="34"/>
      <c r="J395" s="34"/>
      <c r="K395" s="34"/>
      <c r="L395" s="162"/>
      <c r="M395" s="867"/>
      <c r="N395" s="867"/>
      <c r="O395" s="867"/>
      <c r="P395" s="867"/>
      <c r="Q395" s="867"/>
      <c r="R395" s="867"/>
      <c r="S395" s="867"/>
      <c r="T395" s="867"/>
      <c r="U395" s="641"/>
      <c r="V395" s="641"/>
      <c r="W395" s="641"/>
      <c r="X395" s="641"/>
      <c r="Y395" s="641"/>
      <c r="Z395" s="641"/>
      <c r="AA395" s="641"/>
      <c r="AB395" s="641"/>
      <c r="AC395" s="641"/>
      <c r="AD395" s="641"/>
      <c r="AE395" s="641"/>
      <c r="AF395" s="641"/>
      <c r="AG395" s="641"/>
      <c r="AH395" s="641"/>
      <c r="AI395" s="641"/>
      <c r="AJ395" s="641"/>
      <c r="AK395" s="641"/>
      <c r="AL395" s="641"/>
      <c r="AM395" s="641"/>
      <c r="AN395" s="641"/>
      <c r="AO395" s="641"/>
      <c r="AP395" s="641"/>
      <c r="AQ395" s="641"/>
    </row>
    <row r="396" spans="1:43" hidden="1" outlineLevel="1" x14ac:dyDescent="0.2">
      <c r="A396" s="638"/>
      <c r="B396" s="638"/>
      <c r="C396" s="707"/>
      <c r="D396" s="13" t="s">
        <v>107</v>
      </c>
      <c r="E396" s="38">
        <f t="shared" ref="E396:K396" si="155">E398-E397</f>
        <v>0</v>
      </c>
      <c r="F396" s="38">
        <f t="shared" si="155"/>
        <v>0</v>
      </c>
      <c r="G396" s="38">
        <f t="shared" si="155"/>
        <v>0</v>
      </c>
      <c r="H396" s="38">
        <f t="shared" si="155"/>
        <v>0</v>
      </c>
      <c r="I396" s="38">
        <f t="shared" si="155"/>
        <v>0</v>
      </c>
      <c r="J396" s="38">
        <f t="shared" si="155"/>
        <v>0</v>
      </c>
      <c r="K396" s="38">
        <f t="shared" si="155"/>
        <v>0</v>
      </c>
      <c r="L396" s="638"/>
      <c r="M396" s="638"/>
      <c r="N396" s="638"/>
      <c r="O396" s="638"/>
      <c r="P396" s="638"/>
      <c r="Q396" s="638"/>
      <c r="R396" s="638"/>
      <c r="S396" s="638"/>
      <c r="T396" s="638"/>
      <c r="U396" s="9"/>
      <c r="V396" s="9"/>
      <c r="W396" s="9"/>
      <c r="X396" s="9"/>
      <c r="Y396" s="9"/>
      <c r="Z396" s="9"/>
      <c r="AA396" s="9"/>
      <c r="AB396" s="9"/>
      <c r="AC396" s="9"/>
      <c r="AD396" s="9"/>
      <c r="AE396" s="9"/>
      <c r="AF396" s="9"/>
      <c r="AG396" s="9"/>
      <c r="AH396" s="9"/>
      <c r="AI396" s="9"/>
      <c r="AJ396" s="9"/>
      <c r="AK396" s="9"/>
      <c r="AL396" s="9"/>
      <c r="AM396" s="9"/>
      <c r="AN396" s="9"/>
      <c r="AO396" s="9"/>
      <c r="AP396" s="9"/>
      <c r="AQ396" s="9"/>
    </row>
    <row r="397" spans="1:43" hidden="1" outlineLevel="1" x14ac:dyDescent="0.2">
      <c r="A397" s="638"/>
      <c r="B397" s="638"/>
      <c r="C397" s="707"/>
      <c r="D397" s="13" t="s">
        <v>108</v>
      </c>
      <c r="E397" s="38">
        <f t="shared" ref="E397:K397" si="156">ROUND(E398*$T$167,0)</f>
        <v>0</v>
      </c>
      <c r="F397" s="38">
        <f t="shared" si="156"/>
        <v>0</v>
      </c>
      <c r="G397" s="38">
        <f t="shared" si="156"/>
        <v>0</v>
      </c>
      <c r="H397" s="38">
        <f t="shared" si="156"/>
        <v>0</v>
      </c>
      <c r="I397" s="38">
        <f t="shared" si="156"/>
        <v>0</v>
      </c>
      <c r="J397" s="38">
        <f t="shared" si="156"/>
        <v>0</v>
      </c>
      <c r="K397" s="38">
        <f t="shared" si="156"/>
        <v>0</v>
      </c>
      <c r="L397" s="638"/>
      <c r="M397" s="638"/>
      <c r="N397" s="638"/>
      <c r="O397" s="638"/>
      <c r="P397" s="638"/>
      <c r="Q397" s="638"/>
      <c r="R397" s="638"/>
      <c r="S397" s="638"/>
      <c r="T397" s="638"/>
      <c r="U397" s="9"/>
      <c r="V397" s="9"/>
      <c r="W397" s="9"/>
      <c r="X397" s="9"/>
      <c r="Y397" s="9"/>
      <c r="Z397" s="9"/>
      <c r="AA397" s="9"/>
      <c r="AB397" s="9"/>
      <c r="AC397" s="9"/>
      <c r="AD397" s="9"/>
      <c r="AE397" s="9"/>
      <c r="AF397" s="9"/>
      <c r="AG397" s="9"/>
      <c r="AH397" s="9"/>
      <c r="AI397" s="9"/>
      <c r="AJ397" s="9"/>
      <c r="AK397" s="9"/>
      <c r="AL397" s="9"/>
      <c r="AM397" s="9"/>
      <c r="AN397" s="9"/>
      <c r="AO397" s="9"/>
      <c r="AP397" s="9"/>
      <c r="AQ397" s="9"/>
    </row>
    <row r="398" spans="1:43" hidden="1" outlineLevel="1" x14ac:dyDescent="0.2">
      <c r="A398" s="638"/>
      <c r="B398" s="638"/>
      <c r="C398" s="707"/>
      <c r="D398" s="635" t="s">
        <v>844</v>
      </c>
      <c r="E398" s="39">
        <f t="shared" ref="E398:K398" si="157">IF(E392="","",E395*E394*E392)</f>
        <v>0</v>
      </c>
      <c r="F398" s="39">
        <f t="shared" si="157"/>
        <v>0</v>
      </c>
      <c r="G398" s="39">
        <f t="shared" si="157"/>
        <v>0</v>
      </c>
      <c r="H398" s="39">
        <f t="shared" si="157"/>
        <v>0</v>
      </c>
      <c r="I398" s="39">
        <f t="shared" si="157"/>
        <v>0</v>
      </c>
      <c r="J398" s="39">
        <f t="shared" si="157"/>
        <v>0</v>
      </c>
      <c r="K398" s="39">
        <f t="shared" si="157"/>
        <v>0</v>
      </c>
      <c r="L398" s="638"/>
      <c r="M398" s="638"/>
      <c r="N398" s="638"/>
      <c r="O398" s="638"/>
      <c r="P398" s="638"/>
      <c r="Q398" s="638"/>
      <c r="R398" s="638"/>
      <c r="S398" s="638"/>
      <c r="T398" s="638"/>
      <c r="U398" s="9"/>
      <c r="V398" s="9"/>
      <c r="W398" s="9"/>
      <c r="X398" s="9"/>
      <c r="Y398" s="9"/>
      <c r="Z398" s="9"/>
      <c r="AA398" s="9"/>
      <c r="AB398" s="9"/>
      <c r="AC398" s="9"/>
      <c r="AD398" s="9"/>
      <c r="AE398" s="9"/>
      <c r="AF398" s="9"/>
      <c r="AG398" s="9"/>
      <c r="AH398" s="9"/>
      <c r="AI398" s="9"/>
      <c r="AJ398" s="9"/>
      <c r="AK398" s="9"/>
      <c r="AL398" s="9"/>
      <c r="AM398" s="9"/>
      <c r="AN398" s="9"/>
      <c r="AO398" s="9"/>
      <c r="AP398" s="9"/>
      <c r="AQ398" s="9"/>
    </row>
    <row r="399" spans="1:43" hidden="1" outlineLevel="1" x14ac:dyDescent="0.2">
      <c r="A399" s="162"/>
      <c r="B399" s="162"/>
      <c r="C399" s="706"/>
      <c r="D399" s="162"/>
      <c r="E399" s="162"/>
      <c r="F399" s="162"/>
      <c r="G399" s="709"/>
      <c r="H399" s="709"/>
      <c r="I399" s="709"/>
      <c r="J399" s="162"/>
      <c r="K399" s="162"/>
      <c r="L399" s="162"/>
      <c r="M399" s="162"/>
      <c r="N399" s="162"/>
      <c r="O399" s="162"/>
      <c r="P399" s="162"/>
      <c r="Q399" s="162"/>
      <c r="R399" s="162"/>
      <c r="S399" s="162"/>
      <c r="T399" s="162"/>
      <c r="U399" s="641"/>
      <c r="V399" s="641"/>
      <c r="W399" s="641"/>
      <c r="X399" s="641"/>
      <c r="Y399" s="641"/>
      <c r="Z399" s="641"/>
      <c r="AA399" s="641"/>
      <c r="AB399" s="641"/>
      <c r="AC399" s="641"/>
      <c r="AD399" s="641"/>
      <c r="AE399" s="641"/>
      <c r="AF399" s="641"/>
      <c r="AG399" s="641"/>
      <c r="AH399" s="641"/>
      <c r="AI399" s="641"/>
      <c r="AJ399" s="641"/>
      <c r="AK399" s="641"/>
      <c r="AL399" s="641"/>
      <c r="AM399" s="641"/>
      <c r="AN399" s="641"/>
      <c r="AO399" s="641"/>
      <c r="AP399" s="641"/>
      <c r="AQ399" s="641"/>
    </row>
    <row r="400" spans="1:43" collapsed="1" x14ac:dyDescent="0.2">
      <c r="A400" s="162"/>
      <c r="B400" s="162"/>
      <c r="C400" s="706"/>
      <c r="D400" s="162"/>
      <c r="E400" s="162"/>
      <c r="F400" s="162"/>
      <c r="G400" s="162"/>
      <c r="H400" s="162"/>
      <c r="I400" s="162"/>
      <c r="J400" s="162"/>
      <c r="K400" s="162"/>
      <c r="L400" s="162"/>
      <c r="M400" s="162"/>
      <c r="N400" s="162"/>
      <c r="O400" s="162"/>
      <c r="P400" s="162"/>
      <c r="Q400" s="162"/>
      <c r="R400" s="162"/>
      <c r="S400" s="162"/>
      <c r="T400" s="162"/>
      <c r="U400" s="641"/>
      <c r="V400" s="641"/>
      <c r="W400" s="641"/>
      <c r="X400" s="641"/>
      <c r="Y400" s="641"/>
      <c r="Z400" s="641"/>
      <c r="AA400" s="641"/>
      <c r="AB400" s="641"/>
      <c r="AC400" s="641"/>
      <c r="AD400" s="641"/>
      <c r="AE400" s="641"/>
      <c r="AF400" s="641"/>
      <c r="AG400" s="641"/>
      <c r="AH400" s="641"/>
      <c r="AI400" s="641"/>
      <c r="AJ400" s="641"/>
      <c r="AK400" s="641"/>
      <c r="AL400" s="641"/>
      <c r="AM400" s="641"/>
      <c r="AN400" s="641"/>
      <c r="AO400" s="641"/>
      <c r="AP400" s="641"/>
      <c r="AQ400" s="641"/>
    </row>
    <row r="401" spans="1:43" ht="15" x14ac:dyDescent="0.2">
      <c r="A401" s="125"/>
      <c r="B401" s="125"/>
      <c r="C401" s="291">
        <v>19</v>
      </c>
      <c r="D401" s="147" t="str">
        <f>INDEX(NamesMSAdditional,C401,1)</f>
        <v>** NOT USED **</v>
      </c>
      <c r="E401" s="139"/>
      <c r="F401" s="139"/>
      <c r="G401" s="139"/>
      <c r="H401" s="139"/>
      <c r="I401" s="821" t="str">
        <f>IF(D401&lt;&gt;MsgNotUsed,"Co-payment group " &amp; INDEX(CoPayBandMSAdditional,C401),"")</f>
        <v/>
      </c>
      <c r="J401" s="821"/>
      <c r="K401" s="139"/>
      <c r="L401" s="139"/>
      <c r="M401" s="139"/>
      <c r="N401" s="139"/>
      <c r="O401" s="139"/>
      <c r="P401" s="139"/>
      <c r="Q401" s="139"/>
      <c r="R401" s="139"/>
      <c r="S401" s="139"/>
      <c r="T401" s="139"/>
      <c r="U401" s="139"/>
      <c r="V401" s="139"/>
      <c r="W401" s="139"/>
      <c r="X401" s="139"/>
      <c r="Y401" s="139"/>
      <c r="Z401" s="139"/>
      <c r="AA401" s="139"/>
      <c r="AB401" s="139"/>
      <c r="AC401" s="139"/>
      <c r="AD401" s="139"/>
      <c r="AE401" s="139"/>
      <c r="AF401" s="139"/>
      <c r="AG401" s="139"/>
      <c r="AH401" s="139"/>
      <c r="AI401" s="139"/>
      <c r="AJ401" s="139"/>
      <c r="AK401" s="139"/>
      <c r="AL401" s="139"/>
      <c r="AM401" s="139"/>
      <c r="AN401" s="139"/>
      <c r="AO401" s="139"/>
      <c r="AP401" s="139"/>
      <c r="AQ401" s="139"/>
    </row>
    <row r="402" spans="1:43" ht="15.75" hidden="1" outlineLevel="1" x14ac:dyDescent="0.2">
      <c r="A402" s="131"/>
      <c r="B402" s="131"/>
      <c r="C402" s="705"/>
      <c r="D402" s="655"/>
      <c r="E402" s="131"/>
      <c r="F402" s="131"/>
      <c r="G402" s="131"/>
      <c r="H402" s="131"/>
      <c r="I402" s="131"/>
      <c r="J402" s="131"/>
      <c r="K402" s="131"/>
      <c r="L402" s="131"/>
      <c r="M402" s="131"/>
      <c r="N402" s="131"/>
      <c r="O402" s="131"/>
      <c r="P402" s="131"/>
      <c r="Q402" s="131"/>
      <c r="R402" s="131"/>
      <c r="S402" s="26"/>
      <c r="T402" s="26"/>
      <c r="U402" s="26"/>
      <c r="V402" s="26"/>
      <c r="W402" s="26"/>
      <c r="X402" s="26"/>
      <c r="Y402" s="26"/>
      <c r="Z402" s="26"/>
      <c r="AA402" s="26"/>
      <c r="AB402" s="26"/>
      <c r="AC402" s="26"/>
      <c r="AD402" s="26"/>
      <c r="AE402" s="26"/>
      <c r="AF402" s="26"/>
      <c r="AG402" s="26"/>
      <c r="AH402" s="26"/>
      <c r="AI402" s="26"/>
      <c r="AJ402" s="26"/>
      <c r="AK402" s="26"/>
      <c r="AL402" s="26"/>
      <c r="AM402" s="26"/>
      <c r="AN402" s="26"/>
      <c r="AO402" s="26"/>
      <c r="AP402" s="26"/>
      <c r="AQ402" s="26"/>
    </row>
    <row r="403" spans="1:43" ht="14.25" hidden="1" customHeight="1" outlineLevel="1" x14ac:dyDescent="0.2">
      <c r="A403" s="162"/>
      <c r="B403" s="162"/>
      <c r="C403" s="706"/>
      <c r="D403" s="708"/>
      <c r="E403" s="64">
        <f>F403-1</f>
        <v>2020</v>
      </c>
      <c r="F403" s="64">
        <f>FirstYear</f>
        <v>2021</v>
      </c>
      <c r="G403" s="64">
        <f>F403+1</f>
        <v>2022</v>
      </c>
      <c r="H403" s="64">
        <f>G403+1</f>
        <v>2023</v>
      </c>
      <c r="I403" s="64">
        <f>H403+1</f>
        <v>2024</v>
      </c>
      <c r="J403" s="64">
        <f>I403+1</f>
        <v>2025</v>
      </c>
      <c r="K403" s="64">
        <f>J403+1</f>
        <v>2026</v>
      </c>
      <c r="L403" s="162"/>
      <c r="M403" s="616"/>
      <c r="N403" s="162"/>
      <c r="O403" s="162"/>
      <c r="P403" s="616"/>
      <c r="Q403" s="162"/>
      <c r="R403" s="162"/>
      <c r="S403" s="641"/>
      <c r="T403" s="641"/>
      <c r="U403" s="641"/>
      <c r="V403" s="641"/>
      <c r="W403" s="641"/>
      <c r="X403" s="641"/>
      <c r="Y403" s="641"/>
      <c r="Z403" s="641"/>
      <c r="AA403" s="641"/>
      <c r="AB403" s="641"/>
      <c r="AC403" s="641"/>
      <c r="AD403" s="641"/>
      <c r="AE403" s="641"/>
      <c r="AF403" s="641"/>
      <c r="AG403" s="641"/>
      <c r="AH403" s="641"/>
      <c r="AI403" s="641"/>
      <c r="AJ403" s="641"/>
      <c r="AK403" s="641"/>
      <c r="AL403" s="641"/>
      <c r="AM403" s="641"/>
      <c r="AN403" s="641"/>
      <c r="AO403" s="641"/>
      <c r="AP403" s="641"/>
      <c r="AQ403" s="641"/>
    </row>
    <row r="404" spans="1:43" hidden="1" outlineLevel="1" x14ac:dyDescent="0.2">
      <c r="A404" s="162"/>
      <c r="B404" s="162"/>
      <c r="C404" s="706"/>
      <c r="D404" s="4" t="s">
        <v>114</v>
      </c>
      <c r="E404" s="38">
        <f>INDEX(ScriptsMSAdditional,$C401) * INDEX(NamesMSAdditional,$C401,3)</f>
        <v>0</v>
      </c>
      <c r="F404" s="38">
        <f t="shared" ref="F404:K404" si="158">IF(E404="","",E404*(1+E405))</f>
        <v>0</v>
      </c>
      <c r="G404" s="38">
        <f t="shared" si="158"/>
        <v>0</v>
      </c>
      <c r="H404" s="38">
        <f t="shared" si="158"/>
        <v>0</v>
      </c>
      <c r="I404" s="38">
        <f t="shared" si="158"/>
        <v>0</v>
      </c>
      <c r="J404" s="38">
        <f t="shared" si="158"/>
        <v>0</v>
      </c>
      <c r="K404" s="38">
        <f t="shared" si="158"/>
        <v>0</v>
      </c>
      <c r="L404" s="162"/>
      <c r="M404" s="36" t="s">
        <v>258</v>
      </c>
      <c r="N404" s="162"/>
      <c r="O404" s="616"/>
      <c r="P404" s="162"/>
      <c r="Q404" s="162"/>
      <c r="R404" s="616"/>
      <c r="S404" s="162"/>
      <c r="T404" s="162"/>
      <c r="U404" s="641"/>
      <c r="V404" s="641"/>
      <c r="W404" s="641"/>
      <c r="X404" s="641"/>
      <c r="Y404" s="641"/>
      <c r="Z404" s="641"/>
      <c r="AA404" s="641"/>
      <c r="AB404" s="641"/>
      <c r="AC404" s="641"/>
      <c r="AD404" s="641"/>
      <c r="AE404" s="641"/>
      <c r="AF404" s="641"/>
      <c r="AG404" s="641"/>
      <c r="AH404" s="641"/>
      <c r="AI404" s="641"/>
      <c r="AJ404" s="641"/>
      <c r="AK404" s="641"/>
      <c r="AL404" s="641"/>
      <c r="AM404" s="641"/>
      <c r="AN404" s="641"/>
      <c r="AO404" s="641"/>
      <c r="AP404" s="641"/>
      <c r="AQ404" s="641"/>
    </row>
    <row r="405" spans="1:43" hidden="1" outlineLevel="1" x14ac:dyDescent="0.2">
      <c r="A405" s="162"/>
      <c r="B405" s="162"/>
      <c r="C405" s="706"/>
      <c r="D405" s="11" t="s">
        <v>26</v>
      </c>
      <c r="E405" s="34"/>
      <c r="F405" s="34"/>
      <c r="G405" s="34"/>
      <c r="H405" s="34"/>
      <c r="I405" s="34"/>
      <c r="J405" s="34"/>
      <c r="K405" s="33"/>
      <c r="L405" s="162"/>
      <c r="M405" s="867"/>
      <c r="N405" s="867"/>
      <c r="O405" s="867"/>
      <c r="P405" s="867"/>
      <c r="Q405" s="867"/>
      <c r="R405" s="867"/>
      <c r="S405" s="867"/>
      <c r="T405" s="867"/>
      <c r="U405" s="641"/>
      <c r="V405" s="641"/>
      <c r="W405" s="641"/>
      <c r="X405" s="641"/>
      <c r="Y405" s="641"/>
      <c r="Z405" s="641"/>
      <c r="AA405" s="641"/>
      <c r="AB405" s="641"/>
      <c r="AC405" s="641"/>
      <c r="AD405" s="641"/>
      <c r="AE405" s="641"/>
      <c r="AF405" s="641"/>
      <c r="AG405" s="641"/>
      <c r="AH405" s="641"/>
      <c r="AI405" s="641"/>
      <c r="AJ405" s="641"/>
      <c r="AK405" s="641"/>
      <c r="AL405" s="641"/>
      <c r="AM405" s="641"/>
      <c r="AN405" s="641"/>
      <c r="AO405" s="641"/>
      <c r="AP405" s="641"/>
      <c r="AQ405" s="641"/>
    </row>
    <row r="406" spans="1:43" hidden="1" outlineLevel="1" x14ac:dyDescent="0.2">
      <c r="A406" s="162"/>
      <c r="B406" s="162"/>
      <c r="C406" s="706"/>
      <c r="D406" s="11" t="s">
        <v>33</v>
      </c>
      <c r="E406" s="34"/>
      <c r="F406" s="34"/>
      <c r="G406" s="34"/>
      <c r="H406" s="34"/>
      <c r="I406" s="34"/>
      <c r="J406" s="34"/>
      <c r="K406" s="34"/>
      <c r="L406" s="162"/>
      <c r="M406" s="867"/>
      <c r="N406" s="867"/>
      <c r="O406" s="867"/>
      <c r="P406" s="867"/>
      <c r="Q406" s="867"/>
      <c r="R406" s="867"/>
      <c r="S406" s="867"/>
      <c r="T406" s="867"/>
      <c r="U406" s="641"/>
      <c r="V406" s="641"/>
      <c r="W406" s="641"/>
      <c r="X406" s="641"/>
      <c r="Y406" s="641"/>
      <c r="Z406" s="641"/>
      <c r="AA406" s="641"/>
      <c r="AB406" s="641"/>
      <c r="AC406" s="641"/>
      <c r="AD406" s="641"/>
      <c r="AE406" s="641"/>
      <c r="AF406" s="641"/>
      <c r="AG406" s="641"/>
      <c r="AH406" s="641"/>
      <c r="AI406" s="641"/>
      <c r="AJ406" s="641"/>
      <c r="AK406" s="641"/>
      <c r="AL406" s="641"/>
      <c r="AM406" s="641"/>
      <c r="AN406" s="641"/>
      <c r="AO406" s="641"/>
      <c r="AP406" s="641"/>
      <c r="AQ406" s="641"/>
    </row>
    <row r="407" spans="1:43" hidden="1" outlineLevel="1" x14ac:dyDescent="0.2">
      <c r="A407" s="162"/>
      <c r="B407" s="162"/>
      <c r="C407" s="706"/>
      <c r="D407" s="11" t="s">
        <v>849</v>
      </c>
      <c r="E407" s="34"/>
      <c r="F407" s="34"/>
      <c r="G407" s="34"/>
      <c r="H407" s="34"/>
      <c r="I407" s="34"/>
      <c r="J407" s="34"/>
      <c r="K407" s="34"/>
      <c r="L407" s="162"/>
      <c r="M407" s="867"/>
      <c r="N407" s="867"/>
      <c r="O407" s="867"/>
      <c r="P407" s="867"/>
      <c r="Q407" s="867"/>
      <c r="R407" s="867"/>
      <c r="S407" s="867"/>
      <c r="T407" s="867"/>
      <c r="U407" s="641"/>
      <c r="V407" s="641"/>
      <c r="W407" s="641"/>
      <c r="X407" s="641"/>
      <c r="Y407" s="641"/>
      <c r="Z407" s="641"/>
      <c r="AA407" s="641"/>
      <c r="AB407" s="641"/>
      <c r="AC407" s="641"/>
      <c r="AD407" s="641"/>
      <c r="AE407" s="641"/>
      <c r="AF407" s="641"/>
      <c r="AG407" s="641"/>
      <c r="AH407" s="641"/>
      <c r="AI407" s="641"/>
      <c r="AJ407" s="641"/>
      <c r="AK407" s="641"/>
      <c r="AL407" s="641"/>
      <c r="AM407" s="641"/>
      <c r="AN407" s="641"/>
      <c r="AO407" s="641"/>
      <c r="AP407" s="641"/>
      <c r="AQ407" s="641"/>
    </row>
    <row r="408" spans="1:43" hidden="1" outlineLevel="1" x14ac:dyDescent="0.2">
      <c r="A408" s="638"/>
      <c r="B408" s="638"/>
      <c r="C408" s="707"/>
      <c r="D408" s="13" t="s">
        <v>107</v>
      </c>
      <c r="E408" s="38">
        <f t="shared" ref="E408:K408" si="159">E410-E409</f>
        <v>0</v>
      </c>
      <c r="F408" s="38">
        <f t="shared" si="159"/>
        <v>0</v>
      </c>
      <c r="G408" s="38">
        <f t="shared" si="159"/>
        <v>0</v>
      </c>
      <c r="H408" s="38">
        <f t="shared" si="159"/>
        <v>0</v>
      </c>
      <c r="I408" s="38">
        <f t="shared" si="159"/>
        <v>0</v>
      </c>
      <c r="J408" s="38">
        <f t="shared" si="159"/>
        <v>0</v>
      </c>
      <c r="K408" s="38">
        <f t="shared" si="159"/>
        <v>0</v>
      </c>
      <c r="L408" s="638"/>
      <c r="M408" s="638"/>
      <c r="N408" s="638"/>
      <c r="O408" s="638"/>
      <c r="P408" s="638"/>
      <c r="Q408" s="638"/>
      <c r="R408" s="638"/>
      <c r="S408" s="638"/>
      <c r="T408" s="638"/>
      <c r="U408" s="9"/>
      <c r="V408" s="9"/>
      <c r="W408" s="9"/>
      <c r="X408" s="9"/>
      <c r="Y408" s="9"/>
      <c r="Z408" s="9"/>
      <c r="AA408" s="9"/>
      <c r="AB408" s="9"/>
      <c r="AC408" s="9"/>
      <c r="AD408" s="9"/>
      <c r="AE408" s="9"/>
      <c r="AF408" s="9"/>
      <c r="AG408" s="9"/>
      <c r="AH408" s="9"/>
      <c r="AI408" s="9"/>
      <c r="AJ408" s="9"/>
      <c r="AK408" s="9"/>
      <c r="AL408" s="9"/>
      <c r="AM408" s="9"/>
      <c r="AN408" s="9"/>
      <c r="AO408" s="9"/>
      <c r="AP408" s="9"/>
      <c r="AQ408" s="9"/>
    </row>
    <row r="409" spans="1:43" hidden="1" outlineLevel="1" x14ac:dyDescent="0.2">
      <c r="A409" s="638"/>
      <c r="B409" s="638"/>
      <c r="C409" s="707"/>
      <c r="D409" s="13" t="s">
        <v>108</v>
      </c>
      <c r="E409" s="38">
        <f t="shared" ref="E409:K409" si="160">ROUND(E410*$T$167,0)</f>
        <v>0</v>
      </c>
      <c r="F409" s="38">
        <f t="shared" si="160"/>
        <v>0</v>
      </c>
      <c r="G409" s="38">
        <f t="shared" si="160"/>
        <v>0</v>
      </c>
      <c r="H409" s="38">
        <f t="shared" si="160"/>
        <v>0</v>
      </c>
      <c r="I409" s="38">
        <f t="shared" si="160"/>
        <v>0</v>
      </c>
      <c r="J409" s="38">
        <f t="shared" si="160"/>
        <v>0</v>
      </c>
      <c r="K409" s="38">
        <f t="shared" si="160"/>
        <v>0</v>
      </c>
      <c r="L409" s="638"/>
      <c r="M409" s="638"/>
      <c r="N409" s="638"/>
      <c r="O409" s="638"/>
      <c r="P409" s="638"/>
      <c r="Q409" s="638"/>
      <c r="R409" s="638"/>
      <c r="S409" s="638"/>
      <c r="T409" s="638"/>
      <c r="U409" s="9"/>
      <c r="V409" s="9"/>
      <c r="W409" s="9"/>
      <c r="X409" s="9"/>
      <c r="Y409" s="9"/>
      <c r="Z409" s="9"/>
      <c r="AA409" s="9"/>
      <c r="AB409" s="9"/>
      <c r="AC409" s="9"/>
      <c r="AD409" s="9"/>
      <c r="AE409" s="9"/>
      <c r="AF409" s="9"/>
      <c r="AG409" s="9"/>
      <c r="AH409" s="9"/>
      <c r="AI409" s="9"/>
      <c r="AJ409" s="9"/>
      <c r="AK409" s="9"/>
      <c r="AL409" s="9"/>
      <c r="AM409" s="9"/>
      <c r="AN409" s="9"/>
      <c r="AO409" s="9"/>
      <c r="AP409" s="9"/>
      <c r="AQ409" s="9"/>
    </row>
    <row r="410" spans="1:43" hidden="1" outlineLevel="1" x14ac:dyDescent="0.2">
      <c r="A410" s="638"/>
      <c r="B410" s="638"/>
      <c r="C410" s="707"/>
      <c r="D410" s="635" t="s">
        <v>844</v>
      </c>
      <c r="E410" s="39">
        <f t="shared" ref="E410:K410" si="161">IF(E404="","",E407*E406*E404)</f>
        <v>0</v>
      </c>
      <c r="F410" s="39">
        <f t="shared" si="161"/>
        <v>0</v>
      </c>
      <c r="G410" s="39">
        <f t="shared" si="161"/>
        <v>0</v>
      </c>
      <c r="H410" s="39">
        <f t="shared" si="161"/>
        <v>0</v>
      </c>
      <c r="I410" s="39">
        <f t="shared" si="161"/>
        <v>0</v>
      </c>
      <c r="J410" s="39">
        <f t="shared" si="161"/>
        <v>0</v>
      </c>
      <c r="K410" s="39">
        <f t="shared" si="161"/>
        <v>0</v>
      </c>
      <c r="L410" s="638"/>
      <c r="M410" s="638"/>
      <c r="N410" s="638"/>
      <c r="O410" s="638"/>
      <c r="P410" s="638"/>
      <c r="Q410" s="638"/>
      <c r="R410" s="638"/>
      <c r="S410" s="638"/>
      <c r="T410" s="638"/>
      <c r="U410" s="9"/>
      <c r="V410" s="9"/>
      <c r="W410" s="9"/>
      <c r="X410" s="9"/>
      <c r="Y410" s="9"/>
      <c r="Z410" s="9"/>
      <c r="AA410" s="9"/>
      <c r="AB410" s="9"/>
      <c r="AC410" s="9"/>
      <c r="AD410" s="9"/>
      <c r="AE410" s="9"/>
      <c r="AF410" s="9"/>
      <c r="AG410" s="9"/>
      <c r="AH410" s="9"/>
      <c r="AI410" s="9"/>
      <c r="AJ410" s="9"/>
      <c r="AK410" s="9"/>
      <c r="AL410" s="9"/>
      <c r="AM410" s="9"/>
      <c r="AN410" s="9"/>
      <c r="AO410" s="9"/>
      <c r="AP410" s="9"/>
      <c r="AQ410" s="9"/>
    </row>
    <row r="411" spans="1:43" hidden="1" outlineLevel="1" x14ac:dyDescent="0.2">
      <c r="A411" s="162"/>
      <c r="B411" s="162"/>
      <c r="C411" s="706"/>
      <c r="D411" s="162"/>
      <c r="E411" s="162"/>
      <c r="F411" s="162"/>
      <c r="G411" s="709"/>
      <c r="H411" s="709"/>
      <c r="I411" s="709"/>
      <c r="J411" s="162"/>
      <c r="K411" s="162"/>
      <c r="L411" s="162"/>
      <c r="M411" s="162"/>
      <c r="N411" s="162"/>
      <c r="O411" s="162"/>
      <c r="P411" s="162"/>
      <c r="Q411" s="162"/>
      <c r="R411" s="162"/>
      <c r="S411" s="162"/>
      <c r="T411" s="162"/>
      <c r="U411" s="641"/>
      <c r="V411" s="641"/>
      <c r="W411" s="641"/>
      <c r="X411" s="641"/>
      <c r="Y411" s="641"/>
      <c r="Z411" s="641"/>
      <c r="AA411" s="641"/>
      <c r="AB411" s="641"/>
      <c r="AC411" s="641"/>
      <c r="AD411" s="641"/>
      <c r="AE411" s="641"/>
      <c r="AF411" s="641"/>
      <c r="AG411" s="641"/>
      <c r="AH411" s="641"/>
      <c r="AI411" s="641"/>
      <c r="AJ411" s="641"/>
      <c r="AK411" s="641"/>
      <c r="AL411" s="641"/>
      <c r="AM411" s="641"/>
      <c r="AN411" s="641"/>
      <c r="AO411" s="641"/>
      <c r="AP411" s="641"/>
      <c r="AQ411" s="641"/>
    </row>
    <row r="412" spans="1:43" collapsed="1" x14ac:dyDescent="0.2">
      <c r="A412" s="162"/>
      <c r="B412" s="162"/>
      <c r="C412" s="706"/>
      <c r="D412" s="162"/>
      <c r="E412" s="162"/>
      <c r="F412" s="162"/>
      <c r="G412" s="162"/>
      <c r="H412" s="162"/>
      <c r="I412" s="162"/>
      <c r="J412" s="162"/>
      <c r="K412" s="162"/>
      <c r="L412" s="162"/>
      <c r="M412" s="162"/>
      <c r="N412" s="162"/>
      <c r="O412" s="162"/>
      <c r="P412" s="162"/>
      <c r="Q412" s="162"/>
      <c r="R412" s="162"/>
      <c r="S412" s="162"/>
      <c r="T412" s="162"/>
      <c r="U412" s="641"/>
      <c r="V412" s="641"/>
      <c r="W412" s="641"/>
      <c r="X412" s="641"/>
      <c r="Y412" s="641"/>
      <c r="Z412" s="641"/>
      <c r="AA412" s="641"/>
      <c r="AB412" s="641"/>
      <c r="AC412" s="641"/>
      <c r="AD412" s="641"/>
      <c r="AE412" s="641"/>
      <c r="AF412" s="641"/>
      <c r="AG412" s="641"/>
      <c r="AH412" s="641"/>
      <c r="AI412" s="641"/>
      <c r="AJ412" s="641"/>
      <c r="AK412" s="641"/>
      <c r="AL412" s="641"/>
      <c r="AM412" s="641"/>
      <c r="AN412" s="641"/>
      <c r="AO412" s="641"/>
      <c r="AP412" s="641"/>
      <c r="AQ412" s="641"/>
    </row>
    <row r="413" spans="1:43" ht="15" x14ac:dyDescent="0.2">
      <c r="A413" s="125"/>
      <c r="B413" s="125"/>
      <c r="C413" s="291">
        <v>20</v>
      </c>
      <c r="D413" s="147" t="str">
        <f>INDEX(NamesMSAdditional,C413,1)</f>
        <v>** NOT USED **</v>
      </c>
      <c r="E413" s="139"/>
      <c r="F413" s="139"/>
      <c r="G413" s="139"/>
      <c r="H413" s="139"/>
      <c r="I413" s="821" t="str">
        <f>IF(D413&lt;&gt;MsgNotUsed,"Co-payment group " &amp; INDEX(CoPayBandMSAdditional,C413),"")</f>
        <v/>
      </c>
      <c r="J413" s="821"/>
      <c r="K413" s="139"/>
      <c r="L413" s="139"/>
      <c r="M413" s="139"/>
      <c r="N413" s="139"/>
      <c r="O413" s="139"/>
      <c r="P413" s="139"/>
      <c r="Q413" s="139"/>
      <c r="R413" s="139"/>
      <c r="S413" s="139"/>
      <c r="T413" s="139"/>
      <c r="U413" s="139"/>
      <c r="V413" s="139"/>
      <c r="W413" s="139"/>
      <c r="X413" s="139"/>
      <c r="Y413" s="139"/>
      <c r="Z413" s="139"/>
      <c r="AA413" s="139"/>
      <c r="AB413" s="139"/>
      <c r="AC413" s="139"/>
      <c r="AD413" s="139"/>
      <c r="AE413" s="139"/>
      <c r="AF413" s="139"/>
      <c r="AG413" s="139"/>
      <c r="AH413" s="139"/>
      <c r="AI413" s="139"/>
      <c r="AJ413" s="139"/>
      <c r="AK413" s="139"/>
      <c r="AL413" s="139"/>
      <c r="AM413" s="139"/>
      <c r="AN413" s="139"/>
      <c r="AO413" s="139"/>
      <c r="AP413" s="139"/>
      <c r="AQ413" s="139"/>
    </row>
    <row r="414" spans="1:43" ht="15.75" hidden="1" outlineLevel="1" x14ac:dyDescent="0.2">
      <c r="A414" s="131"/>
      <c r="B414" s="131"/>
      <c r="C414" s="705"/>
      <c r="D414" s="655"/>
      <c r="E414" s="131"/>
      <c r="F414" s="131"/>
      <c r="G414" s="131"/>
      <c r="H414" s="131"/>
      <c r="I414" s="131"/>
      <c r="J414" s="131"/>
      <c r="K414" s="131"/>
      <c r="L414" s="131"/>
      <c r="M414" s="131"/>
      <c r="N414" s="131"/>
      <c r="O414" s="131"/>
      <c r="P414" s="131"/>
      <c r="Q414" s="131"/>
      <c r="R414" s="131"/>
      <c r="S414" s="26"/>
      <c r="T414" s="26"/>
      <c r="U414" s="26"/>
      <c r="V414" s="26"/>
      <c r="W414" s="26"/>
      <c r="X414" s="26"/>
      <c r="Y414" s="26"/>
      <c r="Z414" s="26"/>
      <c r="AA414" s="26"/>
      <c r="AB414" s="26"/>
      <c r="AC414" s="26"/>
      <c r="AD414" s="26"/>
      <c r="AE414" s="26"/>
      <c r="AF414" s="26"/>
      <c r="AG414" s="26"/>
      <c r="AH414" s="26"/>
      <c r="AI414" s="26"/>
      <c r="AJ414" s="26"/>
      <c r="AK414" s="26"/>
      <c r="AL414" s="26"/>
      <c r="AM414" s="26"/>
      <c r="AN414" s="26"/>
      <c r="AO414" s="26"/>
      <c r="AP414" s="26"/>
      <c r="AQ414" s="26"/>
    </row>
    <row r="415" spans="1:43" ht="14.25" hidden="1" customHeight="1" outlineLevel="1" x14ac:dyDescent="0.2">
      <c r="A415" s="162"/>
      <c r="B415" s="162"/>
      <c r="C415" s="706"/>
      <c r="D415" s="708"/>
      <c r="E415" s="64">
        <f>F415-1</f>
        <v>2020</v>
      </c>
      <c r="F415" s="64">
        <f>FirstYear</f>
        <v>2021</v>
      </c>
      <c r="G415" s="64">
        <f>F415+1</f>
        <v>2022</v>
      </c>
      <c r="H415" s="64">
        <f>G415+1</f>
        <v>2023</v>
      </c>
      <c r="I415" s="64">
        <f>H415+1</f>
        <v>2024</v>
      </c>
      <c r="J415" s="64">
        <f>I415+1</f>
        <v>2025</v>
      </c>
      <c r="K415" s="64">
        <f>J415+1</f>
        <v>2026</v>
      </c>
      <c r="L415" s="162"/>
      <c r="M415" s="616"/>
      <c r="N415" s="162"/>
      <c r="O415" s="162"/>
      <c r="P415" s="616"/>
      <c r="Q415" s="162"/>
      <c r="R415" s="162"/>
      <c r="S415" s="641"/>
      <c r="T415" s="641"/>
      <c r="U415" s="641"/>
      <c r="V415" s="641"/>
      <c r="W415" s="641"/>
      <c r="X415" s="641"/>
      <c r="Y415" s="641"/>
      <c r="Z415" s="641"/>
      <c r="AA415" s="641"/>
      <c r="AB415" s="641"/>
      <c r="AC415" s="641"/>
      <c r="AD415" s="641"/>
      <c r="AE415" s="641"/>
      <c r="AF415" s="641"/>
      <c r="AG415" s="641"/>
      <c r="AH415" s="641"/>
      <c r="AI415" s="641"/>
      <c r="AJ415" s="641"/>
      <c r="AK415" s="641"/>
      <c r="AL415" s="641"/>
      <c r="AM415" s="641"/>
      <c r="AN415" s="641"/>
      <c r="AO415" s="641"/>
      <c r="AP415" s="641"/>
      <c r="AQ415" s="641"/>
    </row>
    <row r="416" spans="1:43" hidden="1" outlineLevel="1" x14ac:dyDescent="0.2">
      <c r="A416" s="162"/>
      <c r="B416" s="162"/>
      <c r="C416" s="706"/>
      <c r="D416" s="4" t="s">
        <v>114</v>
      </c>
      <c r="E416" s="38">
        <f>INDEX(ScriptsMSAdditional,$C413) * INDEX(NamesMSAdditional,$C413,3)</f>
        <v>0</v>
      </c>
      <c r="F416" s="38">
        <f t="shared" ref="F416:K416" si="162">IF(E416="","",E416*(1+E417))</f>
        <v>0</v>
      </c>
      <c r="G416" s="38">
        <f t="shared" si="162"/>
        <v>0</v>
      </c>
      <c r="H416" s="38">
        <f t="shared" si="162"/>
        <v>0</v>
      </c>
      <c r="I416" s="38">
        <f t="shared" si="162"/>
        <v>0</v>
      </c>
      <c r="J416" s="38">
        <f t="shared" si="162"/>
        <v>0</v>
      </c>
      <c r="K416" s="38">
        <f t="shared" si="162"/>
        <v>0</v>
      </c>
      <c r="L416" s="162"/>
      <c r="M416" s="36" t="s">
        <v>258</v>
      </c>
      <c r="N416" s="162"/>
      <c r="O416" s="616"/>
      <c r="P416" s="162"/>
      <c r="Q416" s="162"/>
      <c r="R416" s="616"/>
      <c r="S416" s="162"/>
      <c r="T416" s="162"/>
      <c r="U416" s="641"/>
      <c r="V416" s="641"/>
      <c r="W416" s="641"/>
      <c r="X416" s="641"/>
      <c r="Y416" s="641"/>
      <c r="Z416" s="641"/>
      <c r="AA416" s="641"/>
      <c r="AB416" s="641"/>
      <c r="AC416" s="641"/>
      <c r="AD416" s="641"/>
      <c r="AE416" s="641"/>
      <c r="AF416" s="641"/>
      <c r="AG416" s="641"/>
      <c r="AH416" s="641"/>
      <c r="AI416" s="641"/>
      <c r="AJ416" s="641"/>
      <c r="AK416" s="641"/>
      <c r="AL416" s="641"/>
      <c r="AM416" s="641"/>
      <c r="AN416" s="641"/>
      <c r="AO416" s="641"/>
      <c r="AP416" s="641"/>
      <c r="AQ416" s="641"/>
    </row>
    <row r="417" spans="1:43" hidden="1" outlineLevel="1" x14ac:dyDescent="0.2">
      <c r="A417" s="162"/>
      <c r="B417" s="162"/>
      <c r="C417" s="706"/>
      <c r="D417" s="11" t="s">
        <v>26</v>
      </c>
      <c r="E417" s="34"/>
      <c r="F417" s="34"/>
      <c r="G417" s="34"/>
      <c r="H417" s="34"/>
      <c r="I417" s="34"/>
      <c r="J417" s="34"/>
      <c r="K417" s="33"/>
      <c r="L417" s="162"/>
      <c r="M417" s="867"/>
      <c r="N417" s="867"/>
      <c r="O417" s="867"/>
      <c r="P417" s="867"/>
      <c r="Q417" s="867"/>
      <c r="R417" s="867"/>
      <c r="S417" s="867"/>
      <c r="T417" s="867"/>
      <c r="U417" s="641"/>
      <c r="V417" s="641"/>
      <c r="W417" s="641"/>
      <c r="X417" s="641"/>
      <c r="Y417" s="641"/>
      <c r="Z417" s="641"/>
      <c r="AA417" s="641"/>
      <c r="AB417" s="641"/>
      <c r="AC417" s="641"/>
      <c r="AD417" s="641"/>
      <c r="AE417" s="641"/>
      <c r="AF417" s="641"/>
      <c r="AG417" s="641"/>
      <c r="AH417" s="641"/>
      <c r="AI417" s="641"/>
      <c r="AJ417" s="641"/>
      <c r="AK417" s="641"/>
      <c r="AL417" s="641"/>
      <c r="AM417" s="641"/>
      <c r="AN417" s="641"/>
      <c r="AO417" s="641"/>
      <c r="AP417" s="641"/>
      <c r="AQ417" s="641"/>
    </row>
    <row r="418" spans="1:43" hidden="1" outlineLevel="1" x14ac:dyDescent="0.2">
      <c r="A418" s="162"/>
      <c r="B418" s="162"/>
      <c r="C418" s="706"/>
      <c r="D418" s="11" t="s">
        <v>33</v>
      </c>
      <c r="E418" s="34"/>
      <c r="F418" s="34"/>
      <c r="G418" s="34"/>
      <c r="H418" s="34"/>
      <c r="I418" s="34"/>
      <c r="J418" s="34"/>
      <c r="K418" s="34"/>
      <c r="L418" s="162"/>
      <c r="M418" s="867"/>
      <c r="N418" s="867"/>
      <c r="O418" s="867"/>
      <c r="P418" s="867"/>
      <c r="Q418" s="867"/>
      <c r="R418" s="867"/>
      <c r="S418" s="867"/>
      <c r="T418" s="867"/>
      <c r="U418" s="641"/>
      <c r="V418" s="641"/>
      <c r="W418" s="641"/>
      <c r="X418" s="641"/>
      <c r="Y418" s="641"/>
      <c r="Z418" s="641"/>
      <c r="AA418" s="641"/>
      <c r="AB418" s="641"/>
      <c r="AC418" s="641"/>
      <c r="AD418" s="641"/>
      <c r="AE418" s="641"/>
      <c r="AF418" s="641"/>
      <c r="AG418" s="641"/>
      <c r="AH418" s="641"/>
      <c r="AI418" s="641"/>
      <c r="AJ418" s="641"/>
      <c r="AK418" s="641"/>
      <c r="AL418" s="641"/>
      <c r="AM418" s="641"/>
      <c r="AN418" s="641"/>
      <c r="AO418" s="641"/>
      <c r="AP418" s="641"/>
      <c r="AQ418" s="641"/>
    </row>
    <row r="419" spans="1:43" hidden="1" outlineLevel="1" x14ac:dyDescent="0.2">
      <c r="A419" s="162"/>
      <c r="B419" s="162"/>
      <c r="C419" s="706"/>
      <c r="D419" s="11" t="s">
        <v>849</v>
      </c>
      <c r="E419" s="34"/>
      <c r="F419" s="34"/>
      <c r="G419" s="34"/>
      <c r="H419" s="34"/>
      <c r="I419" s="34"/>
      <c r="J419" s="34"/>
      <c r="K419" s="34"/>
      <c r="L419" s="162"/>
      <c r="M419" s="867"/>
      <c r="N419" s="867"/>
      <c r="O419" s="867"/>
      <c r="P419" s="867"/>
      <c r="Q419" s="867"/>
      <c r="R419" s="867"/>
      <c r="S419" s="867"/>
      <c r="T419" s="867"/>
      <c r="U419" s="641"/>
      <c r="V419" s="641"/>
      <c r="W419" s="641"/>
      <c r="X419" s="641"/>
      <c r="Y419" s="641"/>
      <c r="Z419" s="641"/>
      <c r="AA419" s="641"/>
      <c r="AB419" s="641"/>
      <c r="AC419" s="641"/>
      <c r="AD419" s="641"/>
      <c r="AE419" s="641"/>
      <c r="AF419" s="641"/>
      <c r="AG419" s="641"/>
      <c r="AH419" s="641"/>
      <c r="AI419" s="641"/>
      <c r="AJ419" s="641"/>
      <c r="AK419" s="641"/>
      <c r="AL419" s="641"/>
      <c r="AM419" s="641"/>
      <c r="AN419" s="641"/>
      <c r="AO419" s="641"/>
      <c r="AP419" s="641"/>
      <c r="AQ419" s="641"/>
    </row>
    <row r="420" spans="1:43" hidden="1" outlineLevel="1" x14ac:dyDescent="0.2">
      <c r="A420" s="638"/>
      <c r="B420" s="638"/>
      <c r="C420" s="707"/>
      <c r="D420" s="13" t="s">
        <v>107</v>
      </c>
      <c r="E420" s="38">
        <f t="shared" ref="E420:K420" si="163">E422-E421</f>
        <v>0</v>
      </c>
      <c r="F420" s="38">
        <f t="shared" si="163"/>
        <v>0</v>
      </c>
      <c r="G420" s="38">
        <f t="shared" si="163"/>
        <v>0</v>
      </c>
      <c r="H420" s="38">
        <f t="shared" si="163"/>
        <v>0</v>
      </c>
      <c r="I420" s="38">
        <f t="shared" si="163"/>
        <v>0</v>
      </c>
      <c r="J420" s="38">
        <f t="shared" si="163"/>
        <v>0</v>
      </c>
      <c r="K420" s="38">
        <f t="shared" si="163"/>
        <v>0</v>
      </c>
      <c r="L420" s="638"/>
      <c r="M420" s="638"/>
      <c r="N420" s="638"/>
      <c r="O420" s="638"/>
      <c r="P420" s="638"/>
      <c r="Q420" s="638"/>
      <c r="R420" s="638"/>
      <c r="S420" s="638"/>
      <c r="T420" s="638"/>
      <c r="U420" s="9"/>
      <c r="V420" s="9"/>
      <c r="W420" s="9"/>
      <c r="X420" s="9"/>
      <c r="Y420" s="9"/>
      <c r="Z420" s="9"/>
      <c r="AA420" s="9"/>
      <c r="AB420" s="9"/>
      <c r="AC420" s="9"/>
      <c r="AD420" s="9"/>
      <c r="AE420" s="9"/>
      <c r="AF420" s="9"/>
      <c r="AG420" s="9"/>
      <c r="AH420" s="9"/>
      <c r="AI420" s="9"/>
      <c r="AJ420" s="9"/>
      <c r="AK420" s="9"/>
      <c r="AL420" s="9"/>
      <c r="AM420" s="9"/>
      <c r="AN420" s="9"/>
      <c r="AO420" s="9"/>
      <c r="AP420" s="9"/>
      <c r="AQ420" s="9"/>
    </row>
    <row r="421" spans="1:43" hidden="1" outlineLevel="1" x14ac:dyDescent="0.2">
      <c r="A421" s="638"/>
      <c r="B421" s="638"/>
      <c r="C421" s="707"/>
      <c r="D421" s="13" t="s">
        <v>108</v>
      </c>
      <c r="E421" s="38">
        <f t="shared" ref="E421:K421" si="164">ROUND(E422*$T$167,0)</f>
        <v>0</v>
      </c>
      <c r="F421" s="38">
        <f t="shared" si="164"/>
        <v>0</v>
      </c>
      <c r="G421" s="38">
        <f t="shared" si="164"/>
        <v>0</v>
      </c>
      <c r="H421" s="38">
        <f t="shared" si="164"/>
        <v>0</v>
      </c>
      <c r="I421" s="38">
        <f t="shared" si="164"/>
        <v>0</v>
      </c>
      <c r="J421" s="38">
        <f t="shared" si="164"/>
        <v>0</v>
      </c>
      <c r="K421" s="38">
        <f t="shared" si="164"/>
        <v>0</v>
      </c>
      <c r="L421" s="638"/>
      <c r="M421" s="638"/>
      <c r="N421" s="638"/>
      <c r="O421" s="638"/>
      <c r="P421" s="638"/>
      <c r="Q421" s="638"/>
      <c r="R421" s="638"/>
      <c r="S421" s="638"/>
      <c r="T421" s="638"/>
      <c r="U421" s="9"/>
      <c r="V421" s="9"/>
      <c r="W421" s="9"/>
      <c r="X421" s="9"/>
      <c r="Y421" s="9"/>
      <c r="Z421" s="9"/>
      <c r="AA421" s="9"/>
      <c r="AB421" s="9"/>
      <c r="AC421" s="9"/>
      <c r="AD421" s="9"/>
      <c r="AE421" s="9"/>
      <c r="AF421" s="9"/>
      <c r="AG421" s="9"/>
      <c r="AH421" s="9"/>
      <c r="AI421" s="9"/>
      <c r="AJ421" s="9"/>
      <c r="AK421" s="9"/>
      <c r="AL421" s="9"/>
      <c r="AM421" s="9"/>
      <c r="AN421" s="9"/>
      <c r="AO421" s="9"/>
      <c r="AP421" s="9"/>
      <c r="AQ421" s="9"/>
    </row>
    <row r="422" spans="1:43" hidden="1" outlineLevel="1" x14ac:dyDescent="0.2">
      <c r="A422" s="638"/>
      <c r="B422" s="638"/>
      <c r="C422" s="707"/>
      <c r="D422" s="635" t="s">
        <v>844</v>
      </c>
      <c r="E422" s="39">
        <f t="shared" ref="E422:K422" si="165">IF(E416="","",E419*E418*E416)</f>
        <v>0</v>
      </c>
      <c r="F422" s="39">
        <f t="shared" si="165"/>
        <v>0</v>
      </c>
      <c r="G422" s="39">
        <f t="shared" si="165"/>
        <v>0</v>
      </c>
      <c r="H422" s="39">
        <f t="shared" si="165"/>
        <v>0</v>
      </c>
      <c r="I422" s="39">
        <f t="shared" si="165"/>
        <v>0</v>
      </c>
      <c r="J422" s="39">
        <f t="shared" si="165"/>
        <v>0</v>
      </c>
      <c r="K422" s="39">
        <f t="shared" si="165"/>
        <v>0</v>
      </c>
      <c r="L422" s="638"/>
      <c r="M422" s="638"/>
      <c r="N422" s="638"/>
      <c r="O422" s="638"/>
      <c r="P422" s="638"/>
      <c r="Q422" s="638"/>
      <c r="R422" s="638"/>
      <c r="S422" s="638"/>
      <c r="T422" s="638"/>
      <c r="U422" s="9"/>
      <c r="V422" s="9"/>
      <c r="W422" s="9"/>
      <c r="X422" s="9"/>
      <c r="Y422" s="9"/>
      <c r="Z422" s="9"/>
      <c r="AA422" s="9"/>
      <c r="AB422" s="9"/>
      <c r="AC422" s="9"/>
      <c r="AD422" s="9"/>
      <c r="AE422" s="9"/>
      <c r="AF422" s="9"/>
      <c r="AG422" s="9"/>
      <c r="AH422" s="9"/>
      <c r="AI422" s="9"/>
      <c r="AJ422" s="9"/>
      <c r="AK422" s="9"/>
      <c r="AL422" s="9"/>
      <c r="AM422" s="9"/>
      <c r="AN422" s="9"/>
      <c r="AO422" s="9"/>
      <c r="AP422" s="9"/>
      <c r="AQ422" s="9"/>
    </row>
    <row r="423" spans="1:43" hidden="1" outlineLevel="1" x14ac:dyDescent="0.2">
      <c r="A423" s="162"/>
      <c r="B423" s="162"/>
      <c r="C423" s="706"/>
      <c r="D423" s="162"/>
      <c r="E423" s="162"/>
      <c r="F423" s="162"/>
      <c r="G423" s="709"/>
      <c r="H423" s="709"/>
      <c r="I423" s="709"/>
      <c r="J423" s="162"/>
      <c r="K423" s="162"/>
      <c r="L423" s="162"/>
      <c r="M423" s="162"/>
      <c r="N423" s="162"/>
      <c r="O423" s="162"/>
      <c r="P423" s="162"/>
      <c r="Q423" s="162"/>
      <c r="R423" s="162"/>
      <c r="S423" s="162"/>
      <c r="T423" s="162"/>
      <c r="U423" s="641"/>
      <c r="V423" s="641"/>
      <c r="W423" s="641"/>
      <c r="X423" s="641"/>
      <c r="Y423" s="641"/>
      <c r="Z423" s="641"/>
      <c r="AA423" s="641"/>
      <c r="AB423" s="641"/>
      <c r="AC423" s="641"/>
      <c r="AD423" s="641"/>
      <c r="AE423" s="641"/>
      <c r="AF423" s="641"/>
      <c r="AG423" s="641"/>
      <c r="AH423" s="641"/>
      <c r="AI423" s="641"/>
      <c r="AJ423" s="641"/>
      <c r="AK423" s="641"/>
      <c r="AL423" s="641"/>
      <c r="AM423" s="641"/>
      <c r="AN423" s="641"/>
      <c r="AO423" s="641"/>
      <c r="AP423" s="641"/>
      <c r="AQ423" s="641"/>
    </row>
    <row r="424" spans="1:43" collapsed="1" x14ac:dyDescent="0.2">
      <c r="A424" s="162"/>
      <c r="B424" s="162"/>
      <c r="C424" s="706"/>
      <c r="D424" s="162"/>
      <c r="E424" s="162"/>
      <c r="F424" s="162"/>
      <c r="G424" s="162"/>
      <c r="H424" s="162"/>
      <c r="I424" s="162"/>
      <c r="J424" s="162"/>
      <c r="K424" s="162"/>
      <c r="L424" s="162"/>
      <c r="M424" s="162"/>
      <c r="N424" s="162"/>
      <c r="O424" s="162"/>
      <c r="P424" s="162"/>
      <c r="Q424" s="162"/>
      <c r="R424" s="162"/>
      <c r="S424" s="162"/>
      <c r="T424" s="162"/>
      <c r="U424" s="641"/>
      <c r="V424" s="641"/>
      <c r="W424" s="641"/>
      <c r="X424" s="641"/>
      <c r="Y424" s="641"/>
      <c r="Z424" s="641"/>
      <c r="AA424" s="641"/>
      <c r="AB424" s="641"/>
      <c r="AC424" s="641"/>
      <c r="AD424" s="641"/>
      <c r="AE424" s="641"/>
      <c r="AF424" s="641"/>
      <c r="AG424" s="641"/>
      <c r="AH424" s="641"/>
      <c r="AI424" s="641"/>
      <c r="AJ424" s="641"/>
      <c r="AK424" s="641"/>
      <c r="AL424" s="641"/>
      <c r="AM424" s="641"/>
      <c r="AN424" s="641"/>
      <c r="AO424" s="641"/>
      <c r="AP424" s="641"/>
      <c r="AQ424" s="641"/>
    </row>
    <row r="425" spans="1:43" ht="15.75" x14ac:dyDescent="0.2">
      <c r="A425" s="162"/>
      <c r="B425" s="162"/>
      <c r="C425" s="162"/>
      <c r="D425" s="123" t="s">
        <v>873</v>
      </c>
      <c r="E425" s="124"/>
      <c r="F425" s="124"/>
      <c r="G425" s="124"/>
      <c r="H425" s="124"/>
      <c r="I425" s="124"/>
      <c r="J425" s="124"/>
      <c r="K425" s="124"/>
      <c r="L425" s="124"/>
      <c r="M425" s="124"/>
      <c r="N425" s="124"/>
      <c r="O425" s="124"/>
      <c r="P425" s="124"/>
      <c r="Q425" s="124"/>
      <c r="R425" s="124"/>
      <c r="S425" s="124"/>
      <c r="T425" s="124"/>
      <c r="U425" s="124"/>
      <c r="V425" s="124"/>
      <c r="W425" s="124"/>
      <c r="X425" s="124"/>
      <c r="Y425" s="124"/>
      <c r="Z425" s="124"/>
      <c r="AA425" s="124"/>
      <c r="AB425" s="124"/>
      <c r="AC425" s="124"/>
      <c r="AD425" s="124"/>
      <c r="AE425" s="124"/>
      <c r="AF425" s="124"/>
      <c r="AG425" s="124"/>
      <c r="AH425" s="124"/>
      <c r="AI425" s="124"/>
      <c r="AJ425" s="124"/>
      <c r="AK425" s="124"/>
      <c r="AL425" s="124"/>
      <c r="AM425" s="124"/>
      <c r="AN425" s="124"/>
      <c r="AO425" s="124"/>
      <c r="AP425" s="124"/>
      <c r="AQ425" s="124"/>
    </row>
    <row r="426" spans="1:43" x14ac:dyDescent="0.2">
      <c r="A426" s="641"/>
      <c r="B426" s="641"/>
      <c r="C426" s="641"/>
      <c r="D426" s="641"/>
      <c r="E426" s="641"/>
      <c r="F426" s="641"/>
      <c r="G426" s="641"/>
      <c r="H426" s="641"/>
      <c r="I426" s="641"/>
      <c r="J426" s="641"/>
      <c r="K426" s="641"/>
      <c r="L426" s="641"/>
      <c r="M426" s="641"/>
      <c r="N426" s="641"/>
      <c r="O426" s="641"/>
      <c r="P426" s="641"/>
      <c r="Q426" s="641"/>
      <c r="R426" s="641"/>
      <c r="S426" s="641"/>
      <c r="T426" s="641"/>
      <c r="U426" s="641"/>
      <c r="V426" s="641"/>
      <c r="W426" s="641"/>
      <c r="X426" s="641"/>
      <c r="Y426" s="641"/>
      <c r="Z426" s="641"/>
      <c r="AA426" s="641"/>
      <c r="AB426" s="641"/>
      <c r="AC426" s="641"/>
      <c r="AD426" s="641"/>
      <c r="AE426" s="641"/>
      <c r="AF426" s="641"/>
      <c r="AG426" s="641"/>
      <c r="AH426" s="641"/>
      <c r="AI426" s="641"/>
      <c r="AJ426" s="641"/>
      <c r="AK426" s="641"/>
      <c r="AL426" s="641"/>
      <c r="AM426" s="641"/>
      <c r="AN426" s="641"/>
      <c r="AO426" s="641"/>
      <c r="AP426" s="641"/>
      <c r="AQ426" s="641"/>
    </row>
    <row r="427" spans="1:43" x14ac:dyDescent="0.2">
      <c r="A427" s="641"/>
      <c r="B427" s="641"/>
      <c r="C427" s="641"/>
      <c r="D427" s="641" t="s">
        <v>23</v>
      </c>
      <c r="E427" s="641"/>
      <c r="F427" s="641"/>
      <c r="G427" s="641"/>
      <c r="H427" s="641"/>
      <c r="I427" s="641"/>
      <c r="J427" s="641"/>
      <c r="K427" s="641"/>
      <c r="L427" s="641"/>
      <c r="M427" s="641"/>
      <c r="N427" s="641"/>
      <c r="O427" s="641"/>
      <c r="P427" s="641"/>
      <c r="Q427" s="641"/>
      <c r="R427" s="641"/>
      <c r="S427" s="641"/>
      <c r="T427" s="641"/>
      <c r="U427" s="641"/>
      <c r="V427" s="641"/>
      <c r="W427" s="641"/>
      <c r="X427" s="641"/>
      <c r="Y427" s="641"/>
      <c r="Z427" s="641"/>
      <c r="AA427" s="641"/>
      <c r="AB427" s="641"/>
      <c r="AC427" s="641"/>
      <c r="AD427" s="641"/>
      <c r="AE427" s="641"/>
      <c r="AF427" s="641"/>
      <c r="AG427" s="641"/>
      <c r="AH427" s="641"/>
      <c r="AI427" s="641"/>
      <c r="AJ427" s="641"/>
      <c r="AK427" s="641"/>
      <c r="AL427" s="641"/>
      <c r="AM427" s="641"/>
      <c r="AN427" s="641"/>
      <c r="AO427" s="641"/>
      <c r="AP427" s="641"/>
      <c r="AQ427" s="641"/>
    </row>
    <row r="428" spans="1:43" ht="12.75" customHeight="1" x14ac:dyDescent="0.2">
      <c r="A428" s="615"/>
      <c r="B428" s="615"/>
      <c r="C428" s="615"/>
      <c r="D428" s="615"/>
      <c r="E428" s="615"/>
      <c r="F428" s="615"/>
      <c r="G428" s="615"/>
      <c r="H428" s="615"/>
      <c r="I428" s="615"/>
      <c r="J428" s="615"/>
      <c r="K428" s="615"/>
      <c r="L428" s="615"/>
      <c r="M428" s="615"/>
      <c r="N428" s="615"/>
      <c r="O428" s="615"/>
      <c r="P428" s="615"/>
      <c r="Q428" s="615"/>
      <c r="R428" s="615"/>
      <c r="S428" s="615"/>
      <c r="T428" s="615"/>
      <c r="U428" s="615"/>
      <c r="V428" s="615"/>
      <c r="W428" s="615"/>
      <c r="X428" s="615"/>
      <c r="Y428" s="615"/>
      <c r="Z428" s="615"/>
      <c r="AA428" s="615"/>
      <c r="AB428" s="615"/>
      <c r="AC428" s="615"/>
      <c r="AD428" s="615"/>
      <c r="AE428" s="615"/>
      <c r="AF428" s="615"/>
      <c r="AG428" s="615"/>
      <c r="AH428" s="615"/>
      <c r="AI428" s="615"/>
      <c r="AJ428" s="615"/>
      <c r="AK428" s="615"/>
      <c r="AL428" s="615"/>
      <c r="AM428" s="615"/>
      <c r="AN428" s="615"/>
      <c r="AO428" s="615"/>
      <c r="AP428" s="615"/>
      <c r="AQ428" s="615"/>
    </row>
    <row r="429" spans="1:43" ht="12.75" customHeight="1" x14ac:dyDescent="0.2">
      <c r="A429" s="615"/>
      <c r="B429" s="615"/>
      <c r="C429" s="615"/>
      <c r="D429" s="416"/>
      <c r="E429" s="416"/>
      <c r="F429" s="416"/>
      <c r="G429" s="416"/>
      <c r="H429" s="416"/>
      <c r="I429" s="416"/>
      <c r="J429" s="416"/>
      <c r="K429" s="416"/>
    </row>
    <row r="430" spans="1:43" ht="12.75" customHeight="1" x14ac:dyDescent="0.2">
      <c r="A430" s="615"/>
      <c r="D430" s="525"/>
      <c r="E430" s="416"/>
      <c r="F430" s="525"/>
      <c r="G430" s="525"/>
      <c r="H430" s="525"/>
      <c r="I430" s="525"/>
      <c r="J430" s="525"/>
      <c r="K430" s="525"/>
    </row>
    <row r="431" spans="1:43" ht="12.75" customHeight="1" x14ac:dyDescent="0.2">
      <c r="A431" s="615"/>
    </row>
    <row r="432" spans="1:43" ht="12.75" customHeight="1" x14ac:dyDescent="0.2">
      <c r="A432" s="615"/>
    </row>
    <row r="433" spans="1:1" ht="12.75" customHeight="1" x14ac:dyDescent="0.2">
      <c r="A433" s="615"/>
    </row>
    <row r="434" spans="1:1" ht="12.75" customHeight="1" x14ac:dyDescent="0.2">
      <c r="A434" s="615"/>
    </row>
    <row r="435" spans="1:1" ht="12.75" customHeight="1" x14ac:dyDescent="0.2">
      <c r="A435" s="615"/>
    </row>
    <row r="436" spans="1:1" ht="12.75" customHeight="1" x14ac:dyDescent="0.2">
      <c r="A436" s="615"/>
    </row>
    <row r="437" spans="1:1" ht="12.75" customHeight="1" x14ac:dyDescent="0.2">
      <c r="A437" s="615"/>
    </row>
    <row r="438" spans="1:1" ht="12.75" customHeight="1" x14ac:dyDescent="0.2">
      <c r="A438" s="615"/>
    </row>
    <row r="439" spans="1:1" ht="12.75" customHeight="1" x14ac:dyDescent="0.2">
      <c r="A439" s="615"/>
    </row>
    <row r="440" spans="1:1" ht="12.75" customHeight="1" x14ac:dyDescent="0.2">
      <c r="A440" s="615"/>
    </row>
    <row r="441" spans="1:1" ht="12.75" customHeight="1" x14ac:dyDescent="0.2">
      <c r="A441" s="615"/>
    </row>
    <row r="442" spans="1:1" ht="12.75" customHeight="1" x14ac:dyDescent="0.2">
      <c r="A442" s="615"/>
    </row>
    <row r="443" spans="1:1" ht="12.75" customHeight="1" x14ac:dyDescent="0.2">
      <c r="A443" s="615"/>
    </row>
    <row r="444" spans="1:1" ht="12.75" customHeight="1" x14ac:dyDescent="0.2">
      <c r="A444" s="615"/>
    </row>
    <row r="445" spans="1:1" ht="12.75" customHeight="1" x14ac:dyDescent="0.2">
      <c r="A445" s="615"/>
    </row>
    <row r="446" spans="1:1" ht="12.75" customHeight="1" x14ac:dyDescent="0.2">
      <c r="A446" s="615"/>
    </row>
    <row r="447" spans="1:1" ht="12.75" customHeight="1" x14ac:dyDescent="0.2">
      <c r="A447" s="615"/>
    </row>
    <row r="448" spans="1:1" ht="12.75" customHeight="1" x14ac:dyDescent="0.2">
      <c r="A448" s="615"/>
    </row>
    <row r="449" spans="1:1" ht="12.75" customHeight="1" x14ac:dyDescent="0.2">
      <c r="A449" s="615"/>
    </row>
    <row r="450" spans="1:1" ht="12.75" customHeight="1" x14ac:dyDescent="0.2">
      <c r="A450" s="615"/>
    </row>
    <row r="451" spans="1:1" ht="12.75" customHeight="1" x14ac:dyDescent="0.2">
      <c r="A451" s="615"/>
    </row>
    <row r="452" spans="1:1" ht="12.75" customHeight="1" x14ac:dyDescent="0.2">
      <c r="A452" s="615"/>
    </row>
    <row r="453" spans="1:1" ht="12.75" customHeight="1" x14ac:dyDescent="0.2">
      <c r="A453" s="615"/>
    </row>
    <row r="454" spans="1:1" ht="12.75" customHeight="1" x14ac:dyDescent="0.2">
      <c r="A454" s="615"/>
    </row>
    <row r="455" spans="1:1" ht="12.75" customHeight="1" x14ac:dyDescent="0.2">
      <c r="A455" s="615"/>
    </row>
    <row r="456" spans="1:1" ht="12.75" customHeight="1" x14ac:dyDescent="0.2">
      <c r="A456" s="615"/>
    </row>
    <row r="457" spans="1:1" ht="12.75" customHeight="1" x14ac:dyDescent="0.2">
      <c r="A457" s="615"/>
    </row>
    <row r="458" spans="1:1" ht="12.75" customHeight="1" x14ac:dyDescent="0.2">
      <c r="A458" s="615"/>
    </row>
    <row r="459" spans="1:1" ht="12.75" customHeight="1" x14ac:dyDescent="0.2">
      <c r="A459" s="615"/>
    </row>
    <row r="460" spans="1:1" ht="12.75" customHeight="1" x14ac:dyDescent="0.2">
      <c r="A460" s="615"/>
    </row>
    <row r="461" spans="1:1" ht="12.75" customHeight="1" x14ac:dyDescent="0.2">
      <c r="A461" s="615"/>
    </row>
    <row r="462" spans="1:1" ht="12.75" customHeight="1" x14ac:dyDescent="0.2">
      <c r="A462" s="615"/>
    </row>
    <row r="463" spans="1:1" ht="12.75" customHeight="1" x14ac:dyDescent="0.2">
      <c r="A463" s="615"/>
    </row>
    <row r="464" spans="1:1" ht="12.75" customHeight="1" x14ac:dyDescent="0.2">
      <c r="A464" s="615"/>
    </row>
    <row r="465" spans="1:1" ht="12.75" customHeight="1" x14ac:dyDescent="0.2">
      <c r="A465" s="615"/>
    </row>
    <row r="466" spans="1:1" ht="12.75" customHeight="1" x14ac:dyDescent="0.2">
      <c r="A466" s="615"/>
    </row>
    <row r="467" spans="1:1" ht="12.75" customHeight="1" x14ac:dyDescent="0.2">
      <c r="A467" s="615"/>
    </row>
    <row r="468" spans="1:1" ht="12.75" customHeight="1" x14ac:dyDescent="0.2">
      <c r="A468" s="615"/>
    </row>
  </sheetData>
  <mergeCells count="196">
    <mergeCell ref="S120:W120"/>
    <mergeCell ref="I353:J353"/>
    <mergeCell ref="I365:J365"/>
    <mergeCell ref="H1:N1"/>
    <mergeCell ref="Q131:R131"/>
    <mergeCell ref="I181:J181"/>
    <mergeCell ref="E175:G175"/>
    <mergeCell ref="E172:G172"/>
    <mergeCell ref="E173:G173"/>
    <mergeCell ref="E174:G174"/>
    <mergeCell ref="E176:G176"/>
    <mergeCell ref="I185:J185"/>
    <mergeCell ref="I197:J197"/>
    <mergeCell ref="E177:G177"/>
    <mergeCell ref="I341:J341"/>
    <mergeCell ref="E136:G136"/>
    <mergeCell ref="E137:G137"/>
    <mergeCell ref="E152:G152"/>
    <mergeCell ref="E166:G166"/>
    <mergeCell ref="E167:G167"/>
    <mergeCell ref="E168:G168"/>
    <mergeCell ref="E169:G169"/>
    <mergeCell ref="E170:G170"/>
    <mergeCell ref="E171:G171"/>
    <mergeCell ref="E158:G158"/>
    <mergeCell ref="E159:G159"/>
    <mergeCell ref="E165:G165"/>
    <mergeCell ref="E160:G160"/>
    <mergeCell ref="AF73:AQ73"/>
    <mergeCell ref="E46:J46"/>
    <mergeCell ref="L46:Q46"/>
    <mergeCell ref="AF74:AK74"/>
    <mergeCell ref="E157:G157"/>
    <mergeCell ref="E109:G109"/>
    <mergeCell ref="E110:G110"/>
    <mergeCell ref="E111:G111"/>
    <mergeCell ref="E143:G143"/>
    <mergeCell ref="E144:G144"/>
    <mergeCell ref="E145:G145"/>
    <mergeCell ref="E146:G146"/>
    <mergeCell ref="E142:G142"/>
    <mergeCell ref="E115:G115"/>
    <mergeCell ref="E134:G134"/>
    <mergeCell ref="E133:G133"/>
    <mergeCell ref="E140:G140"/>
    <mergeCell ref="E141:G141"/>
    <mergeCell ref="E107:G107"/>
    <mergeCell ref="E108:G108"/>
    <mergeCell ref="E112:G112"/>
    <mergeCell ref="AF45:AQ45"/>
    <mergeCell ref="AF46:AK46"/>
    <mergeCell ref="AL46:AQ46"/>
    <mergeCell ref="P71:Q71"/>
    <mergeCell ref="E75:J75"/>
    <mergeCell ref="L75:Q75"/>
    <mergeCell ref="I100:J100"/>
    <mergeCell ref="E106:G106"/>
    <mergeCell ref="AL103:AQ103"/>
    <mergeCell ref="R102:U102"/>
    <mergeCell ref="E104:G104"/>
    <mergeCell ref="E105:G105"/>
    <mergeCell ref="AF101:AQ101"/>
    <mergeCell ref="AF103:AK103"/>
    <mergeCell ref="S104:W104"/>
    <mergeCell ref="S105:W105"/>
    <mergeCell ref="S106:W106"/>
    <mergeCell ref="I101:O101"/>
    <mergeCell ref="I71:J71"/>
    <mergeCell ref="AL74:AQ74"/>
    <mergeCell ref="I128:O128"/>
    <mergeCell ref="S107:W107"/>
    <mergeCell ref="S108:W108"/>
    <mergeCell ref="S109:W109"/>
    <mergeCell ref="S110:W110"/>
    <mergeCell ref="S111:W111"/>
    <mergeCell ref="E114:G114"/>
    <mergeCell ref="E117:G117"/>
    <mergeCell ref="E118:G118"/>
    <mergeCell ref="E119:G119"/>
    <mergeCell ref="E123:G123"/>
    <mergeCell ref="E124:G124"/>
    <mergeCell ref="S121:W121"/>
    <mergeCell ref="S122:W122"/>
    <mergeCell ref="S123:W123"/>
    <mergeCell ref="S124:W124"/>
    <mergeCell ref="S112:W112"/>
    <mergeCell ref="S113:W113"/>
    <mergeCell ref="S114:W114"/>
    <mergeCell ref="S115:W115"/>
    <mergeCell ref="S116:W116"/>
    <mergeCell ref="S117:W117"/>
    <mergeCell ref="S118:W118"/>
    <mergeCell ref="S119:W119"/>
    <mergeCell ref="I221:J221"/>
    <mergeCell ref="I209:J209"/>
    <mergeCell ref="I12:O12"/>
    <mergeCell ref="E14:J14"/>
    <mergeCell ref="E164:G164"/>
    <mergeCell ref="E113:G113"/>
    <mergeCell ref="E161:G161"/>
    <mergeCell ref="E163:G163"/>
    <mergeCell ref="E162:G162"/>
    <mergeCell ref="E121:G121"/>
    <mergeCell ref="E147:G147"/>
    <mergeCell ref="E148:G148"/>
    <mergeCell ref="E149:G149"/>
    <mergeCell ref="E150:G150"/>
    <mergeCell ref="E151:G151"/>
    <mergeCell ref="E122:G122"/>
    <mergeCell ref="E138:G138"/>
    <mergeCell ref="E132:G132"/>
    <mergeCell ref="E139:G139"/>
    <mergeCell ref="E116:G116"/>
    <mergeCell ref="I42:J42"/>
    <mergeCell ref="E120:G120"/>
    <mergeCell ref="I155:J155"/>
    <mergeCell ref="E135:G135"/>
    <mergeCell ref="L14:Q14"/>
    <mergeCell ref="I377:J377"/>
    <mergeCell ref="I389:J389"/>
    <mergeCell ref="I401:J401"/>
    <mergeCell ref="I413:J413"/>
    <mergeCell ref="Y14:Y15"/>
    <mergeCell ref="I233:J233"/>
    <mergeCell ref="I245:J245"/>
    <mergeCell ref="I257:J257"/>
    <mergeCell ref="I269:J269"/>
    <mergeCell ref="I281:J281"/>
    <mergeCell ref="I293:J293"/>
    <mergeCell ref="I305:J305"/>
    <mergeCell ref="I317:J317"/>
    <mergeCell ref="I329:J329"/>
    <mergeCell ref="N131:O131"/>
    <mergeCell ref="J131:M131"/>
    <mergeCell ref="I127:J127"/>
    <mergeCell ref="P42:Q42"/>
    <mergeCell ref="M189:T189"/>
    <mergeCell ref="M190:T190"/>
    <mergeCell ref="M191:T191"/>
    <mergeCell ref="M201:T201"/>
    <mergeCell ref="M202:T202"/>
    <mergeCell ref="M203:T203"/>
    <mergeCell ref="M419:T419"/>
    <mergeCell ref="M418:T418"/>
    <mergeCell ref="M417:T417"/>
    <mergeCell ref="M407:T407"/>
    <mergeCell ref="M406:T406"/>
    <mergeCell ref="M405:T405"/>
    <mergeCell ref="M395:T395"/>
    <mergeCell ref="M394:T394"/>
    <mergeCell ref="M393:T393"/>
    <mergeCell ref="M383:T383"/>
    <mergeCell ref="M382:T382"/>
    <mergeCell ref="M381:T381"/>
    <mergeCell ref="M371:T371"/>
    <mergeCell ref="M370:T370"/>
    <mergeCell ref="M369:T369"/>
    <mergeCell ref="M359:T359"/>
    <mergeCell ref="M358:T358"/>
    <mergeCell ref="M357:T357"/>
    <mergeCell ref="M347:T347"/>
    <mergeCell ref="M346:T346"/>
    <mergeCell ref="M345:T345"/>
    <mergeCell ref="M335:T335"/>
    <mergeCell ref="M334:T334"/>
    <mergeCell ref="M333:T333"/>
    <mergeCell ref="M323:T323"/>
    <mergeCell ref="M322:T322"/>
    <mergeCell ref="M321:T321"/>
    <mergeCell ref="M311:T311"/>
    <mergeCell ref="M310:T310"/>
    <mergeCell ref="M309:T309"/>
    <mergeCell ref="M299:T299"/>
    <mergeCell ref="M298:T298"/>
    <mergeCell ref="M297:T297"/>
    <mergeCell ref="M287:T287"/>
    <mergeCell ref="M286:T286"/>
    <mergeCell ref="M285:T285"/>
    <mergeCell ref="M275:T275"/>
    <mergeCell ref="M274:T274"/>
    <mergeCell ref="M273:T273"/>
    <mergeCell ref="M227:T227"/>
    <mergeCell ref="M226:T226"/>
    <mergeCell ref="M225:T225"/>
    <mergeCell ref="M215:T215"/>
    <mergeCell ref="M214:T214"/>
    <mergeCell ref="M213:T213"/>
    <mergeCell ref="M263:T263"/>
    <mergeCell ref="M262:T262"/>
    <mergeCell ref="M261:T261"/>
    <mergeCell ref="M251:T251"/>
    <mergeCell ref="M250:T250"/>
    <mergeCell ref="M249:T249"/>
    <mergeCell ref="M239:T239"/>
    <mergeCell ref="M238:T238"/>
    <mergeCell ref="M237:T237"/>
  </mergeCells>
  <conditionalFormatting sqref="K190:K191 E189:J191 M189:M191">
    <cfRule type="expression" dxfId="110" priority="149">
      <formula>$D$185=MsgNotUsed</formula>
    </cfRule>
  </conditionalFormatting>
  <conditionalFormatting sqref="I128:O128 I12:O12">
    <cfRule type="notContainsBlanks" dxfId="109" priority="157">
      <formula>LEN(TRIM(I12))&gt;0</formula>
    </cfRule>
  </conditionalFormatting>
  <conditionalFormatting sqref="AL105:AQ124">
    <cfRule type="expression" dxfId="108" priority="53">
      <formula>$AL$103=MsgNotUsed</formula>
    </cfRule>
  </conditionalFormatting>
  <conditionalFormatting sqref="AL48:AQ67">
    <cfRule type="expression" dxfId="107" priority="52">
      <formula>$AL$46=MsgNotUsed</formula>
    </cfRule>
  </conditionalFormatting>
  <conditionalFormatting sqref="P102">
    <cfRule type="notContainsBlanks" dxfId="106" priority="49">
      <formula>LEN(TRIM(P102))&gt;0</formula>
    </cfRule>
  </conditionalFormatting>
  <conditionalFormatting sqref="I101:O101">
    <cfRule type="notContainsBlanks" dxfId="105" priority="28">
      <formula>LEN(TRIM(I101))&gt;0</formula>
    </cfRule>
  </conditionalFormatting>
  <conditionalFormatting sqref="K202:K203 E201:J203 M201:M203">
    <cfRule type="expression" dxfId="104" priority="22">
      <formula>$D$185=MsgNotUsed</formula>
    </cfRule>
  </conditionalFormatting>
  <conditionalFormatting sqref="K214:K215 E213:J215 M213:M215">
    <cfRule type="expression" dxfId="103" priority="21">
      <formula>$D$185=MsgNotUsed</formula>
    </cfRule>
  </conditionalFormatting>
  <conditionalFormatting sqref="K226:K227 E225:J227 M225:M227">
    <cfRule type="expression" dxfId="102" priority="20">
      <formula>$D$185=MsgNotUsed</formula>
    </cfRule>
  </conditionalFormatting>
  <conditionalFormatting sqref="K238:K239 E237:J239 M237:M239">
    <cfRule type="expression" dxfId="101" priority="19">
      <formula>$D$185=MsgNotUsed</formula>
    </cfRule>
  </conditionalFormatting>
  <conditionalFormatting sqref="K250:K251 E249:J251 M249:M251">
    <cfRule type="expression" dxfId="100" priority="18">
      <formula>$D$185=MsgNotUsed</formula>
    </cfRule>
  </conditionalFormatting>
  <conditionalFormatting sqref="K262:K263 E261:J263 M261:M263">
    <cfRule type="expression" dxfId="99" priority="17">
      <formula>$D$185=MsgNotUsed</formula>
    </cfRule>
  </conditionalFormatting>
  <conditionalFormatting sqref="K274:K275 E273:J275 M273:M275">
    <cfRule type="expression" dxfId="98" priority="16">
      <formula>$D$185=MsgNotUsed</formula>
    </cfRule>
  </conditionalFormatting>
  <conditionalFormatting sqref="K286:K287 E285:J287 M285:M287">
    <cfRule type="expression" dxfId="97" priority="15">
      <formula>$D$185=MsgNotUsed</formula>
    </cfRule>
  </conditionalFormatting>
  <conditionalFormatting sqref="K298:K299 E297:J299 M297:M299">
    <cfRule type="expression" dxfId="96" priority="14">
      <formula>$D$185=MsgNotUsed</formula>
    </cfRule>
  </conditionalFormatting>
  <conditionalFormatting sqref="K310:K311 E309:J311 M309:M311">
    <cfRule type="expression" dxfId="95" priority="13">
      <formula>$D$185=MsgNotUsed</formula>
    </cfRule>
  </conditionalFormatting>
  <conditionalFormatting sqref="K322:K323 E321:J323 M321:M323">
    <cfRule type="expression" dxfId="94" priority="12">
      <formula>$D$185=MsgNotUsed</formula>
    </cfRule>
  </conditionalFormatting>
  <conditionalFormatting sqref="K334:K335 E333:J335 M333:M335">
    <cfRule type="expression" dxfId="93" priority="11">
      <formula>$D$185=MsgNotUsed</formula>
    </cfRule>
  </conditionalFormatting>
  <conditionalFormatting sqref="K346:K347 E345:J347 M345:M347">
    <cfRule type="expression" dxfId="92" priority="10">
      <formula>$D$185=MsgNotUsed</formula>
    </cfRule>
  </conditionalFormatting>
  <conditionalFormatting sqref="K358:K359 E357:J359 M357:M359">
    <cfRule type="expression" dxfId="91" priority="9">
      <formula>$D$185=MsgNotUsed</formula>
    </cfRule>
  </conditionalFormatting>
  <conditionalFormatting sqref="K370:K371 E369:J371 M369:M371">
    <cfRule type="expression" dxfId="90" priority="8">
      <formula>$D$185=MsgNotUsed</formula>
    </cfRule>
  </conditionalFormatting>
  <conditionalFormatting sqref="K382:K383 E381:J383 M381:M383">
    <cfRule type="expression" dxfId="89" priority="7">
      <formula>$D$185=MsgNotUsed</formula>
    </cfRule>
  </conditionalFormatting>
  <conditionalFormatting sqref="K394:K395 E393:J395 M393:M395">
    <cfRule type="expression" dxfId="88" priority="6">
      <formula>$D$185=MsgNotUsed</formula>
    </cfRule>
  </conditionalFormatting>
  <conditionalFormatting sqref="K406:K407 E405:J407 M405:M407">
    <cfRule type="expression" dxfId="87" priority="5">
      <formula>$D$185=MsgNotUsed</formula>
    </cfRule>
  </conditionalFormatting>
  <conditionalFormatting sqref="K418:K419 E417:J419 M417:M419">
    <cfRule type="expression" dxfId="86" priority="4">
      <formula>$D$185=MsgNotUsed</formula>
    </cfRule>
  </conditionalFormatting>
  <conditionalFormatting sqref="E105:W124">
    <cfRule type="expression" dxfId="85" priority="3">
      <formula>$D105=""</formula>
    </cfRule>
  </conditionalFormatting>
  <conditionalFormatting sqref="E133:S152">
    <cfRule type="expression" dxfId="84" priority="2">
      <formula>$D133=""</formula>
    </cfRule>
  </conditionalFormatting>
  <conditionalFormatting sqref="E158:T177">
    <cfRule type="expression" dxfId="83" priority="1">
      <formula>$D158=MsgNotUsed</formula>
    </cfRule>
  </conditionalFormatting>
  <dataValidations count="6">
    <dataValidation type="list" allowBlank="1" showInputMessage="1" showErrorMessage="1" sqref="S133:S152 Q105:Q124">
      <formula1>DisplaceType</formula1>
    </dataValidation>
    <dataValidation type="list" allowBlank="1" showInputMessage="1" showErrorMessage="1" sqref="M105:M124">
      <formula1>TimeUnit</formula1>
    </dataValidation>
    <dataValidation type="list" allowBlank="1" showInputMessage="1" showErrorMessage="1" sqref="I133:I152 I105:I124">
      <formula1>TPShort</formula1>
    </dataValidation>
    <dataValidation type="list" allowBlank="1" showInputMessage="1" showErrorMessage="1" sqref="Q133:R152">
      <formula1>Switch</formula1>
    </dataValidation>
    <dataValidation type="list" allowBlank="1" showInputMessage="1" showErrorMessage="1" sqref="P133:P152 P105:P124">
      <formula1>CoPayBands</formula1>
    </dataValidation>
    <dataValidation type="list" allowBlank="1" showInputMessage="1" showErrorMessage="1" sqref="S105:W124">
      <formula1>DTGPops</formula1>
    </dataValidation>
  </dataValidations>
  <pageMargins left="0.11811023622047245" right="0.11811023622047245" top="0.19685039370078741" bottom="0.15748031496062992" header="0.31496062992125984" footer="0.31496062992125984"/>
  <pageSetup paperSize="9" scale="41" orientation="landscape" horizontalDpi="300" verticalDpi="30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theme="4"/>
    <pageSetUpPr fitToPage="1"/>
  </sheetPr>
  <dimension ref="A1:X299"/>
  <sheetViews>
    <sheetView showGridLines="0" zoomScaleNormal="100" workbookViewId="0">
      <pane ySplit="3" topLeftCell="A4" activePane="bottomLeft" state="frozen"/>
      <selection activeCell="B7" sqref="B7:G7"/>
      <selection pane="bottomLeft"/>
    </sheetView>
  </sheetViews>
  <sheetFormatPr defaultRowHeight="12.75" customHeight="1" outlineLevelRow="1" x14ac:dyDescent="0.2"/>
  <cols>
    <col min="1" max="1" width="3.7109375" customWidth="1"/>
    <col min="2" max="2" width="3.7109375" hidden="1" customWidth="1"/>
    <col min="3" max="3" width="20.7109375" customWidth="1"/>
    <col min="4" max="13" width="15.7109375" customWidth="1"/>
    <col min="14" max="14" width="15.7109375" style="416" customWidth="1"/>
    <col min="15" max="15" width="3.7109375" hidden="1" customWidth="1"/>
    <col min="16" max="16" width="10.7109375" style="416" hidden="1" customWidth="1"/>
    <col min="17" max="20" width="10.7109375" hidden="1" customWidth="1"/>
  </cols>
  <sheetData>
    <row r="1" spans="1:15" ht="23.25" x14ac:dyDescent="0.2">
      <c r="A1" s="346">
        <f>IF((SUM(D24:I24)&lt;&gt;0),2,0)</f>
        <v>0</v>
      </c>
      <c r="B1" s="342"/>
      <c r="C1" s="343" t="s">
        <v>938</v>
      </c>
      <c r="D1" s="343"/>
      <c r="E1" s="343"/>
      <c r="F1" s="342"/>
      <c r="G1" s="342"/>
      <c r="H1" s="342"/>
      <c r="I1" s="342"/>
      <c r="J1" s="342"/>
      <c r="K1" s="342"/>
      <c r="L1" s="866" t="str">
        <f>IF(A1=0,MsgNotUsed,"")</f>
        <v>** NOT USED **</v>
      </c>
      <c r="M1" s="866"/>
      <c r="N1" s="866"/>
    </row>
    <row r="2" spans="1:15" ht="15.75" x14ac:dyDescent="0.2">
      <c r="A2" s="342"/>
      <c r="B2" s="342"/>
      <c r="C2" s="344" t="str">
        <f>CONCATENATE("Name of medicine: ", MedicineBrand)</f>
        <v xml:space="preserve">Name of medicine: </v>
      </c>
      <c r="D2" s="345"/>
      <c r="E2" s="345"/>
      <c r="F2" s="342"/>
      <c r="G2" s="342"/>
      <c r="H2" s="342"/>
      <c r="I2" s="342"/>
      <c r="J2" s="342"/>
      <c r="K2" s="342"/>
      <c r="L2" s="342"/>
      <c r="M2" s="342"/>
      <c r="N2" s="342"/>
    </row>
    <row r="3" spans="1:15" ht="15.75" x14ac:dyDescent="0.2">
      <c r="A3" s="342"/>
      <c r="B3" s="342"/>
      <c r="C3" s="344" t="str">
        <f>CONCATENATE("Indication: ",Indication)</f>
        <v xml:space="preserve">Indication: </v>
      </c>
      <c r="D3" s="345"/>
      <c r="E3" s="345"/>
      <c r="F3" s="342"/>
      <c r="G3" s="342"/>
      <c r="H3" s="342"/>
      <c r="I3" s="342"/>
      <c r="J3" s="342"/>
      <c r="K3" s="342"/>
      <c r="L3" s="342"/>
      <c r="M3" s="342"/>
      <c r="N3" s="342"/>
    </row>
    <row r="4" spans="1:15" s="420" customFormat="1" x14ac:dyDescent="0.2">
      <c r="A4" s="650"/>
      <c r="B4" s="650"/>
      <c r="C4" s="662"/>
      <c r="D4" s="662"/>
      <c r="E4" s="662"/>
      <c r="F4" s="650"/>
      <c r="G4" s="650"/>
      <c r="H4" s="650"/>
      <c r="I4" s="650"/>
      <c r="J4" s="650"/>
      <c r="K4" s="650"/>
      <c r="L4" s="650"/>
      <c r="M4" s="650"/>
      <c r="N4" s="650"/>
      <c r="O4" s="641"/>
    </row>
    <row r="5" spans="1:15" ht="15.75" x14ac:dyDescent="0.2">
      <c r="A5" s="122"/>
      <c r="B5" s="122"/>
      <c r="C5" s="123" t="s">
        <v>2</v>
      </c>
      <c r="D5" s="123"/>
      <c r="E5" s="123"/>
      <c r="F5" s="142"/>
      <c r="G5" s="127"/>
      <c r="H5" s="127"/>
      <c r="I5" s="127"/>
      <c r="J5" s="127"/>
      <c r="K5" s="126"/>
      <c r="L5" s="126"/>
      <c r="M5" s="126"/>
      <c r="N5" s="126"/>
    </row>
    <row r="6" spans="1:15" ht="14.25" x14ac:dyDescent="0.2">
      <c r="A6" s="125"/>
      <c r="B6" s="125"/>
      <c r="C6" s="647"/>
      <c r="D6" s="647"/>
      <c r="E6" s="647"/>
      <c r="F6" s="656"/>
      <c r="G6" s="125"/>
      <c r="H6" s="125"/>
      <c r="I6" s="125"/>
      <c r="J6" s="125"/>
      <c r="K6" s="125"/>
      <c r="L6" s="125"/>
      <c r="M6" s="125"/>
      <c r="N6" s="125"/>
    </row>
    <row r="7" spans="1:15" x14ac:dyDescent="0.2">
      <c r="A7" s="125"/>
      <c r="B7" s="125"/>
      <c r="C7" s="162" t="s">
        <v>781</v>
      </c>
      <c r="D7" s="162"/>
      <c r="E7" s="162"/>
      <c r="F7" s="162"/>
      <c r="G7" s="162"/>
      <c r="H7" s="162"/>
      <c r="I7" s="162"/>
      <c r="J7" s="162"/>
      <c r="K7" s="162"/>
      <c r="L7" s="162"/>
      <c r="M7" s="162"/>
      <c r="N7" s="162"/>
    </row>
    <row r="8" spans="1:15" x14ac:dyDescent="0.2">
      <c r="A8" s="125"/>
      <c r="B8" s="125"/>
      <c r="C8" s="644"/>
      <c r="D8" s="644"/>
      <c r="E8" s="644"/>
      <c r="F8" s="660"/>
      <c r="G8" s="660"/>
      <c r="H8" s="660"/>
      <c r="I8" s="660"/>
      <c r="J8" s="660"/>
      <c r="K8" s="660"/>
      <c r="L8" s="660"/>
      <c r="M8" s="660"/>
      <c r="N8" s="660"/>
    </row>
    <row r="9" spans="1:15" x14ac:dyDescent="0.2">
      <c r="A9" s="125"/>
      <c r="B9" s="125"/>
      <c r="C9" s="162"/>
      <c r="D9" s="162"/>
      <c r="E9" s="162"/>
      <c r="F9" s="162"/>
      <c r="G9" s="162"/>
      <c r="H9" s="162"/>
      <c r="I9" s="162"/>
      <c r="J9" s="162"/>
      <c r="K9" s="162"/>
      <c r="L9" s="162"/>
      <c r="M9" s="162"/>
      <c r="N9" s="162"/>
    </row>
    <row r="10" spans="1:15" ht="15.75" x14ac:dyDescent="0.2">
      <c r="A10" s="125"/>
      <c r="B10" s="125"/>
      <c r="C10" s="123" t="s">
        <v>869</v>
      </c>
      <c r="D10" s="123"/>
      <c r="E10" s="123"/>
      <c r="F10" s="142"/>
      <c r="G10" s="127"/>
      <c r="H10" s="127"/>
      <c r="I10" s="127"/>
      <c r="J10" s="127"/>
      <c r="K10" s="126"/>
      <c r="L10" s="126"/>
      <c r="M10" s="126"/>
      <c r="N10" s="126"/>
    </row>
    <row r="11" spans="1:15" ht="15.75" x14ac:dyDescent="0.2">
      <c r="A11" s="125"/>
      <c r="B11" s="125"/>
      <c r="C11" s="655"/>
      <c r="D11" s="655"/>
      <c r="E11" s="655"/>
      <c r="F11" s="656"/>
      <c r="G11" s="125"/>
      <c r="H11" s="125"/>
      <c r="I11" s="125"/>
      <c r="J11" s="125"/>
      <c r="K11" s="125"/>
      <c r="L11" s="125"/>
      <c r="M11" s="125"/>
      <c r="N11" s="125"/>
    </row>
    <row r="12" spans="1:15" x14ac:dyDescent="0.2">
      <c r="A12" s="125"/>
      <c r="B12" s="125"/>
      <c r="C12" s="646" t="s">
        <v>832</v>
      </c>
      <c r="D12" s="646"/>
      <c r="E12" s="646"/>
      <c r="F12" s="646"/>
      <c r="G12" s="646"/>
      <c r="H12" s="646"/>
      <c r="I12" s="646"/>
      <c r="J12" s="646"/>
      <c r="K12" s="646"/>
      <c r="L12" s="646"/>
      <c r="M12" s="646"/>
      <c r="N12" s="646"/>
    </row>
    <row r="13" spans="1:15" x14ac:dyDescent="0.2">
      <c r="A13" s="125"/>
      <c r="B13" s="125"/>
      <c r="C13" s="657"/>
      <c r="D13" s="657"/>
      <c r="E13" s="657"/>
      <c r="F13" s="125"/>
      <c r="G13" s="125"/>
      <c r="H13" s="125"/>
      <c r="I13" s="125"/>
      <c r="J13" s="125"/>
      <c r="K13" s="125"/>
      <c r="L13" s="657"/>
      <c r="M13" s="657"/>
      <c r="N13" s="657"/>
    </row>
    <row r="14" spans="1:15" ht="15.75" x14ac:dyDescent="0.2">
      <c r="A14" s="125"/>
      <c r="B14" s="125"/>
      <c r="C14" s="655" t="s">
        <v>101</v>
      </c>
      <c r="D14" s="81">
        <f>FirstYear</f>
        <v>2021</v>
      </c>
      <c r="E14" s="81">
        <f>D14+1</f>
        <v>2022</v>
      </c>
      <c r="F14" s="81">
        <f>E14+1</f>
        <v>2023</v>
      </c>
      <c r="G14" s="81">
        <f>F14+1</f>
        <v>2024</v>
      </c>
      <c r="H14" s="81">
        <f>G14+1</f>
        <v>2025</v>
      </c>
      <c r="I14" s="81">
        <f>H14+1</f>
        <v>2026</v>
      </c>
      <c r="J14" s="125"/>
      <c r="K14" s="125"/>
      <c r="L14" s="125"/>
      <c r="M14" s="125"/>
      <c r="N14" s="125"/>
    </row>
    <row r="15" spans="1:15" x14ac:dyDescent="0.2">
      <c r="A15" s="125"/>
      <c r="B15" s="125"/>
      <c r="C15" s="84" t="s">
        <v>86</v>
      </c>
      <c r="D15" s="283">
        <f>D31+D43+D55+D67+D79+D91+D103+D115+D127+D139+D151+D163+D175+D187+D199+D211+D223+D235+D247+D259</f>
        <v>0</v>
      </c>
      <c r="E15" s="283">
        <f t="shared" ref="E15:I16" si="0">E31+E43+E55+E67+E79+E91+E103+E115+E127+E139+E151+E163+E175+E187+E199+E211+E223+E235+E247+E259</f>
        <v>0</v>
      </c>
      <c r="F15" s="283">
        <f t="shared" si="0"/>
        <v>0</v>
      </c>
      <c r="G15" s="283">
        <f t="shared" si="0"/>
        <v>0</v>
      </c>
      <c r="H15" s="283">
        <f t="shared" si="0"/>
        <v>0</v>
      </c>
      <c r="I15" s="283">
        <f t="shared" si="0"/>
        <v>0</v>
      </c>
      <c r="J15" s="125"/>
      <c r="K15" s="125"/>
      <c r="L15" s="125"/>
      <c r="M15" s="125"/>
      <c r="N15" s="125"/>
    </row>
    <row r="16" spans="1:15" x14ac:dyDescent="0.2">
      <c r="A16" s="125"/>
      <c r="B16" s="125"/>
      <c r="C16" s="5" t="s">
        <v>111</v>
      </c>
      <c r="D16" s="283">
        <f>D32+D44+D56+D68+D80+D92+D104+D116+D128+D140+D152+D164+D176+D188+D200+D212+D224+D236+D248+D260</f>
        <v>0</v>
      </c>
      <c r="E16" s="283">
        <f t="shared" si="0"/>
        <v>0</v>
      </c>
      <c r="F16" s="283">
        <f t="shared" si="0"/>
        <v>0</v>
      </c>
      <c r="G16" s="283">
        <f t="shared" si="0"/>
        <v>0</v>
      </c>
      <c r="H16" s="283">
        <f t="shared" si="0"/>
        <v>0</v>
      </c>
      <c r="I16" s="283">
        <f t="shared" si="0"/>
        <v>0</v>
      </c>
      <c r="J16" s="125"/>
      <c r="K16" s="125"/>
      <c r="L16" s="125"/>
      <c r="M16" s="125"/>
      <c r="N16" s="125"/>
    </row>
    <row r="17" spans="1:14" x14ac:dyDescent="0.2">
      <c r="A17" s="125"/>
      <c r="B17" s="125"/>
      <c r="C17" s="5" t="s">
        <v>88</v>
      </c>
      <c r="D17" s="284">
        <f t="shared" ref="D17:I17" si="1">D15+D16</f>
        <v>0</v>
      </c>
      <c r="E17" s="284">
        <f t="shared" si="1"/>
        <v>0</v>
      </c>
      <c r="F17" s="284">
        <f t="shared" si="1"/>
        <v>0</v>
      </c>
      <c r="G17" s="284">
        <f t="shared" si="1"/>
        <v>0</v>
      </c>
      <c r="H17" s="284">
        <f t="shared" si="1"/>
        <v>0</v>
      </c>
      <c r="I17" s="284">
        <f t="shared" si="1"/>
        <v>0</v>
      </c>
      <c r="J17" s="125"/>
      <c r="K17" s="125"/>
      <c r="L17" s="125"/>
      <c r="M17" s="125"/>
      <c r="N17" s="125"/>
    </row>
    <row r="18" spans="1:14" x14ac:dyDescent="0.2">
      <c r="A18" s="125"/>
      <c r="B18" s="125"/>
      <c r="C18" s="658"/>
      <c r="D18" s="658"/>
      <c r="E18" s="658"/>
      <c r="F18" s="36"/>
      <c r="G18" s="36"/>
      <c r="H18" s="36"/>
      <c r="I18" s="36"/>
      <c r="J18" s="36"/>
      <c r="K18" s="36"/>
      <c r="L18" s="125"/>
      <c r="M18" s="125"/>
      <c r="N18" s="125"/>
    </row>
    <row r="19" spans="1:14" ht="15.75" x14ac:dyDescent="0.2">
      <c r="A19" s="125"/>
      <c r="B19" s="125"/>
      <c r="C19" s="655" t="s">
        <v>102</v>
      </c>
      <c r="D19" s="81">
        <f>FirstYear</f>
        <v>2021</v>
      </c>
      <c r="E19" s="81">
        <f>D19+1</f>
        <v>2022</v>
      </c>
      <c r="F19" s="81">
        <f>E19+1</f>
        <v>2023</v>
      </c>
      <c r="G19" s="81">
        <f>F19+1</f>
        <v>2024</v>
      </c>
      <c r="H19" s="81">
        <f>G19+1</f>
        <v>2025</v>
      </c>
      <c r="I19" s="81">
        <f>H19+1</f>
        <v>2026</v>
      </c>
      <c r="J19" s="125"/>
      <c r="K19" s="125"/>
      <c r="L19" s="125"/>
      <c r="M19" s="125"/>
      <c r="N19" s="125"/>
    </row>
    <row r="20" spans="1:14" x14ac:dyDescent="0.2">
      <c r="A20" s="125"/>
      <c r="B20" s="125"/>
      <c r="C20" s="84" t="s">
        <v>87</v>
      </c>
      <c r="D20" s="282">
        <f>D36+D48+D60+D72+D84+D96+D108+D120+D132+D144+D156+D168+D180+D192+D204+D216+D228+D240+D252+D264</f>
        <v>0</v>
      </c>
      <c r="E20" s="282">
        <f t="shared" ref="E20:I21" si="2">E36+E48+E60+E72+E84+E96+E108+E120+E132+E144+E156+E168+E180+E192+E204+E216+E228+E240+E252+E264</f>
        <v>0</v>
      </c>
      <c r="F20" s="282">
        <f t="shared" si="2"/>
        <v>0</v>
      </c>
      <c r="G20" s="282">
        <f t="shared" si="2"/>
        <v>0</v>
      </c>
      <c r="H20" s="282">
        <f t="shared" si="2"/>
        <v>0</v>
      </c>
      <c r="I20" s="282">
        <f t="shared" si="2"/>
        <v>0</v>
      </c>
      <c r="J20" s="125"/>
      <c r="K20" s="125"/>
      <c r="L20" s="125"/>
      <c r="M20" s="125"/>
      <c r="N20" s="125"/>
    </row>
    <row r="21" spans="1:14" x14ac:dyDescent="0.2">
      <c r="A21" s="125"/>
      <c r="B21" s="125"/>
      <c r="C21" s="5" t="s">
        <v>111</v>
      </c>
      <c r="D21" s="282">
        <f>D37+D49+D61+D73+D85+D97+D109+D121+D133+D145+D157+D169+D181+D193+D205+D217+D229+D241+D253+D265</f>
        <v>0</v>
      </c>
      <c r="E21" s="282">
        <f t="shared" si="2"/>
        <v>0</v>
      </c>
      <c r="F21" s="282">
        <f t="shared" si="2"/>
        <v>0</v>
      </c>
      <c r="G21" s="282">
        <f t="shared" si="2"/>
        <v>0</v>
      </c>
      <c r="H21" s="282">
        <f t="shared" si="2"/>
        <v>0</v>
      </c>
      <c r="I21" s="282">
        <f t="shared" si="2"/>
        <v>0</v>
      </c>
      <c r="J21" s="125"/>
      <c r="K21" s="125"/>
      <c r="L21" s="125"/>
      <c r="M21" s="125"/>
      <c r="N21" s="125"/>
    </row>
    <row r="22" spans="1:14" x14ac:dyDescent="0.2">
      <c r="A22" s="125"/>
      <c r="B22" s="125"/>
      <c r="C22" s="5" t="s">
        <v>89</v>
      </c>
      <c r="D22" s="286">
        <f t="shared" ref="D22:I22" si="3">D20+D21</f>
        <v>0</v>
      </c>
      <c r="E22" s="286">
        <f t="shared" si="3"/>
        <v>0</v>
      </c>
      <c r="F22" s="286">
        <f t="shared" si="3"/>
        <v>0</v>
      </c>
      <c r="G22" s="286">
        <f t="shared" si="3"/>
        <v>0</v>
      </c>
      <c r="H22" s="286">
        <f t="shared" si="3"/>
        <v>0</v>
      </c>
      <c r="I22" s="286">
        <f t="shared" si="3"/>
        <v>0</v>
      </c>
      <c r="J22" s="125"/>
      <c r="K22" s="125"/>
      <c r="L22" s="125"/>
      <c r="M22" s="125"/>
      <c r="N22" s="125"/>
    </row>
    <row r="23" spans="1:14" x14ac:dyDescent="0.2">
      <c r="A23" s="125"/>
      <c r="B23" s="125"/>
      <c r="C23" s="658"/>
      <c r="D23" s="658"/>
      <c r="E23" s="658"/>
      <c r="F23" s="36"/>
      <c r="G23" s="36"/>
      <c r="H23" s="36"/>
      <c r="I23" s="36"/>
      <c r="J23" s="36"/>
      <c r="K23" s="36"/>
      <c r="L23" s="125"/>
      <c r="M23" s="125"/>
      <c r="N23" s="125"/>
    </row>
    <row r="24" spans="1:14" x14ac:dyDescent="0.2">
      <c r="A24" s="125"/>
      <c r="B24" s="125"/>
      <c r="C24" s="273" t="s">
        <v>845</v>
      </c>
      <c r="D24" s="285">
        <f t="shared" ref="D24:I24" si="4">D22+D17</f>
        <v>0</v>
      </c>
      <c r="E24" s="285">
        <f t="shared" si="4"/>
        <v>0</v>
      </c>
      <c r="F24" s="285">
        <f t="shared" si="4"/>
        <v>0</v>
      </c>
      <c r="G24" s="285">
        <f t="shared" si="4"/>
        <v>0</v>
      </c>
      <c r="H24" s="285">
        <f t="shared" si="4"/>
        <v>0</v>
      </c>
      <c r="I24" s="285">
        <f t="shared" si="4"/>
        <v>0</v>
      </c>
      <c r="J24" s="36"/>
      <c r="K24" s="36"/>
      <c r="L24" s="125"/>
      <c r="M24" s="125"/>
      <c r="N24" s="125"/>
    </row>
    <row r="25" spans="1:14" x14ac:dyDescent="0.2">
      <c r="A25" s="125"/>
      <c r="B25" s="125"/>
      <c r="C25" s="658"/>
      <c r="D25" s="658"/>
      <c r="E25" s="658"/>
      <c r="F25" s="36"/>
      <c r="G25" s="36"/>
      <c r="H25" s="36"/>
      <c r="I25" s="36"/>
      <c r="J25" s="36"/>
      <c r="K25" s="36"/>
      <c r="L25" s="125"/>
      <c r="M25" s="125"/>
      <c r="N25" s="125"/>
    </row>
    <row r="26" spans="1:14" ht="15.75" x14ac:dyDescent="0.2">
      <c r="A26" s="125"/>
      <c r="B26" s="125"/>
      <c r="C26" s="123" t="s">
        <v>870</v>
      </c>
      <c r="D26" s="123"/>
      <c r="E26" s="123"/>
      <c r="F26" s="132"/>
      <c r="G26" s="132"/>
      <c r="H26" s="132"/>
      <c r="I26" s="132"/>
      <c r="J26" s="132"/>
      <c r="K26" s="132"/>
      <c r="L26" s="132"/>
      <c r="M26" s="127"/>
      <c r="N26" s="127"/>
    </row>
    <row r="27" spans="1:14" x14ac:dyDescent="0.2">
      <c r="A27" s="125"/>
      <c r="B27" s="125"/>
      <c r="C27" s="658"/>
      <c r="D27" s="658"/>
      <c r="E27" s="658"/>
      <c r="F27" s="36"/>
      <c r="G27" s="36"/>
      <c r="H27" s="36"/>
      <c r="I27" s="36"/>
      <c r="J27" s="36"/>
      <c r="K27" s="36"/>
      <c r="L27" s="36"/>
      <c r="M27" s="36"/>
      <c r="N27" s="36"/>
    </row>
    <row r="28" spans="1:14" ht="15" x14ac:dyDescent="0.2">
      <c r="A28" s="125"/>
      <c r="B28" s="298">
        <v>1</v>
      </c>
      <c r="C28" s="147" t="str">
        <f>INDEX(PBSScriptsChanged,B28,1)</f>
        <v>** NOT USED **</v>
      </c>
      <c r="D28" s="139"/>
      <c r="E28" s="139"/>
      <c r="F28" s="139"/>
      <c r="G28" s="139"/>
      <c r="H28" s="139"/>
      <c r="I28" s="139"/>
      <c r="J28" s="132"/>
      <c r="K28" s="132"/>
      <c r="L28" s="821" t="str">
        <f>IF(AND(C28&lt;&gt;MsgNotUsed,C28&lt;&gt;MsgNotRequired),"Co-payment group " &amp; INDEX(DPMQCoPayChangedPub,B28,3),"")</f>
        <v/>
      </c>
      <c r="M28" s="821"/>
      <c r="N28" s="527"/>
    </row>
    <row r="29" spans="1:14" ht="12.75" hidden="1" customHeight="1" outlineLevel="1" x14ac:dyDescent="0.2">
      <c r="A29" s="125"/>
      <c r="B29" s="242">
        <f>INDEX(SAChanged,B28,5)</f>
        <v>0</v>
      </c>
      <c r="C29" s="658"/>
      <c r="D29" s="697">
        <v>2</v>
      </c>
      <c r="E29" s="697">
        <v>3</v>
      </c>
      <c r="F29" s="650">
        <v>4</v>
      </c>
      <c r="G29" s="650">
        <v>5</v>
      </c>
      <c r="H29" s="650">
        <v>6</v>
      </c>
      <c r="I29" s="650">
        <v>7</v>
      </c>
      <c r="J29" s="36"/>
      <c r="K29" s="36"/>
      <c r="L29" s="36"/>
      <c r="M29" s="36"/>
      <c r="N29" s="36"/>
    </row>
    <row r="30" spans="1:14" ht="12.75" hidden="1" customHeight="1" outlineLevel="1" x14ac:dyDescent="0.2">
      <c r="A30" s="125"/>
      <c r="B30" s="300"/>
      <c r="C30" s="125"/>
      <c r="D30" s="81">
        <f>FirstYear</f>
        <v>2021</v>
      </c>
      <c r="E30" s="81">
        <f>D30+1</f>
        <v>2022</v>
      </c>
      <c r="F30" s="81">
        <f>E30+1</f>
        <v>2023</v>
      </c>
      <c r="G30" s="81">
        <f>F30+1</f>
        <v>2024</v>
      </c>
      <c r="H30" s="81">
        <f>G30+1</f>
        <v>2025</v>
      </c>
      <c r="I30" s="81">
        <f>H30+1</f>
        <v>2026</v>
      </c>
      <c r="J30" s="125"/>
      <c r="K30" s="125"/>
      <c r="L30" s="125"/>
      <c r="M30" s="125"/>
      <c r="N30" s="125"/>
    </row>
    <row r="31" spans="1:14" ht="12.75" hidden="1" customHeight="1" outlineLevel="1" x14ac:dyDescent="0.2">
      <c r="A31" s="125"/>
      <c r="B31" s="298">
        <v>1</v>
      </c>
      <c r="C31" s="84" t="s">
        <v>86</v>
      </c>
      <c r="D31" s="282">
        <f t="shared" ref="D31:I31" si="5">INDEX(PBSScriptsChanged,$B28,D29)*INDEX(DPMQCoPayChangedPub,$B28,$B31)</f>
        <v>0</v>
      </c>
      <c r="E31" s="282">
        <f t="shared" si="5"/>
        <v>0</v>
      </c>
      <c r="F31" s="282">
        <f t="shared" si="5"/>
        <v>0</v>
      </c>
      <c r="G31" s="282">
        <f t="shared" si="5"/>
        <v>0</v>
      </c>
      <c r="H31" s="282">
        <f t="shared" si="5"/>
        <v>0</v>
      </c>
      <c r="I31" s="282">
        <f t="shared" si="5"/>
        <v>0</v>
      </c>
      <c r="J31" s="125"/>
      <c r="K31" s="125"/>
      <c r="L31" s="125"/>
      <c r="M31" s="125"/>
      <c r="N31" s="125"/>
    </row>
    <row r="32" spans="1:14" ht="12.75" hidden="1" customHeight="1" outlineLevel="1" x14ac:dyDescent="0.2">
      <c r="A32" s="125"/>
      <c r="B32" s="298">
        <v>4</v>
      </c>
      <c r="C32" s="5" t="s">
        <v>111</v>
      </c>
      <c r="D32" s="282">
        <f t="shared" ref="D32:I32" si="6">INDEX(PBSScriptsChanged,$B28,D29)*(INDEX(DPMQCoPayChangedPub,$B28,$B32)/INDEX(CoPayCountChanged,$B28))</f>
        <v>0</v>
      </c>
      <c r="E32" s="282">
        <f t="shared" si="6"/>
        <v>0</v>
      </c>
      <c r="F32" s="282">
        <f t="shared" si="6"/>
        <v>0</v>
      </c>
      <c r="G32" s="282">
        <f t="shared" si="6"/>
        <v>0</v>
      </c>
      <c r="H32" s="282">
        <f t="shared" si="6"/>
        <v>0</v>
      </c>
      <c r="I32" s="282">
        <f t="shared" si="6"/>
        <v>0</v>
      </c>
      <c r="J32" s="125"/>
      <c r="K32" s="811" t="str">
        <f>IF(B29&lt;&gt;0,MsgNote&amp;IF(B29="Yes",INDEX(CoPayMethod,1),INDEX(CoPayMethod,2)),"")</f>
        <v/>
      </c>
      <c r="L32" s="811"/>
      <c r="M32" s="811"/>
      <c r="N32" s="628"/>
    </row>
    <row r="33" spans="1:14" ht="12.75" hidden="1" customHeight="1" outlineLevel="1" x14ac:dyDescent="0.2">
      <c r="A33" s="125"/>
      <c r="B33" s="300"/>
      <c r="C33" s="5" t="s">
        <v>88</v>
      </c>
      <c r="D33" s="282">
        <f t="shared" ref="D33:I33" si="7">D31+D32</f>
        <v>0</v>
      </c>
      <c r="E33" s="282">
        <f t="shared" si="7"/>
        <v>0</v>
      </c>
      <c r="F33" s="282">
        <f t="shared" si="7"/>
        <v>0</v>
      </c>
      <c r="G33" s="282">
        <f t="shared" si="7"/>
        <v>0</v>
      </c>
      <c r="H33" s="282">
        <f t="shared" si="7"/>
        <v>0</v>
      </c>
      <c r="I33" s="282">
        <f t="shared" si="7"/>
        <v>0</v>
      </c>
      <c r="J33" s="125"/>
      <c r="K33" s="125"/>
      <c r="L33" s="125"/>
      <c r="M33" s="125"/>
      <c r="N33" s="125"/>
    </row>
    <row r="34" spans="1:14" ht="12.75" hidden="1" customHeight="1" outlineLevel="1" x14ac:dyDescent="0.2">
      <c r="A34" s="125"/>
      <c r="B34" s="300"/>
      <c r="C34" s="125"/>
      <c r="D34" s="125"/>
      <c r="E34" s="125"/>
      <c r="F34" s="125"/>
      <c r="G34" s="125"/>
      <c r="H34" s="125"/>
      <c r="I34" s="125"/>
      <c r="J34" s="125"/>
      <c r="K34" s="125"/>
      <c r="L34" s="125"/>
      <c r="M34" s="125"/>
      <c r="N34" s="125"/>
    </row>
    <row r="35" spans="1:14" ht="15.75" hidden="1" customHeight="1" outlineLevel="1" x14ac:dyDescent="0.2">
      <c r="A35" s="125"/>
      <c r="B35" s="300"/>
      <c r="C35" s="125"/>
      <c r="D35" s="81">
        <f>FirstYear</f>
        <v>2021</v>
      </c>
      <c r="E35" s="81">
        <f>D35+1</f>
        <v>2022</v>
      </c>
      <c r="F35" s="81">
        <f>E35+1</f>
        <v>2023</v>
      </c>
      <c r="G35" s="81">
        <f>F35+1</f>
        <v>2024</v>
      </c>
      <c r="H35" s="81">
        <f>G35+1</f>
        <v>2025</v>
      </c>
      <c r="I35" s="81">
        <f>H35+1</f>
        <v>2026</v>
      </c>
      <c r="J35" s="125"/>
      <c r="K35" s="125"/>
      <c r="L35" s="125"/>
      <c r="M35" s="125"/>
      <c r="N35" s="125"/>
    </row>
    <row r="36" spans="1:14" ht="12.75" hidden="1" customHeight="1" outlineLevel="1" x14ac:dyDescent="0.2">
      <c r="A36" s="125"/>
      <c r="B36" s="298">
        <v>1</v>
      </c>
      <c r="C36" s="84" t="s">
        <v>87</v>
      </c>
      <c r="D36" s="282">
        <f t="shared" ref="D36:I36" si="8">INDEX(RPBSScriptsChanged,$B28,D29)*INDEX(DPMQCoPayChangedPub,$B28,$B36)</f>
        <v>0</v>
      </c>
      <c r="E36" s="282">
        <f t="shared" si="8"/>
        <v>0</v>
      </c>
      <c r="F36" s="282">
        <f t="shared" si="8"/>
        <v>0</v>
      </c>
      <c r="G36" s="282">
        <f t="shared" si="8"/>
        <v>0</v>
      </c>
      <c r="H36" s="282">
        <f t="shared" si="8"/>
        <v>0</v>
      </c>
      <c r="I36" s="282">
        <f t="shared" si="8"/>
        <v>0</v>
      </c>
      <c r="J36" s="125"/>
      <c r="K36" s="125"/>
      <c r="L36" s="125"/>
      <c r="M36" s="125"/>
      <c r="N36" s="125"/>
    </row>
    <row r="37" spans="1:14" ht="12.75" hidden="1" customHeight="1" outlineLevel="1" x14ac:dyDescent="0.2">
      <c r="A37" s="125"/>
      <c r="B37" s="298">
        <v>5</v>
      </c>
      <c r="C37" s="5" t="s">
        <v>111</v>
      </c>
      <c r="D37" s="282">
        <f t="shared" ref="D37:I37" si="9">INDEX(RPBSScriptsChanged,$B28,D29)*(INDEX(DPMQCoPayChangedPub,$B28,$B37)/INDEX(CoPayCountChanged,$B28))</f>
        <v>0</v>
      </c>
      <c r="E37" s="282">
        <f t="shared" si="9"/>
        <v>0</v>
      </c>
      <c r="F37" s="282">
        <f t="shared" si="9"/>
        <v>0</v>
      </c>
      <c r="G37" s="282">
        <f t="shared" si="9"/>
        <v>0</v>
      </c>
      <c r="H37" s="282">
        <f t="shared" si="9"/>
        <v>0</v>
      </c>
      <c r="I37" s="282">
        <f t="shared" si="9"/>
        <v>0</v>
      </c>
      <c r="J37" s="125"/>
      <c r="K37" s="125"/>
      <c r="L37" s="125"/>
      <c r="M37" s="125"/>
      <c r="N37" s="125"/>
    </row>
    <row r="38" spans="1:14" ht="12.75" hidden="1" customHeight="1" outlineLevel="1" x14ac:dyDescent="0.2">
      <c r="A38" s="125"/>
      <c r="B38" s="137"/>
      <c r="C38" s="5" t="s">
        <v>89</v>
      </c>
      <c r="D38" s="282">
        <f t="shared" ref="D38:I38" si="10">D36+D37</f>
        <v>0</v>
      </c>
      <c r="E38" s="282">
        <f t="shared" si="10"/>
        <v>0</v>
      </c>
      <c r="F38" s="282">
        <f t="shared" si="10"/>
        <v>0</v>
      </c>
      <c r="G38" s="282">
        <f t="shared" si="10"/>
        <v>0</v>
      </c>
      <c r="H38" s="282">
        <f t="shared" si="10"/>
        <v>0</v>
      </c>
      <c r="I38" s="282">
        <f t="shared" si="10"/>
        <v>0</v>
      </c>
      <c r="J38" s="125"/>
      <c r="K38" s="125"/>
      <c r="L38" s="125"/>
      <c r="M38" s="125"/>
      <c r="N38" s="125"/>
    </row>
    <row r="39" spans="1:14" ht="12.75" customHeight="1" collapsed="1" x14ac:dyDescent="0.2">
      <c r="A39" s="125"/>
      <c r="B39" s="300"/>
      <c r="C39" s="125"/>
      <c r="D39" s="658"/>
      <c r="E39" s="658"/>
      <c r="F39" s="36"/>
      <c r="G39" s="36"/>
      <c r="H39" s="36"/>
      <c r="I39" s="36"/>
      <c r="J39" s="36"/>
      <c r="K39" s="36"/>
      <c r="L39" s="36"/>
      <c r="M39" s="36"/>
      <c r="N39" s="36"/>
    </row>
    <row r="40" spans="1:14" ht="15" x14ac:dyDescent="0.2">
      <c r="A40" s="125"/>
      <c r="B40" s="298">
        <v>2</v>
      </c>
      <c r="C40" s="147" t="str">
        <f>INDEX(PBSScriptsChanged,B40,1)</f>
        <v>** NOT USED **</v>
      </c>
      <c r="D40" s="139"/>
      <c r="E40" s="139"/>
      <c r="F40" s="139"/>
      <c r="G40" s="139"/>
      <c r="H40" s="139"/>
      <c r="I40" s="139"/>
      <c r="J40" s="132"/>
      <c r="K40" s="132"/>
      <c r="L40" s="821" t="str">
        <f>IF(AND(C40&lt;&gt;MsgNotUsed,C40&lt;&gt;MsgNotRequired),"Co-payment group " &amp; INDEX(DPMQCoPayChangedPub,B40,3),"")</f>
        <v/>
      </c>
      <c r="M40" s="821"/>
      <c r="N40" s="633"/>
    </row>
    <row r="41" spans="1:14" ht="12.75" hidden="1" customHeight="1" outlineLevel="1" x14ac:dyDescent="0.2">
      <c r="A41" s="125"/>
      <c r="B41" s="242">
        <f>INDEX(SAChanged,B40,5)</f>
        <v>0</v>
      </c>
      <c r="C41" s="658"/>
      <c r="D41" s="697">
        <v>2</v>
      </c>
      <c r="E41" s="697">
        <v>3</v>
      </c>
      <c r="F41" s="650">
        <v>4</v>
      </c>
      <c r="G41" s="650">
        <v>5</v>
      </c>
      <c r="H41" s="650">
        <v>6</v>
      </c>
      <c r="I41" s="650">
        <v>7</v>
      </c>
      <c r="J41" s="36"/>
      <c r="K41" s="36"/>
      <c r="L41" s="36"/>
      <c r="M41" s="36"/>
      <c r="N41" s="36"/>
    </row>
    <row r="42" spans="1:14" ht="12.75" hidden="1" customHeight="1" outlineLevel="1" x14ac:dyDescent="0.2">
      <c r="A42" s="125"/>
      <c r="B42" s="300"/>
      <c r="C42" s="125"/>
      <c r="D42" s="630">
        <f>FirstYear</f>
        <v>2021</v>
      </c>
      <c r="E42" s="630">
        <f>D42+1</f>
        <v>2022</v>
      </c>
      <c r="F42" s="630">
        <f>E42+1</f>
        <v>2023</v>
      </c>
      <c r="G42" s="630">
        <f>F42+1</f>
        <v>2024</v>
      </c>
      <c r="H42" s="630">
        <f>G42+1</f>
        <v>2025</v>
      </c>
      <c r="I42" s="630">
        <f>H42+1</f>
        <v>2026</v>
      </c>
      <c r="J42" s="125"/>
      <c r="K42" s="125"/>
      <c r="L42" s="125"/>
      <c r="M42" s="125"/>
      <c r="N42" s="125"/>
    </row>
    <row r="43" spans="1:14" ht="12.75" hidden="1" customHeight="1" outlineLevel="1" x14ac:dyDescent="0.2">
      <c r="A43" s="125"/>
      <c r="B43" s="298">
        <v>1</v>
      </c>
      <c r="C43" s="294" t="s">
        <v>86</v>
      </c>
      <c r="D43" s="282">
        <f t="shared" ref="D43:I43" si="11">INDEX(PBSScriptsChanged,$B40,D41)*INDEX(DPMQCoPayChangedPub,$B40,$B43)</f>
        <v>0</v>
      </c>
      <c r="E43" s="282">
        <f t="shared" si="11"/>
        <v>0</v>
      </c>
      <c r="F43" s="282">
        <f t="shared" si="11"/>
        <v>0</v>
      </c>
      <c r="G43" s="282">
        <f t="shared" si="11"/>
        <v>0</v>
      </c>
      <c r="H43" s="282">
        <f t="shared" si="11"/>
        <v>0</v>
      </c>
      <c r="I43" s="282">
        <f t="shared" si="11"/>
        <v>0</v>
      </c>
      <c r="J43" s="125"/>
      <c r="K43" s="125"/>
      <c r="L43" s="125"/>
      <c r="M43" s="125"/>
      <c r="N43" s="125"/>
    </row>
    <row r="44" spans="1:14" ht="12.75" hidden="1" customHeight="1" outlineLevel="1" x14ac:dyDescent="0.2">
      <c r="A44" s="125"/>
      <c r="B44" s="298">
        <v>4</v>
      </c>
      <c r="C44" s="5" t="s">
        <v>111</v>
      </c>
      <c r="D44" s="282">
        <f t="shared" ref="D44:I44" si="12">INDEX(PBSScriptsChanged,$B40,D41)*(INDEX(DPMQCoPayChangedPub,$B40,$B44)/INDEX(CoPayCountChanged,$B40))</f>
        <v>0</v>
      </c>
      <c r="E44" s="282">
        <f t="shared" si="12"/>
        <v>0</v>
      </c>
      <c r="F44" s="282">
        <f t="shared" si="12"/>
        <v>0</v>
      </c>
      <c r="G44" s="282">
        <f t="shared" si="12"/>
        <v>0</v>
      </c>
      <c r="H44" s="282">
        <f t="shared" si="12"/>
        <v>0</v>
      </c>
      <c r="I44" s="282">
        <f t="shared" si="12"/>
        <v>0</v>
      </c>
      <c r="J44" s="125"/>
      <c r="K44" s="811" t="str">
        <f>IF(B41&lt;&gt;0,MsgNote&amp;IF(B41="Yes",INDEX(CoPayMethod,1),INDEX(CoPayMethod,2)),"")</f>
        <v/>
      </c>
      <c r="L44" s="811"/>
      <c r="M44" s="811"/>
      <c r="N44" s="628"/>
    </row>
    <row r="45" spans="1:14" ht="12.75" hidden="1" customHeight="1" outlineLevel="1" x14ac:dyDescent="0.2">
      <c r="A45" s="125"/>
      <c r="B45" s="300"/>
      <c r="C45" s="5" t="s">
        <v>88</v>
      </c>
      <c r="D45" s="282">
        <f t="shared" ref="D45:I45" si="13">D43+D44</f>
        <v>0</v>
      </c>
      <c r="E45" s="282">
        <f t="shared" si="13"/>
        <v>0</v>
      </c>
      <c r="F45" s="282">
        <f t="shared" si="13"/>
        <v>0</v>
      </c>
      <c r="G45" s="282">
        <f t="shared" si="13"/>
        <v>0</v>
      </c>
      <c r="H45" s="282">
        <f t="shared" si="13"/>
        <v>0</v>
      </c>
      <c r="I45" s="282">
        <f t="shared" si="13"/>
        <v>0</v>
      </c>
      <c r="J45" s="125"/>
      <c r="K45" s="125"/>
      <c r="L45" s="125"/>
      <c r="M45" s="125"/>
      <c r="N45" s="125"/>
    </row>
    <row r="46" spans="1:14" ht="12.75" hidden="1" customHeight="1" outlineLevel="1" x14ac:dyDescent="0.2">
      <c r="A46" s="125"/>
      <c r="B46" s="300"/>
      <c r="C46" s="125"/>
      <c r="D46" s="125"/>
      <c r="E46" s="125"/>
      <c r="F46" s="125"/>
      <c r="G46" s="125"/>
      <c r="H46" s="125"/>
      <c r="I46" s="125"/>
      <c r="J46" s="125"/>
      <c r="K46" s="125"/>
      <c r="L46" s="125"/>
      <c r="M46" s="125"/>
      <c r="N46" s="125"/>
    </row>
    <row r="47" spans="1:14" ht="15.75" hidden="1" customHeight="1" outlineLevel="1" x14ac:dyDescent="0.2">
      <c r="A47" s="125"/>
      <c r="B47" s="300"/>
      <c r="C47" s="125"/>
      <c r="D47" s="630">
        <f>FirstYear</f>
        <v>2021</v>
      </c>
      <c r="E47" s="630">
        <f>D47+1</f>
        <v>2022</v>
      </c>
      <c r="F47" s="630">
        <f>E47+1</f>
        <v>2023</v>
      </c>
      <c r="G47" s="630">
        <f>F47+1</f>
        <v>2024</v>
      </c>
      <c r="H47" s="630">
        <f>G47+1</f>
        <v>2025</v>
      </c>
      <c r="I47" s="630">
        <f>H47+1</f>
        <v>2026</v>
      </c>
      <c r="J47" s="125"/>
      <c r="K47" s="125"/>
      <c r="L47" s="125"/>
      <c r="M47" s="125"/>
      <c r="N47" s="125"/>
    </row>
    <row r="48" spans="1:14" ht="12.75" hidden="1" customHeight="1" outlineLevel="1" x14ac:dyDescent="0.2">
      <c r="A48" s="125"/>
      <c r="B48" s="298">
        <v>1</v>
      </c>
      <c r="C48" s="294" t="s">
        <v>87</v>
      </c>
      <c r="D48" s="282">
        <f t="shared" ref="D48:I48" si="14">INDEX(RPBSScriptsChanged,$B40,D41)*INDEX(DPMQCoPayChangedPub,$B40,$B48)</f>
        <v>0</v>
      </c>
      <c r="E48" s="282">
        <f t="shared" si="14"/>
        <v>0</v>
      </c>
      <c r="F48" s="282">
        <f t="shared" si="14"/>
        <v>0</v>
      </c>
      <c r="G48" s="282">
        <f t="shared" si="14"/>
        <v>0</v>
      </c>
      <c r="H48" s="282">
        <f t="shared" si="14"/>
        <v>0</v>
      </c>
      <c r="I48" s="282">
        <f t="shared" si="14"/>
        <v>0</v>
      </c>
      <c r="J48" s="125"/>
      <c r="K48" s="125"/>
      <c r="L48" s="125"/>
      <c r="M48" s="125"/>
      <c r="N48" s="125"/>
    </row>
    <row r="49" spans="1:14" ht="12.75" hidden="1" customHeight="1" outlineLevel="1" x14ac:dyDescent="0.2">
      <c r="A49" s="125"/>
      <c r="B49" s="298">
        <v>5</v>
      </c>
      <c r="C49" s="5" t="s">
        <v>111</v>
      </c>
      <c r="D49" s="282">
        <f t="shared" ref="D49:I49" si="15">INDEX(RPBSScriptsChanged,$B40,D41)*(INDEX(DPMQCoPayChangedPub,$B40,$B49)/INDEX(CoPayCountChanged,$B40))</f>
        <v>0</v>
      </c>
      <c r="E49" s="282">
        <f t="shared" si="15"/>
        <v>0</v>
      </c>
      <c r="F49" s="282">
        <f t="shared" si="15"/>
        <v>0</v>
      </c>
      <c r="G49" s="282">
        <f t="shared" si="15"/>
        <v>0</v>
      </c>
      <c r="H49" s="282">
        <f t="shared" si="15"/>
        <v>0</v>
      </c>
      <c r="I49" s="282">
        <f t="shared" si="15"/>
        <v>0</v>
      </c>
      <c r="J49" s="125"/>
      <c r="K49" s="125"/>
      <c r="L49" s="125"/>
      <c r="M49" s="125"/>
      <c r="N49" s="125"/>
    </row>
    <row r="50" spans="1:14" ht="12.75" hidden="1" customHeight="1" outlineLevel="1" x14ac:dyDescent="0.2">
      <c r="A50" s="125"/>
      <c r="B50" s="137"/>
      <c r="C50" s="5" t="s">
        <v>89</v>
      </c>
      <c r="D50" s="282">
        <f t="shared" ref="D50:I50" si="16">D48+D49</f>
        <v>0</v>
      </c>
      <c r="E50" s="282">
        <f t="shared" si="16"/>
        <v>0</v>
      </c>
      <c r="F50" s="282">
        <f t="shared" si="16"/>
        <v>0</v>
      </c>
      <c r="G50" s="282">
        <f t="shared" si="16"/>
        <v>0</v>
      </c>
      <c r="H50" s="282">
        <f t="shared" si="16"/>
        <v>0</v>
      </c>
      <c r="I50" s="282">
        <f t="shared" si="16"/>
        <v>0</v>
      </c>
      <c r="J50" s="125"/>
      <c r="K50" s="125"/>
      <c r="L50" s="125"/>
      <c r="M50" s="125"/>
      <c r="N50" s="125"/>
    </row>
    <row r="51" spans="1:14" ht="12.75" customHeight="1" collapsed="1" x14ac:dyDescent="0.2">
      <c r="A51" s="125"/>
      <c r="B51" s="300"/>
      <c r="C51" s="125"/>
      <c r="D51" s="658"/>
      <c r="E51" s="658"/>
      <c r="F51" s="36"/>
      <c r="G51" s="36"/>
      <c r="H51" s="36"/>
      <c r="I51" s="36"/>
      <c r="J51" s="36"/>
      <c r="K51" s="36"/>
      <c r="L51" s="36"/>
      <c r="M51" s="36"/>
      <c r="N51" s="36"/>
    </row>
    <row r="52" spans="1:14" ht="15" x14ac:dyDescent="0.2">
      <c r="A52" s="125"/>
      <c r="B52" s="298">
        <v>3</v>
      </c>
      <c r="C52" s="147" t="str">
        <f>INDEX(PBSScriptsChanged,B52,1)</f>
        <v>** NOT USED **</v>
      </c>
      <c r="D52" s="139"/>
      <c r="E52" s="139"/>
      <c r="F52" s="139"/>
      <c r="G52" s="139"/>
      <c r="H52" s="139"/>
      <c r="I52" s="139"/>
      <c r="J52" s="132"/>
      <c r="K52" s="132"/>
      <c r="L52" s="821" t="str">
        <f>IF(AND(C52&lt;&gt;MsgNotUsed,C52&lt;&gt;MsgNotRequired),"Co-payment group " &amp; INDEX(DPMQCoPayChangedPub,B52,3),"")</f>
        <v/>
      </c>
      <c r="M52" s="821"/>
      <c r="N52" s="633"/>
    </row>
    <row r="53" spans="1:14" ht="12.75" hidden="1" customHeight="1" outlineLevel="1" x14ac:dyDescent="0.2">
      <c r="A53" s="125"/>
      <c r="B53" s="242">
        <f>INDEX(SAChanged,B52,5)</f>
        <v>0</v>
      </c>
      <c r="C53" s="658"/>
      <c r="D53" s="697">
        <v>2</v>
      </c>
      <c r="E53" s="697">
        <v>3</v>
      </c>
      <c r="F53" s="650">
        <v>4</v>
      </c>
      <c r="G53" s="650">
        <v>5</v>
      </c>
      <c r="H53" s="650">
        <v>6</v>
      </c>
      <c r="I53" s="650">
        <v>7</v>
      </c>
      <c r="J53" s="36"/>
      <c r="K53" s="36"/>
      <c r="L53" s="36"/>
      <c r="M53" s="36"/>
      <c r="N53" s="36"/>
    </row>
    <row r="54" spans="1:14" ht="12.75" hidden="1" customHeight="1" outlineLevel="1" x14ac:dyDescent="0.2">
      <c r="A54" s="125"/>
      <c r="B54" s="300"/>
      <c r="C54" s="125"/>
      <c r="D54" s="630">
        <f>FirstYear</f>
        <v>2021</v>
      </c>
      <c r="E54" s="630">
        <f>D54+1</f>
        <v>2022</v>
      </c>
      <c r="F54" s="630">
        <f>E54+1</f>
        <v>2023</v>
      </c>
      <c r="G54" s="630">
        <f>F54+1</f>
        <v>2024</v>
      </c>
      <c r="H54" s="630">
        <f>G54+1</f>
        <v>2025</v>
      </c>
      <c r="I54" s="630">
        <f>H54+1</f>
        <v>2026</v>
      </c>
      <c r="J54" s="125"/>
      <c r="K54" s="125"/>
      <c r="L54" s="125"/>
      <c r="M54" s="125"/>
      <c r="N54" s="125"/>
    </row>
    <row r="55" spans="1:14" ht="12.75" hidden="1" customHeight="1" outlineLevel="1" x14ac:dyDescent="0.2">
      <c r="A55" s="125"/>
      <c r="B55" s="298">
        <v>1</v>
      </c>
      <c r="C55" s="294" t="s">
        <v>86</v>
      </c>
      <c r="D55" s="282">
        <f t="shared" ref="D55:I55" si="17">INDEX(PBSScriptsChanged,$B52,D53)*INDEX(DPMQCoPayChangedPub,$B52,$B55)</f>
        <v>0</v>
      </c>
      <c r="E55" s="282">
        <f t="shared" si="17"/>
        <v>0</v>
      </c>
      <c r="F55" s="282">
        <f t="shared" si="17"/>
        <v>0</v>
      </c>
      <c r="G55" s="282">
        <f t="shared" si="17"/>
        <v>0</v>
      </c>
      <c r="H55" s="282">
        <f t="shared" si="17"/>
        <v>0</v>
      </c>
      <c r="I55" s="282">
        <f t="shared" si="17"/>
        <v>0</v>
      </c>
      <c r="J55" s="125"/>
      <c r="K55" s="125"/>
      <c r="L55" s="125"/>
      <c r="M55" s="125"/>
      <c r="N55" s="125"/>
    </row>
    <row r="56" spans="1:14" ht="12.75" hidden="1" customHeight="1" outlineLevel="1" x14ac:dyDescent="0.2">
      <c r="A56" s="125"/>
      <c r="B56" s="298">
        <v>4</v>
      </c>
      <c r="C56" s="5" t="s">
        <v>111</v>
      </c>
      <c r="D56" s="282">
        <f t="shared" ref="D56:I56" si="18">INDEX(PBSScriptsChanged,$B52,D53)*(INDEX(DPMQCoPayChangedPub,$B52,$B56)/INDEX(CoPayCountChanged,$B52))</f>
        <v>0</v>
      </c>
      <c r="E56" s="282">
        <f t="shared" si="18"/>
        <v>0</v>
      </c>
      <c r="F56" s="282">
        <f t="shared" si="18"/>
        <v>0</v>
      </c>
      <c r="G56" s="282">
        <f t="shared" si="18"/>
        <v>0</v>
      </c>
      <c r="H56" s="282">
        <f t="shared" si="18"/>
        <v>0</v>
      </c>
      <c r="I56" s="282">
        <f t="shared" si="18"/>
        <v>0</v>
      </c>
      <c r="J56" s="125"/>
      <c r="K56" s="811" t="str">
        <f>IF(B53&lt;&gt;0,MsgNote&amp;IF(B53="Yes",INDEX(CoPayMethod,1),INDEX(CoPayMethod,2)),"")</f>
        <v/>
      </c>
      <c r="L56" s="811"/>
      <c r="M56" s="811"/>
      <c r="N56" s="628"/>
    </row>
    <row r="57" spans="1:14" ht="12.75" hidden="1" customHeight="1" outlineLevel="1" x14ac:dyDescent="0.2">
      <c r="A57" s="125"/>
      <c r="B57" s="300"/>
      <c r="C57" s="5" t="s">
        <v>88</v>
      </c>
      <c r="D57" s="282">
        <f t="shared" ref="D57:I57" si="19">D55+D56</f>
        <v>0</v>
      </c>
      <c r="E57" s="282">
        <f t="shared" si="19"/>
        <v>0</v>
      </c>
      <c r="F57" s="282">
        <f t="shared" si="19"/>
        <v>0</v>
      </c>
      <c r="G57" s="282">
        <f t="shared" si="19"/>
        <v>0</v>
      </c>
      <c r="H57" s="282">
        <f t="shared" si="19"/>
        <v>0</v>
      </c>
      <c r="I57" s="282">
        <f t="shared" si="19"/>
        <v>0</v>
      </c>
      <c r="J57" s="125"/>
      <c r="K57" s="125"/>
      <c r="L57" s="125"/>
      <c r="M57" s="125"/>
      <c r="N57" s="125"/>
    </row>
    <row r="58" spans="1:14" ht="12.75" hidden="1" customHeight="1" outlineLevel="1" x14ac:dyDescent="0.2">
      <c r="A58" s="125"/>
      <c r="B58" s="300"/>
      <c r="C58" s="125"/>
      <c r="D58" s="125"/>
      <c r="E58" s="125"/>
      <c r="F58" s="125"/>
      <c r="G58" s="125"/>
      <c r="H58" s="125"/>
      <c r="I58" s="125"/>
      <c r="J58" s="125"/>
      <c r="K58" s="125"/>
      <c r="L58" s="125"/>
      <c r="M58" s="125"/>
      <c r="N58" s="125"/>
    </row>
    <row r="59" spans="1:14" ht="15.75" hidden="1" customHeight="1" outlineLevel="1" x14ac:dyDescent="0.2">
      <c r="A59" s="125"/>
      <c r="B59" s="300"/>
      <c r="C59" s="125"/>
      <c r="D59" s="630">
        <f>FirstYear</f>
        <v>2021</v>
      </c>
      <c r="E59" s="630">
        <f>D59+1</f>
        <v>2022</v>
      </c>
      <c r="F59" s="630">
        <f>E59+1</f>
        <v>2023</v>
      </c>
      <c r="G59" s="630">
        <f>F59+1</f>
        <v>2024</v>
      </c>
      <c r="H59" s="630">
        <f>G59+1</f>
        <v>2025</v>
      </c>
      <c r="I59" s="630">
        <f>H59+1</f>
        <v>2026</v>
      </c>
      <c r="J59" s="125"/>
      <c r="K59" s="125"/>
      <c r="L59" s="125"/>
      <c r="M59" s="125"/>
      <c r="N59" s="125"/>
    </row>
    <row r="60" spans="1:14" ht="12.75" hidden="1" customHeight="1" outlineLevel="1" x14ac:dyDescent="0.2">
      <c r="A60" s="125"/>
      <c r="B60" s="298">
        <v>1</v>
      </c>
      <c r="C60" s="294" t="s">
        <v>87</v>
      </c>
      <c r="D60" s="282">
        <f t="shared" ref="D60:I60" si="20">INDEX(RPBSScriptsChanged,$B52,D53)*INDEX(DPMQCoPayChangedPub,$B52,$B60)</f>
        <v>0</v>
      </c>
      <c r="E60" s="282">
        <f t="shared" si="20"/>
        <v>0</v>
      </c>
      <c r="F60" s="282">
        <f t="shared" si="20"/>
        <v>0</v>
      </c>
      <c r="G60" s="282">
        <f t="shared" si="20"/>
        <v>0</v>
      </c>
      <c r="H60" s="282">
        <f t="shared" si="20"/>
        <v>0</v>
      </c>
      <c r="I60" s="282">
        <f t="shared" si="20"/>
        <v>0</v>
      </c>
      <c r="J60" s="125"/>
      <c r="K60" s="125"/>
      <c r="L60" s="125"/>
      <c r="M60" s="125"/>
      <c r="N60" s="125"/>
    </row>
    <row r="61" spans="1:14" ht="12.75" hidden="1" customHeight="1" outlineLevel="1" x14ac:dyDescent="0.2">
      <c r="A61" s="125"/>
      <c r="B61" s="298">
        <v>5</v>
      </c>
      <c r="C61" s="5" t="s">
        <v>111</v>
      </c>
      <c r="D61" s="282">
        <f t="shared" ref="D61:I61" si="21">INDEX(RPBSScriptsChanged,$B52,D53)*(INDEX(DPMQCoPayChangedPub,$B52,$B61)/INDEX(CoPayCountChanged,$B52))</f>
        <v>0</v>
      </c>
      <c r="E61" s="282">
        <f t="shared" si="21"/>
        <v>0</v>
      </c>
      <c r="F61" s="282">
        <f t="shared" si="21"/>
        <v>0</v>
      </c>
      <c r="G61" s="282">
        <f t="shared" si="21"/>
        <v>0</v>
      </c>
      <c r="H61" s="282">
        <f t="shared" si="21"/>
        <v>0</v>
      </c>
      <c r="I61" s="282">
        <f t="shared" si="21"/>
        <v>0</v>
      </c>
      <c r="J61" s="125"/>
      <c r="K61" s="125"/>
      <c r="L61" s="125"/>
      <c r="M61" s="125"/>
      <c r="N61" s="125"/>
    </row>
    <row r="62" spans="1:14" ht="12.75" hidden="1" customHeight="1" outlineLevel="1" x14ac:dyDescent="0.2">
      <c r="A62" s="125"/>
      <c r="B62" s="137"/>
      <c r="C62" s="5" t="s">
        <v>89</v>
      </c>
      <c r="D62" s="282">
        <f t="shared" ref="D62:I62" si="22">D60+D61</f>
        <v>0</v>
      </c>
      <c r="E62" s="282">
        <f t="shared" si="22"/>
        <v>0</v>
      </c>
      <c r="F62" s="282">
        <f t="shared" si="22"/>
        <v>0</v>
      </c>
      <c r="G62" s="282">
        <f t="shared" si="22"/>
        <v>0</v>
      </c>
      <c r="H62" s="282">
        <f t="shared" si="22"/>
        <v>0</v>
      </c>
      <c r="I62" s="282">
        <f t="shared" si="22"/>
        <v>0</v>
      </c>
      <c r="J62" s="125"/>
      <c r="K62" s="125"/>
      <c r="L62" s="125"/>
      <c r="M62" s="125"/>
      <c r="N62" s="125"/>
    </row>
    <row r="63" spans="1:14" ht="12.75" customHeight="1" collapsed="1" x14ac:dyDescent="0.2">
      <c r="A63" s="125"/>
      <c r="B63" s="300"/>
      <c r="C63" s="125"/>
      <c r="D63" s="658"/>
      <c r="E63" s="658"/>
      <c r="F63" s="36"/>
      <c r="G63" s="36"/>
      <c r="H63" s="36"/>
      <c r="I63" s="36"/>
      <c r="J63" s="36"/>
      <c r="K63" s="36"/>
      <c r="L63" s="36"/>
      <c r="M63" s="36"/>
      <c r="N63" s="36"/>
    </row>
    <row r="64" spans="1:14" ht="15" x14ac:dyDescent="0.2">
      <c r="A64" s="125"/>
      <c r="B64" s="298">
        <v>4</v>
      </c>
      <c r="C64" s="147" t="str">
        <f>INDEX(PBSScriptsChanged,B64,1)</f>
        <v>** NOT USED **</v>
      </c>
      <c r="D64" s="139"/>
      <c r="E64" s="139"/>
      <c r="F64" s="139"/>
      <c r="G64" s="139"/>
      <c r="H64" s="139"/>
      <c r="I64" s="139"/>
      <c r="J64" s="132"/>
      <c r="K64" s="132"/>
      <c r="L64" s="821" t="str">
        <f>IF(AND(C64&lt;&gt;MsgNotUsed,C64&lt;&gt;MsgNotRequired),"Co-payment group " &amp; INDEX(DPMQCoPayChangedPub,B64,3),"")</f>
        <v/>
      </c>
      <c r="M64" s="821"/>
      <c r="N64" s="633"/>
    </row>
    <row r="65" spans="1:14" ht="12.75" hidden="1" customHeight="1" outlineLevel="1" x14ac:dyDescent="0.2">
      <c r="A65" s="125"/>
      <c r="B65" s="242">
        <f>INDEX(SAChanged,B64,5)</f>
        <v>0</v>
      </c>
      <c r="C65" s="658"/>
      <c r="D65" s="697">
        <v>2</v>
      </c>
      <c r="E65" s="697">
        <v>3</v>
      </c>
      <c r="F65" s="650">
        <v>4</v>
      </c>
      <c r="G65" s="650">
        <v>5</v>
      </c>
      <c r="H65" s="650">
        <v>6</v>
      </c>
      <c r="I65" s="650">
        <v>7</v>
      </c>
      <c r="J65" s="36"/>
      <c r="K65" s="36"/>
      <c r="L65" s="36"/>
      <c r="M65" s="36"/>
      <c r="N65" s="36"/>
    </row>
    <row r="66" spans="1:14" ht="12.75" hidden="1" customHeight="1" outlineLevel="1" x14ac:dyDescent="0.2">
      <c r="A66" s="125"/>
      <c r="B66" s="300"/>
      <c r="C66" s="125"/>
      <c r="D66" s="630">
        <f>FirstYear</f>
        <v>2021</v>
      </c>
      <c r="E66" s="630">
        <f>D66+1</f>
        <v>2022</v>
      </c>
      <c r="F66" s="630">
        <f>E66+1</f>
        <v>2023</v>
      </c>
      <c r="G66" s="630">
        <f>F66+1</f>
        <v>2024</v>
      </c>
      <c r="H66" s="630">
        <f>G66+1</f>
        <v>2025</v>
      </c>
      <c r="I66" s="630">
        <f>H66+1</f>
        <v>2026</v>
      </c>
      <c r="J66" s="125"/>
      <c r="K66" s="125"/>
      <c r="L66" s="125"/>
      <c r="M66" s="125"/>
      <c r="N66" s="125"/>
    </row>
    <row r="67" spans="1:14" ht="12.75" hidden="1" customHeight="1" outlineLevel="1" x14ac:dyDescent="0.2">
      <c r="A67" s="125"/>
      <c r="B67" s="298">
        <v>1</v>
      </c>
      <c r="C67" s="294" t="s">
        <v>86</v>
      </c>
      <c r="D67" s="282">
        <f t="shared" ref="D67:I67" si="23">INDEX(PBSScriptsChanged,$B64,D65)*INDEX(DPMQCoPayChangedPub,$B64,$B67)</f>
        <v>0</v>
      </c>
      <c r="E67" s="282">
        <f t="shared" si="23"/>
        <v>0</v>
      </c>
      <c r="F67" s="282">
        <f t="shared" si="23"/>
        <v>0</v>
      </c>
      <c r="G67" s="282">
        <f t="shared" si="23"/>
        <v>0</v>
      </c>
      <c r="H67" s="282">
        <f t="shared" si="23"/>
        <v>0</v>
      </c>
      <c r="I67" s="282">
        <f t="shared" si="23"/>
        <v>0</v>
      </c>
      <c r="J67" s="125"/>
      <c r="K67" s="125"/>
      <c r="L67" s="125"/>
      <c r="M67" s="125"/>
      <c r="N67" s="125"/>
    </row>
    <row r="68" spans="1:14" ht="12.75" hidden="1" customHeight="1" outlineLevel="1" x14ac:dyDescent="0.2">
      <c r="A68" s="125"/>
      <c r="B68" s="298">
        <v>4</v>
      </c>
      <c r="C68" s="5" t="s">
        <v>111</v>
      </c>
      <c r="D68" s="282">
        <f t="shared" ref="D68:I68" si="24">INDEX(PBSScriptsChanged,$B64,D65)*(INDEX(DPMQCoPayChangedPub,$B64,$B68)/INDEX(CoPayCountChanged,$B64))</f>
        <v>0</v>
      </c>
      <c r="E68" s="282">
        <f t="shared" si="24"/>
        <v>0</v>
      </c>
      <c r="F68" s="282">
        <f t="shared" si="24"/>
        <v>0</v>
      </c>
      <c r="G68" s="282">
        <f t="shared" si="24"/>
        <v>0</v>
      </c>
      <c r="H68" s="282">
        <f t="shared" si="24"/>
        <v>0</v>
      </c>
      <c r="I68" s="282">
        <f t="shared" si="24"/>
        <v>0</v>
      </c>
      <c r="J68" s="125"/>
      <c r="K68" s="811" t="str">
        <f>IF(B65&lt;&gt;0,MsgNote&amp;IF(B65="Yes",INDEX(CoPayMethod,1),INDEX(CoPayMethod,2)),"")</f>
        <v/>
      </c>
      <c r="L68" s="811"/>
      <c r="M68" s="811"/>
      <c r="N68" s="628"/>
    </row>
    <row r="69" spans="1:14" ht="12.75" hidden="1" customHeight="1" outlineLevel="1" x14ac:dyDescent="0.2">
      <c r="A69" s="125"/>
      <c r="B69" s="300"/>
      <c r="C69" s="5" t="s">
        <v>88</v>
      </c>
      <c r="D69" s="282">
        <f t="shared" ref="D69:I69" si="25">D67+D68</f>
        <v>0</v>
      </c>
      <c r="E69" s="282">
        <f t="shared" si="25"/>
        <v>0</v>
      </c>
      <c r="F69" s="282">
        <f t="shared" si="25"/>
        <v>0</v>
      </c>
      <c r="G69" s="282">
        <f t="shared" si="25"/>
        <v>0</v>
      </c>
      <c r="H69" s="282">
        <f t="shared" si="25"/>
        <v>0</v>
      </c>
      <c r="I69" s="282">
        <f t="shared" si="25"/>
        <v>0</v>
      </c>
      <c r="J69" s="125"/>
      <c r="K69" s="125"/>
      <c r="L69" s="125"/>
      <c r="M69" s="125"/>
      <c r="N69" s="125"/>
    </row>
    <row r="70" spans="1:14" ht="12.75" hidden="1" customHeight="1" outlineLevel="1" x14ac:dyDescent="0.2">
      <c r="A70" s="125"/>
      <c r="B70" s="300"/>
      <c r="C70" s="125"/>
      <c r="D70" s="125"/>
      <c r="E70" s="125"/>
      <c r="F70" s="125"/>
      <c r="G70" s="125"/>
      <c r="H70" s="125"/>
      <c r="I70" s="125"/>
      <c r="J70" s="125"/>
      <c r="K70" s="125"/>
      <c r="L70" s="125"/>
      <c r="M70" s="125"/>
      <c r="N70" s="125"/>
    </row>
    <row r="71" spans="1:14" ht="15.75" hidden="1" customHeight="1" outlineLevel="1" x14ac:dyDescent="0.2">
      <c r="A71" s="125"/>
      <c r="B71" s="300"/>
      <c r="C71" s="125"/>
      <c r="D71" s="630">
        <f>FirstYear</f>
        <v>2021</v>
      </c>
      <c r="E71" s="630">
        <f>D71+1</f>
        <v>2022</v>
      </c>
      <c r="F71" s="630">
        <f>E71+1</f>
        <v>2023</v>
      </c>
      <c r="G71" s="630">
        <f>F71+1</f>
        <v>2024</v>
      </c>
      <c r="H71" s="630">
        <f>G71+1</f>
        <v>2025</v>
      </c>
      <c r="I71" s="630">
        <f>H71+1</f>
        <v>2026</v>
      </c>
      <c r="J71" s="125"/>
      <c r="K71" s="125"/>
      <c r="L71" s="125"/>
      <c r="M71" s="125"/>
      <c r="N71" s="125"/>
    </row>
    <row r="72" spans="1:14" ht="12.75" hidden="1" customHeight="1" outlineLevel="1" x14ac:dyDescent="0.2">
      <c r="A72" s="125"/>
      <c r="B72" s="298">
        <v>1</v>
      </c>
      <c r="C72" s="294" t="s">
        <v>87</v>
      </c>
      <c r="D72" s="282">
        <f t="shared" ref="D72:I72" si="26">INDEX(RPBSScriptsChanged,$B64,D65)*INDEX(DPMQCoPayChangedPub,$B64,$B72)</f>
        <v>0</v>
      </c>
      <c r="E72" s="282">
        <f t="shared" si="26"/>
        <v>0</v>
      </c>
      <c r="F72" s="282">
        <f t="shared" si="26"/>
        <v>0</v>
      </c>
      <c r="G72" s="282">
        <f t="shared" si="26"/>
        <v>0</v>
      </c>
      <c r="H72" s="282">
        <f t="shared" si="26"/>
        <v>0</v>
      </c>
      <c r="I72" s="282">
        <f t="shared" si="26"/>
        <v>0</v>
      </c>
      <c r="J72" s="125"/>
      <c r="K72" s="125"/>
      <c r="L72" s="125"/>
      <c r="M72" s="125"/>
      <c r="N72" s="125"/>
    </row>
    <row r="73" spans="1:14" ht="12.75" hidden="1" customHeight="1" outlineLevel="1" x14ac:dyDescent="0.2">
      <c r="A73" s="125"/>
      <c r="B73" s="298">
        <v>5</v>
      </c>
      <c r="C73" s="5" t="s">
        <v>111</v>
      </c>
      <c r="D73" s="282">
        <f t="shared" ref="D73:I73" si="27">INDEX(RPBSScriptsChanged,$B64,D65)*(INDEX(DPMQCoPayChangedPub,$B64,$B73)/INDEX(CoPayCountChanged,$B64))</f>
        <v>0</v>
      </c>
      <c r="E73" s="282">
        <f t="shared" si="27"/>
        <v>0</v>
      </c>
      <c r="F73" s="282">
        <f t="shared" si="27"/>
        <v>0</v>
      </c>
      <c r="G73" s="282">
        <f t="shared" si="27"/>
        <v>0</v>
      </c>
      <c r="H73" s="282">
        <f t="shared" si="27"/>
        <v>0</v>
      </c>
      <c r="I73" s="282">
        <f t="shared" si="27"/>
        <v>0</v>
      </c>
      <c r="J73" s="125"/>
      <c r="K73" s="125"/>
      <c r="L73" s="125"/>
      <c r="M73" s="125"/>
      <c r="N73" s="125"/>
    </row>
    <row r="74" spans="1:14" ht="12.75" hidden="1" customHeight="1" outlineLevel="1" x14ac:dyDescent="0.2">
      <c r="A74" s="125"/>
      <c r="B74" s="137"/>
      <c r="C74" s="5" t="s">
        <v>89</v>
      </c>
      <c r="D74" s="282">
        <f t="shared" ref="D74:I74" si="28">D72+D73</f>
        <v>0</v>
      </c>
      <c r="E74" s="282">
        <f t="shared" si="28"/>
        <v>0</v>
      </c>
      <c r="F74" s="282">
        <f t="shared" si="28"/>
        <v>0</v>
      </c>
      <c r="G74" s="282">
        <f t="shared" si="28"/>
        <v>0</v>
      </c>
      <c r="H74" s="282">
        <f t="shared" si="28"/>
        <v>0</v>
      </c>
      <c r="I74" s="282">
        <f t="shared" si="28"/>
        <v>0</v>
      </c>
      <c r="J74" s="125"/>
      <c r="K74" s="125"/>
      <c r="L74" s="125"/>
      <c r="M74" s="125"/>
      <c r="N74" s="125"/>
    </row>
    <row r="75" spans="1:14" ht="12.75" customHeight="1" collapsed="1" x14ac:dyDescent="0.2">
      <c r="A75" s="125"/>
      <c r="B75" s="300"/>
      <c r="C75" s="125"/>
      <c r="D75" s="658"/>
      <c r="E75" s="658"/>
      <c r="F75" s="36"/>
      <c r="G75" s="36"/>
      <c r="H75" s="36"/>
      <c r="I75" s="36"/>
      <c r="J75" s="36"/>
      <c r="K75" s="36"/>
      <c r="L75" s="36"/>
      <c r="M75" s="36"/>
      <c r="N75" s="36"/>
    </row>
    <row r="76" spans="1:14" ht="15" x14ac:dyDescent="0.2">
      <c r="A76" s="125"/>
      <c r="B76" s="298">
        <v>5</v>
      </c>
      <c r="C76" s="147" t="str">
        <f>INDEX(PBSScriptsChanged,B76,1)</f>
        <v>** NOT USED **</v>
      </c>
      <c r="D76" s="139"/>
      <c r="E76" s="139"/>
      <c r="F76" s="139"/>
      <c r="G76" s="139"/>
      <c r="H76" s="139"/>
      <c r="I76" s="139"/>
      <c r="J76" s="132"/>
      <c r="K76" s="132"/>
      <c r="L76" s="821" t="str">
        <f>IF(AND(C76&lt;&gt;MsgNotUsed,C76&lt;&gt;MsgNotRequired),"Co-payment group " &amp; INDEX(DPMQCoPayChangedPub,B76,3),"")</f>
        <v/>
      </c>
      <c r="M76" s="821"/>
      <c r="N76" s="633"/>
    </row>
    <row r="77" spans="1:14" ht="12.75" hidden="1" customHeight="1" outlineLevel="1" x14ac:dyDescent="0.2">
      <c r="A77" s="125"/>
      <c r="B77" s="242">
        <f>INDEX(SAChanged,B76,5)</f>
        <v>0</v>
      </c>
      <c r="C77" s="658"/>
      <c r="D77" s="697">
        <v>2</v>
      </c>
      <c r="E77" s="697">
        <v>3</v>
      </c>
      <c r="F77" s="650">
        <v>4</v>
      </c>
      <c r="G77" s="650">
        <v>5</v>
      </c>
      <c r="H77" s="650">
        <v>6</v>
      </c>
      <c r="I77" s="650">
        <v>7</v>
      </c>
      <c r="J77" s="36"/>
      <c r="K77" s="36"/>
      <c r="L77" s="36"/>
      <c r="M77" s="36"/>
      <c r="N77" s="36"/>
    </row>
    <row r="78" spans="1:14" ht="12.75" hidden="1" customHeight="1" outlineLevel="1" x14ac:dyDescent="0.2">
      <c r="A78" s="125"/>
      <c r="B78" s="300"/>
      <c r="C78" s="125"/>
      <c r="D78" s="630">
        <f>FirstYear</f>
        <v>2021</v>
      </c>
      <c r="E78" s="630">
        <f>D78+1</f>
        <v>2022</v>
      </c>
      <c r="F78" s="630">
        <f>E78+1</f>
        <v>2023</v>
      </c>
      <c r="G78" s="630">
        <f>F78+1</f>
        <v>2024</v>
      </c>
      <c r="H78" s="630">
        <f>G78+1</f>
        <v>2025</v>
      </c>
      <c r="I78" s="630">
        <f>H78+1</f>
        <v>2026</v>
      </c>
      <c r="J78" s="125"/>
      <c r="K78" s="125"/>
      <c r="L78" s="125"/>
      <c r="M78" s="125"/>
      <c r="N78" s="125"/>
    </row>
    <row r="79" spans="1:14" ht="12.75" hidden="1" customHeight="1" outlineLevel="1" x14ac:dyDescent="0.2">
      <c r="A79" s="125"/>
      <c r="B79" s="298">
        <v>1</v>
      </c>
      <c r="C79" s="294" t="s">
        <v>86</v>
      </c>
      <c r="D79" s="282">
        <f t="shared" ref="D79:I79" si="29">INDEX(PBSScriptsChanged,$B76,D77)*INDEX(DPMQCoPayChangedPub,$B76,$B79)</f>
        <v>0</v>
      </c>
      <c r="E79" s="282">
        <f t="shared" si="29"/>
        <v>0</v>
      </c>
      <c r="F79" s="282">
        <f t="shared" si="29"/>
        <v>0</v>
      </c>
      <c r="G79" s="282">
        <f t="shared" si="29"/>
        <v>0</v>
      </c>
      <c r="H79" s="282">
        <f t="shared" si="29"/>
        <v>0</v>
      </c>
      <c r="I79" s="282">
        <f t="shared" si="29"/>
        <v>0</v>
      </c>
      <c r="J79" s="125"/>
      <c r="K79" s="125"/>
      <c r="L79" s="125"/>
      <c r="M79" s="125"/>
      <c r="N79" s="125"/>
    </row>
    <row r="80" spans="1:14" ht="12.75" hidden="1" customHeight="1" outlineLevel="1" x14ac:dyDescent="0.2">
      <c r="A80" s="125"/>
      <c r="B80" s="298">
        <v>4</v>
      </c>
      <c r="C80" s="5" t="s">
        <v>111</v>
      </c>
      <c r="D80" s="282">
        <f t="shared" ref="D80:I80" si="30">INDEX(PBSScriptsChanged,$B76,D77)*(INDEX(DPMQCoPayChangedPub,$B76,$B80)/INDEX(CoPayCountChanged,$B76))</f>
        <v>0</v>
      </c>
      <c r="E80" s="282">
        <f t="shared" si="30"/>
        <v>0</v>
      </c>
      <c r="F80" s="282">
        <f t="shared" si="30"/>
        <v>0</v>
      </c>
      <c r="G80" s="282">
        <f t="shared" si="30"/>
        <v>0</v>
      </c>
      <c r="H80" s="282">
        <f t="shared" si="30"/>
        <v>0</v>
      </c>
      <c r="I80" s="282">
        <f t="shared" si="30"/>
        <v>0</v>
      </c>
      <c r="J80" s="125"/>
      <c r="K80" s="811" t="str">
        <f>IF(B77&lt;&gt;0,MsgNote&amp;IF(B77="Yes",INDEX(CoPayMethod,1),INDEX(CoPayMethod,2)),"")</f>
        <v/>
      </c>
      <c r="L80" s="811"/>
      <c r="M80" s="811"/>
      <c r="N80" s="628"/>
    </row>
    <row r="81" spans="1:14" ht="12.75" hidden="1" customHeight="1" outlineLevel="1" x14ac:dyDescent="0.2">
      <c r="A81" s="125"/>
      <c r="B81" s="300"/>
      <c r="C81" s="5" t="s">
        <v>88</v>
      </c>
      <c r="D81" s="282">
        <f t="shared" ref="D81:I81" si="31">D79+D80</f>
        <v>0</v>
      </c>
      <c r="E81" s="282">
        <f t="shared" si="31"/>
        <v>0</v>
      </c>
      <c r="F81" s="282">
        <f t="shared" si="31"/>
        <v>0</v>
      </c>
      <c r="G81" s="282">
        <f t="shared" si="31"/>
        <v>0</v>
      </c>
      <c r="H81" s="282">
        <f t="shared" si="31"/>
        <v>0</v>
      </c>
      <c r="I81" s="282">
        <f t="shared" si="31"/>
        <v>0</v>
      </c>
      <c r="J81" s="125"/>
      <c r="K81" s="125"/>
      <c r="L81" s="125"/>
      <c r="M81" s="125"/>
      <c r="N81" s="125"/>
    </row>
    <row r="82" spans="1:14" ht="12.75" hidden="1" customHeight="1" outlineLevel="1" x14ac:dyDescent="0.2">
      <c r="A82" s="125"/>
      <c r="B82" s="300"/>
      <c r="C82" s="125"/>
      <c r="D82" s="125"/>
      <c r="E82" s="125"/>
      <c r="F82" s="125"/>
      <c r="G82" s="125"/>
      <c r="H82" s="125"/>
      <c r="I82" s="125"/>
      <c r="J82" s="125"/>
      <c r="K82" s="125"/>
      <c r="L82" s="125"/>
      <c r="M82" s="125"/>
      <c r="N82" s="125"/>
    </row>
    <row r="83" spans="1:14" ht="15.75" hidden="1" customHeight="1" outlineLevel="1" x14ac:dyDescent="0.2">
      <c r="A83" s="125"/>
      <c r="B83" s="300"/>
      <c r="C83" s="125"/>
      <c r="D83" s="630">
        <f>FirstYear</f>
        <v>2021</v>
      </c>
      <c r="E83" s="630">
        <f>D83+1</f>
        <v>2022</v>
      </c>
      <c r="F83" s="630">
        <f>E83+1</f>
        <v>2023</v>
      </c>
      <c r="G83" s="630">
        <f>F83+1</f>
        <v>2024</v>
      </c>
      <c r="H83" s="630">
        <f>G83+1</f>
        <v>2025</v>
      </c>
      <c r="I83" s="630">
        <f>H83+1</f>
        <v>2026</v>
      </c>
      <c r="J83" s="125"/>
      <c r="K83" s="125"/>
      <c r="L83" s="125"/>
      <c r="M83" s="125"/>
      <c r="N83" s="125"/>
    </row>
    <row r="84" spans="1:14" ht="12.75" hidden="1" customHeight="1" outlineLevel="1" x14ac:dyDescent="0.2">
      <c r="A84" s="125"/>
      <c r="B84" s="298">
        <v>1</v>
      </c>
      <c r="C84" s="294" t="s">
        <v>87</v>
      </c>
      <c r="D84" s="282">
        <f t="shared" ref="D84:I84" si="32">INDEX(RPBSScriptsChanged,$B76,D77)*INDEX(DPMQCoPayChangedPub,$B76,$B84)</f>
        <v>0</v>
      </c>
      <c r="E84" s="282">
        <f t="shared" si="32"/>
        <v>0</v>
      </c>
      <c r="F84" s="282">
        <f t="shared" si="32"/>
        <v>0</v>
      </c>
      <c r="G84" s="282">
        <f t="shared" si="32"/>
        <v>0</v>
      </c>
      <c r="H84" s="282">
        <f t="shared" si="32"/>
        <v>0</v>
      </c>
      <c r="I84" s="282">
        <f t="shared" si="32"/>
        <v>0</v>
      </c>
      <c r="J84" s="125"/>
      <c r="K84" s="125"/>
      <c r="L84" s="125"/>
      <c r="M84" s="125"/>
      <c r="N84" s="125"/>
    </row>
    <row r="85" spans="1:14" ht="12.75" hidden="1" customHeight="1" outlineLevel="1" x14ac:dyDescent="0.2">
      <c r="A85" s="125"/>
      <c r="B85" s="298">
        <v>5</v>
      </c>
      <c r="C85" s="5" t="s">
        <v>111</v>
      </c>
      <c r="D85" s="282">
        <f t="shared" ref="D85:I85" si="33">INDEX(RPBSScriptsChanged,$B76,D77)*(INDEX(DPMQCoPayChangedPub,$B76,$B85)/INDEX(CoPayCountChanged,$B76))</f>
        <v>0</v>
      </c>
      <c r="E85" s="282">
        <f t="shared" si="33"/>
        <v>0</v>
      </c>
      <c r="F85" s="282">
        <f t="shared" si="33"/>
        <v>0</v>
      </c>
      <c r="G85" s="282">
        <f t="shared" si="33"/>
        <v>0</v>
      </c>
      <c r="H85" s="282">
        <f t="shared" si="33"/>
        <v>0</v>
      </c>
      <c r="I85" s="282">
        <f t="shared" si="33"/>
        <v>0</v>
      </c>
      <c r="J85" s="125"/>
      <c r="K85" s="125"/>
      <c r="L85" s="125"/>
      <c r="M85" s="125"/>
      <c r="N85" s="125"/>
    </row>
    <row r="86" spans="1:14" ht="12.75" hidden="1" customHeight="1" outlineLevel="1" x14ac:dyDescent="0.2">
      <c r="A86" s="125"/>
      <c r="B86" s="137"/>
      <c r="C86" s="5" t="s">
        <v>89</v>
      </c>
      <c r="D86" s="282">
        <f t="shared" ref="D86:I86" si="34">D84+D85</f>
        <v>0</v>
      </c>
      <c r="E86" s="282">
        <f t="shared" si="34"/>
        <v>0</v>
      </c>
      <c r="F86" s="282">
        <f t="shared" si="34"/>
        <v>0</v>
      </c>
      <c r="G86" s="282">
        <f t="shared" si="34"/>
        <v>0</v>
      </c>
      <c r="H86" s="282">
        <f t="shared" si="34"/>
        <v>0</v>
      </c>
      <c r="I86" s="282">
        <f t="shared" si="34"/>
        <v>0</v>
      </c>
      <c r="J86" s="125"/>
      <c r="K86" s="125"/>
      <c r="L86" s="125"/>
      <c r="M86" s="125"/>
      <c r="N86" s="125"/>
    </row>
    <row r="87" spans="1:14" ht="12.75" customHeight="1" collapsed="1" x14ac:dyDescent="0.2">
      <c r="A87" s="125"/>
      <c r="B87" s="300"/>
      <c r="C87" s="125"/>
      <c r="D87" s="658"/>
      <c r="E87" s="658"/>
      <c r="F87" s="36"/>
      <c r="G87" s="36"/>
      <c r="H87" s="36"/>
      <c r="I87" s="36"/>
      <c r="J87" s="36"/>
      <c r="K87" s="36"/>
      <c r="L87" s="36"/>
      <c r="M87" s="36"/>
      <c r="N87" s="36"/>
    </row>
    <row r="88" spans="1:14" ht="15" x14ac:dyDescent="0.2">
      <c r="A88" s="125"/>
      <c r="B88" s="298">
        <v>6</v>
      </c>
      <c r="C88" s="147" t="str">
        <f>INDEX(PBSScriptsChanged,B88,1)</f>
        <v>** NOT USED **</v>
      </c>
      <c r="D88" s="139"/>
      <c r="E88" s="139"/>
      <c r="F88" s="139"/>
      <c r="G88" s="139"/>
      <c r="H88" s="139"/>
      <c r="I88" s="139"/>
      <c r="J88" s="132"/>
      <c r="K88" s="132"/>
      <c r="L88" s="821" t="str">
        <f>IF(AND(C88&lt;&gt;MsgNotUsed,C88&lt;&gt;MsgNotRequired),"Co-payment group " &amp; INDEX(DPMQCoPayChangedPub,B88,3),"")</f>
        <v/>
      </c>
      <c r="M88" s="821"/>
      <c r="N88" s="633"/>
    </row>
    <row r="89" spans="1:14" ht="12.75" hidden="1" customHeight="1" outlineLevel="1" x14ac:dyDescent="0.2">
      <c r="A89" s="125"/>
      <c r="B89" s="242">
        <f>INDEX(SAChanged,B88,5)</f>
        <v>0</v>
      </c>
      <c r="C89" s="658"/>
      <c r="D89" s="697">
        <v>2</v>
      </c>
      <c r="E89" s="697">
        <v>3</v>
      </c>
      <c r="F89" s="650">
        <v>4</v>
      </c>
      <c r="G89" s="650">
        <v>5</v>
      </c>
      <c r="H89" s="650">
        <v>6</v>
      </c>
      <c r="I89" s="650">
        <v>7</v>
      </c>
      <c r="J89" s="36"/>
      <c r="K89" s="36"/>
      <c r="L89" s="36"/>
      <c r="M89" s="36"/>
      <c r="N89" s="36"/>
    </row>
    <row r="90" spans="1:14" ht="12.75" hidden="1" customHeight="1" outlineLevel="1" x14ac:dyDescent="0.2">
      <c r="A90" s="125"/>
      <c r="B90" s="300"/>
      <c r="C90" s="125"/>
      <c r="D90" s="630">
        <f>FirstYear</f>
        <v>2021</v>
      </c>
      <c r="E90" s="630">
        <f>D90+1</f>
        <v>2022</v>
      </c>
      <c r="F90" s="630">
        <f>E90+1</f>
        <v>2023</v>
      </c>
      <c r="G90" s="630">
        <f>F90+1</f>
        <v>2024</v>
      </c>
      <c r="H90" s="630">
        <f>G90+1</f>
        <v>2025</v>
      </c>
      <c r="I90" s="630">
        <f>H90+1</f>
        <v>2026</v>
      </c>
      <c r="J90" s="125"/>
      <c r="K90" s="125"/>
      <c r="L90" s="125"/>
      <c r="M90" s="125"/>
      <c r="N90" s="125"/>
    </row>
    <row r="91" spans="1:14" ht="12.75" hidden="1" customHeight="1" outlineLevel="1" x14ac:dyDescent="0.2">
      <c r="A91" s="125"/>
      <c r="B91" s="298">
        <v>1</v>
      </c>
      <c r="C91" s="294" t="s">
        <v>86</v>
      </c>
      <c r="D91" s="282">
        <f t="shared" ref="D91:I91" si="35">INDEX(PBSScriptsChanged,$B88,D89)*INDEX(DPMQCoPayChangedPub,$B88,$B91)</f>
        <v>0</v>
      </c>
      <c r="E91" s="282">
        <f t="shared" si="35"/>
        <v>0</v>
      </c>
      <c r="F91" s="282">
        <f t="shared" si="35"/>
        <v>0</v>
      </c>
      <c r="G91" s="282">
        <f t="shared" si="35"/>
        <v>0</v>
      </c>
      <c r="H91" s="282">
        <f t="shared" si="35"/>
        <v>0</v>
      </c>
      <c r="I91" s="282">
        <f t="shared" si="35"/>
        <v>0</v>
      </c>
      <c r="J91" s="125"/>
      <c r="K91" s="125"/>
      <c r="L91" s="125"/>
      <c r="M91" s="125"/>
      <c r="N91" s="125"/>
    </row>
    <row r="92" spans="1:14" ht="12.75" hidden="1" customHeight="1" outlineLevel="1" x14ac:dyDescent="0.2">
      <c r="A92" s="125"/>
      <c r="B92" s="298">
        <v>4</v>
      </c>
      <c r="C92" s="5" t="s">
        <v>111</v>
      </c>
      <c r="D92" s="282">
        <f t="shared" ref="D92:I92" si="36">INDEX(PBSScriptsChanged,$B88,D89)*(INDEX(DPMQCoPayChangedPub,$B88,$B92)/INDEX(CoPayCountChanged,$B88))</f>
        <v>0</v>
      </c>
      <c r="E92" s="282">
        <f t="shared" si="36"/>
        <v>0</v>
      </c>
      <c r="F92" s="282">
        <f t="shared" si="36"/>
        <v>0</v>
      </c>
      <c r="G92" s="282">
        <f t="shared" si="36"/>
        <v>0</v>
      </c>
      <c r="H92" s="282">
        <f t="shared" si="36"/>
        <v>0</v>
      </c>
      <c r="I92" s="282">
        <f t="shared" si="36"/>
        <v>0</v>
      </c>
      <c r="J92" s="125"/>
      <c r="K92" s="811" t="str">
        <f>IF(B89&lt;&gt;0,MsgNote&amp;IF(B89="Yes",INDEX(CoPayMethod,1),INDEX(CoPayMethod,2)),"")</f>
        <v/>
      </c>
      <c r="L92" s="811"/>
      <c r="M92" s="811"/>
      <c r="N92" s="628"/>
    </row>
    <row r="93" spans="1:14" ht="12.75" hidden="1" customHeight="1" outlineLevel="1" x14ac:dyDescent="0.2">
      <c r="A93" s="125"/>
      <c r="B93" s="300"/>
      <c r="C93" s="5" t="s">
        <v>88</v>
      </c>
      <c r="D93" s="282">
        <f t="shared" ref="D93:I93" si="37">D91+D92</f>
        <v>0</v>
      </c>
      <c r="E93" s="282">
        <f t="shared" si="37"/>
        <v>0</v>
      </c>
      <c r="F93" s="282">
        <f t="shared" si="37"/>
        <v>0</v>
      </c>
      <c r="G93" s="282">
        <f t="shared" si="37"/>
        <v>0</v>
      </c>
      <c r="H93" s="282">
        <f t="shared" si="37"/>
        <v>0</v>
      </c>
      <c r="I93" s="282">
        <f t="shared" si="37"/>
        <v>0</v>
      </c>
      <c r="J93" s="125"/>
      <c r="K93" s="125"/>
      <c r="L93" s="125"/>
      <c r="M93" s="125"/>
      <c r="N93" s="125"/>
    </row>
    <row r="94" spans="1:14" ht="12.75" hidden="1" customHeight="1" outlineLevel="1" x14ac:dyDescent="0.2">
      <c r="A94" s="125"/>
      <c r="B94" s="300"/>
      <c r="C94" s="125"/>
      <c r="D94" s="125"/>
      <c r="E94" s="125"/>
      <c r="F94" s="125"/>
      <c r="G94" s="125"/>
      <c r="H94" s="125"/>
      <c r="I94" s="125"/>
      <c r="J94" s="125"/>
      <c r="K94" s="125"/>
      <c r="L94" s="125"/>
      <c r="M94" s="125"/>
      <c r="N94" s="125"/>
    </row>
    <row r="95" spans="1:14" ht="15.75" hidden="1" customHeight="1" outlineLevel="1" x14ac:dyDescent="0.2">
      <c r="A95" s="125"/>
      <c r="B95" s="300"/>
      <c r="C95" s="125"/>
      <c r="D95" s="630">
        <f>FirstYear</f>
        <v>2021</v>
      </c>
      <c r="E95" s="630">
        <f>D95+1</f>
        <v>2022</v>
      </c>
      <c r="F95" s="630">
        <f>E95+1</f>
        <v>2023</v>
      </c>
      <c r="G95" s="630">
        <f>F95+1</f>
        <v>2024</v>
      </c>
      <c r="H95" s="630">
        <f>G95+1</f>
        <v>2025</v>
      </c>
      <c r="I95" s="630">
        <f>H95+1</f>
        <v>2026</v>
      </c>
      <c r="J95" s="125"/>
      <c r="K95" s="125"/>
      <c r="L95" s="125"/>
      <c r="M95" s="125"/>
      <c r="N95" s="125"/>
    </row>
    <row r="96" spans="1:14" ht="12.75" hidden="1" customHeight="1" outlineLevel="1" x14ac:dyDescent="0.2">
      <c r="A96" s="125"/>
      <c r="B96" s="298">
        <v>1</v>
      </c>
      <c r="C96" s="294" t="s">
        <v>87</v>
      </c>
      <c r="D96" s="282">
        <f t="shared" ref="D96:I96" si="38">INDEX(RPBSScriptsChanged,$B88,D89)*INDEX(DPMQCoPayChangedPub,$B88,$B96)</f>
        <v>0</v>
      </c>
      <c r="E96" s="282">
        <f t="shared" si="38"/>
        <v>0</v>
      </c>
      <c r="F96" s="282">
        <f t="shared" si="38"/>
        <v>0</v>
      </c>
      <c r="G96" s="282">
        <f t="shared" si="38"/>
        <v>0</v>
      </c>
      <c r="H96" s="282">
        <f t="shared" si="38"/>
        <v>0</v>
      </c>
      <c r="I96" s="282">
        <f t="shared" si="38"/>
        <v>0</v>
      </c>
      <c r="J96" s="125"/>
      <c r="K96" s="125"/>
      <c r="L96" s="125"/>
      <c r="M96" s="125"/>
      <c r="N96" s="125"/>
    </row>
    <row r="97" spans="1:14" ht="12.75" hidden="1" customHeight="1" outlineLevel="1" x14ac:dyDescent="0.2">
      <c r="A97" s="125"/>
      <c r="B97" s="298">
        <v>5</v>
      </c>
      <c r="C97" s="5" t="s">
        <v>111</v>
      </c>
      <c r="D97" s="282">
        <f t="shared" ref="D97:I97" si="39">INDEX(RPBSScriptsChanged,$B88,D89)*(INDEX(DPMQCoPayChangedPub,$B88,$B97)/INDEX(CoPayCountChanged,$B88))</f>
        <v>0</v>
      </c>
      <c r="E97" s="282">
        <f t="shared" si="39"/>
        <v>0</v>
      </c>
      <c r="F97" s="282">
        <f t="shared" si="39"/>
        <v>0</v>
      </c>
      <c r="G97" s="282">
        <f t="shared" si="39"/>
        <v>0</v>
      </c>
      <c r="H97" s="282">
        <f t="shared" si="39"/>
        <v>0</v>
      </c>
      <c r="I97" s="282">
        <f t="shared" si="39"/>
        <v>0</v>
      </c>
      <c r="J97" s="125"/>
      <c r="K97" s="125"/>
      <c r="L97" s="125"/>
      <c r="M97" s="125"/>
      <c r="N97" s="125"/>
    </row>
    <row r="98" spans="1:14" ht="12.75" hidden="1" customHeight="1" outlineLevel="1" x14ac:dyDescent="0.2">
      <c r="A98" s="125"/>
      <c r="B98" s="137"/>
      <c r="C98" s="5" t="s">
        <v>89</v>
      </c>
      <c r="D98" s="282">
        <f t="shared" ref="D98:I98" si="40">D96+D97</f>
        <v>0</v>
      </c>
      <c r="E98" s="282">
        <f t="shared" si="40"/>
        <v>0</v>
      </c>
      <c r="F98" s="282">
        <f t="shared" si="40"/>
        <v>0</v>
      </c>
      <c r="G98" s="282">
        <f t="shared" si="40"/>
        <v>0</v>
      </c>
      <c r="H98" s="282">
        <f t="shared" si="40"/>
        <v>0</v>
      </c>
      <c r="I98" s="282">
        <f t="shared" si="40"/>
        <v>0</v>
      </c>
      <c r="J98" s="125"/>
      <c r="K98" s="125"/>
      <c r="L98" s="125"/>
      <c r="M98" s="125"/>
      <c r="N98" s="125"/>
    </row>
    <row r="99" spans="1:14" ht="12.75" customHeight="1" collapsed="1" x14ac:dyDescent="0.2">
      <c r="A99" s="125"/>
      <c r="B99" s="300"/>
      <c r="C99" s="125"/>
      <c r="D99" s="658"/>
      <c r="E99" s="658"/>
      <c r="F99" s="36"/>
      <c r="G99" s="36"/>
      <c r="H99" s="36"/>
      <c r="I99" s="36"/>
      <c r="J99" s="36"/>
      <c r="K99" s="36"/>
      <c r="L99" s="36"/>
      <c r="M99" s="36"/>
      <c r="N99" s="36"/>
    </row>
    <row r="100" spans="1:14" ht="15" x14ac:dyDescent="0.2">
      <c r="A100" s="125"/>
      <c r="B100" s="298">
        <v>7</v>
      </c>
      <c r="C100" s="147" t="str">
        <f>INDEX(PBSScriptsChanged,B100,1)</f>
        <v>** NOT USED **</v>
      </c>
      <c r="D100" s="139"/>
      <c r="E100" s="139"/>
      <c r="F100" s="139"/>
      <c r="G100" s="139"/>
      <c r="H100" s="139"/>
      <c r="I100" s="139"/>
      <c r="J100" s="132"/>
      <c r="K100" s="132"/>
      <c r="L100" s="821" t="str">
        <f>IF(AND(C100&lt;&gt;MsgNotUsed,C100&lt;&gt;MsgNotRequired),"Co-payment group " &amp; INDEX(DPMQCoPayChangedPub,B100,3),"")</f>
        <v/>
      </c>
      <c r="M100" s="821"/>
      <c r="N100" s="633"/>
    </row>
    <row r="101" spans="1:14" ht="12.75" hidden="1" customHeight="1" outlineLevel="1" x14ac:dyDescent="0.2">
      <c r="A101" s="125"/>
      <c r="B101" s="242">
        <f>INDEX(SAChanged,B100,5)</f>
        <v>0</v>
      </c>
      <c r="C101" s="658"/>
      <c r="D101" s="697">
        <v>2</v>
      </c>
      <c r="E101" s="697">
        <v>3</v>
      </c>
      <c r="F101" s="650">
        <v>4</v>
      </c>
      <c r="G101" s="650">
        <v>5</v>
      </c>
      <c r="H101" s="650">
        <v>6</v>
      </c>
      <c r="I101" s="650">
        <v>7</v>
      </c>
      <c r="J101" s="36"/>
      <c r="K101" s="36"/>
      <c r="L101" s="36"/>
      <c r="M101" s="36"/>
      <c r="N101" s="36"/>
    </row>
    <row r="102" spans="1:14" ht="12.75" hidden="1" customHeight="1" outlineLevel="1" x14ac:dyDescent="0.2">
      <c r="A102" s="125"/>
      <c r="B102" s="300"/>
      <c r="C102" s="125"/>
      <c r="D102" s="630">
        <f>FirstYear</f>
        <v>2021</v>
      </c>
      <c r="E102" s="630">
        <f>D102+1</f>
        <v>2022</v>
      </c>
      <c r="F102" s="630">
        <f>E102+1</f>
        <v>2023</v>
      </c>
      <c r="G102" s="630">
        <f>F102+1</f>
        <v>2024</v>
      </c>
      <c r="H102" s="630">
        <f>G102+1</f>
        <v>2025</v>
      </c>
      <c r="I102" s="630">
        <f>H102+1</f>
        <v>2026</v>
      </c>
      <c r="J102" s="125"/>
      <c r="K102" s="125"/>
      <c r="L102" s="125"/>
      <c r="M102" s="125"/>
      <c r="N102" s="125"/>
    </row>
    <row r="103" spans="1:14" ht="12.75" hidden="1" customHeight="1" outlineLevel="1" x14ac:dyDescent="0.2">
      <c r="A103" s="125"/>
      <c r="B103" s="298">
        <v>1</v>
      </c>
      <c r="C103" s="294" t="s">
        <v>86</v>
      </c>
      <c r="D103" s="282">
        <f t="shared" ref="D103:I103" si="41">INDEX(PBSScriptsChanged,$B100,D101)*INDEX(DPMQCoPayChangedPub,$B100,$B103)</f>
        <v>0</v>
      </c>
      <c r="E103" s="282">
        <f t="shared" si="41"/>
        <v>0</v>
      </c>
      <c r="F103" s="282">
        <f t="shared" si="41"/>
        <v>0</v>
      </c>
      <c r="G103" s="282">
        <f t="shared" si="41"/>
        <v>0</v>
      </c>
      <c r="H103" s="282">
        <f t="shared" si="41"/>
        <v>0</v>
      </c>
      <c r="I103" s="282">
        <f t="shared" si="41"/>
        <v>0</v>
      </c>
      <c r="J103" s="125"/>
      <c r="K103" s="125"/>
      <c r="L103" s="125"/>
      <c r="M103" s="125"/>
      <c r="N103" s="125"/>
    </row>
    <row r="104" spans="1:14" ht="12.75" hidden="1" customHeight="1" outlineLevel="1" x14ac:dyDescent="0.2">
      <c r="A104" s="125"/>
      <c r="B104" s="298">
        <v>4</v>
      </c>
      <c r="C104" s="5" t="s">
        <v>111</v>
      </c>
      <c r="D104" s="282">
        <f t="shared" ref="D104:I104" si="42">INDEX(PBSScriptsChanged,$B100,D101)*(INDEX(DPMQCoPayChangedPub,$B100,$B104)/INDEX(CoPayCountChanged,$B100))</f>
        <v>0</v>
      </c>
      <c r="E104" s="282">
        <f t="shared" si="42"/>
        <v>0</v>
      </c>
      <c r="F104" s="282">
        <f t="shared" si="42"/>
        <v>0</v>
      </c>
      <c r="G104" s="282">
        <f t="shared" si="42"/>
        <v>0</v>
      </c>
      <c r="H104" s="282">
        <f t="shared" si="42"/>
        <v>0</v>
      </c>
      <c r="I104" s="282">
        <f t="shared" si="42"/>
        <v>0</v>
      </c>
      <c r="J104" s="125"/>
      <c r="K104" s="811" t="str">
        <f>IF(B101&lt;&gt;0,MsgNote&amp;IF(B101="Yes",INDEX(CoPayMethod,1),INDEX(CoPayMethod,2)),"")</f>
        <v/>
      </c>
      <c r="L104" s="811"/>
      <c r="M104" s="811"/>
      <c r="N104" s="628"/>
    </row>
    <row r="105" spans="1:14" ht="12.75" hidden="1" customHeight="1" outlineLevel="1" x14ac:dyDescent="0.2">
      <c r="A105" s="125"/>
      <c r="B105" s="300"/>
      <c r="C105" s="5" t="s">
        <v>88</v>
      </c>
      <c r="D105" s="282">
        <f t="shared" ref="D105:I105" si="43">D103+D104</f>
        <v>0</v>
      </c>
      <c r="E105" s="282">
        <f t="shared" si="43"/>
        <v>0</v>
      </c>
      <c r="F105" s="282">
        <f t="shared" si="43"/>
        <v>0</v>
      </c>
      <c r="G105" s="282">
        <f t="shared" si="43"/>
        <v>0</v>
      </c>
      <c r="H105" s="282">
        <f t="shared" si="43"/>
        <v>0</v>
      </c>
      <c r="I105" s="282">
        <f t="shared" si="43"/>
        <v>0</v>
      </c>
      <c r="J105" s="125"/>
      <c r="K105" s="125"/>
      <c r="L105" s="125"/>
      <c r="M105" s="125"/>
      <c r="N105" s="125"/>
    </row>
    <row r="106" spans="1:14" ht="12.75" hidden="1" customHeight="1" outlineLevel="1" x14ac:dyDescent="0.2">
      <c r="A106" s="125"/>
      <c r="B106" s="300"/>
      <c r="C106" s="125"/>
      <c r="D106" s="125"/>
      <c r="E106" s="125"/>
      <c r="F106" s="125"/>
      <c r="G106" s="125"/>
      <c r="H106" s="125"/>
      <c r="I106" s="125"/>
      <c r="J106" s="125"/>
      <c r="K106" s="125"/>
      <c r="L106" s="125"/>
      <c r="M106" s="125"/>
      <c r="N106" s="125"/>
    </row>
    <row r="107" spans="1:14" ht="15.75" hidden="1" customHeight="1" outlineLevel="1" x14ac:dyDescent="0.2">
      <c r="A107" s="125"/>
      <c r="B107" s="300"/>
      <c r="C107" s="125"/>
      <c r="D107" s="630">
        <f>FirstYear</f>
        <v>2021</v>
      </c>
      <c r="E107" s="630">
        <f>D107+1</f>
        <v>2022</v>
      </c>
      <c r="F107" s="630">
        <f>E107+1</f>
        <v>2023</v>
      </c>
      <c r="G107" s="630">
        <f>F107+1</f>
        <v>2024</v>
      </c>
      <c r="H107" s="630">
        <f>G107+1</f>
        <v>2025</v>
      </c>
      <c r="I107" s="630">
        <f>H107+1</f>
        <v>2026</v>
      </c>
      <c r="J107" s="125"/>
      <c r="K107" s="125"/>
      <c r="L107" s="125"/>
      <c r="M107" s="125"/>
      <c r="N107" s="125"/>
    </row>
    <row r="108" spans="1:14" ht="12.75" hidden="1" customHeight="1" outlineLevel="1" x14ac:dyDescent="0.2">
      <c r="A108" s="125"/>
      <c r="B108" s="298">
        <v>1</v>
      </c>
      <c r="C108" s="294" t="s">
        <v>87</v>
      </c>
      <c r="D108" s="282">
        <f t="shared" ref="D108:I108" si="44">INDEX(RPBSScriptsChanged,$B100,D101)*INDEX(DPMQCoPayChangedPub,$B100,$B108)</f>
        <v>0</v>
      </c>
      <c r="E108" s="282">
        <f t="shared" si="44"/>
        <v>0</v>
      </c>
      <c r="F108" s="282">
        <f t="shared" si="44"/>
        <v>0</v>
      </c>
      <c r="G108" s="282">
        <f t="shared" si="44"/>
        <v>0</v>
      </c>
      <c r="H108" s="282">
        <f t="shared" si="44"/>
        <v>0</v>
      </c>
      <c r="I108" s="282">
        <f t="shared" si="44"/>
        <v>0</v>
      </c>
      <c r="J108" s="125"/>
      <c r="K108" s="125"/>
      <c r="L108" s="125"/>
      <c r="M108" s="125"/>
      <c r="N108" s="125"/>
    </row>
    <row r="109" spans="1:14" ht="12.75" hidden="1" customHeight="1" outlineLevel="1" x14ac:dyDescent="0.2">
      <c r="A109" s="125"/>
      <c r="B109" s="298">
        <v>5</v>
      </c>
      <c r="C109" s="5" t="s">
        <v>111</v>
      </c>
      <c r="D109" s="282">
        <f t="shared" ref="D109:I109" si="45">INDEX(RPBSScriptsChanged,$B100,D101)*(INDEX(DPMQCoPayChangedPub,$B100,$B109)/INDEX(CoPayCountChanged,$B100))</f>
        <v>0</v>
      </c>
      <c r="E109" s="282">
        <f t="shared" si="45"/>
        <v>0</v>
      </c>
      <c r="F109" s="282">
        <f t="shared" si="45"/>
        <v>0</v>
      </c>
      <c r="G109" s="282">
        <f t="shared" si="45"/>
        <v>0</v>
      </c>
      <c r="H109" s="282">
        <f t="shared" si="45"/>
        <v>0</v>
      </c>
      <c r="I109" s="282">
        <f t="shared" si="45"/>
        <v>0</v>
      </c>
      <c r="J109" s="125"/>
      <c r="K109" s="125"/>
      <c r="L109" s="125"/>
      <c r="M109" s="125"/>
      <c r="N109" s="125"/>
    </row>
    <row r="110" spans="1:14" ht="12.75" hidden="1" customHeight="1" outlineLevel="1" x14ac:dyDescent="0.2">
      <c r="A110" s="125"/>
      <c r="B110" s="137"/>
      <c r="C110" s="5" t="s">
        <v>89</v>
      </c>
      <c r="D110" s="282">
        <f t="shared" ref="D110:I110" si="46">D108+D109</f>
        <v>0</v>
      </c>
      <c r="E110" s="282">
        <f t="shared" si="46"/>
        <v>0</v>
      </c>
      <c r="F110" s="282">
        <f t="shared" si="46"/>
        <v>0</v>
      </c>
      <c r="G110" s="282">
        <f t="shared" si="46"/>
        <v>0</v>
      </c>
      <c r="H110" s="282">
        <f t="shared" si="46"/>
        <v>0</v>
      </c>
      <c r="I110" s="282">
        <f t="shared" si="46"/>
        <v>0</v>
      </c>
      <c r="J110" s="125"/>
      <c r="K110" s="125"/>
      <c r="L110" s="125"/>
      <c r="M110" s="125"/>
      <c r="N110" s="125"/>
    </row>
    <row r="111" spans="1:14" ht="12.75" customHeight="1" collapsed="1" x14ac:dyDescent="0.2">
      <c r="A111" s="125"/>
      <c r="B111" s="300"/>
      <c r="C111" s="125"/>
      <c r="D111" s="658"/>
      <c r="E111" s="658"/>
      <c r="F111" s="36"/>
      <c r="G111" s="36"/>
      <c r="H111" s="36"/>
      <c r="I111" s="36"/>
      <c r="J111" s="36"/>
      <c r="K111" s="36"/>
      <c r="L111" s="36"/>
      <c r="M111" s="36"/>
      <c r="N111" s="36"/>
    </row>
    <row r="112" spans="1:14" ht="15" x14ac:dyDescent="0.2">
      <c r="A112" s="125"/>
      <c r="B112" s="298">
        <v>8</v>
      </c>
      <c r="C112" s="147" t="str">
        <f>INDEX(PBSScriptsChanged,B112,1)</f>
        <v>** NOT USED **</v>
      </c>
      <c r="D112" s="139"/>
      <c r="E112" s="139"/>
      <c r="F112" s="139"/>
      <c r="G112" s="139"/>
      <c r="H112" s="139"/>
      <c r="I112" s="139"/>
      <c r="J112" s="132"/>
      <c r="K112" s="132"/>
      <c r="L112" s="821" t="str">
        <f>IF(AND(C112&lt;&gt;MsgNotUsed,C112&lt;&gt;MsgNotRequired),"Co-payment group " &amp; INDEX(DPMQCoPayChangedPub,B112,3),"")</f>
        <v/>
      </c>
      <c r="M112" s="821"/>
      <c r="N112" s="633"/>
    </row>
    <row r="113" spans="1:14" ht="12.75" hidden="1" customHeight="1" outlineLevel="1" x14ac:dyDescent="0.2">
      <c r="A113" s="125"/>
      <c r="B113" s="242">
        <f>INDEX(SAChanged,B112,5)</f>
        <v>0</v>
      </c>
      <c r="C113" s="658"/>
      <c r="D113" s="697">
        <v>2</v>
      </c>
      <c r="E113" s="697">
        <v>3</v>
      </c>
      <c r="F113" s="650">
        <v>4</v>
      </c>
      <c r="G113" s="650">
        <v>5</v>
      </c>
      <c r="H113" s="650">
        <v>6</v>
      </c>
      <c r="I113" s="650">
        <v>7</v>
      </c>
      <c r="J113" s="36"/>
      <c r="K113" s="36"/>
      <c r="L113" s="36"/>
      <c r="M113" s="36"/>
      <c r="N113" s="36"/>
    </row>
    <row r="114" spans="1:14" ht="12.75" hidden="1" customHeight="1" outlineLevel="1" x14ac:dyDescent="0.2">
      <c r="A114" s="125"/>
      <c r="B114" s="300"/>
      <c r="C114" s="125"/>
      <c r="D114" s="630">
        <f>FirstYear</f>
        <v>2021</v>
      </c>
      <c r="E114" s="630">
        <f>D114+1</f>
        <v>2022</v>
      </c>
      <c r="F114" s="630">
        <f>E114+1</f>
        <v>2023</v>
      </c>
      <c r="G114" s="630">
        <f>F114+1</f>
        <v>2024</v>
      </c>
      <c r="H114" s="630">
        <f>G114+1</f>
        <v>2025</v>
      </c>
      <c r="I114" s="630">
        <f>H114+1</f>
        <v>2026</v>
      </c>
      <c r="J114" s="125"/>
      <c r="K114" s="125"/>
      <c r="L114" s="125"/>
      <c r="M114" s="125"/>
      <c r="N114" s="125"/>
    </row>
    <row r="115" spans="1:14" ht="12.75" hidden="1" customHeight="1" outlineLevel="1" x14ac:dyDescent="0.2">
      <c r="A115" s="125"/>
      <c r="B115" s="298">
        <v>1</v>
      </c>
      <c r="C115" s="294" t="s">
        <v>86</v>
      </c>
      <c r="D115" s="282">
        <f t="shared" ref="D115:I115" si="47">INDEX(PBSScriptsChanged,$B112,D113)*INDEX(DPMQCoPayChangedPub,$B112,$B115)</f>
        <v>0</v>
      </c>
      <c r="E115" s="282">
        <f t="shared" si="47"/>
        <v>0</v>
      </c>
      <c r="F115" s="282">
        <f t="shared" si="47"/>
        <v>0</v>
      </c>
      <c r="G115" s="282">
        <f t="shared" si="47"/>
        <v>0</v>
      </c>
      <c r="H115" s="282">
        <f t="shared" si="47"/>
        <v>0</v>
      </c>
      <c r="I115" s="282">
        <f t="shared" si="47"/>
        <v>0</v>
      </c>
      <c r="J115" s="125"/>
      <c r="K115" s="125"/>
      <c r="L115" s="125"/>
      <c r="M115" s="125"/>
      <c r="N115" s="125"/>
    </row>
    <row r="116" spans="1:14" ht="12.75" hidden="1" customHeight="1" outlineLevel="1" x14ac:dyDescent="0.2">
      <c r="A116" s="125"/>
      <c r="B116" s="298">
        <v>4</v>
      </c>
      <c r="C116" s="5" t="s">
        <v>111</v>
      </c>
      <c r="D116" s="282">
        <f t="shared" ref="D116:I116" si="48">INDEX(PBSScriptsChanged,$B112,D113)*(INDEX(DPMQCoPayChangedPub,$B112,$B116)/INDEX(CoPayCountChanged,$B112))</f>
        <v>0</v>
      </c>
      <c r="E116" s="282">
        <f t="shared" si="48"/>
        <v>0</v>
      </c>
      <c r="F116" s="282">
        <f t="shared" si="48"/>
        <v>0</v>
      </c>
      <c r="G116" s="282">
        <f t="shared" si="48"/>
        <v>0</v>
      </c>
      <c r="H116" s="282">
        <f t="shared" si="48"/>
        <v>0</v>
      </c>
      <c r="I116" s="282">
        <f t="shared" si="48"/>
        <v>0</v>
      </c>
      <c r="J116" s="125"/>
      <c r="K116" s="811" t="str">
        <f>IF(B113&lt;&gt;0,MsgNote&amp;IF(B113="Yes",INDEX(CoPayMethod,1),INDEX(CoPayMethod,2)),"")</f>
        <v/>
      </c>
      <c r="L116" s="811"/>
      <c r="M116" s="811"/>
      <c r="N116" s="628"/>
    </row>
    <row r="117" spans="1:14" ht="12.75" hidden="1" customHeight="1" outlineLevel="1" x14ac:dyDescent="0.2">
      <c r="A117" s="125"/>
      <c r="B117" s="300"/>
      <c r="C117" s="5" t="s">
        <v>88</v>
      </c>
      <c r="D117" s="282">
        <f t="shared" ref="D117:I117" si="49">D115+D116</f>
        <v>0</v>
      </c>
      <c r="E117" s="282">
        <f t="shared" si="49"/>
        <v>0</v>
      </c>
      <c r="F117" s="282">
        <f t="shared" si="49"/>
        <v>0</v>
      </c>
      <c r="G117" s="282">
        <f t="shared" si="49"/>
        <v>0</v>
      </c>
      <c r="H117" s="282">
        <f t="shared" si="49"/>
        <v>0</v>
      </c>
      <c r="I117" s="282">
        <f t="shared" si="49"/>
        <v>0</v>
      </c>
      <c r="J117" s="125"/>
      <c r="K117" s="125"/>
      <c r="L117" s="125"/>
      <c r="M117" s="125"/>
      <c r="N117" s="125"/>
    </row>
    <row r="118" spans="1:14" ht="12.75" hidden="1" customHeight="1" outlineLevel="1" x14ac:dyDescent="0.2">
      <c r="A118" s="125"/>
      <c r="B118" s="300"/>
      <c r="C118" s="125"/>
      <c r="D118" s="125"/>
      <c r="E118" s="125"/>
      <c r="F118" s="125"/>
      <c r="G118" s="125"/>
      <c r="H118" s="125"/>
      <c r="I118" s="125"/>
      <c r="J118" s="125"/>
      <c r="K118" s="125"/>
      <c r="L118" s="125"/>
      <c r="M118" s="125"/>
      <c r="N118" s="125"/>
    </row>
    <row r="119" spans="1:14" ht="15.75" hidden="1" customHeight="1" outlineLevel="1" x14ac:dyDescent="0.2">
      <c r="A119" s="125"/>
      <c r="B119" s="300"/>
      <c r="C119" s="125"/>
      <c r="D119" s="630">
        <f>FirstYear</f>
        <v>2021</v>
      </c>
      <c r="E119" s="630">
        <f>D119+1</f>
        <v>2022</v>
      </c>
      <c r="F119" s="630">
        <f>E119+1</f>
        <v>2023</v>
      </c>
      <c r="G119" s="630">
        <f>F119+1</f>
        <v>2024</v>
      </c>
      <c r="H119" s="630">
        <f>G119+1</f>
        <v>2025</v>
      </c>
      <c r="I119" s="630">
        <f>H119+1</f>
        <v>2026</v>
      </c>
      <c r="J119" s="125"/>
      <c r="K119" s="125"/>
      <c r="L119" s="125"/>
      <c r="M119" s="125"/>
      <c r="N119" s="125"/>
    </row>
    <row r="120" spans="1:14" ht="12.75" hidden="1" customHeight="1" outlineLevel="1" x14ac:dyDescent="0.2">
      <c r="A120" s="125"/>
      <c r="B120" s="298">
        <v>1</v>
      </c>
      <c r="C120" s="294" t="s">
        <v>87</v>
      </c>
      <c r="D120" s="282">
        <f t="shared" ref="D120:I120" si="50">INDEX(RPBSScriptsChanged,$B112,D113)*INDEX(DPMQCoPayChangedPub,$B112,$B120)</f>
        <v>0</v>
      </c>
      <c r="E120" s="282">
        <f t="shared" si="50"/>
        <v>0</v>
      </c>
      <c r="F120" s="282">
        <f t="shared" si="50"/>
        <v>0</v>
      </c>
      <c r="G120" s="282">
        <f t="shared" si="50"/>
        <v>0</v>
      </c>
      <c r="H120" s="282">
        <f t="shared" si="50"/>
        <v>0</v>
      </c>
      <c r="I120" s="282">
        <f t="shared" si="50"/>
        <v>0</v>
      </c>
      <c r="J120" s="125"/>
      <c r="K120" s="125"/>
      <c r="L120" s="125"/>
      <c r="M120" s="125"/>
      <c r="N120" s="125"/>
    </row>
    <row r="121" spans="1:14" ht="12.75" hidden="1" customHeight="1" outlineLevel="1" x14ac:dyDescent="0.2">
      <c r="A121" s="125"/>
      <c r="B121" s="298">
        <v>5</v>
      </c>
      <c r="C121" s="5" t="s">
        <v>111</v>
      </c>
      <c r="D121" s="282">
        <f t="shared" ref="D121:I121" si="51">INDEX(RPBSScriptsChanged,$B112,D113)*(INDEX(DPMQCoPayChangedPub,$B112,$B121)/INDEX(CoPayCountChanged,$B112))</f>
        <v>0</v>
      </c>
      <c r="E121" s="282">
        <f t="shared" si="51"/>
        <v>0</v>
      </c>
      <c r="F121" s="282">
        <f t="shared" si="51"/>
        <v>0</v>
      </c>
      <c r="G121" s="282">
        <f t="shared" si="51"/>
        <v>0</v>
      </c>
      <c r="H121" s="282">
        <f t="shared" si="51"/>
        <v>0</v>
      </c>
      <c r="I121" s="282">
        <f t="shared" si="51"/>
        <v>0</v>
      </c>
      <c r="J121" s="125"/>
      <c r="K121" s="125"/>
      <c r="L121" s="125"/>
      <c r="M121" s="125"/>
      <c r="N121" s="125"/>
    </row>
    <row r="122" spans="1:14" ht="12.75" hidden="1" customHeight="1" outlineLevel="1" x14ac:dyDescent="0.2">
      <c r="A122" s="125"/>
      <c r="B122" s="137"/>
      <c r="C122" s="5" t="s">
        <v>89</v>
      </c>
      <c r="D122" s="282">
        <f t="shared" ref="D122:I122" si="52">D120+D121</f>
        <v>0</v>
      </c>
      <c r="E122" s="282">
        <f t="shared" si="52"/>
        <v>0</v>
      </c>
      <c r="F122" s="282">
        <f t="shared" si="52"/>
        <v>0</v>
      </c>
      <c r="G122" s="282">
        <f t="shared" si="52"/>
        <v>0</v>
      </c>
      <c r="H122" s="282">
        <f t="shared" si="52"/>
        <v>0</v>
      </c>
      <c r="I122" s="282">
        <f t="shared" si="52"/>
        <v>0</v>
      </c>
      <c r="J122" s="125"/>
      <c r="K122" s="125"/>
      <c r="L122" s="125"/>
      <c r="M122" s="125"/>
      <c r="N122" s="125"/>
    </row>
    <row r="123" spans="1:14" ht="12.75" customHeight="1" collapsed="1" x14ac:dyDescent="0.2">
      <c r="A123" s="125"/>
      <c r="B123" s="300"/>
      <c r="C123" s="125"/>
      <c r="D123" s="658"/>
      <c r="E123" s="658"/>
      <c r="F123" s="36"/>
      <c r="G123" s="36"/>
      <c r="H123" s="36"/>
      <c r="I123" s="36"/>
      <c r="J123" s="36"/>
      <c r="K123" s="36"/>
      <c r="L123" s="36"/>
      <c r="M123" s="36"/>
      <c r="N123" s="36"/>
    </row>
    <row r="124" spans="1:14" ht="15" x14ac:dyDescent="0.2">
      <c r="A124" s="125"/>
      <c r="B124" s="298">
        <v>9</v>
      </c>
      <c r="C124" s="147" t="str">
        <f>INDEX(PBSScriptsChanged,B124,1)</f>
        <v>** NOT USED **</v>
      </c>
      <c r="D124" s="139"/>
      <c r="E124" s="139"/>
      <c r="F124" s="139"/>
      <c r="G124" s="139"/>
      <c r="H124" s="139"/>
      <c r="I124" s="139"/>
      <c r="J124" s="132"/>
      <c r="K124" s="132"/>
      <c r="L124" s="821" t="str">
        <f>IF(AND(C124&lt;&gt;MsgNotUsed,C124&lt;&gt;MsgNotRequired),"Co-payment group " &amp; INDEX(DPMQCoPayChangedPub,B124,3),"")</f>
        <v/>
      </c>
      <c r="M124" s="821"/>
      <c r="N124" s="633"/>
    </row>
    <row r="125" spans="1:14" ht="12.75" hidden="1" customHeight="1" outlineLevel="1" x14ac:dyDescent="0.2">
      <c r="A125" s="125"/>
      <c r="B125" s="242">
        <f>INDEX(SAChanged,B124,5)</f>
        <v>0</v>
      </c>
      <c r="C125" s="658"/>
      <c r="D125" s="697">
        <v>2</v>
      </c>
      <c r="E125" s="697">
        <v>3</v>
      </c>
      <c r="F125" s="650">
        <v>4</v>
      </c>
      <c r="G125" s="650">
        <v>5</v>
      </c>
      <c r="H125" s="650">
        <v>6</v>
      </c>
      <c r="I125" s="650">
        <v>7</v>
      </c>
      <c r="J125" s="36"/>
      <c r="K125" s="36"/>
      <c r="L125" s="36"/>
      <c r="M125" s="36"/>
      <c r="N125" s="36"/>
    </row>
    <row r="126" spans="1:14" ht="12.75" hidden="1" customHeight="1" outlineLevel="1" x14ac:dyDescent="0.2">
      <c r="A126" s="125"/>
      <c r="B126" s="300"/>
      <c r="C126" s="125"/>
      <c r="D126" s="630">
        <f>FirstYear</f>
        <v>2021</v>
      </c>
      <c r="E126" s="630">
        <f>D126+1</f>
        <v>2022</v>
      </c>
      <c r="F126" s="630">
        <f>E126+1</f>
        <v>2023</v>
      </c>
      <c r="G126" s="630">
        <f>F126+1</f>
        <v>2024</v>
      </c>
      <c r="H126" s="630">
        <f>G126+1</f>
        <v>2025</v>
      </c>
      <c r="I126" s="630">
        <f>H126+1</f>
        <v>2026</v>
      </c>
      <c r="J126" s="125"/>
      <c r="K126" s="125"/>
      <c r="L126" s="125"/>
      <c r="M126" s="125"/>
      <c r="N126" s="125"/>
    </row>
    <row r="127" spans="1:14" ht="12.75" hidden="1" customHeight="1" outlineLevel="1" x14ac:dyDescent="0.2">
      <c r="A127" s="125"/>
      <c r="B127" s="298">
        <v>1</v>
      </c>
      <c r="C127" s="294" t="s">
        <v>86</v>
      </c>
      <c r="D127" s="282">
        <f t="shared" ref="D127:I127" si="53">INDEX(PBSScriptsChanged,$B124,D125)*INDEX(DPMQCoPayChangedPub,$B124,$B127)</f>
        <v>0</v>
      </c>
      <c r="E127" s="282">
        <f t="shared" si="53"/>
        <v>0</v>
      </c>
      <c r="F127" s="282">
        <f t="shared" si="53"/>
        <v>0</v>
      </c>
      <c r="G127" s="282">
        <f t="shared" si="53"/>
        <v>0</v>
      </c>
      <c r="H127" s="282">
        <f t="shared" si="53"/>
        <v>0</v>
      </c>
      <c r="I127" s="282">
        <f t="shared" si="53"/>
        <v>0</v>
      </c>
      <c r="J127" s="125"/>
      <c r="K127" s="125"/>
      <c r="L127" s="125"/>
      <c r="M127" s="125"/>
      <c r="N127" s="125"/>
    </row>
    <row r="128" spans="1:14" ht="12.75" hidden="1" customHeight="1" outlineLevel="1" x14ac:dyDescent="0.2">
      <c r="A128" s="125"/>
      <c r="B128" s="298">
        <v>4</v>
      </c>
      <c r="C128" s="5" t="s">
        <v>111</v>
      </c>
      <c r="D128" s="282">
        <f t="shared" ref="D128:I128" si="54">INDEX(PBSScriptsChanged,$B124,D125)*(INDEX(DPMQCoPayChangedPub,$B124,$B128)/INDEX(CoPayCountChanged,$B124))</f>
        <v>0</v>
      </c>
      <c r="E128" s="282">
        <f t="shared" si="54"/>
        <v>0</v>
      </c>
      <c r="F128" s="282">
        <f t="shared" si="54"/>
        <v>0</v>
      </c>
      <c r="G128" s="282">
        <f t="shared" si="54"/>
        <v>0</v>
      </c>
      <c r="H128" s="282">
        <f t="shared" si="54"/>
        <v>0</v>
      </c>
      <c r="I128" s="282">
        <f t="shared" si="54"/>
        <v>0</v>
      </c>
      <c r="J128" s="125"/>
      <c r="K128" s="811" t="str">
        <f>IF(B125&lt;&gt;0,MsgNote&amp;IF(B125="Yes",INDEX(CoPayMethod,1),INDEX(CoPayMethod,2)),"")</f>
        <v/>
      </c>
      <c r="L128" s="811"/>
      <c r="M128" s="811"/>
      <c r="N128" s="628"/>
    </row>
    <row r="129" spans="1:14" ht="12.75" hidden="1" customHeight="1" outlineLevel="1" x14ac:dyDescent="0.2">
      <c r="A129" s="125"/>
      <c r="B129" s="300"/>
      <c r="C129" s="5" t="s">
        <v>88</v>
      </c>
      <c r="D129" s="282">
        <f t="shared" ref="D129:I129" si="55">D127+D128</f>
        <v>0</v>
      </c>
      <c r="E129" s="282">
        <f t="shared" si="55"/>
        <v>0</v>
      </c>
      <c r="F129" s="282">
        <f t="shared" si="55"/>
        <v>0</v>
      </c>
      <c r="G129" s="282">
        <f t="shared" si="55"/>
        <v>0</v>
      </c>
      <c r="H129" s="282">
        <f t="shared" si="55"/>
        <v>0</v>
      </c>
      <c r="I129" s="282">
        <f t="shared" si="55"/>
        <v>0</v>
      </c>
      <c r="J129" s="125"/>
      <c r="K129" s="125"/>
      <c r="L129" s="125"/>
      <c r="M129" s="125"/>
      <c r="N129" s="125"/>
    </row>
    <row r="130" spans="1:14" ht="12.75" hidden="1" customHeight="1" outlineLevel="1" x14ac:dyDescent="0.2">
      <c r="A130" s="125"/>
      <c r="B130" s="300"/>
      <c r="C130" s="125"/>
      <c r="D130" s="125"/>
      <c r="E130" s="125"/>
      <c r="F130" s="125"/>
      <c r="G130" s="125"/>
      <c r="H130" s="125"/>
      <c r="I130" s="125"/>
      <c r="J130" s="125"/>
      <c r="K130" s="125"/>
      <c r="L130" s="125"/>
      <c r="M130" s="125"/>
      <c r="N130" s="125"/>
    </row>
    <row r="131" spans="1:14" ht="15.75" hidden="1" customHeight="1" outlineLevel="1" x14ac:dyDescent="0.2">
      <c r="A131" s="125"/>
      <c r="B131" s="300"/>
      <c r="C131" s="125"/>
      <c r="D131" s="630">
        <f>FirstYear</f>
        <v>2021</v>
      </c>
      <c r="E131" s="630">
        <f>D131+1</f>
        <v>2022</v>
      </c>
      <c r="F131" s="630">
        <f>E131+1</f>
        <v>2023</v>
      </c>
      <c r="G131" s="630">
        <f>F131+1</f>
        <v>2024</v>
      </c>
      <c r="H131" s="630">
        <f>G131+1</f>
        <v>2025</v>
      </c>
      <c r="I131" s="630">
        <f>H131+1</f>
        <v>2026</v>
      </c>
      <c r="J131" s="125"/>
      <c r="K131" s="125"/>
      <c r="L131" s="125"/>
      <c r="M131" s="125"/>
      <c r="N131" s="125"/>
    </row>
    <row r="132" spans="1:14" ht="12.75" hidden="1" customHeight="1" outlineLevel="1" x14ac:dyDescent="0.2">
      <c r="A132" s="125"/>
      <c r="B132" s="298">
        <v>1</v>
      </c>
      <c r="C132" s="294" t="s">
        <v>87</v>
      </c>
      <c r="D132" s="282">
        <f t="shared" ref="D132:I132" si="56">INDEX(RPBSScriptsChanged,$B124,D125)*INDEX(DPMQCoPayChangedPub,$B124,$B132)</f>
        <v>0</v>
      </c>
      <c r="E132" s="282">
        <f t="shared" si="56"/>
        <v>0</v>
      </c>
      <c r="F132" s="282">
        <f t="shared" si="56"/>
        <v>0</v>
      </c>
      <c r="G132" s="282">
        <f t="shared" si="56"/>
        <v>0</v>
      </c>
      <c r="H132" s="282">
        <f t="shared" si="56"/>
        <v>0</v>
      </c>
      <c r="I132" s="282">
        <f t="shared" si="56"/>
        <v>0</v>
      </c>
      <c r="J132" s="125"/>
      <c r="K132" s="125"/>
      <c r="L132" s="125"/>
      <c r="M132" s="125"/>
      <c r="N132" s="125"/>
    </row>
    <row r="133" spans="1:14" ht="12.75" hidden="1" customHeight="1" outlineLevel="1" x14ac:dyDescent="0.2">
      <c r="A133" s="125"/>
      <c r="B133" s="298">
        <v>5</v>
      </c>
      <c r="C133" s="5" t="s">
        <v>111</v>
      </c>
      <c r="D133" s="282">
        <f t="shared" ref="D133:I133" si="57">INDEX(RPBSScriptsChanged,$B124,D125)*(INDEX(DPMQCoPayChangedPub,$B124,$B133)/INDEX(CoPayCountChanged,$B124))</f>
        <v>0</v>
      </c>
      <c r="E133" s="282">
        <f t="shared" si="57"/>
        <v>0</v>
      </c>
      <c r="F133" s="282">
        <f t="shared" si="57"/>
        <v>0</v>
      </c>
      <c r="G133" s="282">
        <f t="shared" si="57"/>
        <v>0</v>
      </c>
      <c r="H133" s="282">
        <f t="shared" si="57"/>
        <v>0</v>
      </c>
      <c r="I133" s="282">
        <f t="shared" si="57"/>
        <v>0</v>
      </c>
      <c r="J133" s="125"/>
      <c r="K133" s="125"/>
      <c r="L133" s="125"/>
      <c r="M133" s="125"/>
      <c r="N133" s="125"/>
    </row>
    <row r="134" spans="1:14" ht="12.75" hidden="1" customHeight="1" outlineLevel="1" x14ac:dyDescent="0.2">
      <c r="A134" s="125"/>
      <c r="B134" s="137"/>
      <c r="C134" s="5" t="s">
        <v>89</v>
      </c>
      <c r="D134" s="282">
        <f t="shared" ref="D134:I134" si="58">D132+D133</f>
        <v>0</v>
      </c>
      <c r="E134" s="282">
        <f t="shared" si="58"/>
        <v>0</v>
      </c>
      <c r="F134" s="282">
        <f t="shared" si="58"/>
        <v>0</v>
      </c>
      <c r="G134" s="282">
        <f t="shared" si="58"/>
        <v>0</v>
      </c>
      <c r="H134" s="282">
        <f t="shared" si="58"/>
        <v>0</v>
      </c>
      <c r="I134" s="282">
        <f t="shared" si="58"/>
        <v>0</v>
      </c>
      <c r="J134" s="125"/>
      <c r="K134" s="125"/>
      <c r="L134" s="125"/>
      <c r="M134" s="125"/>
      <c r="N134" s="125"/>
    </row>
    <row r="135" spans="1:14" ht="12.75" customHeight="1" collapsed="1" x14ac:dyDescent="0.2">
      <c r="A135" s="125"/>
      <c r="B135" s="300"/>
      <c r="C135" s="125"/>
      <c r="D135" s="658"/>
      <c r="E135" s="658"/>
      <c r="F135" s="36"/>
      <c r="G135" s="36"/>
      <c r="H135" s="36"/>
      <c r="I135" s="36"/>
      <c r="J135" s="36"/>
      <c r="K135" s="36"/>
      <c r="L135" s="36"/>
      <c r="M135" s="36"/>
      <c r="N135" s="36"/>
    </row>
    <row r="136" spans="1:14" ht="15" x14ac:dyDescent="0.2">
      <c r="A136" s="125"/>
      <c r="B136" s="298">
        <v>10</v>
      </c>
      <c r="C136" s="147" t="str">
        <f>INDEX(PBSScriptsChanged,B136,1)</f>
        <v>** NOT USED **</v>
      </c>
      <c r="D136" s="139"/>
      <c r="E136" s="139"/>
      <c r="F136" s="139"/>
      <c r="G136" s="139"/>
      <c r="H136" s="139"/>
      <c r="I136" s="139"/>
      <c r="J136" s="132"/>
      <c r="K136" s="132"/>
      <c r="L136" s="821" t="str">
        <f>IF(AND(C136&lt;&gt;MsgNotUsed,C136&lt;&gt;MsgNotRequired),"Co-payment group " &amp; INDEX(DPMQCoPayChangedPub,B136,3),"")</f>
        <v/>
      </c>
      <c r="M136" s="821"/>
      <c r="N136" s="633"/>
    </row>
    <row r="137" spans="1:14" ht="12.75" hidden="1" customHeight="1" outlineLevel="1" x14ac:dyDescent="0.2">
      <c r="A137" s="125"/>
      <c r="B137" s="242">
        <f>INDEX(SAChanged,B136,5)</f>
        <v>0</v>
      </c>
      <c r="C137" s="658"/>
      <c r="D137" s="697">
        <v>2</v>
      </c>
      <c r="E137" s="697">
        <v>3</v>
      </c>
      <c r="F137" s="650">
        <v>4</v>
      </c>
      <c r="G137" s="650">
        <v>5</v>
      </c>
      <c r="H137" s="650">
        <v>6</v>
      </c>
      <c r="I137" s="650">
        <v>7</v>
      </c>
      <c r="J137" s="36"/>
      <c r="K137" s="36"/>
      <c r="L137" s="36"/>
      <c r="M137" s="36"/>
      <c r="N137" s="36"/>
    </row>
    <row r="138" spans="1:14" ht="12.75" hidden="1" customHeight="1" outlineLevel="1" x14ac:dyDescent="0.2">
      <c r="A138" s="125"/>
      <c r="B138" s="300"/>
      <c r="C138" s="125"/>
      <c r="D138" s="630">
        <f>FirstYear</f>
        <v>2021</v>
      </c>
      <c r="E138" s="630">
        <f>D138+1</f>
        <v>2022</v>
      </c>
      <c r="F138" s="630">
        <f>E138+1</f>
        <v>2023</v>
      </c>
      <c r="G138" s="630">
        <f>F138+1</f>
        <v>2024</v>
      </c>
      <c r="H138" s="630">
        <f>G138+1</f>
        <v>2025</v>
      </c>
      <c r="I138" s="630">
        <f>H138+1</f>
        <v>2026</v>
      </c>
      <c r="J138" s="125"/>
      <c r="K138" s="125"/>
      <c r="L138" s="125"/>
      <c r="M138" s="125"/>
      <c r="N138" s="125"/>
    </row>
    <row r="139" spans="1:14" ht="12.75" hidden="1" customHeight="1" outlineLevel="1" x14ac:dyDescent="0.2">
      <c r="A139" s="125"/>
      <c r="B139" s="298">
        <v>1</v>
      </c>
      <c r="C139" s="294" t="s">
        <v>86</v>
      </c>
      <c r="D139" s="282">
        <f t="shared" ref="D139:I139" si="59">INDEX(PBSScriptsChanged,$B136,D137)*INDEX(DPMQCoPayChangedPub,$B136,$B139)</f>
        <v>0</v>
      </c>
      <c r="E139" s="282">
        <f t="shared" si="59"/>
        <v>0</v>
      </c>
      <c r="F139" s="282">
        <f t="shared" si="59"/>
        <v>0</v>
      </c>
      <c r="G139" s="282">
        <f t="shared" si="59"/>
        <v>0</v>
      </c>
      <c r="H139" s="282">
        <f t="shared" si="59"/>
        <v>0</v>
      </c>
      <c r="I139" s="282">
        <f t="shared" si="59"/>
        <v>0</v>
      </c>
      <c r="J139" s="125"/>
      <c r="K139" s="125"/>
      <c r="L139" s="125"/>
      <c r="M139" s="125"/>
      <c r="N139" s="125"/>
    </row>
    <row r="140" spans="1:14" ht="12.75" hidden="1" customHeight="1" outlineLevel="1" x14ac:dyDescent="0.2">
      <c r="A140" s="125"/>
      <c r="B140" s="298">
        <v>4</v>
      </c>
      <c r="C140" s="5" t="s">
        <v>111</v>
      </c>
      <c r="D140" s="282">
        <f t="shared" ref="D140:I140" si="60">INDEX(PBSScriptsChanged,$B136,D137)*(INDEX(DPMQCoPayChangedPub,$B136,$B140)/INDEX(CoPayCountChanged,$B136))</f>
        <v>0</v>
      </c>
      <c r="E140" s="282">
        <f t="shared" si="60"/>
        <v>0</v>
      </c>
      <c r="F140" s="282">
        <f t="shared" si="60"/>
        <v>0</v>
      </c>
      <c r="G140" s="282">
        <f t="shared" si="60"/>
        <v>0</v>
      </c>
      <c r="H140" s="282">
        <f t="shared" si="60"/>
        <v>0</v>
      </c>
      <c r="I140" s="282">
        <f t="shared" si="60"/>
        <v>0</v>
      </c>
      <c r="J140" s="125"/>
      <c r="K140" s="811" t="str">
        <f>IF(B137&lt;&gt;0,MsgNote&amp;IF(B137="Yes",INDEX(CoPayMethod,1),INDEX(CoPayMethod,2)),"")</f>
        <v/>
      </c>
      <c r="L140" s="811"/>
      <c r="M140" s="811"/>
      <c r="N140" s="628"/>
    </row>
    <row r="141" spans="1:14" ht="12.75" hidden="1" customHeight="1" outlineLevel="1" x14ac:dyDescent="0.2">
      <c r="A141" s="125"/>
      <c r="B141" s="300"/>
      <c r="C141" s="5" t="s">
        <v>88</v>
      </c>
      <c r="D141" s="282">
        <f t="shared" ref="D141:I141" si="61">D139+D140</f>
        <v>0</v>
      </c>
      <c r="E141" s="282">
        <f t="shared" si="61"/>
        <v>0</v>
      </c>
      <c r="F141" s="282">
        <f t="shared" si="61"/>
        <v>0</v>
      </c>
      <c r="G141" s="282">
        <f t="shared" si="61"/>
        <v>0</v>
      </c>
      <c r="H141" s="282">
        <f t="shared" si="61"/>
        <v>0</v>
      </c>
      <c r="I141" s="282">
        <f t="shared" si="61"/>
        <v>0</v>
      </c>
      <c r="J141" s="125"/>
      <c r="K141" s="125"/>
      <c r="L141" s="125"/>
      <c r="M141" s="125"/>
      <c r="N141" s="125"/>
    </row>
    <row r="142" spans="1:14" ht="12.75" hidden="1" customHeight="1" outlineLevel="1" x14ac:dyDescent="0.2">
      <c r="A142" s="125"/>
      <c r="B142" s="300"/>
      <c r="C142" s="125"/>
      <c r="D142" s="125"/>
      <c r="E142" s="125"/>
      <c r="F142" s="125"/>
      <c r="G142" s="125"/>
      <c r="H142" s="125"/>
      <c r="I142" s="125"/>
      <c r="J142" s="125"/>
      <c r="K142" s="125"/>
      <c r="L142" s="125"/>
      <c r="M142" s="125"/>
      <c r="N142" s="125"/>
    </row>
    <row r="143" spans="1:14" ht="15.75" hidden="1" customHeight="1" outlineLevel="1" x14ac:dyDescent="0.2">
      <c r="A143" s="125"/>
      <c r="B143" s="300"/>
      <c r="C143" s="125"/>
      <c r="D143" s="630">
        <f>FirstYear</f>
        <v>2021</v>
      </c>
      <c r="E143" s="630">
        <f>D143+1</f>
        <v>2022</v>
      </c>
      <c r="F143" s="630">
        <f>E143+1</f>
        <v>2023</v>
      </c>
      <c r="G143" s="630">
        <f>F143+1</f>
        <v>2024</v>
      </c>
      <c r="H143" s="630">
        <f>G143+1</f>
        <v>2025</v>
      </c>
      <c r="I143" s="630">
        <f>H143+1</f>
        <v>2026</v>
      </c>
      <c r="J143" s="125"/>
      <c r="K143" s="125"/>
      <c r="L143" s="125"/>
      <c r="M143" s="125"/>
      <c r="N143" s="125"/>
    </row>
    <row r="144" spans="1:14" ht="12.75" hidden="1" customHeight="1" outlineLevel="1" x14ac:dyDescent="0.2">
      <c r="A144" s="125"/>
      <c r="B144" s="298">
        <v>1</v>
      </c>
      <c r="C144" s="294" t="s">
        <v>87</v>
      </c>
      <c r="D144" s="282">
        <f t="shared" ref="D144:I144" si="62">INDEX(RPBSScriptsChanged,$B136,D137)*INDEX(DPMQCoPayChangedPub,$B136,$B144)</f>
        <v>0</v>
      </c>
      <c r="E144" s="282">
        <f t="shared" si="62"/>
        <v>0</v>
      </c>
      <c r="F144" s="282">
        <f t="shared" si="62"/>
        <v>0</v>
      </c>
      <c r="G144" s="282">
        <f t="shared" si="62"/>
        <v>0</v>
      </c>
      <c r="H144" s="282">
        <f t="shared" si="62"/>
        <v>0</v>
      </c>
      <c r="I144" s="282">
        <f t="shared" si="62"/>
        <v>0</v>
      </c>
      <c r="J144" s="125"/>
      <c r="K144" s="125"/>
      <c r="L144" s="125"/>
      <c r="M144" s="125"/>
      <c r="N144" s="125"/>
    </row>
    <row r="145" spans="1:14" ht="12.75" hidden="1" customHeight="1" outlineLevel="1" x14ac:dyDescent="0.2">
      <c r="A145" s="125"/>
      <c r="B145" s="298">
        <v>5</v>
      </c>
      <c r="C145" s="5" t="s">
        <v>111</v>
      </c>
      <c r="D145" s="282">
        <f t="shared" ref="D145:I145" si="63">INDEX(RPBSScriptsChanged,$B136,D137)*(INDEX(DPMQCoPayChangedPub,$B136,$B145)/INDEX(CoPayCountChanged,$B136))</f>
        <v>0</v>
      </c>
      <c r="E145" s="282">
        <f t="shared" si="63"/>
        <v>0</v>
      </c>
      <c r="F145" s="282">
        <f t="shared" si="63"/>
        <v>0</v>
      </c>
      <c r="G145" s="282">
        <f t="shared" si="63"/>
        <v>0</v>
      </c>
      <c r="H145" s="282">
        <f t="shared" si="63"/>
        <v>0</v>
      </c>
      <c r="I145" s="282">
        <f t="shared" si="63"/>
        <v>0</v>
      </c>
      <c r="J145" s="125"/>
      <c r="K145" s="125"/>
      <c r="L145" s="125"/>
      <c r="M145" s="125"/>
      <c r="N145" s="125"/>
    </row>
    <row r="146" spans="1:14" ht="12.75" hidden="1" customHeight="1" outlineLevel="1" x14ac:dyDescent="0.2">
      <c r="A146" s="125"/>
      <c r="B146" s="137"/>
      <c r="C146" s="5" t="s">
        <v>89</v>
      </c>
      <c r="D146" s="282">
        <f t="shared" ref="D146:I146" si="64">D144+D145</f>
        <v>0</v>
      </c>
      <c r="E146" s="282">
        <f t="shared" si="64"/>
        <v>0</v>
      </c>
      <c r="F146" s="282">
        <f t="shared" si="64"/>
        <v>0</v>
      </c>
      <c r="G146" s="282">
        <f t="shared" si="64"/>
        <v>0</v>
      </c>
      <c r="H146" s="282">
        <f t="shared" si="64"/>
        <v>0</v>
      </c>
      <c r="I146" s="282">
        <f t="shared" si="64"/>
        <v>0</v>
      </c>
      <c r="J146" s="125"/>
      <c r="K146" s="125"/>
      <c r="L146" s="125"/>
      <c r="M146" s="125"/>
      <c r="N146" s="125"/>
    </row>
    <row r="147" spans="1:14" ht="12.75" customHeight="1" collapsed="1" x14ac:dyDescent="0.2">
      <c r="A147" s="125"/>
      <c r="B147" s="300"/>
      <c r="C147" s="125"/>
      <c r="D147" s="658"/>
      <c r="E147" s="658"/>
      <c r="F147" s="36"/>
      <c r="G147" s="36"/>
      <c r="H147" s="36"/>
      <c r="I147" s="36"/>
      <c r="J147" s="36"/>
      <c r="K147" s="36"/>
      <c r="L147" s="36"/>
      <c r="M147" s="36"/>
      <c r="N147" s="36"/>
    </row>
    <row r="148" spans="1:14" ht="15" x14ac:dyDescent="0.2">
      <c r="A148" s="125"/>
      <c r="B148" s="298">
        <v>11</v>
      </c>
      <c r="C148" s="147" t="str">
        <f>INDEX(PBSScriptsChanged,B148,1)</f>
        <v>** NOT USED **</v>
      </c>
      <c r="D148" s="139"/>
      <c r="E148" s="139"/>
      <c r="F148" s="139"/>
      <c r="G148" s="139"/>
      <c r="H148" s="139"/>
      <c r="I148" s="139"/>
      <c r="J148" s="132"/>
      <c r="K148" s="132"/>
      <c r="L148" s="821" t="str">
        <f>IF(AND(C148&lt;&gt;MsgNotUsed,C148&lt;&gt;MsgNotRequired),"Co-payment group " &amp; INDEX(DPMQCoPayChangedPub,B148,3),"")</f>
        <v/>
      </c>
      <c r="M148" s="821"/>
      <c r="N148" s="633"/>
    </row>
    <row r="149" spans="1:14" ht="12.75" hidden="1" customHeight="1" outlineLevel="1" x14ac:dyDescent="0.2">
      <c r="A149" s="125"/>
      <c r="B149" s="242">
        <f>INDEX(SAChanged,B148,5)</f>
        <v>0</v>
      </c>
      <c r="C149" s="658"/>
      <c r="D149" s="697">
        <v>2</v>
      </c>
      <c r="E149" s="697">
        <v>3</v>
      </c>
      <c r="F149" s="650">
        <v>4</v>
      </c>
      <c r="G149" s="650">
        <v>5</v>
      </c>
      <c r="H149" s="650">
        <v>6</v>
      </c>
      <c r="I149" s="650">
        <v>7</v>
      </c>
      <c r="J149" s="36"/>
      <c r="K149" s="36"/>
      <c r="L149" s="36"/>
      <c r="M149" s="36"/>
      <c r="N149" s="36"/>
    </row>
    <row r="150" spans="1:14" ht="12.75" hidden="1" customHeight="1" outlineLevel="1" x14ac:dyDescent="0.2">
      <c r="A150" s="125"/>
      <c r="B150" s="300"/>
      <c r="C150" s="125"/>
      <c r="D150" s="630">
        <f>FirstYear</f>
        <v>2021</v>
      </c>
      <c r="E150" s="630">
        <f>D150+1</f>
        <v>2022</v>
      </c>
      <c r="F150" s="630">
        <f>E150+1</f>
        <v>2023</v>
      </c>
      <c r="G150" s="630">
        <f>F150+1</f>
        <v>2024</v>
      </c>
      <c r="H150" s="630">
        <f>G150+1</f>
        <v>2025</v>
      </c>
      <c r="I150" s="630">
        <f>H150+1</f>
        <v>2026</v>
      </c>
      <c r="J150" s="125"/>
      <c r="K150" s="125"/>
      <c r="L150" s="125"/>
      <c r="M150" s="125"/>
      <c r="N150" s="125"/>
    </row>
    <row r="151" spans="1:14" ht="12.75" hidden="1" customHeight="1" outlineLevel="1" x14ac:dyDescent="0.2">
      <c r="A151" s="125"/>
      <c r="B151" s="298">
        <v>1</v>
      </c>
      <c r="C151" s="294" t="s">
        <v>86</v>
      </c>
      <c r="D151" s="282">
        <f t="shared" ref="D151:I151" si="65">INDEX(PBSScriptsChanged,$B148,D149)*INDEX(DPMQCoPayChangedPub,$B148,$B151)</f>
        <v>0</v>
      </c>
      <c r="E151" s="282">
        <f t="shared" si="65"/>
        <v>0</v>
      </c>
      <c r="F151" s="282">
        <f t="shared" si="65"/>
        <v>0</v>
      </c>
      <c r="G151" s="282">
        <f t="shared" si="65"/>
        <v>0</v>
      </c>
      <c r="H151" s="282">
        <f t="shared" si="65"/>
        <v>0</v>
      </c>
      <c r="I151" s="282">
        <f t="shared" si="65"/>
        <v>0</v>
      </c>
      <c r="J151" s="125"/>
      <c r="K151" s="125"/>
      <c r="L151" s="125"/>
      <c r="M151" s="125"/>
      <c r="N151" s="125"/>
    </row>
    <row r="152" spans="1:14" ht="12.75" hidden="1" customHeight="1" outlineLevel="1" x14ac:dyDescent="0.2">
      <c r="A152" s="125"/>
      <c r="B152" s="298">
        <v>4</v>
      </c>
      <c r="C152" s="5" t="s">
        <v>111</v>
      </c>
      <c r="D152" s="282">
        <f t="shared" ref="D152:I152" si="66">INDEX(PBSScriptsChanged,$B148,D149)*(INDEX(DPMQCoPayChangedPub,$B148,$B152)/INDEX(CoPayCountChanged,$B148))</f>
        <v>0</v>
      </c>
      <c r="E152" s="282">
        <f t="shared" si="66"/>
        <v>0</v>
      </c>
      <c r="F152" s="282">
        <f t="shared" si="66"/>
        <v>0</v>
      </c>
      <c r="G152" s="282">
        <f t="shared" si="66"/>
        <v>0</v>
      </c>
      <c r="H152" s="282">
        <f t="shared" si="66"/>
        <v>0</v>
      </c>
      <c r="I152" s="282">
        <f t="shared" si="66"/>
        <v>0</v>
      </c>
      <c r="J152" s="125"/>
      <c r="K152" s="811" t="str">
        <f>IF(B149&lt;&gt;0,MsgNote&amp;IF(B149="Yes",INDEX(CoPayMethod,1),INDEX(CoPayMethod,2)),"")</f>
        <v/>
      </c>
      <c r="L152" s="811"/>
      <c r="M152" s="811"/>
      <c r="N152" s="628"/>
    </row>
    <row r="153" spans="1:14" ht="12.75" hidden="1" customHeight="1" outlineLevel="1" x14ac:dyDescent="0.2">
      <c r="A153" s="125"/>
      <c r="B153" s="300"/>
      <c r="C153" s="5" t="s">
        <v>88</v>
      </c>
      <c r="D153" s="282">
        <f t="shared" ref="D153:I153" si="67">D151+D152</f>
        <v>0</v>
      </c>
      <c r="E153" s="282">
        <f t="shared" si="67"/>
        <v>0</v>
      </c>
      <c r="F153" s="282">
        <f t="shared" si="67"/>
        <v>0</v>
      </c>
      <c r="G153" s="282">
        <f t="shared" si="67"/>
        <v>0</v>
      </c>
      <c r="H153" s="282">
        <f t="shared" si="67"/>
        <v>0</v>
      </c>
      <c r="I153" s="282">
        <f t="shared" si="67"/>
        <v>0</v>
      </c>
      <c r="J153" s="125"/>
      <c r="K153" s="125"/>
      <c r="L153" s="125"/>
      <c r="M153" s="125"/>
      <c r="N153" s="125"/>
    </row>
    <row r="154" spans="1:14" ht="12.75" hidden="1" customHeight="1" outlineLevel="1" x14ac:dyDescent="0.2">
      <c r="A154" s="125"/>
      <c r="B154" s="300"/>
      <c r="C154" s="125"/>
      <c r="D154" s="125"/>
      <c r="E154" s="125"/>
      <c r="F154" s="125"/>
      <c r="G154" s="125"/>
      <c r="H154" s="125"/>
      <c r="I154" s="125"/>
      <c r="J154" s="125"/>
      <c r="K154" s="125"/>
      <c r="L154" s="125"/>
      <c r="M154" s="125"/>
      <c r="N154" s="125"/>
    </row>
    <row r="155" spans="1:14" ht="15.75" hidden="1" customHeight="1" outlineLevel="1" x14ac:dyDescent="0.2">
      <c r="A155" s="125"/>
      <c r="B155" s="300"/>
      <c r="C155" s="125"/>
      <c r="D155" s="630">
        <f>FirstYear</f>
        <v>2021</v>
      </c>
      <c r="E155" s="630">
        <f>D155+1</f>
        <v>2022</v>
      </c>
      <c r="F155" s="630">
        <f>E155+1</f>
        <v>2023</v>
      </c>
      <c r="G155" s="630">
        <f>F155+1</f>
        <v>2024</v>
      </c>
      <c r="H155" s="630">
        <f>G155+1</f>
        <v>2025</v>
      </c>
      <c r="I155" s="630">
        <f>H155+1</f>
        <v>2026</v>
      </c>
      <c r="J155" s="125"/>
      <c r="K155" s="125"/>
      <c r="L155" s="125"/>
      <c r="M155" s="125"/>
      <c r="N155" s="125"/>
    </row>
    <row r="156" spans="1:14" ht="12.75" hidden="1" customHeight="1" outlineLevel="1" x14ac:dyDescent="0.2">
      <c r="A156" s="125"/>
      <c r="B156" s="298">
        <v>1</v>
      </c>
      <c r="C156" s="294" t="s">
        <v>87</v>
      </c>
      <c r="D156" s="282">
        <f t="shared" ref="D156:I156" si="68">INDEX(RPBSScriptsChanged,$B148,D149)*INDEX(DPMQCoPayChangedPub,$B148,$B156)</f>
        <v>0</v>
      </c>
      <c r="E156" s="282">
        <f t="shared" si="68"/>
        <v>0</v>
      </c>
      <c r="F156" s="282">
        <f t="shared" si="68"/>
        <v>0</v>
      </c>
      <c r="G156" s="282">
        <f t="shared" si="68"/>
        <v>0</v>
      </c>
      <c r="H156" s="282">
        <f t="shared" si="68"/>
        <v>0</v>
      </c>
      <c r="I156" s="282">
        <f t="shared" si="68"/>
        <v>0</v>
      </c>
      <c r="J156" s="125"/>
      <c r="K156" s="125"/>
      <c r="L156" s="125"/>
      <c r="M156" s="125"/>
      <c r="N156" s="125"/>
    </row>
    <row r="157" spans="1:14" ht="12.75" hidden="1" customHeight="1" outlineLevel="1" x14ac:dyDescent="0.2">
      <c r="A157" s="125"/>
      <c r="B157" s="298">
        <v>5</v>
      </c>
      <c r="C157" s="5" t="s">
        <v>111</v>
      </c>
      <c r="D157" s="282">
        <f t="shared" ref="D157:I157" si="69">INDEX(RPBSScriptsChanged,$B148,D149)*(INDEX(DPMQCoPayChangedPub,$B148,$B157)/INDEX(CoPayCountChanged,$B148))</f>
        <v>0</v>
      </c>
      <c r="E157" s="282">
        <f t="shared" si="69"/>
        <v>0</v>
      </c>
      <c r="F157" s="282">
        <f t="shared" si="69"/>
        <v>0</v>
      </c>
      <c r="G157" s="282">
        <f t="shared" si="69"/>
        <v>0</v>
      </c>
      <c r="H157" s="282">
        <f t="shared" si="69"/>
        <v>0</v>
      </c>
      <c r="I157" s="282">
        <f t="shared" si="69"/>
        <v>0</v>
      </c>
      <c r="J157" s="125"/>
      <c r="K157" s="125"/>
      <c r="L157" s="125"/>
      <c r="M157" s="125"/>
      <c r="N157" s="125"/>
    </row>
    <row r="158" spans="1:14" ht="12.75" hidden="1" customHeight="1" outlineLevel="1" x14ac:dyDescent="0.2">
      <c r="A158" s="125"/>
      <c r="B158" s="137"/>
      <c r="C158" s="5" t="s">
        <v>89</v>
      </c>
      <c r="D158" s="282">
        <f t="shared" ref="D158:I158" si="70">D156+D157</f>
        <v>0</v>
      </c>
      <c r="E158" s="282">
        <f t="shared" si="70"/>
        <v>0</v>
      </c>
      <c r="F158" s="282">
        <f t="shared" si="70"/>
        <v>0</v>
      </c>
      <c r="G158" s="282">
        <f t="shared" si="70"/>
        <v>0</v>
      </c>
      <c r="H158" s="282">
        <f t="shared" si="70"/>
        <v>0</v>
      </c>
      <c r="I158" s="282">
        <f t="shared" si="70"/>
        <v>0</v>
      </c>
      <c r="J158" s="125"/>
      <c r="K158" s="125"/>
      <c r="L158" s="125"/>
      <c r="M158" s="125"/>
      <c r="N158" s="125"/>
    </row>
    <row r="159" spans="1:14" ht="12.75" customHeight="1" collapsed="1" x14ac:dyDescent="0.2">
      <c r="A159" s="125"/>
      <c r="B159" s="300"/>
      <c r="C159" s="125"/>
      <c r="D159" s="658"/>
      <c r="E159" s="658"/>
      <c r="F159" s="36"/>
      <c r="G159" s="36"/>
      <c r="H159" s="36"/>
      <c r="I159" s="36"/>
      <c r="J159" s="36"/>
      <c r="K159" s="36"/>
      <c r="L159" s="36"/>
      <c r="M159" s="36"/>
      <c r="N159" s="36"/>
    </row>
    <row r="160" spans="1:14" ht="15" x14ac:dyDescent="0.2">
      <c r="A160" s="125"/>
      <c r="B160" s="298">
        <v>12</v>
      </c>
      <c r="C160" s="147" t="str">
        <f>INDEX(PBSScriptsChanged,B160,1)</f>
        <v>** NOT USED **</v>
      </c>
      <c r="D160" s="139"/>
      <c r="E160" s="139"/>
      <c r="F160" s="139"/>
      <c r="G160" s="139"/>
      <c r="H160" s="139"/>
      <c r="I160" s="139"/>
      <c r="J160" s="132"/>
      <c r="K160" s="132"/>
      <c r="L160" s="821" t="str">
        <f>IF(AND(C160&lt;&gt;MsgNotUsed,C160&lt;&gt;MsgNotRequired),"Co-payment group " &amp; INDEX(DPMQCoPayChangedPub,B160,3),"")</f>
        <v/>
      </c>
      <c r="M160" s="821"/>
      <c r="N160" s="633"/>
    </row>
    <row r="161" spans="1:14" ht="12.75" hidden="1" customHeight="1" outlineLevel="1" x14ac:dyDescent="0.2">
      <c r="A161" s="125"/>
      <c r="B161" s="242">
        <f>INDEX(SAChanged,B160,5)</f>
        <v>0</v>
      </c>
      <c r="C161" s="658"/>
      <c r="D161" s="697">
        <v>2</v>
      </c>
      <c r="E161" s="697">
        <v>3</v>
      </c>
      <c r="F161" s="650">
        <v>4</v>
      </c>
      <c r="G161" s="650">
        <v>5</v>
      </c>
      <c r="H161" s="650">
        <v>6</v>
      </c>
      <c r="I161" s="650">
        <v>7</v>
      </c>
      <c r="J161" s="36"/>
      <c r="K161" s="36"/>
      <c r="L161" s="36"/>
      <c r="M161" s="36"/>
      <c r="N161" s="36"/>
    </row>
    <row r="162" spans="1:14" ht="12.75" hidden="1" customHeight="1" outlineLevel="1" x14ac:dyDescent="0.2">
      <c r="A162" s="125"/>
      <c r="B162" s="300"/>
      <c r="C162" s="125"/>
      <c r="D162" s="630">
        <f>FirstYear</f>
        <v>2021</v>
      </c>
      <c r="E162" s="630">
        <f>D162+1</f>
        <v>2022</v>
      </c>
      <c r="F162" s="630">
        <f>E162+1</f>
        <v>2023</v>
      </c>
      <c r="G162" s="630">
        <f>F162+1</f>
        <v>2024</v>
      </c>
      <c r="H162" s="630">
        <f>G162+1</f>
        <v>2025</v>
      </c>
      <c r="I162" s="630">
        <f>H162+1</f>
        <v>2026</v>
      </c>
      <c r="J162" s="125"/>
      <c r="K162" s="125"/>
      <c r="L162" s="125"/>
      <c r="M162" s="125"/>
      <c r="N162" s="125"/>
    </row>
    <row r="163" spans="1:14" ht="12.75" hidden="1" customHeight="1" outlineLevel="1" x14ac:dyDescent="0.2">
      <c r="A163" s="125"/>
      <c r="B163" s="298">
        <v>1</v>
      </c>
      <c r="C163" s="294" t="s">
        <v>86</v>
      </c>
      <c r="D163" s="282">
        <f t="shared" ref="D163:I163" si="71">INDEX(PBSScriptsChanged,$B160,D161)*INDEX(DPMQCoPayChangedPub,$B160,$B163)</f>
        <v>0</v>
      </c>
      <c r="E163" s="282">
        <f t="shared" si="71"/>
        <v>0</v>
      </c>
      <c r="F163" s="282">
        <f t="shared" si="71"/>
        <v>0</v>
      </c>
      <c r="G163" s="282">
        <f t="shared" si="71"/>
        <v>0</v>
      </c>
      <c r="H163" s="282">
        <f t="shared" si="71"/>
        <v>0</v>
      </c>
      <c r="I163" s="282">
        <f t="shared" si="71"/>
        <v>0</v>
      </c>
      <c r="J163" s="125"/>
      <c r="K163" s="125"/>
      <c r="L163" s="125"/>
      <c r="M163" s="125"/>
      <c r="N163" s="125"/>
    </row>
    <row r="164" spans="1:14" ht="12.75" hidden="1" customHeight="1" outlineLevel="1" x14ac:dyDescent="0.2">
      <c r="A164" s="125"/>
      <c r="B164" s="298">
        <v>4</v>
      </c>
      <c r="C164" s="5" t="s">
        <v>111</v>
      </c>
      <c r="D164" s="282">
        <f t="shared" ref="D164:I164" si="72">INDEX(PBSScriptsChanged,$B160,D161)*(INDEX(DPMQCoPayChangedPub,$B160,$B164)/INDEX(CoPayCountChanged,$B160))</f>
        <v>0</v>
      </c>
      <c r="E164" s="282">
        <f t="shared" si="72"/>
        <v>0</v>
      </c>
      <c r="F164" s="282">
        <f t="shared" si="72"/>
        <v>0</v>
      </c>
      <c r="G164" s="282">
        <f t="shared" si="72"/>
        <v>0</v>
      </c>
      <c r="H164" s="282">
        <f t="shared" si="72"/>
        <v>0</v>
      </c>
      <c r="I164" s="282">
        <f t="shared" si="72"/>
        <v>0</v>
      </c>
      <c r="J164" s="125"/>
      <c r="K164" s="811" t="str">
        <f>IF(B161&lt;&gt;0,MsgNote&amp;IF(B161="Yes",INDEX(CoPayMethod,1),INDEX(CoPayMethod,2)),"")</f>
        <v/>
      </c>
      <c r="L164" s="811"/>
      <c r="M164" s="811"/>
      <c r="N164" s="628"/>
    </row>
    <row r="165" spans="1:14" ht="12.75" hidden="1" customHeight="1" outlineLevel="1" x14ac:dyDescent="0.2">
      <c r="A165" s="125"/>
      <c r="B165" s="300"/>
      <c r="C165" s="5" t="s">
        <v>88</v>
      </c>
      <c r="D165" s="282">
        <f t="shared" ref="D165:I165" si="73">D163+D164</f>
        <v>0</v>
      </c>
      <c r="E165" s="282">
        <f t="shared" si="73"/>
        <v>0</v>
      </c>
      <c r="F165" s="282">
        <f t="shared" si="73"/>
        <v>0</v>
      </c>
      <c r="G165" s="282">
        <f t="shared" si="73"/>
        <v>0</v>
      </c>
      <c r="H165" s="282">
        <f t="shared" si="73"/>
        <v>0</v>
      </c>
      <c r="I165" s="282">
        <f t="shared" si="73"/>
        <v>0</v>
      </c>
      <c r="J165" s="125"/>
      <c r="K165" s="125"/>
      <c r="L165" s="125"/>
      <c r="M165" s="125"/>
      <c r="N165" s="125"/>
    </row>
    <row r="166" spans="1:14" ht="12.75" hidden="1" customHeight="1" outlineLevel="1" x14ac:dyDescent="0.2">
      <c r="A166" s="125"/>
      <c r="B166" s="300"/>
      <c r="C166" s="125"/>
      <c r="D166" s="125"/>
      <c r="E166" s="125"/>
      <c r="F166" s="125"/>
      <c r="G166" s="125"/>
      <c r="H166" s="125"/>
      <c r="I166" s="125"/>
      <c r="J166" s="125"/>
      <c r="K166" s="125"/>
      <c r="L166" s="125"/>
      <c r="M166" s="125"/>
      <c r="N166" s="125"/>
    </row>
    <row r="167" spans="1:14" ht="15.75" hidden="1" customHeight="1" outlineLevel="1" x14ac:dyDescent="0.2">
      <c r="A167" s="125"/>
      <c r="B167" s="300"/>
      <c r="C167" s="125"/>
      <c r="D167" s="630">
        <f>FirstYear</f>
        <v>2021</v>
      </c>
      <c r="E167" s="630">
        <f>D167+1</f>
        <v>2022</v>
      </c>
      <c r="F167" s="630">
        <f>E167+1</f>
        <v>2023</v>
      </c>
      <c r="G167" s="630">
        <f>F167+1</f>
        <v>2024</v>
      </c>
      <c r="H167" s="630">
        <f>G167+1</f>
        <v>2025</v>
      </c>
      <c r="I167" s="630">
        <f>H167+1</f>
        <v>2026</v>
      </c>
      <c r="J167" s="125"/>
      <c r="K167" s="125"/>
      <c r="L167" s="125"/>
      <c r="M167" s="125"/>
      <c r="N167" s="125"/>
    </row>
    <row r="168" spans="1:14" ht="12.75" hidden="1" customHeight="1" outlineLevel="1" x14ac:dyDescent="0.2">
      <c r="A168" s="125"/>
      <c r="B168" s="298">
        <v>1</v>
      </c>
      <c r="C168" s="294" t="s">
        <v>87</v>
      </c>
      <c r="D168" s="282">
        <f t="shared" ref="D168:I168" si="74">INDEX(RPBSScriptsChanged,$B160,D161)*INDEX(DPMQCoPayChangedPub,$B160,$B168)</f>
        <v>0</v>
      </c>
      <c r="E168" s="282">
        <f t="shared" si="74"/>
        <v>0</v>
      </c>
      <c r="F168" s="282">
        <f t="shared" si="74"/>
        <v>0</v>
      </c>
      <c r="G168" s="282">
        <f t="shared" si="74"/>
        <v>0</v>
      </c>
      <c r="H168" s="282">
        <f t="shared" si="74"/>
        <v>0</v>
      </c>
      <c r="I168" s="282">
        <f t="shared" si="74"/>
        <v>0</v>
      </c>
      <c r="J168" s="125"/>
      <c r="K168" s="125"/>
      <c r="L168" s="125"/>
      <c r="M168" s="125"/>
      <c r="N168" s="125"/>
    </row>
    <row r="169" spans="1:14" ht="12.75" hidden="1" customHeight="1" outlineLevel="1" x14ac:dyDescent="0.2">
      <c r="A169" s="125"/>
      <c r="B169" s="298">
        <v>5</v>
      </c>
      <c r="C169" s="5" t="s">
        <v>111</v>
      </c>
      <c r="D169" s="282">
        <f t="shared" ref="D169:I169" si="75">INDEX(RPBSScriptsChanged,$B160,D161)*(INDEX(DPMQCoPayChangedPub,$B160,$B169)/INDEX(CoPayCountChanged,$B160))</f>
        <v>0</v>
      </c>
      <c r="E169" s="282">
        <f t="shared" si="75"/>
        <v>0</v>
      </c>
      <c r="F169" s="282">
        <f t="shared" si="75"/>
        <v>0</v>
      </c>
      <c r="G169" s="282">
        <f t="shared" si="75"/>
        <v>0</v>
      </c>
      <c r="H169" s="282">
        <f t="shared" si="75"/>
        <v>0</v>
      </c>
      <c r="I169" s="282">
        <f t="shared" si="75"/>
        <v>0</v>
      </c>
      <c r="J169" s="125"/>
      <c r="K169" s="125"/>
      <c r="L169" s="125"/>
      <c r="M169" s="125"/>
      <c r="N169" s="125"/>
    </row>
    <row r="170" spans="1:14" ht="12.75" hidden="1" customHeight="1" outlineLevel="1" x14ac:dyDescent="0.2">
      <c r="A170" s="125"/>
      <c r="B170" s="137"/>
      <c r="C170" s="5" t="s">
        <v>89</v>
      </c>
      <c r="D170" s="282">
        <f t="shared" ref="D170:I170" si="76">D168+D169</f>
        <v>0</v>
      </c>
      <c r="E170" s="282">
        <f t="shared" si="76"/>
        <v>0</v>
      </c>
      <c r="F170" s="282">
        <f t="shared" si="76"/>
        <v>0</v>
      </c>
      <c r="G170" s="282">
        <f t="shared" si="76"/>
        <v>0</v>
      </c>
      <c r="H170" s="282">
        <f t="shared" si="76"/>
        <v>0</v>
      </c>
      <c r="I170" s="282">
        <f t="shared" si="76"/>
        <v>0</v>
      </c>
      <c r="J170" s="125"/>
      <c r="K170" s="125"/>
      <c r="L170" s="125"/>
      <c r="M170" s="125"/>
      <c r="N170" s="125"/>
    </row>
    <row r="171" spans="1:14" ht="12.75" customHeight="1" collapsed="1" x14ac:dyDescent="0.2">
      <c r="A171" s="125"/>
      <c r="B171" s="300"/>
      <c r="C171" s="125"/>
      <c r="D171" s="658"/>
      <c r="E171" s="658"/>
      <c r="F171" s="36"/>
      <c r="G171" s="36"/>
      <c r="H171" s="36"/>
      <c r="I171" s="36"/>
      <c r="J171" s="36"/>
      <c r="K171" s="36"/>
      <c r="L171" s="36"/>
      <c r="M171" s="36"/>
      <c r="N171" s="36"/>
    </row>
    <row r="172" spans="1:14" ht="15" x14ac:dyDescent="0.2">
      <c r="A172" s="125"/>
      <c r="B172" s="298">
        <v>13</v>
      </c>
      <c r="C172" s="147" t="str">
        <f>INDEX(PBSScriptsChanged,B172,1)</f>
        <v>** NOT USED **</v>
      </c>
      <c r="D172" s="139"/>
      <c r="E172" s="139"/>
      <c r="F172" s="139"/>
      <c r="G172" s="139"/>
      <c r="H172" s="139"/>
      <c r="I172" s="139"/>
      <c r="J172" s="132"/>
      <c r="K172" s="132"/>
      <c r="L172" s="821" t="str">
        <f>IF(AND(C172&lt;&gt;MsgNotUsed,C172&lt;&gt;MsgNotRequired),"Co-payment group " &amp; INDEX(DPMQCoPayChangedPub,B172,3),"")</f>
        <v/>
      </c>
      <c r="M172" s="821"/>
      <c r="N172" s="633"/>
    </row>
    <row r="173" spans="1:14" ht="12.75" hidden="1" customHeight="1" outlineLevel="1" x14ac:dyDescent="0.2">
      <c r="A173" s="125"/>
      <c r="B173" s="242">
        <f>INDEX(SAChanged,B172,5)</f>
        <v>0</v>
      </c>
      <c r="C173" s="658"/>
      <c r="D173" s="697">
        <v>2</v>
      </c>
      <c r="E173" s="697">
        <v>3</v>
      </c>
      <c r="F173" s="650">
        <v>4</v>
      </c>
      <c r="G173" s="650">
        <v>5</v>
      </c>
      <c r="H173" s="650">
        <v>6</v>
      </c>
      <c r="I173" s="650">
        <v>7</v>
      </c>
      <c r="J173" s="36"/>
      <c r="K173" s="36"/>
      <c r="L173" s="36"/>
      <c r="M173" s="36"/>
      <c r="N173" s="36"/>
    </row>
    <row r="174" spans="1:14" ht="12.75" hidden="1" customHeight="1" outlineLevel="1" x14ac:dyDescent="0.2">
      <c r="A174" s="125"/>
      <c r="B174" s="300"/>
      <c r="C174" s="125"/>
      <c r="D174" s="630">
        <f>FirstYear</f>
        <v>2021</v>
      </c>
      <c r="E174" s="630">
        <f>D174+1</f>
        <v>2022</v>
      </c>
      <c r="F174" s="630">
        <f>E174+1</f>
        <v>2023</v>
      </c>
      <c r="G174" s="630">
        <f>F174+1</f>
        <v>2024</v>
      </c>
      <c r="H174" s="630">
        <f>G174+1</f>
        <v>2025</v>
      </c>
      <c r="I174" s="630">
        <f>H174+1</f>
        <v>2026</v>
      </c>
      <c r="J174" s="125"/>
      <c r="K174" s="125"/>
      <c r="L174" s="125"/>
      <c r="M174" s="125"/>
      <c r="N174" s="125"/>
    </row>
    <row r="175" spans="1:14" ht="12.75" hidden="1" customHeight="1" outlineLevel="1" x14ac:dyDescent="0.2">
      <c r="A175" s="125"/>
      <c r="B175" s="298">
        <v>1</v>
      </c>
      <c r="C175" s="294" t="s">
        <v>86</v>
      </c>
      <c r="D175" s="282">
        <f t="shared" ref="D175:I175" si="77">INDEX(PBSScriptsChanged,$B172,D173)*INDEX(DPMQCoPayChangedPub,$B172,$B175)</f>
        <v>0</v>
      </c>
      <c r="E175" s="282">
        <f t="shared" si="77"/>
        <v>0</v>
      </c>
      <c r="F175" s="282">
        <f t="shared" si="77"/>
        <v>0</v>
      </c>
      <c r="G175" s="282">
        <f t="shared" si="77"/>
        <v>0</v>
      </c>
      <c r="H175" s="282">
        <f t="shared" si="77"/>
        <v>0</v>
      </c>
      <c r="I175" s="282">
        <f t="shared" si="77"/>
        <v>0</v>
      </c>
      <c r="J175" s="125"/>
      <c r="K175" s="125"/>
      <c r="L175" s="125"/>
      <c r="M175" s="125"/>
      <c r="N175" s="125"/>
    </row>
    <row r="176" spans="1:14" ht="12.75" hidden="1" customHeight="1" outlineLevel="1" x14ac:dyDescent="0.2">
      <c r="A176" s="125"/>
      <c r="B176" s="298">
        <v>4</v>
      </c>
      <c r="C176" s="5" t="s">
        <v>111</v>
      </c>
      <c r="D176" s="282">
        <f t="shared" ref="D176:I176" si="78">INDEX(PBSScriptsChanged,$B172,D173)*(INDEX(DPMQCoPayChangedPub,$B172,$B176)/INDEX(CoPayCountChanged,$B172))</f>
        <v>0</v>
      </c>
      <c r="E176" s="282">
        <f t="shared" si="78"/>
        <v>0</v>
      </c>
      <c r="F176" s="282">
        <f t="shared" si="78"/>
        <v>0</v>
      </c>
      <c r="G176" s="282">
        <f t="shared" si="78"/>
        <v>0</v>
      </c>
      <c r="H176" s="282">
        <f t="shared" si="78"/>
        <v>0</v>
      </c>
      <c r="I176" s="282">
        <f t="shared" si="78"/>
        <v>0</v>
      </c>
      <c r="J176" s="125"/>
      <c r="K176" s="811" t="str">
        <f>IF(B173&lt;&gt;0,MsgNote&amp;IF(B173="Yes",INDEX(CoPayMethod,1),INDEX(CoPayMethod,2)),"")</f>
        <v/>
      </c>
      <c r="L176" s="811"/>
      <c r="M176" s="811"/>
      <c r="N176" s="628"/>
    </row>
    <row r="177" spans="1:14" ht="12.75" hidden="1" customHeight="1" outlineLevel="1" x14ac:dyDescent="0.2">
      <c r="A177" s="125"/>
      <c r="B177" s="300"/>
      <c r="C177" s="5" t="s">
        <v>88</v>
      </c>
      <c r="D177" s="282">
        <f t="shared" ref="D177:I177" si="79">D175+D176</f>
        <v>0</v>
      </c>
      <c r="E177" s="282">
        <f t="shared" si="79"/>
        <v>0</v>
      </c>
      <c r="F177" s="282">
        <f t="shared" si="79"/>
        <v>0</v>
      </c>
      <c r="G177" s="282">
        <f t="shared" si="79"/>
        <v>0</v>
      </c>
      <c r="H177" s="282">
        <f t="shared" si="79"/>
        <v>0</v>
      </c>
      <c r="I177" s="282">
        <f t="shared" si="79"/>
        <v>0</v>
      </c>
      <c r="J177" s="125"/>
      <c r="K177" s="125"/>
      <c r="L177" s="125"/>
      <c r="M177" s="125"/>
      <c r="N177" s="125"/>
    </row>
    <row r="178" spans="1:14" ht="12.75" hidden="1" customHeight="1" outlineLevel="1" x14ac:dyDescent="0.2">
      <c r="A178" s="125"/>
      <c r="B178" s="300"/>
      <c r="C178" s="125"/>
      <c r="D178" s="125"/>
      <c r="E178" s="125"/>
      <c r="F178" s="125"/>
      <c r="G178" s="125"/>
      <c r="H178" s="125"/>
      <c r="I178" s="125"/>
      <c r="J178" s="125"/>
      <c r="K178" s="125"/>
      <c r="L178" s="125"/>
      <c r="M178" s="125"/>
      <c r="N178" s="125"/>
    </row>
    <row r="179" spans="1:14" ht="15.75" hidden="1" customHeight="1" outlineLevel="1" x14ac:dyDescent="0.2">
      <c r="A179" s="125"/>
      <c r="B179" s="300"/>
      <c r="C179" s="125"/>
      <c r="D179" s="630">
        <f>FirstYear</f>
        <v>2021</v>
      </c>
      <c r="E179" s="630">
        <f>D179+1</f>
        <v>2022</v>
      </c>
      <c r="F179" s="630">
        <f>E179+1</f>
        <v>2023</v>
      </c>
      <c r="G179" s="630">
        <f>F179+1</f>
        <v>2024</v>
      </c>
      <c r="H179" s="630">
        <f>G179+1</f>
        <v>2025</v>
      </c>
      <c r="I179" s="630">
        <f>H179+1</f>
        <v>2026</v>
      </c>
      <c r="J179" s="125"/>
      <c r="K179" s="125"/>
      <c r="L179" s="125"/>
      <c r="M179" s="125"/>
      <c r="N179" s="125"/>
    </row>
    <row r="180" spans="1:14" ht="12.75" hidden="1" customHeight="1" outlineLevel="1" x14ac:dyDescent="0.2">
      <c r="A180" s="125"/>
      <c r="B180" s="298">
        <v>1</v>
      </c>
      <c r="C180" s="294" t="s">
        <v>87</v>
      </c>
      <c r="D180" s="282">
        <f t="shared" ref="D180:I180" si="80">INDEX(RPBSScriptsChanged,$B172,D173)*INDEX(DPMQCoPayChangedPub,$B172,$B180)</f>
        <v>0</v>
      </c>
      <c r="E180" s="282">
        <f t="shared" si="80"/>
        <v>0</v>
      </c>
      <c r="F180" s="282">
        <f t="shared" si="80"/>
        <v>0</v>
      </c>
      <c r="G180" s="282">
        <f t="shared" si="80"/>
        <v>0</v>
      </c>
      <c r="H180" s="282">
        <f t="shared" si="80"/>
        <v>0</v>
      </c>
      <c r="I180" s="282">
        <f t="shared" si="80"/>
        <v>0</v>
      </c>
      <c r="J180" s="125"/>
      <c r="K180" s="125"/>
      <c r="L180" s="125"/>
      <c r="M180" s="125"/>
      <c r="N180" s="125"/>
    </row>
    <row r="181" spans="1:14" ht="12.75" hidden="1" customHeight="1" outlineLevel="1" x14ac:dyDescent="0.2">
      <c r="A181" s="125"/>
      <c r="B181" s="298">
        <v>5</v>
      </c>
      <c r="C181" s="5" t="s">
        <v>111</v>
      </c>
      <c r="D181" s="282">
        <f t="shared" ref="D181:I181" si="81">INDEX(RPBSScriptsChanged,$B172,D173)*(INDEX(DPMQCoPayChangedPub,$B172,$B181)/INDEX(CoPayCountChanged,$B172))</f>
        <v>0</v>
      </c>
      <c r="E181" s="282">
        <f t="shared" si="81"/>
        <v>0</v>
      </c>
      <c r="F181" s="282">
        <f t="shared" si="81"/>
        <v>0</v>
      </c>
      <c r="G181" s="282">
        <f t="shared" si="81"/>
        <v>0</v>
      </c>
      <c r="H181" s="282">
        <f t="shared" si="81"/>
        <v>0</v>
      </c>
      <c r="I181" s="282">
        <f t="shared" si="81"/>
        <v>0</v>
      </c>
      <c r="J181" s="125"/>
      <c r="K181" s="125"/>
      <c r="L181" s="125"/>
      <c r="M181" s="125"/>
      <c r="N181" s="125"/>
    </row>
    <row r="182" spans="1:14" ht="12.75" hidden="1" customHeight="1" outlineLevel="1" x14ac:dyDescent="0.2">
      <c r="A182" s="125"/>
      <c r="B182" s="137"/>
      <c r="C182" s="5" t="s">
        <v>89</v>
      </c>
      <c r="D182" s="282">
        <f t="shared" ref="D182:I182" si="82">D180+D181</f>
        <v>0</v>
      </c>
      <c r="E182" s="282">
        <f t="shared" si="82"/>
        <v>0</v>
      </c>
      <c r="F182" s="282">
        <f t="shared" si="82"/>
        <v>0</v>
      </c>
      <c r="G182" s="282">
        <f t="shared" si="82"/>
        <v>0</v>
      </c>
      <c r="H182" s="282">
        <f t="shared" si="82"/>
        <v>0</v>
      </c>
      <c r="I182" s="282">
        <f t="shared" si="82"/>
        <v>0</v>
      </c>
      <c r="J182" s="125"/>
      <c r="K182" s="125"/>
      <c r="L182" s="125"/>
      <c r="M182" s="125"/>
      <c r="N182" s="125"/>
    </row>
    <row r="183" spans="1:14" ht="12.75" customHeight="1" collapsed="1" x14ac:dyDescent="0.2">
      <c r="A183" s="125"/>
      <c r="B183" s="300"/>
      <c r="C183" s="125"/>
      <c r="D183" s="658"/>
      <c r="E183" s="658"/>
      <c r="F183" s="36"/>
      <c r="G183" s="36"/>
      <c r="H183" s="36"/>
      <c r="I183" s="36"/>
      <c r="J183" s="36"/>
      <c r="K183" s="36"/>
      <c r="L183" s="36"/>
      <c r="M183" s="36"/>
      <c r="N183" s="36"/>
    </row>
    <row r="184" spans="1:14" ht="15" x14ac:dyDescent="0.2">
      <c r="A184" s="125"/>
      <c r="B184" s="298">
        <v>14</v>
      </c>
      <c r="C184" s="147" t="str">
        <f>INDEX(PBSScriptsChanged,B184,1)</f>
        <v>** NOT USED **</v>
      </c>
      <c r="D184" s="139"/>
      <c r="E184" s="139"/>
      <c r="F184" s="139"/>
      <c r="G184" s="139"/>
      <c r="H184" s="139"/>
      <c r="I184" s="139"/>
      <c r="J184" s="132"/>
      <c r="K184" s="132"/>
      <c r="L184" s="821" t="str">
        <f>IF(AND(C184&lt;&gt;MsgNotUsed,C184&lt;&gt;MsgNotRequired),"Co-payment group " &amp; INDEX(DPMQCoPayChangedPub,B184,3),"")</f>
        <v/>
      </c>
      <c r="M184" s="821"/>
      <c r="N184" s="633"/>
    </row>
    <row r="185" spans="1:14" ht="12.75" hidden="1" customHeight="1" outlineLevel="1" x14ac:dyDescent="0.2">
      <c r="A185" s="125"/>
      <c r="B185" s="242">
        <f>INDEX(SAChanged,B184,5)</f>
        <v>0</v>
      </c>
      <c r="C185" s="658"/>
      <c r="D185" s="697">
        <v>2</v>
      </c>
      <c r="E185" s="697">
        <v>3</v>
      </c>
      <c r="F185" s="650">
        <v>4</v>
      </c>
      <c r="G185" s="650">
        <v>5</v>
      </c>
      <c r="H185" s="650">
        <v>6</v>
      </c>
      <c r="I185" s="650">
        <v>7</v>
      </c>
      <c r="J185" s="36"/>
      <c r="K185" s="36"/>
      <c r="L185" s="36"/>
      <c r="M185" s="36"/>
      <c r="N185" s="36"/>
    </row>
    <row r="186" spans="1:14" ht="12.75" hidden="1" customHeight="1" outlineLevel="1" x14ac:dyDescent="0.2">
      <c r="A186" s="125"/>
      <c r="B186" s="300"/>
      <c r="C186" s="125"/>
      <c r="D186" s="630">
        <f>FirstYear</f>
        <v>2021</v>
      </c>
      <c r="E186" s="630">
        <f>D186+1</f>
        <v>2022</v>
      </c>
      <c r="F186" s="630">
        <f>E186+1</f>
        <v>2023</v>
      </c>
      <c r="G186" s="630">
        <f>F186+1</f>
        <v>2024</v>
      </c>
      <c r="H186" s="630">
        <f>G186+1</f>
        <v>2025</v>
      </c>
      <c r="I186" s="630">
        <f>H186+1</f>
        <v>2026</v>
      </c>
      <c r="J186" s="125"/>
      <c r="K186" s="125"/>
      <c r="L186" s="125"/>
      <c r="M186" s="125"/>
      <c r="N186" s="125"/>
    </row>
    <row r="187" spans="1:14" ht="12.75" hidden="1" customHeight="1" outlineLevel="1" x14ac:dyDescent="0.2">
      <c r="A187" s="125"/>
      <c r="B187" s="298">
        <v>1</v>
      </c>
      <c r="C187" s="294" t="s">
        <v>86</v>
      </c>
      <c r="D187" s="282">
        <f t="shared" ref="D187:I187" si="83">INDEX(PBSScriptsChanged,$B184,D185)*INDEX(DPMQCoPayChangedPub,$B184,$B187)</f>
        <v>0</v>
      </c>
      <c r="E187" s="282">
        <f t="shared" si="83"/>
        <v>0</v>
      </c>
      <c r="F187" s="282">
        <f t="shared" si="83"/>
        <v>0</v>
      </c>
      <c r="G187" s="282">
        <f t="shared" si="83"/>
        <v>0</v>
      </c>
      <c r="H187" s="282">
        <f t="shared" si="83"/>
        <v>0</v>
      </c>
      <c r="I187" s="282">
        <f t="shared" si="83"/>
        <v>0</v>
      </c>
      <c r="J187" s="125"/>
      <c r="K187" s="125"/>
      <c r="L187" s="125"/>
      <c r="M187" s="125"/>
      <c r="N187" s="125"/>
    </row>
    <row r="188" spans="1:14" ht="12.75" hidden="1" customHeight="1" outlineLevel="1" x14ac:dyDescent="0.2">
      <c r="A188" s="125"/>
      <c r="B188" s="298">
        <v>4</v>
      </c>
      <c r="C188" s="5" t="s">
        <v>111</v>
      </c>
      <c r="D188" s="282">
        <f t="shared" ref="D188:I188" si="84">INDEX(PBSScriptsChanged,$B184,D185)*(INDEX(DPMQCoPayChangedPub,$B184,$B188)/INDEX(CoPayCountChanged,$B184))</f>
        <v>0</v>
      </c>
      <c r="E188" s="282">
        <f t="shared" si="84"/>
        <v>0</v>
      </c>
      <c r="F188" s="282">
        <f t="shared" si="84"/>
        <v>0</v>
      </c>
      <c r="G188" s="282">
        <f t="shared" si="84"/>
        <v>0</v>
      </c>
      <c r="H188" s="282">
        <f t="shared" si="84"/>
        <v>0</v>
      </c>
      <c r="I188" s="282">
        <f t="shared" si="84"/>
        <v>0</v>
      </c>
      <c r="J188" s="125"/>
      <c r="K188" s="811" t="str">
        <f>IF(B185&lt;&gt;0,MsgNote&amp;IF(B185="Yes",INDEX(CoPayMethod,1),INDEX(CoPayMethod,2)),"")</f>
        <v/>
      </c>
      <c r="L188" s="811"/>
      <c r="M188" s="811"/>
      <c r="N188" s="628"/>
    </row>
    <row r="189" spans="1:14" ht="12.75" hidden="1" customHeight="1" outlineLevel="1" x14ac:dyDescent="0.2">
      <c r="A189" s="125"/>
      <c r="B189" s="300"/>
      <c r="C189" s="5" t="s">
        <v>88</v>
      </c>
      <c r="D189" s="282">
        <f t="shared" ref="D189:I189" si="85">D187+D188</f>
        <v>0</v>
      </c>
      <c r="E189" s="282">
        <f t="shared" si="85"/>
        <v>0</v>
      </c>
      <c r="F189" s="282">
        <f t="shared" si="85"/>
        <v>0</v>
      </c>
      <c r="G189" s="282">
        <f t="shared" si="85"/>
        <v>0</v>
      </c>
      <c r="H189" s="282">
        <f t="shared" si="85"/>
        <v>0</v>
      </c>
      <c r="I189" s="282">
        <f t="shared" si="85"/>
        <v>0</v>
      </c>
      <c r="J189" s="125"/>
      <c r="K189" s="125"/>
      <c r="L189" s="125"/>
      <c r="M189" s="125"/>
      <c r="N189" s="125"/>
    </row>
    <row r="190" spans="1:14" ht="12.75" hidden="1" customHeight="1" outlineLevel="1" x14ac:dyDescent="0.2">
      <c r="A190" s="125"/>
      <c r="B190" s="300"/>
      <c r="C190" s="125"/>
      <c r="D190" s="125"/>
      <c r="E190" s="125"/>
      <c r="F190" s="125"/>
      <c r="G190" s="125"/>
      <c r="H190" s="125"/>
      <c r="I190" s="125"/>
      <c r="J190" s="125"/>
      <c r="K190" s="125"/>
      <c r="L190" s="125"/>
      <c r="M190" s="125"/>
      <c r="N190" s="125"/>
    </row>
    <row r="191" spans="1:14" ht="15.75" hidden="1" customHeight="1" outlineLevel="1" x14ac:dyDescent="0.2">
      <c r="A191" s="125"/>
      <c r="B191" s="300"/>
      <c r="C191" s="125"/>
      <c r="D191" s="630">
        <f>FirstYear</f>
        <v>2021</v>
      </c>
      <c r="E191" s="630">
        <f>D191+1</f>
        <v>2022</v>
      </c>
      <c r="F191" s="630">
        <f>E191+1</f>
        <v>2023</v>
      </c>
      <c r="G191" s="630">
        <f>F191+1</f>
        <v>2024</v>
      </c>
      <c r="H191" s="630">
        <f>G191+1</f>
        <v>2025</v>
      </c>
      <c r="I191" s="630">
        <f>H191+1</f>
        <v>2026</v>
      </c>
      <c r="J191" s="125"/>
      <c r="K191" s="125"/>
      <c r="L191" s="125"/>
      <c r="M191" s="125"/>
      <c r="N191" s="125"/>
    </row>
    <row r="192" spans="1:14" ht="12.75" hidden="1" customHeight="1" outlineLevel="1" x14ac:dyDescent="0.2">
      <c r="A192" s="125"/>
      <c r="B192" s="298">
        <v>1</v>
      </c>
      <c r="C192" s="294" t="s">
        <v>87</v>
      </c>
      <c r="D192" s="282">
        <f t="shared" ref="D192:I192" si="86">INDEX(RPBSScriptsChanged,$B184,D185)*INDEX(DPMQCoPayChangedPub,$B184,$B192)</f>
        <v>0</v>
      </c>
      <c r="E192" s="282">
        <f t="shared" si="86"/>
        <v>0</v>
      </c>
      <c r="F192" s="282">
        <f t="shared" si="86"/>
        <v>0</v>
      </c>
      <c r="G192" s="282">
        <f t="shared" si="86"/>
        <v>0</v>
      </c>
      <c r="H192" s="282">
        <f t="shared" si="86"/>
        <v>0</v>
      </c>
      <c r="I192" s="282">
        <f t="shared" si="86"/>
        <v>0</v>
      </c>
      <c r="J192" s="125"/>
      <c r="K192" s="125"/>
      <c r="L192" s="125"/>
      <c r="M192" s="125"/>
      <c r="N192" s="125"/>
    </row>
    <row r="193" spans="1:14" ht="12.75" hidden="1" customHeight="1" outlineLevel="1" x14ac:dyDescent="0.2">
      <c r="A193" s="125"/>
      <c r="B193" s="298">
        <v>5</v>
      </c>
      <c r="C193" s="5" t="s">
        <v>111</v>
      </c>
      <c r="D193" s="282">
        <f t="shared" ref="D193:I193" si="87">INDEX(RPBSScriptsChanged,$B184,D185)*(INDEX(DPMQCoPayChangedPub,$B184,$B193)/INDEX(CoPayCountChanged,$B184))</f>
        <v>0</v>
      </c>
      <c r="E193" s="282">
        <f t="shared" si="87"/>
        <v>0</v>
      </c>
      <c r="F193" s="282">
        <f t="shared" si="87"/>
        <v>0</v>
      </c>
      <c r="G193" s="282">
        <f t="shared" si="87"/>
        <v>0</v>
      </c>
      <c r="H193" s="282">
        <f t="shared" si="87"/>
        <v>0</v>
      </c>
      <c r="I193" s="282">
        <f t="shared" si="87"/>
        <v>0</v>
      </c>
      <c r="J193" s="125"/>
      <c r="K193" s="125"/>
      <c r="L193" s="125"/>
      <c r="M193" s="125"/>
      <c r="N193" s="125"/>
    </row>
    <row r="194" spans="1:14" ht="12.75" hidden="1" customHeight="1" outlineLevel="1" x14ac:dyDescent="0.2">
      <c r="A194" s="125"/>
      <c r="B194" s="137"/>
      <c r="C194" s="5" t="s">
        <v>89</v>
      </c>
      <c r="D194" s="282">
        <f t="shared" ref="D194:I194" si="88">D192+D193</f>
        <v>0</v>
      </c>
      <c r="E194" s="282">
        <f t="shared" si="88"/>
        <v>0</v>
      </c>
      <c r="F194" s="282">
        <f t="shared" si="88"/>
        <v>0</v>
      </c>
      <c r="G194" s="282">
        <f t="shared" si="88"/>
        <v>0</v>
      </c>
      <c r="H194" s="282">
        <f t="shared" si="88"/>
        <v>0</v>
      </c>
      <c r="I194" s="282">
        <f t="shared" si="88"/>
        <v>0</v>
      </c>
      <c r="J194" s="125"/>
      <c r="K194" s="125"/>
      <c r="L194" s="125"/>
      <c r="M194" s="125"/>
      <c r="N194" s="125"/>
    </row>
    <row r="195" spans="1:14" ht="12.75" customHeight="1" collapsed="1" x14ac:dyDescent="0.2">
      <c r="A195" s="125"/>
      <c r="B195" s="300"/>
      <c r="C195" s="125"/>
      <c r="D195" s="658"/>
      <c r="E195" s="658"/>
      <c r="F195" s="36"/>
      <c r="G195" s="36"/>
      <c r="H195" s="36"/>
      <c r="I195" s="36"/>
      <c r="J195" s="36"/>
      <c r="K195" s="36"/>
      <c r="L195" s="36"/>
      <c r="M195" s="36"/>
      <c r="N195" s="36"/>
    </row>
    <row r="196" spans="1:14" ht="15" x14ac:dyDescent="0.2">
      <c r="A196" s="125"/>
      <c r="B196" s="298">
        <v>15</v>
      </c>
      <c r="C196" s="147" t="str">
        <f>INDEX(PBSScriptsChanged,B196,1)</f>
        <v>** NOT USED **</v>
      </c>
      <c r="D196" s="139"/>
      <c r="E196" s="139"/>
      <c r="F196" s="139"/>
      <c r="G196" s="139"/>
      <c r="H196" s="139"/>
      <c r="I196" s="139"/>
      <c r="J196" s="132"/>
      <c r="K196" s="132"/>
      <c r="L196" s="821" t="str">
        <f>IF(AND(C196&lt;&gt;MsgNotUsed,C196&lt;&gt;MsgNotRequired),"Co-payment group " &amp; INDEX(DPMQCoPayChangedPub,B196,3),"")</f>
        <v/>
      </c>
      <c r="M196" s="821"/>
      <c r="N196" s="633"/>
    </row>
    <row r="197" spans="1:14" ht="12.75" hidden="1" customHeight="1" outlineLevel="1" x14ac:dyDescent="0.2">
      <c r="A197" s="125"/>
      <c r="B197" s="242">
        <f>INDEX(SAChanged,B196,5)</f>
        <v>0</v>
      </c>
      <c r="C197" s="658"/>
      <c r="D197" s="697">
        <v>2</v>
      </c>
      <c r="E197" s="697">
        <v>3</v>
      </c>
      <c r="F197" s="650">
        <v>4</v>
      </c>
      <c r="G197" s="650">
        <v>5</v>
      </c>
      <c r="H197" s="650">
        <v>6</v>
      </c>
      <c r="I197" s="650">
        <v>7</v>
      </c>
      <c r="J197" s="36"/>
      <c r="K197" s="36"/>
      <c r="L197" s="36"/>
      <c r="M197" s="36"/>
      <c r="N197" s="36"/>
    </row>
    <row r="198" spans="1:14" ht="12.75" hidden="1" customHeight="1" outlineLevel="1" x14ac:dyDescent="0.2">
      <c r="A198" s="125"/>
      <c r="B198" s="300"/>
      <c r="C198" s="125"/>
      <c r="D198" s="630">
        <f>FirstYear</f>
        <v>2021</v>
      </c>
      <c r="E198" s="630">
        <f>D198+1</f>
        <v>2022</v>
      </c>
      <c r="F198" s="630">
        <f>E198+1</f>
        <v>2023</v>
      </c>
      <c r="G198" s="630">
        <f>F198+1</f>
        <v>2024</v>
      </c>
      <c r="H198" s="630">
        <f>G198+1</f>
        <v>2025</v>
      </c>
      <c r="I198" s="630">
        <f>H198+1</f>
        <v>2026</v>
      </c>
      <c r="J198" s="125"/>
      <c r="K198" s="125"/>
      <c r="L198" s="125"/>
      <c r="M198" s="125"/>
      <c r="N198" s="125"/>
    </row>
    <row r="199" spans="1:14" ht="12.75" hidden="1" customHeight="1" outlineLevel="1" x14ac:dyDescent="0.2">
      <c r="A199" s="125"/>
      <c r="B199" s="298">
        <v>1</v>
      </c>
      <c r="C199" s="294" t="s">
        <v>86</v>
      </c>
      <c r="D199" s="282">
        <f t="shared" ref="D199:I199" si="89">INDEX(PBSScriptsChanged,$B196,D197)*INDEX(DPMQCoPayChangedPub,$B196,$B199)</f>
        <v>0</v>
      </c>
      <c r="E199" s="282">
        <f t="shared" si="89"/>
        <v>0</v>
      </c>
      <c r="F199" s="282">
        <f t="shared" si="89"/>
        <v>0</v>
      </c>
      <c r="G199" s="282">
        <f t="shared" si="89"/>
        <v>0</v>
      </c>
      <c r="H199" s="282">
        <f t="shared" si="89"/>
        <v>0</v>
      </c>
      <c r="I199" s="282">
        <f t="shared" si="89"/>
        <v>0</v>
      </c>
      <c r="J199" s="125"/>
      <c r="K199" s="125"/>
      <c r="L199" s="125"/>
      <c r="M199" s="125"/>
      <c r="N199" s="125"/>
    </row>
    <row r="200" spans="1:14" ht="12.75" hidden="1" customHeight="1" outlineLevel="1" x14ac:dyDescent="0.2">
      <c r="A200" s="125"/>
      <c r="B200" s="298">
        <v>4</v>
      </c>
      <c r="C200" s="5" t="s">
        <v>111</v>
      </c>
      <c r="D200" s="282">
        <f t="shared" ref="D200:I200" si="90">INDEX(PBSScriptsChanged,$B196,D197)*(INDEX(DPMQCoPayChangedPub,$B196,$B200)/INDEX(CoPayCountChanged,$B196))</f>
        <v>0</v>
      </c>
      <c r="E200" s="282">
        <f t="shared" si="90"/>
        <v>0</v>
      </c>
      <c r="F200" s="282">
        <f t="shared" si="90"/>
        <v>0</v>
      </c>
      <c r="G200" s="282">
        <f t="shared" si="90"/>
        <v>0</v>
      </c>
      <c r="H200" s="282">
        <f t="shared" si="90"/>
        <v>0</v>
      </c>
      <c r="I200" s="282">
        <f t="shared" si="90"/>
        <v>0</v>
      </c>
      <c r="J200" s="125"/>
      <c r="K200" s="811" t="str">
        <f>IF(B197&lt;&gt;0,MsgNote&amp;IF(B197="Yes",INDEX(CoPayMethod,1),INDEX(CoPayMethod,2)),"")</f>
        <v/>
      </c>
      <c r="L200" s="811"/>
      <c r="M200" s="811"/>
      <c r="N200" s="628"/>
    </row>
    <row r="201" spans="1:14" ht="12.75" hidden="1" customHeight="1" outlineLevel="1" x14ac:dyDescent="0.2">
      <c r="A201" s="125"/>
      <c r="B201" s="300"/>
      <c r="C201" s="5" t="s">
        <v>88</v>
      </c>
      <c r="D201" s="282">
        <f t="shared" ref="D201:I201" si="91">D199+D200</f>
        <v>0</v>
      </c>
      <c r="E201" s="282">
        <f t="shared" si="91"/>
        <v>0</v>
      </c>
      <c r="F201" s="282">
        <f t="shared" si="91"/>
        <v>0</v>
      </c>
      <c r="G201" s="282">
        <f t="shared" si="91"/>
        <v>0</v>
      </c>
      <c r="H201" s="282">
        <f t="shared" si="91"/>
        <v>0</v>
      </c>
      <c r="I201" s="282">
        <f t="shared" si="91"/>
        <v>0</v>
      </c>
      <c r="J201" s="125"/>
      <c r="K201" s="125"/>
      <c r="L201" s="125"/>
      <c r="M201" s="125"/>
      <c r="N201" s="125"/>
    </row>
    <row r="202" spans="1:14" ht="12.75" hidden="1" customHeight="1" outlineLevel="1" x14ac:dyDescent="0.2">
      <c r="A202" s="125"/>
      <c r="B202" s="300"/>
      <c r="C202" s="125"/>
      <c r="D202" s="125"/>
      <c r="E202" s="125"/>
      <c r="F202" s="125"/>
      <c r="G202" s="125"/>
      <c r="H202" s="125"/>
      <c r="I202" s="125"/>
      <c r="J202" s="125"/>
      <c r="K202" s="125"/>
      <c r="L202" s="125"/>
      <c r="M202" s="125"/>
      <c r="N202" s="125"/>
    </row>
    <row r="203" spans="1:14" ht="15.75" hidden="1" customHeight="1" outlineLevel="1" x14ac:dyDescent="0.2">
      <c r="A203" s="125"/>
      <c r="B203" s="300"/>
      <c r="C203" s="125"/>
      <c r="D203" s="630">
        <f>FirstYear</f>
        <v>2021</v>
      </c>
      <c r="E203" s="630">
        <f>D203+1</f>
        <v>2022</v>
      </c>
      <c r="F203" s="630">
        <f>E203+1</f>
        <v>2023</v>
      </c>
      <c r="G203" s="630">
        <f>F203+1</f>
        <v>2024</v>
      </c>
      <c r="H203" s="630">
        <f>G203+1</f>
        <v>2025</v>
      </c>
      <c r="I203" s="630">
        <f>H203+1</f>
        <v>2026</v>
      </c>
      <c r="J203" s="125"/>
      <c r="K203" s="125"/>
      <c r="L203" s="125"/>
      <c r="M203" s="125"/>
      <c r="N203" s="125"/>
    </row>
    <row r="204" spans="1:14" ht="12.75" hidden="1" customHeight="1" outlineLevel="1" x14ac:dyDescent="0.2">
      <c r="A204" s="125"/>
      <c r="B204" s="298">
        <v>1</v>
      </c>
      <c r="C204" s="294" t="s">
        <v>87</v>
      </c>
      <c r="D204" s="282">
        <f t="shared" ref="D204:I204" si="92">INDEX(RPBSScriptsChanged,$B196,D197)*INDEX(DPMQCoPayChangedPub,$B196,$B204)</f>
        <v>0</v>
      </c>
      <c r="E204" s="282">
        <f t="shared" si="92"/>
        <v>0</v>
      </c>
      <c r="F204" s="282">
        <f t="shared" si="92"/>
        <v>0</v>
      </c>
      <c r="G204" s="282">
        <f t="shared" si="92"/>
        <v>0</v>
      </c>
      <c r="H204" s="282">
        <f t="shared" si="92"/>
        <v>0</v>
      </c>
      <c r="I204" s="282">
        <f t="shared" si="92"/>
        <v>0</v>
      </c>
      <c r="J204" s="125"/>
      <c r="K204" s="125"/>
      <c r="L204" s="125"/>
      <c r="M204" s="125"/>
      <c r="N204" s="125"/>
    </row>
    <row r="205" spans="1:14" ht="12.75" hidden="1" customHeight="1" outlineLevel="1" x14ac:dyDescent="0.2">
      <c r="A205" s="125"/>
      <c r="B205" s="298">
        <v>5</v>
      </c>
      <c r="C205" s="5" t="s">
        <v>111</v>
      </c>
      <c r="D205" s="282">
        <f t="shared" ref="D205:I205" si="93">INDEX(RPBSScriptsChanged,$B196,D197)*(INDEX(DPMQCoPayChangedPub,$B196,$B205)/INDEX(CoPayCountChanged,$B196))</f>
        <v>0</v>
      </c>
      <c r="E205" s="282">
        <f t="shared" si="93"/>
        <v>0</v>
      </c>
      <c r="F205" s="282">
        <f t="shared" si="93"/>
        <v>0</v>
      </c>
      <c r="G205" s="282">
        <f t="shared" si="93"/>
        <v>0</v>
      </c>
      <c r="H205" s="282">
        <f t="shared" si="93"/>
        <v>0</v>
      </c>
      <c r="I205" s="282">
        <f t="shared" si="93"/>
        <v>0</v>
      </c>
      <c r="J205" s="125"/>
      <c r="K205" s="125"/>
      <c r="L205" s="125"/>
      <c r="M205" s="125"/>
      <c r="N205" s="125"/>
    </row>
    <row r="206" spans="1:14" ht="12.75" hidden="1" customHeight="1" outlineLevel="1" x14ac:dyDescent="0.2">
      <c r="A206" s="125"/>
      <c r="B206" s="137"/>
      <c r="C206" s="5" t="s">
        <v>89</v>
      </c>
      <c r="D206" s="282">
        <f t="shared" ref="D206:I206" si="94">D204+D205</f>
        <v>0</v>
      </c>
      <c r="E206" s="282">
        <f t="shared" si="94"/>
        <v>0</v>
      </c>
      <c r="F206" s="282">
        <f t="shared" si="94"/>
        <v>0</v>
      </c>
      <c r="G206" s="282">
        <f t="shared" si="94"/>
        <v>0</v>
      </c>
      <c r="H206" s="282">
        <f t="shared" si="94"/>
        <v>0</v>
      </c>
      <c r="I206" s="282">
        <f t="shared" si="94"/>
        <v>0</v>
      </c>
      <c r="J206" s="125"/>
      <c r="K206" s="125"/>
      <c r="L206" s="125"/>
      <c r="M206" s="125"/>
      <c r="N206" s="125"/>
    </row>
    <row r="207" spans="1:14" ht="12.75" customHeight="1" collapsed="1" x14ac:dyDescent="0.2">
      <c r="A207" s="125"/>
      <c r="B207" s="300"/>
      <c r="C207" s="125"/>
      <c r="D207" s="658"/>
      <c r="E207" s="658"/>
      <c r="F207" s="36"/>
      <c r="G207" s="36"/>
      <c r="H207" s="36"/>
      <c r="I207" s="36"/>
      <c r="J207" s="36"/>
      <c r="K207" s="36"/>
      <c r="L207" s="36"/>
      <c r="M207" s="36"/>
      <c r="N207" s="36"/>
    </row>
    <row r="208" spans="1:14" ht="15" x14ac:dyDescent="0.2">
      <c r="A208" s="125"/>
      <c r="B208" s="298">
        <v>16</v>
      </c>
      <c r="C208" s="147" t="str">
        <f>INDEX(PBSScriptsChanged,B208,1)</f>
        <v>** NOT USED **</v>
      </c>
      <c r="D208" s="139"/>
      <c r="E208" s="139"/>
      <c r="F208" s="139"/>
      <c r="G208" s="139"/>
      <c r="H208" s="139"/>
      <c r="I208" s="139"/>
      <c r="J208" s="132"/>
      <c r="K208" s="132"/>
      <c r="L208" s="821" t="str">
        <f>IF(AND(C208&lt;&gt;MsgNotUsed,C208&lt;&gt;MsgNotRequired),"Co-payment group " &amp; INDEX(DPMQCoPayChangedPub,B208,3),"")</f>
        <v/>
      </c>
      <c r="M208" s="821"/>
      <c r="N208" s="633"/>
    </row>
    <row r="209" spans="1:14" ht="12.75" hidden="1" customHeight="1" outlineLevel="1" x14ac:dyDescent="0.2">
      <c r="A209" s="125"/>
      <c r="B209" s="242">
        <f>INDEX(SAChanged,B208,5)</f>
        <v>0</v>
      </c>
      <c r="C209" s="658"/>
      <c r="D209" s="697">
        <v>2</v>
      </c>
      <c r="E209" s="697">
        <v>3</v>
      </c>
      <c r="F209" s="650">
        <v>4</v>
      </c>
      <c r="G209" s="650">
        <v>5</v>
      </c>
      <c r="H209" s="650">
        <v>6</v>
      </c>
      <c r="I209" s="650">
        <v>7</v>
      </c>
      <c r="J209" s="36"/>
      <c r="K209" s="36"/>
      <c r="L209" s="36"/>
      <c r="M209" s="36"/>
      <c r="N209" s="36"/>
    </row>
    <row r="210" spans="1:14" ht="12.75" hidden="1" customHeight="1" outlineLevel="1" x14ac:dyDescent="0.2">
      <c r="A210" s="125"/>
      <c r="B210" s="300"/>
      <c r="C210" s="125"/>
      <c r="D210" s="630">
        <f>FirstYear</f>
        <v>2021</v>
      </c>
      <c r="E210" s="630">
        <f>D210+1</f>
        <v>2022</v>
      </c>
      <c r="F210" s="630">
        <f>E210+1</f>
        <v>2023</v>
      </c>
      <c r="G210" s="630">
        <f>F210+1</f>
        <v>2024</v>
      </c>
      <c r="H210" s="630">
        <f>G210+1</f>
        <v>2025</v>
      </c>
      <c r="I210" s="630">
        <f>H210+1</f>
        <v>2026</v>
      </c>
      <c r="J210" s="125"/>
      <c r="K210" s="125"/>
      <c r="L210" s="125"/>
      <c r="M210" s="125"/>
      <c r="N210" s="125"/>
    </row>
    <row r="211" spans="1:14" ht="12.75" hidden="1" customHeight="1" outlineLevel="1" x14ac:dyDescent="0.2">
      <c r="A211" s="125"/>
      <c r="B211" s="298">
        <v>1</v>
      </c>
      <c r="C211" s="294" t="s">
        <v>86</v>
      </c>
      <c r="D211" s="282">
        <f t="shared" ref="D211:I211" si="95">INDEX(PBSScriptsChanged,$B208,D209)*INDEX(DPMQCoPayChangedPub,$B208,$B211)</f>
        <v>0</v>
      </c>
      <c r="E211" s="282">
        <f t="shared" si="95"/>
        <v>0</v>
      </c>
      <c r="F211" s="282">
        <f t="shared" si="95"/>
        <v>0</v>
      </c>
      <c r="G211" s="282">
        <f t="shared" si="95"/>
        <v>0</v>
      </c>
      <c r="H211" s="282">
        <f t="shared" si="95"/>
        <v>0</v>
      </c>
      <c r="I211" s="282">
        <f t="shared" si="95"/>
        <v>0</v>
      </c>
      <c r="J211" s="125"/>
      <c r="K211" s="125"/>
      <c r="L211" s="125"/>
      <c r="M211" s="125"/>
      <c r="N211" s="125"/>
    </row>
    <row r="212" spans="1:14" ht="12.75" hidden="1" customHeight="1" outlineLevel="1" x14ac:dyDescent="0.2">
      <c r="A212" s="125"/>
      <c r="B212" s="298">
        <v>4</v>
      </c>
      <c r="C212" s="5" t="s">
        <v>111</v>
      </c>
      <c r="D212" s="282">
        <f t="shared" ref="D212:I212" si="96">INDEX(PBSScriptsChanged,$B208,D209)*(INDEX(DPMQCoPayChangedPub,$B208,$B212)/INDEX(CoPayCountChanged,$B208))</f>
        <v>0</v>
      </c>
      <c r="E212" s="282">
        <f t="shared" si="96"/>
        <v>0</v>
      </c>
      <c r="F212" s="282">
        <f t="shared" si="96"/>
        <v>0</v>
      </c>
      <c r="G212" s="282">
        <f t="shared" si="96"/>
        <v>0</v>
      </c>
      <c r="H212" s="282">
        <f t="shared" si="96"/>
        <v>0</v>
      </c>
      <c r="I212" s="282">
        <f t="shared" si="96"/>
        <v>0</v>
      </c>
      <c r="J212" s="125"/>
      <c r="K212" s="811" t="str">
        <f>IF(B209&lt;&gt;0,MsgNote&amp;IF(B209="Yes",INDEX(CoPayMethod,1),INDEX(CoPayMethod,2)),"")</f>
        <v/>
      </c>
      <c r="L212" s="811"/>
      <c r="M212" s="811"/>
      <c r="N212" s="628"/>
    </row>
    <row r="213" spans="1:14" ht="12.75" hidden="1" customHeight="1" outlineLevel="1" x14ac:dyDescent="0.2">
      <c r="A213" s="125"/>
      <c r="B213" s="300"/>
      <c r="C213" s="5" t="s">
        <v>88</v>
      </c>
      <c r="D213" s="282">
        <f t="shared" ref="D213:I213" si="97">D211+D212</f>
        <v>0</v>
      </c>
      <c r="E213" s="282">
        <f t="shared" si="97"/>
        <v>0</v>
      </c>
      <c r="F213" s="282">
        <f t="shared" si="97"/>
        <v>0</v>
      </c>
      <c r="G213" s="282">
        <f t="shared" si="97"/>
        <v>0</v>
      </c>
      <c r="H213" s="282">
        <f t="shared" si="97"/>
        <v>0</v>
      </c>
      <c r="I213" s="282">
        <f t="shared" si="97"/>
        <v>0</v>
      </c>
      <c r="J213" s="125"/>
      <c r="K213" s="125"/>
      <c r="L213" s="125"/>
      <c r="M213" s="125"/>
      <c r="N213" s="125"/>
    </row>
    <row r="214" spans="1:14" ht="12.75" hidden="1" customHeight="1" outlineLevel="1" x14ac:dyDescent="0.2">
      <c r="A214" s="125"/>
      <c r="B214" s="300"/>
      <c r="C214" s="125"/>
      <c r="D214" s="125"/>
      <c r="E214" s="125"/>
      <c r="F214" s="125"/>
      <c r="G214" s="125"/>
      <c r="H214" s="125"/>
      <c r="I214" s="125"/>
      <c r="J214" s="125"/>
      <c r="K214" s="125"/>
      <c r="L214" s="125"/>
      <c r="M214" s="125"/>
      <c r="N214" s="125"/>
    </row>
    <row r="215" spans="1:14" ht="15.75" hidden="1" customHeight="1" outlineLevel="1" x14ac:dyDescent="0.2">
      <c r="A215" s="125"/>
      <c r="B215" s="300"/>
      <c r="C215" s="125"/>
      <c r="D215" s="630">
        <f>FirstYear</f>
        <v>2021</v>
      </c>
      <c r="E215" s="630">
        <f>D215+1</f>
        <v>2022</v>
      </c>
      <c r="F215" s="630">
        <f>E215+1</f>
        <v>2023</v>
      </c>
      <c r="G215" s="630">
        <f>F215+1</f>
        <v>2024</v>
      </c>
      <c r="H215" s="630">
        <f>G215+1</f>
        <v>2025</v>
      </c>
      <c r="I215" s="630">
        <f>H215+1</f>
        <v>2026</v>
      </c>
      <c r="J215" s="125"/>
      <c r="K215" s="125"/>
      <c r="L215" s="125"/>
      <c r="M215" s="125"/>
      <c r="N215" s="125"/>
    </row>
    <row r="216" spans="1:14" ht="12.75" hidden="1" customHeight="1" outlineLevel="1" x14ac:dyDescent="0.2">
      <c r="A216" s="125"/>
      <c r="B216" s="298">
        <v>1</v>
      </c>
      <c r="C216" s="294" t="s">
        <v>87</v>
      </c>
      <c r="D216" s="282">
        <f t="shared" ref="D216:I216" si="98">INDEX(RPBSScriptsChanged,$B208,D209)*INDEX(DPMQCoPayChangedPub,$B208,$B216)</f>
        <v>0</v>
      </c>
      <c r="E216" s="282">
        <f t="shared" si="98"/>
        <v>0</v>
      </c>
      <c r="F216" s="282">
        <f t="shared" si="98"/>
        <v>0</v>
      </c>
      <c r="G216" s="282">
        <f t="shared" si="98"/>
        <v>0</v>
      </c>
      <c r="H216" s="282">
        <f t="shared" si="98"/>
        <v>0</v>
      </c>
      <c r="I216" s="282">
        <f t="shared" si="98"/>
        <v>0</v>
      </c>
      <c r="J216" s="125"/>
      <c r="K216" s="125"/>
      <c r="L216" s="125"/>
      <c r="M216" s="125"/>
      <c r="N216" s="125"/>
    </row>
    <row r="217" spans="1:14" ht="12.75" hidden="1" customHeight="1" outlineLevel="1" x14ac:dyDescent="0.2">
      <c r="A217" s="125"/>
      <c r="B217" s="298">
        <v>5</v>
      </c>
      <c r="C217" s="5" t="s">
        <v>111</v>
      </c>
      <c r="D217" s="282">
        <f t="shared" ref="D217:I217" si="99">INDEX(RPBSScriptsChanged,$B208,D209)*(INDEX(DPMQCoPayChangedPub,$B208,$B217)/INDEX(CoPayCountChanged,$B208))</f>
        <v>0</v>
      </c>
      <c r="E217" s="282">
        <f t="shared" si="99"/>
        <v>0</v>
      </c>
      <c r="F217" s="282">
        <f t="shared" si="99"/>
        <v>0</v>
      </c>
      <c r="G217" s="282">
        <f t="shared" si="99"/>
        <v>0</v>
      </c>
      <c r="H217" s="282">
        <f t="shared" si="99"/>
        <v>0</v>
      </c>
      <c r="I217" s="282">
        <f t="shared" si="99"/>
        <v>0</v>
      </c>
      <c r="J217" s="125"/>
      <c r="K217" s="125"/>
      <c r="L217" s="125"/>
      <c r="M217" s="125"/>
      <c r="N217" s="125"/>
    </row>
    <row r="218" spans="1:14" ht="12.75" hidden="1" customHeight="1" outlineLevel="1" x14ac:dyDescent="0.2">
      <c r="A218" s="125"/>
      <c r="B218" s="137"/>
      <c r="C218" s="5" t="s">
        <v>89</v>
      </c>
      <c r="D218" s="282">
        <f t="shared" ref="D218:I218" si="100">D216+D217</f>
        <v>0</v>
      </c>
      <c r="E218" s="282">
        <f t="shared" si="100"/>
        <v>0</v>
      </c>
      <c r="F218" s="282">
        <f t="shared" si="100"/>
        <v>0</v>
      </c>
      <c r="G218" s="282">
        <f t="shared" si="100"/>
        <v>0</v>
      </c>
      <c r="H218" s="282">
        <f t="shared" si="100"/>
        <v>0</v>
      </c>
      <c r="I218" s="282">
        <f t="shared" si="100"/>
        <v>0</v>
      </c>
      <c r="J218" s="125"/>
      <c r="K218" s="125"/>
      <c r="L218" s="125"/>
      <c r="M218" s="125"/>
      <c r="N218" s="125"/>
    </row>
    <row r="219" spans="1:14" ht="12.75" customHeight="1" collapsed="1" x14ac:dyDescent="0.2">
      <c r="A219" s="125"/>
      <c r="B219" s="300"/>
      <c r="C219" s="125"/>
      <c r="D219" s="658"/>
      <c r="E219" s="658"/>
      <c r="F219" s="36"/>
      <c r="G219" s="36"/>
      <c r="H219" s="36"/>
      <c r="I219" s="36"/>
      <c r="J219" s="36"/>
      <c r="K219" s="36"/>
      <c r="L219" s="36"/>
      <c r="M219" s="36"/>
      <c r="N219" s="36"/>
    </row>
    <row r="220" spans="1:14" ht="15" x14ac:dyDescent="0.2">
      <c r="A220" s="125"/>
      <c r="B220" s="298">
        <v>17</v>
      </c>
      <c r="C220" s="147" t="str">
        <f>INDEX(PBSScriptsChanged,B220,1)</f>
        <v>** NOT USED **</v>
      </c>
      <c r="D220" s="139"/>
      <c r="E220" s="139"/>
      <c r="F220" s="139"/>
      <c r="G220" s="139"/>
      <c r="H220" s="139"/>
      <c r="I220" s="139"/>
      <c r="J220" s="132"/>
      <c r="K220" s="132"/>
      <c r="L220" s="821" t="str">
        <f>IF(AND(C220&lt;&gt;MsgNotUsed,C220&lt;&gt;MsgNotRequired),"Co-payment group " &amp; INDEX(DPMQCoPayChangedPub,B220,3),"")</f>
        <v/>
      </c>
      <c r="M220" s="821"/>
      <c r="N220" s="633"/>
    </row>
    <row r="221" spans="1:14" ht="12.75" hidden="1" customHeight="1" outlineLevel="1" x14ac:dyDescent="0.2">
      <c r="A221" s="125"/>
      <c r="B221" s="242">
        <f>INDEX(SAChanged,B220,5)</f>
        <v>0</v>
      </c>
      <c r="C221" s="658"/>
      <c r="D221" s="697">
        <v>2</v>
      </c>
      <c r="E221" s="697">
        <v>3</v>
      </c>
      <c r="F221" s="650">
        <v>4</v>
      </c>
      <c r="G221" s="650">
        <v>5</v>
      </c>
      <c r="H221" s="650">
        <v>6</v>
      </c>
      <c r="I221" s="650">
        <v>7</v>
      </c>
      <c r="J221" s="36"/>
      <c r="K221" s="36"/>
      <c r="L221" s="36"/>
      <c r="M221" s="36"/>
      <c r="N221" s="36"/>
    </row>
    <row r="222" spans="1:14" ht="12.75" hidden="1" customHeight="1" outlineLevel="1" x14ac:dyDescent="0.2">
      <c r="A222" s="125"/>
      <c r="B222" s="300"/>
      <c r="C222" s="125"/>
      <c r="D222" s="630">
        <f>FirstYear</f>
        <v>2021</v>
      </c>
      <c r="E222" s="630">
        <f>D222+1</f>
        <v>2022</v>
      </c>
      <c r="F222" s="630">
        <f>E222+1</f>
        <v>2023</v>
      </c>
      <c r="G222" s="630">
        <f>F222+1</f>
        <v>2024</v>
      </c>
      <c r="H222" s="630">
        <f>G222+1</f>
        <v>2025</v>
      </c>
      <c r="I222" s="630">
        <f>H222+1</f>
        <v>2026</v>
      </c>
      <c r="J222" s="125"/>
      <c r="K222" s="125"/>
      <c r="L222" s="125"/>
      <c r="M222" s="125"/>
      <c r="N222" s="125"/>
    </row>
    <row r="223" spans="1:14" ht="12.75" hidden="1" customHeight="1" outlineLevel="1" x14ac:dyDescent="0.2">
      <c r="A223" s="125"/>
      <c r="B223" s="298">
        <v>1</v>
      </c>
      <c r="C223" s="294" t="s">
        <v>86</v>
      </c>
      <c r="D223" s="282">
        <f t="shared" ref="D223:I223" si="101">INDEX(PBSScriptsChanged,$B220,D221)*INDEX(DPMQCoPayChangedPub,$B220,$B223)</f>
        <v>0</v>
      </c>
      <c r="E223" s="282">
        <f t="shared" si="101"/>
        <v>0</v>
      </c>
      <c r="F223" s="282">
        <f t="shared" si="101"/>
        <v>0</v>
      </c>
      <c r="G223" s="282">
        <f t="shared" si="101"/>
        <v>0</v>
      </c>
      <c r="H223" s="282">
        <f t="shared" si="101"/>
        <v>0</v>
      </c>
      <c r="I223" s="282">
        <f t="shared" si="101"/>
        <v>0</v>
      </c>
      <c r="J223" s="125"/>
      <c r="K223" s="125"/>
      <c r="L223" s="125"/>
      <c r="M223" s="125"/>
      <c r="N223" s="125"/>
    </row>
    <row r="224" spans="1:14" ht="12.75" hidden="1" customHeight="1" outlineLevel="1" x14ac:dyDescent="0.2">
      <c r="A224" s="125"/>
      <c r="B224" s="298">
        <v>4</v>
      </c>
      <c r="C224" s="5" t="s">
        <v>111</v>
      </c>
      <c r="D224" s="282">
        <f t="shared" ref="D224:I224" si="102">INDEX(PBSScriptsChanged,$B220,D221)*(INDEX(DPMQCoPayChangedPub,$B220,$B224)/INDEX(CoPayCountChanged,$B220))</f>
        <v>0</v>
      </c>
      <c r="E224" s="282">
        <f t="shared" si="102"/>
        <v>0</v>
      </c>
      <c r="F224" s="282">
        <f t="shared" si="102"/>
        <v>0</v>
      </c>
      <c r="G224" s="282">
        <f t="shared" si="102"/>
        <v>0</v>
      </c>
      <c r="H224" s="282">
        <f t="shared" si="102"/>
        <v>0</v>
      </c>
      <c r="I224" s="282">
        <f t="shared" si="102"/>
        <v>0</v>
      </c>
      <c r="J224" s="125"/>
      <c r="K224" s="811" t="str">
        <f>IF(B221&lt;&gt;0,MsgNote&amp;IF(B221="Yes",INDEX(CoPayMethod,1),INDEX(CoPayMethod,2)),"")</f>
        <v/>
      </c>
      <c r="L224" s="811"/>
      <c r="M224" s="811"/>
      <c r="N224" s="628"/>
    </row>
    <row r="225" spans="1:14" ht="12.75" hidden="1" customHeight="1" outlineLevel="1" x14ac:dyDescent="0.2">
      <c r="A225" s="125"/>
      <c r="B225" s="300"/>
      <c r="C225" s="5" t="s">
        <v>88</v>
      </c>
      <c r="D225" s="282">
        <f t="shared" ref="D225:I225" si="103">D223+D224</f>
        <v>0</v>
      </c>
      <c r="E225" s="282">
        <f t="shared" si="103"/>
        <v>0</v>
      </c>
      <c r="F225" s="282">
        <f t="shared" si="103"/>
        <v>0</v>
      </c>
      <c r="G225" s="282">
        <f t="shared" si="103"/>
        <v>0</v>
      </c>
      <c r="H225" s="282">
        <f t="shared" si="103"/>
        <v>0</v>
      </c>
      <c r="I225" s="282">
        <f t="shared" si="103"/>
        <v>0</v>
      </c>
      <c r="J225" s="125"/>
      <c r="K225" s="125"/>
      <c r="L225" s="125"/>
      <c r="M225" s="125"/>
      <c r="N225" s="125"/>
    </row>
    <row r="226" spans="1:14" ht="12.75" hidden="1" customHeight="1" outlineLevel="1" x14ac:dyDescent="0.2">
      <c r="A226" s="125"/>
      <c r="B226" s="300"/>
      <c r="C226" s="125"/>
      <c r="D226" s="125"/>
      <c r="E226" s="125"/>
      <c r="F226" s="125"/>
      <c r="G226" s="125"/>
      <c r="H226" s="125"/>
      <c r="I226" s="125"/>
      <c r="J226" s="125"/>
      <c r="K226" s="125"/>
      <c r="L226" s="125"/>
      <c r="M226" s="125"/>
      <c r="N226" s="125"/>
    </row>
    <row r="227" spans="1:14" ht="15.75" hidden="1" customHeight="1" outlineLevel="1" x14ac:dyDescent="0.2">
      <c r="A227" s="125"/>
      <c r="B227" s="300"/>
      <c r="C227" s="125"/>
      <c r="D227" s="630">
        <f>FirstYear</f>
        <v>2021</v>
      </c>
      <c r="E227" s="630">
        <f>D227+1</f>
        <v>2022</v>
      </c>
      <c r="F227" s="630">
        <f>E227+1</f>
        <v>2023</v>
      </c>
      <c r="G227" s="630">
        <f>F227+1</f>
        <v>2024</v>
      </c>
      <c r="H227" s="630">
        <f>G227+1</f>
        <v>2025</v>
      </c>
      <c r="I227" s="630">
        <f>H227+1</f>
        <v>2026</v>
      </c>
      <c r="J227" s="125"/>
      <c r="K227" s="125"/>
      <c r="L227" s="125"/>
      <c r="M227" s="125"/>
      <c r="N227" s="125"/>
    </row>
    <row r="228" spans="1:14" ht="12.75" hidden="1" customHeight="1" outlineLevel="1" x14ac:dyDescent="0.2">
      <c r="A228" s="125"/>
      <c r="B228" s="298">
        <v>1</v>
      </c>
      <c r="C228" s="294" t="s">
        <v>87</v>
      </c>
      <c r="D228" s="282">
        <f t="shared" ref="D228:I228" si="104">INDEX(RPBSScriptsChanged,$B220,D221)*INDEX(DPMQCoPayChangedPub,$B220,$B228)</f>
        <v>0</v>
      </c>
      <c r="E228" s="282">
        <f t="shared" si="104"/>
        <v>0</v>
      </c>
      <c r="F228" s="282">
        <f t="shared" si="104"/>
        <v>0</v>
      </c>
      <c r="G228" s="282">
        <f t="shared" si="104"/>
        <v>0</v>
      </c>
      <c r="H228" s="282">
        <f t="shared" si="104"/>
        <v>0</v>
      </c>
      <c r="I228" s="282">
        <f t="shared" si="104"/>
        <v>0</v>
      </c>
      <c r="J228" s="125"/>
      <c r="K228" s="125"/>
      <c r="L228" s="125"/>
      <c r="M228" s="125"/>
      <c r="N228" s="125"/>
    </row>
    <row r="229" spans="1:14" ht="12.75" hidden="1" customHeight="1" outlineLevel="1" x14ac:dyDescent="0.2">
      <c r="A229" s="125"/>
      <c r="B229" s="298">
        <v>5</v>
      </c>
      <c r="C229" s="5" t="s">
        <v>111</v>
      </c>
      <c r="D229" s="282">
        <f t="shared" ref="D229:I229" si="105">INDEX(RPBSScriptsChanged,$B220,D221)*(INDEX(DPMQCoPayChangedPub,$B220,$B229)/INDEX(CoPayCountChanged,$B220))</f>
        <v>0</v>
      </c>
      <c r="E229" s="282">
        <f t="shared" si="105"/>
        <v>0</v>
      </c>
      <c r="F229" s="282">
        <f t="shared" si="105"/>
        <v>0</v>
      </c>
      <c r="G229" s="282">
        <f t="shared" si="105"/>
        <v>0</v>
      </c>
      <c r="H229" s="282">
        <f t="shared" si="105"/>
        <v>0</v>
      </c>
      <c r="I229" s="282">
        <f t="shared" si="105"/>
        <v>0</v>
      </c>
      <c r="J229" s="125"/>
      <c r="K229" s="125"/>
      <c r="L229" s="125"/>
      <c r="M229" s="125"/>
      <c r="N229" s="125"/>
    </row>
    <row r="230" spans="1:14" ht="12.75" hidden="1" customHeight="1" outlineLevel="1" x14ac:dyDescent="0.2">
      <c r="A230" s="125"/>
      <c r="B230" s="137"/>
      <c r="C230" s="5" t="s">
        <v>89</v>
      </c>
      <c r="D230" s="282">
        <f t="shared" ref="D230:I230" si="106">D228+D229</f>
        <v>0</v>
      </c>
      <c r="E230" s="282">
        <f t="shared" si="106"/>
        <v>0</v>
      </c>
      <c r="F230" s="282">
        <f t="shared" si="106"/>
        <v>0</v>
      </c>
      <c r="G230" s="282">
        <f t="shared" si="106"/>
        <v>0</v>
      </c>
      <c r="H230" s="282">
        <f t="shared" si="106"/>
        <v>0</v>
      </c>
      <c r="I230" s="282">
        <f t="shared" si="106"/>
        <v>0</v>
      </c>
      <c r="J230" s="125"/>
      <c r="K230" s="125"/>
      <c r="L230" s="125"/>
      <c r="M230" s="125"/>
      <c r="N230" s="125"/>
    </row>
    <row r="231" spans="1:14" ht="12.75" customHeight="1" collapsed="1" x14ac:dyDescent="0.2">
      <c r="A231" s="125"/>
      <c r="B231" s="300"/>
      <c r="C231" s="125"/>
      <c r="D231" s="658"/>
      <c r="E231" s="658"/>
      <c r="F231" s="36"/>
      <c r="G231" s="36"/>
      <c r="H231" s="36"/>
      <c r="I231" s="36"/>
      <c r="J231" s="36"/>
      <c r="K231" s="36"/>
      <c r="L231" s="36"/>
      <c r="M231" s="36"/>
      <c r="N231" s="36"/>
    </row>
    <row r="232" spans="1:14" ht="15" x14ac:dyDescent="0.2">
      <c r="A232" s="125"/>
      <c r="B232" s="298">
        <v>18</v>
      </c>
      <c r="C232" s="147" t="str">
        <f>INDEX(PBSScriptsChanged,B232,1)</f>
        <v>** NOT USED **</v>
      </c>
      <c r="D232" s="139"/>
      <c r="E232" s="139"/>
      <c r="F232" s="139"/>
      <c r="G232" s="139"/>
      <c r="H232" s="139"/>
      <c r="I232" s="139"/>
      <c r="J232" s="132"/>
      <c r="K232" s="132"/>
      <c r="L232" s="821" t="str">
        <f>IF(AND(C232&lt;&gt;MsgNotUsed,C232&lt;&gt;MsgNotRequired),"Co-payment group " &amp; INDEX(DPMQCoPayChangedPub,B232,3),"")</f>
        <v/>
      </c>
      <c r="M232" s="821"/>
      <c r="N232" s="633"/>
    </row>
    <row r="233" spans="1:14" ht="12.75" hidden="1" customHeight="1" outlineLevel="1" x14ac:dyDescent="0.2">
      <c r="A233" s="125"/>
      <c r="B233" s="242">
        <f>INDEX(SAChanged,B232,5)</f>
        <v>0</v>
      </c>
      <c r="C233" s="658"/>
      <c r="D233" s="697">
        <v>2</v>
      </c>
      <c r="E233" s="697">
        <v>3</v>
      </c>
      <c r="F233" s="650">
        <v>4</v>
      </c>
      <c r="G233" s="650">
        <v>5</v>
      </c>
      <c r="H233" s="650">
        <v>6</v>
      </c>
      <c r="I233" s="650">
        <v>7</v>
      </c>
      <c r="J233" s="36"/>
      <c r="K233" s="36"/>
      <c r="L233" s="36"/>
      <c r="M233" s="36"/>
      <c r="N233" s="36"/>
    </row>
    <row r="234" spans="1:14" ht="12.75" hidden="1" customHeight="1" outlineLevel="1" x14ac:dyDescent="0.2">
      <c r="A234" s="125"/>
      <c r="B234" s="300"/>
      <c r="C234" s="125"/>
      <c r="D234" s="630">
        <f>FirstYear</f>
        <v>2021</v>
      </c>
      <c r="E234" s="630">
        <f>D234+1</f>
        <v>2022</v>
      </c>
      <c r="F234" s="630">
        <f>E234+1</f>
        <v>2023</v>
      </c>
      <c r="G234" s="630">
        <f>F234+1</f>
        <v>2024</v>
      </c>
      <c r="H234" s="630">
        <f>G234+1</f>
        <v>2025</v>
      </c>
      <c r="I234" s="630">
        <f>H234+1</f>
        <v>2026</v>
      </c>
      <c r="J234" s="125"/>
      <c r="K234" s="125"/>
      <c r="L234" s="125"/>
      <c r="M234" s="125"/>
      <c r="N234" s="125"/>
    </row>
    <row r="235" spans="1:14" ht="12.75" hidden="1" customHeight="1" outlineLevel="1" x14ac:dyDescent="0.2">
      <c r="A235" s="125"/>
      <c r="B235" s="298">
        <v>1</v>
      </c>
      <c r="C235" s="294" t="s">
        <v>86</v>
      </c>
      <c r="D235" s="282">
        <f t="shared" ref="D235:I235" si="107">INDEX(PBSScriptsChanged,$B232,D233)*INDEX(DPMQCoPayChangedPub,$B232,$B235)</f>
        <v>0</v>
      </c>
      <c r="E235" s="282">
        <f t="shared" si="107"/>
        <v>0</v>
      </c>
      <c r="F235" s="282">
        <f t="shared" si="107"/>
        <v>0</v>
      </c>
      <c r="G235" s="282">
        <f t="shared" si="107"/>
        <v>0</v>
      </c>
      <c r="H235" s="282">
        <f t="shared" si="107"/>
        <v>0</v>
      </c>
      <c r="I235" s="282">
        <f t="shared" si="107"/>
        <v>0</v>
      </c>
      <c r="J235" s="125"/>
      <c r="K235" s="125"/>
      <c r="L235" s="125"/>
      <c r="M235" s="125"/>
      <c r="N235" s="125"/>
    </row>
    <row r="236" spans="1:14" ht="12.75" hidden="1" customHeight="1" outlineLevel="1" x14ac:dyDescent="0.2">
      <c r="A236" s="125"/>
      <c r="B236" s="298">
        <v>4</v>
      </c>
      <c r="C236" s="5" t="s">
        <v>111</v>
      </c>
      <c r="D236" s="282">
        <f t="shared" ref="D236:I236" si="108">INDEX(PBSScriptsChanged,$B232,D233)*(INDEX(DPMQCoPayChangedPub,$B232,$B236)/INDEX(CoPayCountChanged,$B232))</f>
        <v>0</v>
      </c>
      <c r="E236" s="282">
        <f t="shared" si="108"/>
        <v>0</v>
      </c>
      <c r="F236" s="282">
        <f t="shared" si="108"/>
        <v>0</v>
      </c>
      <c r="G236" s="282">
        <f t="shared" si="108"/>
        <v>0</v>
      </c>
      <c r="H236" s="282">
        <f t="shared" si="108"/>
        <v>0</v>
      </c>
      <c r="I236" s="282">
        <f t="shared" si="108"/>
        <v>0</v>
      </c>
      <c r="J236" s="125"/>
      <c r="K236" s="811" t="str">
        <f>IF(B233&lt;&gt;0,MsgNote&amp;IF(B233="Yes",INDEX(CoPayMethod,1),INDEX(CoPayMethod,2)),"")</f>
        <v/>
      </c>
      <c r="L236" s="811"/>
      <c r="M236" s="811"/>
      <c r="N236" s="628"/>
    </row>
    <row r="237" spans="1:14" ht="12.75" hidden="1" customHeight="1" outlineLevel="1" x14ac:dyDescent="0.2">
      <c r="A237" s="125"/>
      <c r="B237" s="300"/>
      <c r="C237" s="5" t="s">
        <v>88</v>
      </c>
      <c r="D237" s="282">
        <f t="shared" ref="D237:I237" si="109">D235+D236</f>
        <v>0</v>
      </c>
      <c r="E237" s="282">
        <f t="shared" si="109"/>
        <v>0</v>
      </c>
      <c r="F237" s="282">
        <f t="shared" si="109"/>
        <v>0</v>
      </c>
      <c r="G237" s="282">
        <f t="shared" si="109"/>
        <v>0</v>
      </c>
      <c r="H237" s="282">
        <f t="shared" si="109"/>
        <v>0</v>
      </c>
      <c r="I237" s="282">
        <f t="shared" si="109"/>
        <v>0</v>
      </c>
      <c r="J237" s="125"/>
      <c r="K237" s="125"/>
      <c r="L237" s="125"/>
      <c r="M237" s="125"/>
      <c r="N237" s="125"/>
    </row>
    <row r="238" spans="1:14" ht="12.75" hidden="1" customHeight="1" outlineLevel="1" x14ac:dyDescent="0.2">
      <c r="A238" s="125"/>
      <c r="B238" s="300"/>
      <c r="C238" s="125"/>
      <c r="D238" s="125"/>
      <c r="E238" s="125"/>
      <c r="F238" s="125"/>
      <c r="G238" s="125"/>
      <c r="H238" s="125"/>
      <c r="I238" s="125"/>
      <c r="J238" s="125"/>
      <c r="K238" s="125"/>
      <c r="L238" s="125"/>
      <c r="M238" s="125"/>
      <c r="N238" s="125"/>
    </row>
    <row r="239" spans="1:14" ht="15.75" hidden="1" customHeight="1" outlineLevel="1" x14ac:dyDescent="0.2">
      <c r="A239" s="125"/>
      <c r="B239" s="300"/>
      <c r="C239" s="125"/>
      <c r="D239" s="630">
        <f>FirstYear</f>
        <v>2021</v>
      </c>
      <c r="E239" s="630">
        <f>D239+1</f>
        <v>2022</v>
      </c>
      <c r="F239" s="630">
        <f>E239+1</f>
        <v>2023</v>
      </c>
      <c r="G239" s="630">
        <f>F239+1</f>
        <v>2024</v>
      </c>
      <c r="H239" s="630">
        <f>G239+1</f>
        <v>2025</v>
      </c>
      <c r="I239" s="630">
        <f>H239+1</f>
        <v>2026</v>
      </c>
      <c r="J239" s="125"/>
      <c r="K239" s="125"/>
      <c r="L239" s="125"/>
      <c r="M239" s="125"/>
      <c r="N239" s="125"/>
    </row>
    <row r="240" spans="1:14" ht="12.75" hidden="1" customHeight="1" outlineLevel="1" x14ac:dyDescent="0.2">
      <c r="A240" s="125"/>
      <c r="B240" s="298">
        <v>1</v>
      </c>
      <c r="C240" s="294" t="s">
        <v>87</v>
      </c>
      <c r="D240" s="282">
        <f t="shared" ref="D240:I240" si="110">INDEX(RPBSScriptsChanged,$B232,D233)*INDEX(DPMQCoPayChangedPub,$B232,$B240)</f>
        <v>0</v>
      </c>
      <c r="E240" s="282">
        <f t="shared" si="110"/>
        <v>0</v>
      </c>
      <c r="F240" s="282">
        <f t="shared" si="110"/>
        <v>0</v>
      </c>
      <c r="G240" s="282">
        <f t="shared" si="110"/>
        <v>0</v>
      </c>
      <c r="H240" s="282">
        <f t="shared" si="110"/>
        <v>0</v>
      </c>
      <c r="I240" s="282">
        <f t="shared" si="110"/>
        <v>0</v>
      </c>
      <c r="J240" s="125"/>
      <c r="K240" s="125"/>
      <c r="L240" s="125"/>
      <c r="M240" s="125"/>
      <c r="N240" s="125"/>
    </row>
    <row r="241" spans="1:14" ht="12.75" hidden="1" customHeight="1" outlineLevel="1" x14ac:dyDescent="0.2">
      <c r="A241" s="125"/>
      <c r="B241" s="298">
        <v>5</v>
      </c>
      <c r="C241" s="5" t="s">
        <v>111</v>
      </c>
      <c r="D241" s="282">
        <f t="shared" ref="D241:I241" si="111">INDEX(RPBSScriptsChanged,$B232,D233)*(INDEX(DPMQCoPayChangedPub,$B232,$B241)/INDEX(CoPayCountChanged,$B232))</f>
        <v>0</v>
      </c>
      <c r="E241" s="282">
        <f t="shared" si="111"/>
        <v>0</v>
      </c>
      <c r="F241" s="282">
        <f t="shared" si="111"/>
        <v>0</v>
      </c>
      <c r="G241" s="282">
        <f t="shared" si="111"/>
        <v>0</v>
      </c>
      <c r="H241" s="282">
        <f t="shared" si="111"/>
        <v>0</v>
      </c>
      <c r="I241" s="282">
        <f t="shared" si="111"/>
        <v>0</v>
      </c>
      <c r="J241" s="125"/>
      <c r="K241" s="125"/>
      <c r="L241" s="125"/>
      <c r="M241" s="125"/>
      <c r="N241" s="125"/>
    </row>
    <row r="242" spans="1:14" ht="12.75" hidden="1" customHeight="1" outlineLevel="1" x14ac:dyDescent="0.2">
      <c r="A242" s="125"/>
      <c r="B242" s="137"/>
      <c r="C242" s="5" t="s">
        <v>89</v>
      </c>
      <c r="D242" s="282">
        <f t="shared" ref="D242:I242" si="112">D240+D241</f>
        <v>0</v>
      </c>
      <c r="E242" s="282">
        <f t="shared" si="112"/>
        <v>0</v>
      </c>
      <c r="F242" s="282">
        <f t="shared" si="112"/>
        <v>0</v>
      </c>
      <c r="G242" s="282">
        <f t="shared" si="112"/>
        <v>0</v>
      </c>
      <c r="H242" s="282">
        <f t="shared" si="112"/>
        <v>0</v>
      </c>
      <c r="I242" s="282">
        <f t="shared" si="112"/>
        <v>0</v>
      </c>
      <c r="J242" s="125"/>
      <c r="K242" s="125"/>
      <c r="L242" s="125"/>
      <c r="M242" s="125"/>
      <c r="N242" s="125"/>
    </row>
    <row r="243" spans="1:14" ht="12.75" customHeight="1" collapsed="1" x14ac:dyDescent="0.2">
      <c r="A243" s="125"/>
      <c r="B243" s="300"/>
      <c r="C243" s="125"/>
      <c r="D243" s="658"/>
      <c r="E243" s="658"/>
      <c r="F243" s="36"/>
      <c r="G243" s="36"/>
      <c r="H243" s="36"/>
      <c r="I243" s="36"/>
      <c r="J243" s="36"/>
      <c r="K243" s="36"/>
      <c r="L243" s="36"/>
      <c r="M243" s="36"/>
      <c r="N243" s="36"/>
    </row>
    <row r="244" spans="1:14" ht="15" x14ac:dyDescent="0.2">
      <c r="A244" s="125"/>
      <c r="B244" s="298">
        <v>19</v>
      </c>
      <c r="C244" s="147" t="str">
        <f>INDEX(PBSScriptsChanged,B244,1)</f>
        <v>** NOT USED **</v>
      </c>
      <c r="D244" s="139"/>
      <c r="E244" s="139"/>
      <c r="F244" s="139"/>
      <c r="G244" s="139"/>
      <c r="H244" s="139"/>
      <c r="I244" s="139"/>
      <c r="J244" s="132"/>
      <c r="K244" s="132"/>
      <c r="L244" s="821" t="str">
        <f>IF(AND(C244&lt;&gt;MsgNotUsed,C244&lt;&gt;MsgNotRequired),"Co-payment group " &amp; INDEX(DPMQCoPayChangedPub,B244,3),"")</f>
        <v/>
      </c>
      <c r="M244" s="821"/>
      <c r="N244" s="633"/>
    </row>
    <row r="245" spans="1:14" ht="12.75" hidden="1" customHeight="1" outlineLevel="1" x14ac:dyDescent="0.2">
      <c r="A245" s="125"/>
      <c r="B245" s="242">
        <f>INDEX(SAChanged,B244,5)</f>
        <v>0</v>
      </c>
      <c r="C245" s="658"/>
      <c r="D245" s="697">
        <v>2</v>
      </c>
      <c r="E245" s="697">
        <v>3</v>
      </c>
      <c r="F245" s="650">
        <v>4</v>
      </c>
      <c r="G245" s="650">
        <v>5</v>
      </c>
      <c r="H245" s="650">
        <v>6</v>
      </c>
      <c r="I245" s="650">
        <v>7</v>
      </c>
      <c r="J245" s="36"/>
      <c r="K245" s="36"/>
      <c r="L245" s="36"/>
      <c r="M245" s="36"/>
      <c r="N245" s="36"/>
    </row>
    <row r="246" spans="1:14" ht="12.75" hidden="1" customHeight="1" outlineLevel="1" x14ac:dyDescent="0.2">
      <c r="A246" s="125"/>
      <c r="B246" s="300"/>
      <c r="C246" s="125"/>
      <c r="D246" s="630">
        <f>FirstYear</f>
        <v>2021</v>
      </c>
      <c r="E246" s="630">
        <f>D246+1</f>
        <v>2022</v>
      </c>
      <c r="F246" s="630">
        <f>E246+1</f>
        <v>2023</v>
      </c>
      <c r="G246" s="630">
        <f>F246+1</f>
        <v>2024</v>
      </c>
      <c r="H246" s="630">
        <f>G246+1</f>
        <v>2025</v>
      </c>
      <c r="I246" s="630">
        <f>H246+1</f>
        <v>2026</v>
      </c>
      <c r="J246" s="125"/>
      <c r="K246" s="125"/>
      <c r="L246" s="125"/>
      <c r="M246" s="125"/>
      <c r="N246" s="125"/>
    </row>
    <row r="247" spans="1:14" ht="12.75" hidden="1" customHeight="1" outlineLevel="1" x14ac:dyDescent="0.2">
      <c r="A247" s="125"/>
      <c r="B247" s="298">
        <v>1</v>
      </c>
      <c r="C247" s="294" t="s">
        <v>86</v>
      </c>
      <c r="D247" s="282">
        <f t="shared" ref="D247:I247" si="113">INDEX(PBSScriptsChanged,$B244,D245)*INDEX(DPMQCoPayChangedPub,$B244,$B247)</f>
        <v>0</v>
      </c>
      <c r="E247" s="282">
        <f t="shared" si="113"/>
        <v>0</v>
      </c>
      <c r="F247" s="282">
        <f t="shared" si="113"/>
        <v>0</v>
      </c>
      <c r="G247" s="282">
        <f t="shared" si="113"/>
        <v>0</v>
      </c>
      <c r="H247" s="282">
        <f t="shared" si="113"/>
        <v>0</v>
      </c>
      <c r="I247" s="282">
        <f t="shared" si="113"/>
        <v>0</v>
      </c>
      <c r="J247" s="125"/>
      <c r="K247" s="125"/>
      <c r="L247" s="125"/>
      <c r="M247" s="125"/>
      <c r="N247" s="125"/>
    </row>
    <row r="248" spans="1:14" ht="12.75" hidden="1" customHeight="1" outlineLevel="1" x14ac:dyDescent="0.2">
      <c r="A248" s="125"/>
      <c r="B248" s="298">
        <v>4</v>
      </c>
      <c r="C248" s="5" t="s">
        <v>111</v>
      </c>
      <c r="D248" s="282">
        <f t="shared" ref="D248:I248" si="114">INDEX(PBSScriptsChanged,$B244,D245)*(INDEX(DPMQCoPayChangedPub,$B244,$B248)/INDEX(CoPayCountChanged,$B244))</f>
        <v>0</v>
      </c>
      <c r="E248" s="282">
        <f t="shared" si="114"/>
        <v>0</v>
      </c>
      <c r="F248" s="282">
        <f t="shared" si="114"/>
        <v>0</v>
      </c>
      <c r="G248" s="282">
        <f t="shared" si="114"/>
        <v>0</v>
      </c>
      <c r="H248" s="282">
        <f t="shared" si="114"/>
        <v>0</v>
      </c>
      <c r="I248" s="282">
        <f t="shared" si="114"/>
        <v>0</v>
      </c>
      <c r="J248" s="125"/>
      <c r="K248" s="811" t="str">
        <f>IF(B245&lt;&gt;0,MsgNote&amp;IF(B245="Yes",INDEX(CoPayMethod,1),INDEX(CoPayMethod,2)),"")</f>
        <v/>
      </c>
      <c r="L248" s="811"/>
      <c r="M248" s="811"/>
      <c r="N248" s="628"/>
    </row>
    <row r="249" spans="1:14" ht="12.75" hidden="1" customHeight="1" outlineLevel="1" x14ac:dyDescent="0.2">
      <c r="A249" s="125"/>
      <c r="B249" s="300"/>
      <c r="C249" s="5" t="s">
        <v>88</v>
      </c>
      <c r="D249" s="282">
        <f t="shared" ref="D249:I249" si="115">D247+D248</f>
        <v>0</v>
      </c>
      <c r="E249" s="282">
        <f t="shared" si="115"/>
        <v>0</v>
      </c>
      <c r="F249" s="282">
        <f t="shared" si="115"/>
        <v>0</v>
      </c>
      <c r="G249" s="282">
        <f t="shared" si="115"/>
        <v>0</v>
      </c>
      <c r="H249" s="282">
        <f t="shared" si="115"/>
        <v>0</v>
      </c>
      <c r="I249" s="282">
        <f t="shared" si="115"/>
        <v>0</v>
      </c>
      <c r="J249" s="125"/>
      <c r="K249" s="125"/>
      <c r="L249" s="125"/>
      <c r="M249" s="125"/>
      <c r="N249" s="125"/>
    </row>
    <row r="250" spans="1:14" ht="12.75" hidden="1" customHeight="1" outlineLevel="1" x14ac:dyDescent="0.2">
      <c r="A250" s="125"/>
      <c r="B250" s="300"/>
      <c r="C250" s="125"/>
      <c r="D250" s="125"/>
      <c r="E250" s="125"/>
      <c r="F250" s="125"/>
      <c r="G250" s="125"/>
      <c r="H250" s="125"/>
      <c r="I250" s="125"/>
      <c r="J250" s="125"/>
      <c r="K250" s="125"/>
      <c r="L250" s="125"/>
      <c r="M250" s="125"/>
      <c r="N250" s="125"/>
    </row>
    <row r="251" spans="1:14" ht="15.75" hidden="1" customHeight="1" outlineLevel="1" x14ac:dyDescent="0.2">
      <c r="A251" s="125"/>
      <c r="B251" s="300"/>
      <c r="C251" s="125"/>
      <c r="D251" s="630">
        <f>FirstYear</f>
        <v>2021</v>
      </c>
      <c r="E251" s="630">
        <f>D251+1</f>
        <v>2022</v>
      </c>
      <c r="F251" s="630">
        <f>E251+1</f>
        <v>2023</v>
      </c>
      <c r="G251" s="630">
        <f>F251+1</f>
        <v>2024</v>
      </c>
      <c r="H251" s="630">
        <f>G251+1</f>
        <v>2025</v>
      </c>
      <c r="I251" s="630">
        <f>H251+1</f>
        <v>2026</v>
      </c>
      <c r="J251" s="125"/>
      <c r="K251" s="125"/>
      <c r="L251" s="125"/>
      <c r="M251" s="125"/>
      <c r="N251" s="125"/>
    </row>
    <row r="252" spans="1:14" ht="12.75" hidden="1" customHeight="1" outlineLevel="1" x14ac:dyDescent="0.2">
      <c r="A252" s="125"/>
      <c r="B252" s="298">
        <v>1</v>
      </c>
      <c r="C252" s="294" t="s">
        <v>87</v>
      </c>
      <c r="D252" s="282">
        <f t="shared" ref="D252:I252" si="116">INDEX(RPBSScriptsChanged,$B244,D245)*INDEX(DPMQCoPayChangedPub,$B244,$B252)</f>
        <v>0</v>
      </c>
      <c r="E252" s="282">
        <f t="shared" si="116"/>
        <v>0</v>
      </c>
      <c r="F252" s="282">
        <f t="shared" si="116"/>
        <v>0</v>
      </c>
      <c r="G252" s="282">
        <f t="shared" si="116"/>
        <v>0</v>
      </c>
      <c r="H252" s="282">
        <f t="shared" si="116"/>
        <v>0</v>
      </c>
      <c r="I252" s="282">
        <f t="shared" si="116"/>
        <v>0</v>
      </c>
      <c r="J252" s="125"/>
      <c r="K252" s="125"/>
      <c r="L252" s="125"/>
      <c r="M252" s="125"/>
      <c r="N252" s="125"/>
    </row>
    <row r="253" spans="1:14" ht="12.75" hidden="1" customHeight="1" outlineLevel="1" x14ac:dyDescent="0.2">
      <c r="A253" s="125"/>
      <c r="B253" s="298">
        <v>5</v>
      </c>
      <c r="C253" s="5" t="s">
        <v>111</v>
      </c>
      <c r="D253" s="282">
        <f t="shared" ref="D253:I253" si="117">INDEX(RPBSScriptsChanged,$B244,D245)*(INDEX(DPMQCoPayChangedPub,$B244,$B253)/INDEX(CoPayCountChanged,$B244))</f>
        <v>0</v>
      </c>
      <c r="E253" s="282">
        <f t="shared" si="117"/>
        <v>0</v>
      </c>
      <c r="F253" s="282">
        <f t="shared" si="117"/>
        <v>0</v>
      </c>
      <c r="G253" s="282">
        <f t="shared" si="117"/>
        <v>0</v>
      </c>
      <c r="H253" s="282">
        <f t="shared" si="117"/>
        <v>0</v>
      </c>
      <c r="I253" s="282">
        <f t="shared" si="117"/>
        <v>0</v>
      </c>
      <c r="J253" s="125"/>
      <c r="K253" s="125"/>
      <c r="L253" s="125"/>
      <c r="M253" s="125"/>
      <c r="N253" s="125"/>
    </row>
    <row r="254" spans="1:14" ht="12.75" hidden="1" customHeight="1" outlineLevel="1" x14ac:dyDescent="0.2">
      <c r="A254" s="125"/>
      <c r="B254" s="137"/>
      <c r="C254" s="5" t="s">
        <v>89</v>
      </c>
      <c r="D254" s="282">
        <f t="shared" ref="D254:I254" si="118">D252+D253</f>
        <v>0</v>
      </c>
      <c r="E254" s="282">
        <f t="shared" si="118"/>
        <v>0</v>
      </c>
      <c r="F254" s="282">
        <f t="shared" si="118"/>
        <v>0</v>
      </c>
      <c r="G254" s="282">
        <f t="shared" si="118"/>
        <v>0</v>
      </c>
      <c r="H254" s="282">
        <f t="shared" si="118"/>
        <v>0</v>
      </c>
      <c r="I254" s="282">
        <f t="shared" si="118"/>
        <v>0</v>
      </c>
      <c r="J254" s="125"/>
      <c r="K254" s="125"/>
      <c r="L254" s="125"/>
      <c r="M254" s="125"/>
      <c r="N254" s="125"/>
    </row>
    <row r="255" spans="1:14" ht="12.75" customHeight="1" collapsed="1" x14ac:dyDescent="0.2">
      <c r="A255" s="125"/>
      <c r="B255" s="300"/>
      <c r="C255" s="125"/>
      <c r="D255" s="658"/>
      <c r="E255" s="658"/>
      <c r="F255" s="36"/>
      <c r="G255" s="36"/>
      <c r="H255" s="36"/>
      <c r="I255" s="36"/>
      <c r="J255" s="36"/>
      <c r="K255" s="36"/>
      <c r="L255" s="36"/>
      <c r="M255" s="36"/>
      <c r="N255" s="36"/>
    </row>
    <row r="256" spans="1:14" ht="15" x14ac:dyDescent="0.2">
      <c r="A256" s="125"/>
      <c r="B256" s="298">
        <v>20</v>
      </c>
      <c r="C256" s="147" t="str">
        <f>INDEX(PBSScriptsChanged,B256,1)</f>
        <v>** NOT USED **</v>
      </c>
      <c r="D256" s="139"/>
      <c r="E256" s="139"/>
      <c r="F256" s="139"/>
      <c r="G256" s="139"/>
      <c r="H256" s="139"/>
      <c r="I256" s="139"/>
      <c r="J256" s="132"/>
      <c r="K256" s="132"/>
      <c r="L256" s="821" t="str">
        <f>IF(AND(C256&lt;&gt;MsgNotUsed,C256&lt;&gt;MsgNotRequired),"Co-payment group " &amp; INDEX(DPMQCoPayChangedPub,B256,3),"")</f>
        <v/>
      </c>
      <c r="M256" s="821"/>
      <c r="N256" s="633"/>
    </row>
    <row r="257" spans="1:15" ht="12.75" hidden="1" customHeight="1" outlineLevel="1" x14ac:dyDescent="0.2">
      <c r="A257" s="125"/>
      <c r="B257" s="242">
        <f>INDEX(SAChanged,B256,5)</f>
        <v>0</v>
      </c>
      <c r="C257" s="658"/>
      <c r="D257" s="697">
        <v>2</v>
      </c>
      <c r="E257" s="697">
        <v>3</v>
      </c>
      <c r="F257" s="650">
        <v>4</v>
      </c>
      <c r="G257" s="650">
        <v>5</v>
      </c>
      <c r="H257" s="650">
        <v>6</v>
      </c>
      <c r="I257" s="650">
        <v>7</v>
      </c>
      <c r="J257" s="36"/>
      <c r="K257" s="36"/>
      <c r="L257" s="36"/>
      <c r="M257" s="36"/>
      <c r="N257" s="36"/>
    </row>
    <row r="258" spans="1:15" ht="12.75" hidden="1" customHeight="1" outlineLevel="1" x14ac:dyDescent="0.2">
      <c r="A258" s="125"/>
      <c r="B258" s="300"/>
      <c r="C258" s="125"/>
      <c r="D258" s="630">
        <f>FirstYear</f>
        <v>2021</v>
      </c>
      <c r="E258" s="630">
        <f>D258+1</f>
        <v>2022</v>
      </c>
      <c r="F258" s="630">
        <f>E258+1</f>
        <v>2023</v>
      </c>
      <c r="G258" s="630">
        <f>F258+1</f>
        <v>2024</v>
      </c>
      <c r="H258" s="630">
        <f>G258+1</f>
        <v>2025</v>
      </c>
      <c r="I258" s="630">
        <f>H258+1</f>
        <v>2026</v>
      </c>
      <c r="J258" s="125"/>
      <c r="K258" s="125"/>
      <c r="L258" s="125"/>
      <c r="M258" s="125"/>
      <c r="N258" s="125"/>
    </row>
    <row r="259" spans="1:15" ht="12.75" hidden="1" customHeight="1" outlineLevel="1" x14ac:dyDescent="0.2">
      <c r="A259" s="125"/>
      <c r="B259" s="298">
        <v>1</v>
      </c>
      <c r="C259" s="294" t="s">
        <v>86</v>
      </c>
      <c r="D259" s="282">
        <f t="shared" ref="D259:I259" si="119">INDEX(PBSScriptsChanged,$B256,D257)*INDEX(DPMQCoPayChangedPub,$B256,$B259)</f>
        <v>0</v>
      </c>
      <c r="E259" s="282">
        <f t="shared" si="119"/>
        <v>0</v>
      </c>
      <c r="F259" s="282">
        <f t="shared" si="119"/>
        <v>0</v>
      </c>
      <c r="G259" s="282">
        <f t="shared" si="119"/>
        <v>0</v>
      </c>
      <c r="H259" s="282">
        <f t="shared" si="119"/>
        <v>0</v>
      </c>
      <c r="I259" s="282">
        <f t="shared" si="119"/>
        <v>0</v>
      </c>
      <c r="J259" s="125"/>
      <c r="K259" s="125"/>
      <c r="L259" s="125"/>
      <c r="M259" s="125"/>
      <c r="N259" s="125"/>
    </row>
    <row r="260" spans="1:15" ht="12.75" hidden="1" customHeight="1" outlineLevel="1" x14ac:dyDescent="0.2">
      <c r="A260" s="125"/>
      <c r="B260" s="298">
        <v>4</v>
      </c>
      <c r="C260" s="5" t="s">
        <v>111</v>
      </c>
      <c r="D260" s="282">
        <f t="shared" ref="D260:I260" si="120">INDEX(PBSScriptsChanged,$B256,D257)*(INDEX(DPMQCoPayChangedPub,$B256,$B260)/INDEX(CoPayCountChanged,$B256))</f>
        <v>0</v>
      </c>
      <c r="E260" s="282">
        <f t="shared" si="120"/>
        <v>0</v>
      </c>
      <c r="F260" s="282">
        <f t="shared" si="120"/>
        <v>0</v>
      </c>
      <c r="G260" s="282">
        <f t="shared" si="120"/>
        <v>0</v>
      </c>
      <c r="H260" s="282">
        <f t="shared" si="120"/>
        <v>0</v>
      </c>
      <c r="I260" s="282">
        <f t="shared" si="120"/>
        <v>0</v>
      </c>
      <c r="J260" s="125"/>
      <c r="K260" s="811" t="str">
        <f>IF(B257&lt;&gt;0,MsgNote&amp;IF(B257="Yes",INDEX(CoPayMethod,1),INDEX(CoPayMethod,2)),"")</f>
        <v/>
      </c>
      <c r="L260" s="811"/>
      <c r="M260" s="811"/>
      <c r="N260" s="628"/>
    </row>
    <row r="261" spans="1:15" ht="12.75" hidden="1" customHeight="1" outlineLevel="1" x14ac:dyDescent="0.2">
      <c r="A261" s="125"/>
      <c r="B261" s="300"/>
      <c r="C261" s="5" t="s">
        <v>88</v>
      </c>
      <c r="D261" s="282">
        <f t="shared" ref="D261:I261" si="121">D259+D260</f>
        <v>0</v>
      </c>
      <c r="E261" s="282">
        <f t="shared" si="121"/>
        <v>0</v>
      </c>
      <c r="F261" s="282">
        <f t="shared" si="121"/>
        <v>0</v>
      </c>
      <c r="G261" s="282">
        <f t="shared" si="121"/>
        <v>0</v>
      </c>
      <c r="H261" s="282">
        <f t="shared" si="121"/>
        <v>0</v>
      </c>
      <c r="I261" s="282">
        <f t="shared" si="121"/>
        <v>0</v>
      </c>
      <c r="J261" s="125"/>
      <c r="K261" s="125"/>
      <c r="L261" s="125"/>
      <c r="M261" s="125"/>
      <c r="N261" s="125"/>
    </row>
    <row r="262" spans="1:15" ht="12.75" hidden="1" customHeight="1" outlineLevel="1" x14ac:dyDescent="0.2">
      <c r="A262" s="125"/>
      <c r="B262" s="300"/>
      <c r="C262" s="125"/>
      <c r="D262" s="125"/>
      <c r="E262" s="125"/>
      <c r="F262" s="125"/>
      <c r="G262" s="125"/>
      <c r="H262" s="125"/>
      <c r="I262" s="125"/>
      <c r="J262" s="125"/>
      <c r="K262" s="125"/>
      <c r="L262" s="125"/>
      <c r="M262" s="125"/>
      <c r="N262" s="125"/>
    </row>
    <row r="263" spans="1:15" ht="15.75" hidden="1" customHeight="1" outlineLevel="1" x14ac:dyDescent="0.2">
      <c r="A263" s="125"/>
      <c r="B263" s="300"/>
      <c r="C263" s="125"/>
      <c r="D263" s="630">
        <f>FirstYear</f>
        <v>2021</v>
      </c>
      <c r="E263" s="630">
        <f>D263+1</f>
        <v>2022</v>
      </c>
      <c r="F263" s="630">
        <f>E263+1</f>
        <v>2023</v>
      </c>
      <c r="G263" s="630">
        <f>F263+1</f>
        <v>2024</v>
      </c>
      <c r="H263" s="630">
        <f>G263+1</f>
        <v>2025</v>
      </c>
      <c r="I263" s="630">
        <f>H263+1</f>
        <v>2026</v>
      </c>
      <c r="J263" s="125"/>
      <c r="K263" s="125"/>
      <c r="L263" s="125"/>
      <c r="M263" s="125"/>
      <c r="N263" s="125"/>
    </row>
    <row r="264" spans="1:15" ht="12.75" hidden="1" customHeight="1" outlineLevel="1" x14ac:dyDescent="0.2">
      <c r="A264" s="125"/>
      <c r="B264" s="298">
        <v>1</v>
      </c>
      <c r="C264" s="294" t="s">
        <v>87</v>
      </c>
      <c r="D264" s="282">
        <f t="shared" ref="D264:I264" si="122">INDEX(RPBSScriptsChanged,$B256,D257)*INDEX(DPMQCoPayChangedPub,$B256,$B264)</f>
        <v>0</v>
      </c>
      <c r="E264" s="282">
        <f t="shared" si="122"/>
        <v>0</v>
      </c>
      <c r="F264" s="282">
        <f t="shared" si="122"/>
        <v>0</v>
      </c>
      <c r="G264" s="282">
        <f t="shared" si="122"/>
        <v>0</v>
      </c>
      <c r="H264" s="282">
        <f t="shared" si="122"/>
        <v>0</v>
      </c>
      <c r="I264" s="282">
        <f t="shared" si="122"/>
        <v>0</v>
      </c>
      <c r="J264" s="125"/>
      <c r="K264" s="125"/>
      <c r="L264" s="125"/>
      <c r="M264" s="125"/>
      <c r="N264" s="125"/>
    </row>
    <row r="265" spans="1:15" ht="12.75" hidden="1" customHeight="1" outlineLevel="1" x14ac:dyDescent="0.2">
      <c r="A265" s="125"/>
      <c r="B265" s="298">
        <v>5</v>
      </c>
      <c r="C265" s="5" t="s">
        <v>111</v>
      </c>
      <c r="D265" s="282">
        <f t="shared" ref="D265:I265" si="123">INDEX(RPBSScriptsChanged,$B256,D257)*(INDEX(DPMQCoPayChangedPub,$B256,$B265)/INDEX(CoPayCountChanged,$B256))</f>
        <v>0</v>
      </c>
      <c r="E265" s="282">
        <f t="shared" si="123"/>
        <v>0</v>
      </c>
      <c r="F265" s="282">
        <f t="shared" si="123"/>
        <v>0</v>
      </c>
      <c r="G265" s="282">
        <f t="shared" si="123"/>
        <v>0</v>
      </c>
      <c r="H265" s="282">
        <f t="shared" si="123"/>
        <v>0</v>
      </c>
      <c r="I265" s="282">
        <f t="shared" si="123"/>
        <v>0</v>
      </c>
      <c r="J265" s="125"/>
      <c r="K265" s="125"/>
      <c r="L265" s="125"/>
      <c r="M265" s="125"/>
      <c r="N265" s="125"/>
    </row>
    <row r="266" spans="1:15" ht="12.75" hidden="1" customHeight="1" outlineLevel="1" x14ac:dyDescent="0.2">
      <c r="A266" s="125"/>
      <c r="B266" s="137"/>
      <c r="C266" s="5" t="s">
        <v>89</v>
      </c>
      <c r="D266" s="282">
        <f t="shared" ref="D266:I266" si="124">D264+D265</f>
        <v>0</v>
      </c>
      <c r="E266" s="282">
        <f t="shared" si="124"/>
        <v>0</v>
      </c>
      <c r="F266" s="282">
        <f t="shared" si="124"/>
        <v>0</v>
      </c>
      <c r="G266" s="282">
        <f t="shared" si="124"/>
        <v>0</v>
      </c>
      <c r="H266" s="282">
        <f t="shared" si="124"/>
        <v>0</v>
      </c>
      <c r="I266" s="282">
        <f t="shared" si="124"/>
        <v>0</v>
      </c>
      <c r="J266" s="125"/>
      <c r="K266" s="125"/>
      <c r="L266" s="125"/>
      <c r="M266" s="125"/>
      <c r="N266" s="125"/>
    </row>
    <row r="267" spans="1:15" hidden="1" outlineLevel="1" x14ac:dyDescent="0.2">
      <c r="A267" s="125"/>
      <c r="B267" s="300"/>
      <c r="C267" s="125"/>
      <c r="D267" s="658"/>
      <c r="E267" s="658"/>
      <c r="F267" s="36"/>
      <c r="G267" s="36"/>
      <c r="H267" s="36"/>
      <c r="I267" s="36"/>
      <c r="J267" s="36"/>
      <c r="K267" s="36"/>
      <c r="L267" s="36"/>
      <c r="M267" s="36"/>
      <c r="N267" s="36"/>
      <c r="O267" s="615"/>
    </row>
    <row r="268" spans="1:15" s="416" customFormat="1" collapsed="1" x14ac:dyDescent="0.2">
      <c r="A268" s="125"/>
      <c r="B268" s="300"/>
      <c r="C268" s="125"/>
      <c r="D268" s="125"/>
      <c r="E268" s="125"/>
      <c r="F268" s="125"/>
      <c r="G268" s="125"/>
      <c r="H268" s="125"/>
      <c r="I268" s="125"/>
      <c r="J268" s="125"/>
      <c r="K268" s="125"/>
      <c r="L268" s="125"/>
      <c r="M268" s="125"/>
      <c r="N268" s="125"/>
      <c r="O268" s="615"/>
    </row>
    <row r="269" spans="1:15" ht="15.75" x14ac:dyDescent="0.2">
      <c r="A269" s="125"/>
      <c r="B269" s="300"/>
      <c r="C269" s="123" t="s">
        <v>922</v>
      </c>
      <c r="D269" s="123"/>
      <c r="E269" s="123"/>
      <c r="F269" s="142"/>
      <c r="G269" s="127"/>
      <c r="H269" s="127"/>
      <c r="I269" s="127"/>
      <c r="J269" s="127"/>
      <c r="K269" s="127"/>
      <c r="L269" s="127"/>
      <c r="M269" s="127"/>
      <c r="N269" s="127"/>
    </row>
    <row r="270" spans="1:15" x14ac:dyDescent="0.2">
      <c r="A270" s="125"/>
      <c r="B270" s="125"/>
      <c r="C270" s="162"/>
      <c r="D270" s="162"/>
      <c r="E270" s="162"/>
      <c r="F270" s="656"/>
      <c r="G270" s="125"/>
      <c r="H270" s="125"/>
      <c r="I270" s="125"/>
      <c r="J270" s="125"/>
      <c r="K270" s="125"/>
      <c r="L270" s="125"/>
      <c r="M270" s="125"/>
      <c r="N270" s="125"/>
      <c r="O270" s="615"/>
    </row>
    <row r="271" spans="1:15" x14ac:dyDescent="0.2">
      <c r="A271" s="125"/>
      <c r="B271" s="125"/>
      <c r="C271" s="162" t="s">
        <v>833</v>
      </c>
      <c r="D271" s="162"/>
      <c r="E271" s="162"/>
      <c r="F271" s="656"/>
      <c r="G271" s="125"/>
      <c r="H271" s="125"/>
      <c r="I271" s="125"/>
      <c r="J271" s="125"/>
      <c r="K271" s="125"/>
      <c r="L271" s="125"/>
      <c r="M271" s="125"/>
      <c r="N271" s="125"/>
      <c r="O271" s="615"/>
    </row>
    <row r="272" spans="1:15" x14ac:dyDescent="0.2">
      <c r="A272" s="125"/>
      <c r="B272" s="125"/>
      <c r="C272" s="162"/>
      <c r="D272" s="162"/>
      <c r="E272" s="162"/>
      <c r="F272" s="656"/>
      <c r="G272" s="125"/>
      <c r="H272" s="863" t="str">
        <f>IF(S294&gt;0,"DPMA / DPMQ","")</f>
        <v/>
      </c>
      <c r="I272" s="863"/>
      <c r="J272" s="863"/>
      <c r="K272" s="125"/>
      <c r="L272" s="125"/>
      <c r="M272" s="125"/>
      <c r="N272" s="125"/>
      <c r="O272" s="615"/>
    </row>
    <row r="273" spans="1:24" ht="25.5" x14ac:dyDescent="0.2">
      <c r="A273" s="125"/>
      <c r="B273" s="125"/>
      <c r="C273" s="830" t="s">
        <v>813</v>
      </c>
      <c r="D273" s="864"/>
      <c r="E273" s="865"/>
      <c r="F273" s="82" t="s">
        <v>112</v>
      </c>
      <c r="G273" s="82" t="s">
        <v>932</v>
      </c>
      <c r="H273" s="67" t="str">
        <f>IF(S294&gt;0,"Public","DPMA / DPMQ")</f>
        <v>DPMA / DPMQ</v>
      </c>
      <c r="I273" s="67" t="str">
        <f>IF(S294&gt;0,"Private","")</f>
        <v/>
      </c>
      <c r="J273" s="67" t="str">
        <f>IF(S294&gt;0,"Weighted","DPMA / DPMQ")</f>
        <v>DPMA / DPMQ</v>
      </c>
      <c r="K273" s="528" t="s">
        <v>756</v>
      </c>
      <c r="L273" s="67" t="s">
        <v>756</v>
      </c>
      <c r="M273" s="446" t="s">
        <v>428</v>
      </c>
      <c r="N273" s="446" t="s">
        <v>429</v>
      </c>
      <c r="O273" s="416"/>
      <c r="P273" s="758" t="s">
        <v>1190</v>
      </c>
      <c r="Q273" s="758" t="s">
        <v>428</v>
      </c>
      <c r="R273" s="758" t="s">
        <v>429</v>
      </c>
    </row>
    <row r="274" spans="1:24" x14ac:dyDescent="0.2">
      <c r="A274" s="125"/>
      <c r="B274" s="298">
        <v>1</v>
      </c>
      <c r="C274" s="860" t="str">
        <f t="shared" ref="C274:C293" si="125">INDEX(PBSScriptsChanged,B274,1)</f>
        <v>** NOT USED **</v>
      </c>
      <c r="D274" s="861"/>
      <c r="E274" s="862"/>
      <c r="F274" s="287"/>
      <c r="G274" s="151"/>
      <c r="H274" s="287"/>
      <c r="I274" s="287"/>
      <c r="J274" s="288">
        <f>IF(AND(ISBLANK(H274),COUNT(I274)=1),I274,IF(AND(COUNT(H274)=1,ISBLANK(I274)),H274,IF(COUNT(H274:I274)=2,H274*S274+I274*T274,0)))</f>
        <v>0</v>
      </c>
      <c r="K274" s="531"/>
      <c r="L274" s="471" t="str">
        <f t="shared" ref="L274:L293" si="126">IF(AND(C274&lt;&gt;MsgNotUsed,ISERROR(P274)=FALSE),IF(K274&lt;&gt;"",K274,P274),"")</f>
        <v/>
      </c>
      <c r="M274" s="288">
        <f>IF(J274&gt;Q274,-Q274,-J274)</f>
        <v>0</v>
      </c>
      <c r="N274" s="288">
        <f>IF(J274&gt;R274,-R274,-J274)</f>
        <v>0</v>
      </c>
      <c r="O274" s="416"/>
      <c r="P274" s="760" t="str">
        <f t="shared" ref="P274:P293" si="127">IF(C274&lt;&gt;MsgNotUsed,INDEX(CoPayBandChanged,B274),"")</f>
        <v/>
      </c>
      <c r="Q274" s="757">
        <f t="shared" ref="Q274:Q293" si="128">IFERROR(INDEX(CoPayPBS,L274),0)</f>
        <v>0</v>
      </c>
      <c r="R274" s="757">
        <f t="shared" ref="R274:R293" si="129">IFERROR(INDEX(CoPayRPBS,L274),0)</f>
        <v>0</v>
      </c>
      <c r="S274" s="549" t="str">
        <f t="shared" ref="S274:S293" si="130">IFERROR(INDEX(ServiceSplitPublic,L274),"")</f>
        <v/>
      </c>
      <c r="T274" s="549" t="str">
        <f t="shared" ref="T274:T293" si="131">IFERROR(INDEX(ServiceSplitPrivate,L274),"")</f>
        <v/>
      </c>
      <c r="U274" s="532"/>
      <c r="X274" s="416"/>
    </row>
    <row r="275" spans="1:24" x14ac:dyDescent="0.2">
      <c r="A275" s="125"/>
      <c r="B275" s="298">
        <v>2</v>
      </c>
      <c r="C275" s="860" t="str">
        <f t="shared" si="125"/>
        <v>** NOT USED **</v>
      </c>
      <c r="D275" s="861"/>
      <c r="E275" s="862"/>
      <c r="F275" s="287"/>
      <c r="G275" s="151"/>
      <c r="H275" s="287"/>
      <c r="I275" s="287"/>
      <c r="J275" s="288">
        <f t="shared" ref="J275:J293" si="132">IF(AND(ISBLANK(H275),COUNT(I275)=1),I275,IF(AND(COUNT(H275)=1,ISBLANK(I275)),H275,IF(COUNT(H275:I275)=2,H275*S275+I275*T275,0)))</f>
        <v>0</v>
      </c>
      <c r="K275" s="531"/>
      <c r="L275" s="471" t="str">
        <f t="shared" si="126"/>
        <v/>
      </c>
      <c r="M275" s="288">
        <f t="shared" ref="M275:M293" si="133">IF(J275&gt;Q275,-Q275,-J275)</f>
        <v>0</v>
      </c>
      <c r="N275" s="288">
        <f t="shared" ref="N275:N293" si="134">IF(J275&gt;R275,-R275,-J275)</f>
        <v>0</v>
      </c>
      <c r="O275" s="416"/>
      <c r="P275" s="760" t="str">
        <f t="shared" si="127"/>
        <v/>
      </c>
      <c r="Q275" s="757">
        <f t="shared" si="128"/>
        <v>0</v>
      </c>
      <c r="R275" s="757">
        <f t="shared" si="129"/>
        <v>0</v>
      </c>
      <c r="S275" s="549" t="str">
        <f t="shared" si="130"/>
        <v/>
      </c>
      <c r="T275" s="549" t="str">
        <f t="shared" si="131"/>
        <v/>
      </c>
      <c r="X275" s="416"/>
    </row>
    <row r="276" spans="1:24" x14ac:dyDescent="0.2">
      <c r="A276" s="125"/>
      <c r="B276" s="298">
        <v>3</v>
      </c>
      <c r="C276" s="860" t="str">
        <f t="shared" si="125"/>
        <v>** NOT USED **</v>
      </c>
      <c r="D276" s="861"/>
      <c r="E276" s="862"/>
      <c r="F276" s="287"/>
      <c r="G276" s="151"/>
      <c r="H276" s="287"/>
      <c r="I276" s="287"/>
      <c r="J276" s="288">
        <f t="shared" si="132"/>
        <v>0</v>
      </c>
      <c r="K276" s="531"/>
      <c r="L276" s="471" t="str">
        <f t="shared" si="126"/>
        <v/>
      </c>
      <c r="M276" s="288">
        <f t="shared" si="133"/>
        <v>0</v>
      </c>
      <c r="N276" s="288">
        <f t="shared" si="134"/>
        <v>0</v>
      </c>
      <c r="O276" s="416"/>
      <c r="P276" s="760" t="str">
        <f t="shared" si="127"/>
        <v/>
      </c>
      <c r="Q276" s="757">
        <f t="shared" si="128"/>
        <v>0</v>
      </c>
      <c r="R276" s="757">
        <f t="shared" si="129"/>
        <v>0</v>
      </c>
      <c r="S276" s="549" t="str">
        <f t="shared" si="130"/>
        <v/>
      </c>
      <c r="T276" s="549" t="str">
        <f t="shared" si="131"/>
        <v/>
      </c>
      <c r="X276" s="416"/>
    </row>
    <row r="277" spans="1:24" x14ac:dyDescent="0.2">
      <c r="A277" s="125"/>
      <c r="B277" s="298">
        <v>4</v>
      </c>
      <c r="C277" s="860" t="str">
        <f t="shared" si="125"/>
        <v>** NOT USED **</v>
      </c>
      <c r="D277" s="861"/>
      <c r="E277" s="862"/>
      <c r="F277" s="287"/>
      <c r="G277" s="151"/>
      <c r="H277" s="287"/>
      <c r="I277" s="287"/>
      <c r="J277" s="288">
        <f t="shared" si="132"/>
        <v>0</v>
      </c>
      <c r="K277" s="531"/>
      <c r="L277" s="471" t="str">
        <f t="shared" si="126"/>
        <v/>
      </c>
      <c r="M277" s="288">
        <f t="shared" si="133"/>
        <v>0</v>
      </c>
      <c r="N277" s="288">
        <f t="shared" si="134"/>
        <v>0</v>
      </c>
      <c r="O277" s="416"/>
      <c r="P277" s="760" t="str">
        <f t="shared" si="127"/>
        <v/>
      </c>
      <c r="Q277" s="757">
        <f t="shared" si="128"/>
        <v>0</v>
      </c>
      <c r="R277" s="757">
        <f t="shared" si="129"/>
        <v>0</v>
      </c>
      <c r="S277" s="549" t="str">
        <f t="shared" si="130"/>
        <v/>
      </c>
      <c r="T277" s="549" t="str">
        <f t="shared" si="131"/>
        <v/>
      </c>
    </row>
    <row r="278" spans="1:24" x14ac:dyDescent="0.2">
      <c r="A278" s="125"/>
      <c r="B278" s="298">
        <v>5</v>
      </c>
      <c r="C278" s="860" t="str">
        <f t="shared" si="125"/>
        <v>** NOT USED **</v>
      </c>
      <c r="D278" s="861"/>
      <c r="E278" s="862"/>
      <c r="F278" s="287"/>
      <c r="G278" s="151"/>
      <c r="H278" s="287"/>
      <c r="I278" s="287"/>
      <c r="J278" s="288">
        <f t="shared" si="132"/>
        <v>0</v>
      </c>
      <c r="K278" s="531"/>
      <c r="L278" s="471" t="str">
        <f t="shared" si="126"/>
        <v/>
      </c>
      <c r="M278" s="288">
        <f t="shared" si="133"/>
        <v>0</v>
      </c>
      <c r="N278" s="288">
        <f t="shared" si="134"/>
        <v>0</v>
      </c>
      <c r="O278" s="416"/>
      <c r="P278" s="760" t="str">
        <f t="shared" si="127"/>
        <v/>
      </c>
      <c r="Q278" s="757">
        <f t="shared" si="128"/>
        <v>0</v>
      </c>
      <c r="R278" s="757">
        <f t="shared" si="129"/>
        <v>0</v>
      </c>
      <c r="S278" s="549" t="str">
        <f t="shared" si="130"/>
        <v/>
      </c>
      <c r="T278" s="549" t="str">
        <f t="shared" si="131"/>
        <v/>
      </c>
    </row>
    <row r="279" spans="1:24" x14ac:dyDescent="0.2">
      <c r="A279" s="125"/>
      <c r="B279" s="298">
        <v>6</v>
      </c>
      <c r="C279" s="860" t="str">
        <f t="shared" si="125"/>
        <v>** NOT USED **</v>
      </c>
      <c r="D279" s="861"/>
      <c r="E279" s="862"/>
      <c r="F279" s="287"/>
      <c r="G279" s="151"/>
      <c r="H279" s="287"/>
      <c r="I279" s="287"/>
      <c r="J279" s="288">
        <f t="shared" si="132"/>
        <v>0</v>
      </c>
      <c r="K279" s="531"/>
      <c r="L279" s="471" t="str">
        <f t="shared" si="126"/>
        <v/>
      </c>
      <c r="M279" s="288">
        <f t="shared" si="133"/>
        <v>0</v>
      </c>
      <c r="N279" s="288">
        <f t="shared" si="134"/>
        <v>0</v>
      </c>
      <c r="O279" s="416"/>
      <c r="P279" s="760" t="str">
        <f t="shared" si="127"/>
        <v/>
      </c>
      <c r="Q279" s="757">
        <f t="shared" si="128"/>
        <v>0</v>
      </c>
      <c r="R279" s="757">
        <f t="shared" si="129"/>
        <v>0</v>
      </c>
      <c r="S279" s="549" t="str">
        <f t="shared" si="130"/>
        <v/>
      </c>
      <c r="T279" s="549" t="str">
        <f t="shared" si="131"/>
        <v/>
      </c>
    </row>
    <row r="280" spans="1:24" x14ac:dyDescent="0.2">
      <c r="A280" s="125"/>
      <c r="B280" s="298">
        <v>7</v>
      </c>
      <c r="C280" s="860" t="str">
        <f t="shared" si="125"/>
        <v>** NOT USED **</v>
      </c>
      <c r="D280" s="861"/>
      <c r="E280" s="862"/>
      <c r="F280" s="287"/>
      <c r="G280" s="151"/>
      <c r="H280" s="287"/>
      <c r="I280" s="287"/>
      <c r="J280" s="288">
        <f t="shared" si="132"/>
        <v>0</v>
      </c>
      <c r="K280" s="531"/>
      <c r="L280" s="471" t="str">
        <f t="shared" si="126"/>
        <v/>
      </c>
      <c r="M280" s="288">
        <f t="shared" si="133"/>
        <v>0</v>
      </c>
      <c r="N280" s="288">
        <f t="shared" si="134"/>
        <v>0</v>
      </c>
      <c r="O280" s="416"/>
      <c r="P280" s="760" t="str">
        <f t="shared" si="127"/>
        <v/>
      </c>
      <c r="Q280" s="757">
        <f t="shared" si="128"/>
        <v>0</v>
      </c>
      <c r="R280" s="757">
        <f t="shared" si="129"/>
        <v>0</v>
      </c>
      <c r="S280" s="549" t="str">
        <f t="shared" si="130"/>
        <v/>
      </c>
      <c r="T280" s="549" t="str">
        <f t="shared" si="131"/>
        <v/>
      </c>
    </row>
    <row r="281" spans="1:24" x14ac:dyDescent="0.2">
      <c r="A281" s="125"/>
      <c r="B281" s="298">
        <v>8</v>
      </c>
      <c r="C281" s="860" t="str">
        <f t="shared" si="125"/>
        <v>** NOT USED **</v>
      </c>
      <c r="D281" s="861"/>
      <c r="E281" s="862"/>
      <c r="F281" s="287"/>
      <c r="G281" s="151"/>
      <c r="H281" s="287"/>
      <c r="I281" s="287"/>
      <c r="J281" s="288">
        <f t="shared" si="132"/>
        <v>0</v>
      </c>
      <c r="K281" s="531"/>
      <c r="L281" s="471" t="str">
        <f t="shared" si="126"/>
        <v/>
      </c>
      <c r="M281" s="288">
        <f t="shared" si="133"/>
        <v>0</v>
      </c>
      <c r="N281" s="288">
        <f t="shared" si="134"/>
        <v>0</v>
      </c>
      <c r="O281" s="416"/>
      <c r="P281" s="760" t="str">
        <f t="shared" si="127"/>
        <v/>
      </c>
      <c r="Q281" s="757">
        <f t="shared" si="128"/>
        <v>0</v>
      </c>
      <c r="R281" s="757">
        <f t="shared" si="129"/>
        <v>0</v>
      </c>
      <c r="S281" s="549" t="str">
        <f t="shared" si="130"/>
        <v/>
      </c>
      <c r="T281" s="549" t="str">
        <f t="shared" si="131"/>
        <v/>
      </c>
    </row>
    <row r="282" spans="1:24" x14ac:dyDescent="0.2">
      <c r="A282" s="125"/>
      <c r="B282" s="298">
        <v>9</v>
      </c>
      <c r="C282" s="860" t="str">
        <f t="shared" si="125"/>
        <v>** NOT USED **</v>
      </c>
      <c r="D282" s="861"/>
      <c r="E282" s="862"/>
      <c r="F282" s="287"/>
      <c r="G282" s="151"/>
      <c r="H282" s="287"/>
      <c r="I282" s="287"/>
      <c r="J282" s="288">
        <f t="shared" si="132"/>
        <v>0</v>
      </c>
      <c r="K282" s="531"/>
      <c r="L282" s="471" t="str">
        <f t="shared" si="126"/>
        <v/>
      </c>
      <c r="M282" s="288">
        <f t="shared" si="133"/>
        <v>0</v>
      </c>
      <c r="N282" s="288">
        <f t="shared" si="134"/>
        <v>0</v>
      </c>
      <c r="O282" s="416"/>
      <c r="P282" s="760" t="str">
        <f t="shared" si="127"/>
        <v/>
      </c>
      <c r="Q282" s="757">
        <f t="shared" si="128"/>
        <v>0</v>
      </c>
      <c r="R282" s="757">
        <f t="shared" si="129"/>
        <v>0</v>
      </c>
      <c r="S282" s="549" t="str">
        <f t="shared" si="130"/>
        <v/>
      </c>
      <c r="T282" s="549" t="str">
        <f t="shared" si="131"/>
        <v/>
      </c>
    </row>
    <row r="283" spans="1:24" x14ac:dyDescent="0.2">
      <c r="A283" s="125"/>
      <c r="B283" s="298">
        <v>10</v>
      </c>
      <c r="C283" s="860" t="str">
        <f t="shared" si="125"/>
        <v>** NOT USED **</v>
      </c>
      <c r="D283" s="861"/>
      <c r="E283" s="862"/>
      <c r="F283" s="287"/>
      <c r="G283" s="151"/>
      <c r="H283" s="287"/>
      <c r="I283" s="287"/>
      <c r="J283" s="288">
        <f t="shared" si="132"/>
        <v>0</v>
      </c>
      <c r="K283" s="531"/>
      <c r="L283" s="471" t="str">
        <f t="shared" si="126"/>
        <v/>
      </c>
      <c r="M283" s="288">
        <f t="shared" si="133"/>
        <v>0</v>
      </c>
      <c r="N283" s="288">
        <f t="shared" si="134"/>
        <v>0</v>
      </c>
      <c r="O283" s="416"/>
      <c r="P283" s="760" t="str">
        <f t="shared" si="127"/>
        <v/>
      </c>
      <c r="Q283" s="757">
        <f t="shared" si="128"/>
        <v>0</v>
      </c>
      <c r="R283" s="757">
        <f t="shared" si="129"/>
        <v>0</v>
      </c>
      <c r="S283" s="549" t="str">
        <f t="shared" si="130"/>
        <v/>
      </c>
      <c r="T283" s="549" t="str">
        <f t="shared" si="131"/>
        <v/>
      </c>
    </row>
    <row r="284" spans="1:24" x14ac:dyDescent="0.2">
      <c r="A284" s="125"/>
      <c r="B284" s="298">
        <v>11</v>
      </c>
      <c r="C284" s="860" t="str">
        <f t="shared" si="125"/>
        <v>** NOT USED **</v>
      </c>
      <c r="D284" s="861"/>
      <c r="E284" s="862"/>
      <c r="F284" s="287"/>
      <c r="G284" s="151"/>
      <c r="H284" s="287"/>
      <c r="I284" s="287"/>
      <c r="J284" s="288">
        <f t="shared" si="132"/>
        <v>0</v>
      </c>
      <c r="K284" s="531"/>
      <c r="L284" s="471" t="str">
        <f t="shared" si="126"/>
        <v/>
      </c>
      <c r="M284" s="288">
        <f t="shared" si="133"/>
        <v>0</v>
      </c>
      <c r="N284" s="288">
        <f t="shared" si="134"/>
        <v>0</v>
      </c>
      <c r="O284" s="416"/>
      <c r="P284" s="760" t="str">
        <f t="shared" si="127"/>
        <v/>
      </c>
      <c r="Q284" s="757">
        <f t="shared" si="128"/>
        <v>0</v>
      </c>
      <c r="R284" s="757">
        <f t="shared" si="129"/>
        <v>0</v>
      </c>
      <c r="S284" s="549" t="str">
        <f t="shared" si="130"/>
        <v/>
      </c>
      <c r="T284" s="549" t="str">
        <f t="shared" si="131"/>
        <v/>
      </c>
    </row>
    <row r="285" spans="1:24" x14ac:dyDescent="0.2">
      <c r="A285" s="125"/>
      <c r="B285" s="298">
        <v>12</v>
      </c>
      <c r="C285" s="860" t="str">
        <f t="shared" si="125"/>
        <v>** NOT USED **</v>
      </c>
      <c r="D285" s="861"/>
      <c r="E285" s="862"/>
      <c r="F285" s="287"/>
      <c r="G285" s="151"/>
      <c r="H285" s="287"/>
      <c r="I285" s="287"/>
      <c r="J285" s="288">
        <f t="shared" si="132"/>
        <v>0</v>
      </c>
      <c r="K285" s="531"/>
      <c r="L285" s="471" t="str">
        <f t="shared" si="126"/>
        <v/>
      </c>
      <c r="M285" s="288">
        <f t="shared" si="133"/>
        <v>0</v>
      </c>
      <c r="N285" s="288">
        <f t="shared" si="134"/>
        <v>0</v>
      </c>
      <c r="O285" s="416"/>
      <c r="P285" s="760" t="str">
        <f t="shared" si="127"/>
        <v/>
      </c>
      <c r="Q285" s="757">
        <f t="shared" si="128"/>
        <v>0</v>
      </c>
      <c r="R285" s="757">
        <f t="shared" si="129"/>
        <v>0</v>
      </c>
      <c r="S285" s="549" t="str">
        <f t="shared" si="130"/>
        <v/>
      </c>
      <c r="T285" s="549" t="str">
        <f t="shared" si="131"/>
        <v/>
      </c>
    </row>
    <row r="286" spans="1:24" x14ac:dyDescent="0.2">
      <c r="A286" s="125"/>
      <c r="B286" s="298">
        <v>13</v>
      </c>
      <c r="C286" s="860" t="str">
        <f t="shared" si="125"/>
        <v>** NOT USED **</v>
      </c>
      <c r="D286" s="861"/>
      <c r="E286" s="862"/>
      <c r="F286" s="287"/>
      <c r="G286" s="151"/>
      <c r="H286" s="287"/>
      <c r="I286" s="287"/>
      <c r="J286" s="288">
        <f t="shared" si="132"/>
        <v>0</v>
      </c>
      <c r="K286" s="531"/>
      <c r="L286" s="471" t="str">
        <f t="shared" si="126"/>
        <v/>
      </c>
      <c r="M286" s="288">
        <f t="shared" si="133"/>
        <v>0</v>
      </c>
      <c r="N286" s="288">
        <f t="shared" si="134"/>
        <v>0</v>
      </c>
      <c r="O286" s="416"/>
      <c r="P286" s="760" t="str">
        <f t="shared" si="127"/>
        <v/>
      </c>
      <c r="Q286" s="757">
        <f t="shared" si="128"/>
        <v>0</v>
      </c>
      <c r="R286" s="757">
        <f t="shared" si="129"/>
        <v>0</v>
      </c>
      <c r="S286" s="549" t="str">
        <f t="shared" si="130"/>
        <v/>
      </c>
      <c r="T286" s="549" t="str">
        <f t="shared" si="131"/>
        <v/>
      </c>
      <c r="U286" s="532"/>
    </row>
    <row r="287" spans="1:24" x14ac:dyDescent="0.2">
      <c r="A287" s="125"/>
      <c r="B287" s="298">
        <v>14</v>
      </c>
      <c r="C287" s="860" t="str">
        <f t="shared" si="125"/>
        <v>** NOT USED **</v>
      </c>
      <c r="D287" s="861"/>
      <c r="E287" s="862"/>
      <c r="F287" s="287"/>
      <c r="G287" s="151"/>
      <c r="H287" s="287"/>
      <c r="I287" s="287"/>
      <c r="J287" s="288">
        <f t="shared" si="132"/>
        <v>0</v>
      </c>
      <c r="K287" s="531"/>
      <c r="L287" s="471" t="str">
        <f t="shared" si="126"/>
        <v/>
      </c>
      <c r="M287" s="288">
        <f t="shared" si="133"/>
        <v>0</v>
      </c>
      <c r="N287" s="288">
        <f t="shared" si="134"/>
        <v>0</v>
      </c>
      <c r="O287" s="416"/>
      <c r="P287" s="760" t="str">
        <f t="shared" si="127"/>
        <v/>
      </c>
      <c r="Q287" s="757">
        <f t="shared" si="128"/>
        <v>0</v>
      </c>
      <c r="R287" s="757">
        <f t="shared" si="129"/>
        <v>0</v>
      </c>
      <c r="S287" s="549" t="str">
        <f t="shared" si="130"/>
        <v/>
      </c>
      <c r="T287" s="549" t="str">
        <f t="shared" si="131"/>
        <v/>
      </c>
      <c r="U287" s="532"/>
    </row>
    <row r="288" spans="1:24" x14ac:dyDescent="0.2">
      <c r="A288" s="125"/>
      <c r="B288" s="298">
        <v>15</v>
      </c>
      <c r="C288" s="860" t="str">
        <f t="shared" si="125"/>
        <v>** NOT USED **</v>
      </c>
      <c r="D288" s="861"/>
      <c r="E288" s="862"/>
      <c r="F288" s="287"/>
      <c r="G288" s="151"/>
      <c r="H288" s="287"/>
      <c r="I288" s="287"/>
      <c r="J288" s="288">
        <f t="shared" si="132"/>
        <v>0</v>
      </c>
      <c r="K288" s="531"/>
      <c r="L288" s="471" t="str">
        <f t="shared" si="126"/>
        <v/>
      </c>
      <c r="M288" s="288">
        <f t="shared" si="133"/>
        <v>0</v>
      </c>
      <c r="N288" s="288">
        <f t="shared" si="134"/>
        <v>0</v>
      </c>
      <c r="O288" s="416"/>
      <c r="P288" s="760" t="str">
        <f t="shared" si="127"/>
        <v/>
      </c>
      <c r="Q288" s="757">
        <f t="shared" si="128"/>
        <v>0</v>
      </c>
      <c r="R288" s="757">
        <f t="shared" si="129"/>
        <v>0</v>
      </c>
      <c r="S288" s="549" t="str">
        <f t="shared" si="130"/>
        <v/>
      </c>
      <c r="T288" s="549" t="str">
        <f t="shared" si="131"/>
        <v/>
      </c>
      <c r="U288" s="532"/>
    </row>
    <row r="289" spans="1:21" x14ac:dyDescent="0.2">
      <c r="A289" s="125"/>
      <c r="B289" s="298">
        <v>16</v>
      </c>
      <c r="C289" s="860" t="str">
        <f t="shared" si="125"/>
        <v>** NOT USED **</v>
      </c>
      <c r="D289" s="861"/>
      <c r="E289" s="862"/>
      <c r="F289" s="287"/>
      <c r="G289" s="151"/>
      <c r="H289" s="287"/>
      <c r="I289" s="287"/>
      <c r="J289" s="288">
        <f t="shared" si="132"/>
        <v>0</v>
      </c>
      <c r="K289" s="531"/>
      <c r="L289" s="471" t="str">
        <f t="shared" si="126"/>
        <v/>
      </c>
      <c r="M289" s="288">
        <f t="shared" si="133"/>
        <v>0</v>
      </c>
      <c r="N289" s="288">
        <f t="shared" si="134"/>
        <v>0</v>
      </c>
      <c r="O289" s="416"/>
      <c r="P289" s="760" t="str">
        <f t="shared" si="127"/>
        <v/>
      </c>
      <c r="Q289" s="757">
        <f t="shared" si="128"/>
        <v>0</v>
      </c>
      <c r="R289" s="757">
        <f t="shared" si="129"/>
        <v>0</v>
      </c>
      <c r="S289" s="549" t="str">
        <f t="shared" si="130"/>
        <v/>
      </c>
      <c r="T289" s="549" t="str">
        <f t="shared" si="131"/>
        <v/>
      </c>
      <c r="U289" s="532"/>
    </row>
    <row r="290" spans="1:21" x14ac:dyDescent="0.2">
      <c r="A290" s="125"/>
      <c r="B290" s="298">
        <v>17</v>
      </c>
      <c r="C290" s="860" t="str">
        <f t="shared" si="125"/>
        <v>** NOT USED **</v>
      </c>
      <c r="D290" s="861"/>
      <c r="E290" s="862"/>
      <c r="F290" s="287"/>
      <c r="G290" s="151"/>
      <c r="H290" s="287"/>
      <c r="I290" s="287"/>
      <c r="J290" s="288">
        <f t="shared" si="132"/>
        <v>0</v>
      </c>
      <c r="K290" s="531"/>
      <c r="L290" s="471" t="str">
        <f t="shared" si="126"/>
        <v/>
      </c>
      <c r="M290" s="288">
        <f t="shared" si="133"/>
        <v>0</v>
      </c>
      <c r="N290" s="288">
        <f t="shared" si="134"/>
        <v>0</v>
      </c>
      <c r="O290" s="416"/>
      <c r="P290" s="760" t="str">
        <f t="shared" si="127"/>
        <v/>
      </c>
      <c r="Q290" s="757">
        <f t="shared" si="128"/>
        <v>0</v>
      </c>
      <c r="R290" s="757">
        <f t="shared" si="129"/>
        <v>0</v>
      </c>
      <c r="S290" s="549" t="str">
        <f t="shared" si="130"/>
        <v/>
      </c>
      <c r="T290" s="549" t="str">
        <f t="shared" si="131"/>
        <v/>
      </c>
      <c r="U290" s="532"/>
    </row>
    <row r="291" spans="1:21" x14ac:dyDescent="0.2">
      <c r="A291" s="125"/>
      <c r="B291" s="298">
        <v>18</v>
      </c>
      <c r="C291" s="860" t="str">
        <f t="shared" si="125"/>
        <v>** NOT USED **</v>
      </c>
      <c r="D291" s="861"/>
      <c r="E291" s="862"/>
      <c r="F291" s="287"/>
      <c r="G291" s="151"/>
      <c r="H291" s="287"/>
      <c r="I291" s="287"/>
      <c r="J291" s="288">
        <f t="shared" si="132"/>
        <v>0</v>
      </c>
      <c r="K291" s="531"/>
      <c r="L291" s="471" t="str">
        <f t="shared" si="126"/>
        <v/>
      </c>
      <c r="M291" s="288">
        <f t="shared" si="133"/>
        <v>0</v>
      </c>
      <c r="N291" s="288">
        <f t="shared" si="134"/>
        <v>0</v>
      </c>
      <c r="O291" s="416"/>
      <c r="P291" s="760" t="str">
        <f t="shared" si="127"/>
        <v/>
      </c>
      <c r="Q291" s="757">
        <f t="shared" si="128"/>
        <v>0</v>
      </c>
      <c r="R291" s="757">
        <f t="shared" si="129"/>
        <v>0</v>
      </c>
      <c r="S291" s="549" t="str">
        <f t="shared" si="130"/>
        <v/>
      </c>
      <c r="T291" s="549" t="str">
        <f t="shared" si="131"/>
        <v/>
      </c>
      <c r="U291" s="532"/>
    </row>
    <row r="292" spans="1:21" x14ac:dyDescent="0.2">
      <c r="A292" s="125"/>
      <c r="B292" s="298">
        <v>19</v>
      </c>
      <c r="C292" s="860" t="str">
        <f t="shared" si="125"/>
        <v>** NOT USED **</v>
      </c>
      <c r="D292" s="861"/>
      <c r="E292" s="862"/>
      <c r="F292" s="287"/>
      <c r="G292" s="151"/>
      <c r="H292" s="287"/>
      <c r="I292" s="287"/>
      <c r="J292" s="288">
        <f t="shared" si="132"/>
        <v>0</v>
      </c>
      <c r="K292" s="531"/>
      <c r="L292" s="471" t="str">
        <f t="shared" si="126"/>
        <v/>
      </c>
      <c r="M292" s="288">
        <f t="shared" si="133"/>
        <v>0</v>
      </c>
      <c r="N292" s="288">
        <f t="shared" si="134"/>
        <v>0</v>
      </c>
      <c r="O292" s="416"/>
      <c r="P292" s="760" t="str">
        <f t="shared" si="127"/>
        <v/>
      </c>
      <c r="Q292" s="757">
        <f t="shared" si="128"/>
        <v>0</v>
      </c>
      <c r="R292" s="757">
        <f t="shared" si="129"/>
        <v>0</v>
      </c>
      <c r="S292" s="549" t="str">
        <f t="shared" si="130"/>
        <v/>
      </c>
      <c r="T292" s="549" t="str">
        <f t="shared" si="131"/>
        <v/>
      </c>
    </row>
    <row r="293" spans="1:21" x14ac:dyDescent="0.2">
      <c r="A293" s="125"/>
      <c r="B293" s="298">
        <v>20</v>
      </c>
      <c r="C293" s="860" t="str">
        <f t="shared" si="125"/>
        <v>** NOT USED **</v>
      </c>
      <c r="D293" s="861"/>
      <c r="E293" s="862"/>
      <c r="F293" s="287"/>
      <c r="G293" s="151"/>
      <c r="H293" s="287"/>
      <c r="I293" s="287"/>
      <c r="J293" s="288">
        <f t="shared" si="132"/>
        <v>0</v>
      </c>
      <c r="K293" s="531"/>
      <c r="L293" s="471" t="str">
        <f t="shared" si="126"/>
        <v/>
      </c>
      <c r="M293" s="288">
        <f t="shared" si="133"/>
        <v>0</v>
      </c>
      <c r="N293" s="288">
        <f t="shared" si="134"/>
        <v>0</v>
      </c>
      <c r="O293" s="416"/>
      <c r="P293" s="760" t="str">
        <f t="shared" si="127"/>
        <v/>
      </c>
      <c r="Q293" s="757">
        <f t="shared" si="128"/>
        <v>0</v>
      </c>
      <c r="R293" s="757">
        <f t="shared" si="129"/>
        <v>0</v>
      </c>
      <c r="S293" s="549" t="str">
        <f t="shared" si="130"/>
        <v/>
      </c>
      <c r="T293" s="549" t="str">
        <f t="shared" si="131"/>
        <v/>
      </c>
    </row>
    <row r="294" spans="1:21" x14ac:dyDescent="0.2">
      <c r="A294" s="125"/>
      <c r="B294" s="125"/>
      <c r="C294" s="125"/>
      <c r="D294" s="125"/>
      <c r="E294" s="125"/>
      <c r="F294" s="125"/>
      <c r="G294" s="125"/>
      <c r="H294" s="125"/>
      <c r="I294" s="125"/>
      <c r="J294" s="699"/>
      <c r="K294" s="699"/>
      <c r="L294" s="699"/>
      <c r="M294" s="125"/>
      <c r="N294" s="125"/>
      <c r="O294" s="615"/>
      <c r="P294" s="615"/>
      <c r="S294" s="759">
        <f>SUM(S274:S293)</f>
        <v>0</v>
      </c>
      <c r="T294" s="416"/>
    </row>
    <row r="295" spans="1:21" x14ac:dyDescent="0.2">
      <c r="A295" s="125"/>
      <c r="B295" s="125"/>
      <c r="C295" s="162"/>
      <c r="D295" s="162"/>
      <c r="E295" s="162"/>
      <c r="F295" s="656"/>
      <c r="G295" s="125"/>
      <c r="H295" s="125"/>
      <c r="I295" s="125"/>
      <c r="J295" s="125"/>
      <c r="K295" s="125"/>
      <c r="L295" s="125"/>
      <c r="M295" s="125"/>
      <c r="N295" s="125"/>
      <c r="O295" s="615"/>
      <c r="P295" s="615"/>
    </row>
    <row r="296" spans="1:21" ht="15.75" x14ac:dyDescent="0.2">
      <c r="A296" s="125"/>
      <c r="B296" s="125"/>
      <c r="C296" s="123" t="s">
        <v>864</v>
      </c>
      <c r="D296" s="123"/>
      <c r="E296" s="123"/>
      <c r="F296" s="156"/>
      <c r="G296" s="126"/>
      <c r="H296" s="126"/>
      <c r="I296" s="126"/>
      <c r="J296" s="126"/>
      <c r="K296" s="126"/>
      <c r="L296" s="126"/>
      <c r="M296" s="126"/>
      <c r="N296" s="126"/>
    </row>
    <row r="297" spans="1:21" x14ac:dyDescent="0.2">
      <c r="A297" s="615"/>
      <c r="B297" s="615"/>
      <c r="C297" s="698"/>
      <c r="D297" s="698"/>
      <c r="E297" s="698"/>
      <c r="F297" s="698"/>
      <c r="G297" s="698"/>
      <c r="H297" s="698"/>
      <c r="I297" s="698"/>
      <c r="J297" s="698"/>
      <c r="K297" s="698"/>
      <c r="L297" s="698"/>
      <c r="M297" s="698"/>
      <c r="N297" s="698"/>
    </row>
    <row r="298" spans="1:21" x14ac:dyDescent="0.2">
      <c r="A298" s="615"/>
      <c r="B298" s="615"/>
      <c r="C298" s="698" t="s">
        <v>874</v>
      </c>
      <c r="D298" s="698"/>
      <c r="E298" s="698"/>
      <c r="F298" s="698"/>
      <c r="G298" s="698"/>
      <c r="H298" s="698"/>
      <c r="I298" s="698"/>
      <c r="J298" s="698"/>
      <c r="K298" s="698"/>
      <c r="L298" s="698"/>
      <c r="M298" s="9"/>
      <c r="N298" s="9"/>
    </row>
    <row r="299" spans="1:21" ht="12.75" customHeight="1" x14ac:dyDescent="0.2">
      <c r="C299" s="615"/>
      <c r="D299" s="615"/>
      <c r="E299" s="615"/>
      <c r="F299" s="615"/>
      <c r="G299" s="615"/>
      <c r="H299" s="615"/>
      <c r="I299" s="615"/>
      <c r="J299" s="615"/>
      <c r="K299" s="615"/>
      <c r="L299" s="615"/>
      <c r="M299" s="615"/>
      <c r="N299" s="615"/>
    </row>
  </sheetData>
  <mergeCells count="63">
    <mergeCell ref="L1:N1"/>
    <mergeCell ref="C293:E293"/>
    <mergeCell ref="K152:M152"/>
    <mergeCell ref="K164:M164"/>
    <mergeCell ref="K176:M176"/>
    <mergeCell ref="K188:M188"/>
    <mergeCell ref="K200:M200"/>
    <mergeCell ref="K212:M212"/>
    <mergeCell ref="K224:M224"/>
    <mergeCell ref="K236:M236"/>
    <mergeCell ref="K248:M248"/>
    <mergeCell ref="K260:M260"/>
    <mergeCell ref="C288:E288"/>
    <mergeCell ref="C289:E289"/>
    <mergeCell ref="C290:E290"/>
    <mergeCell ref="C291:E291"/>
    <mergeCell ref="C292:E292"/>
    <mergeCell ref="C284:E284"/>
    <mergeCell ref="C285:E285"/>
    <mergeCell ref="C286:E286"/>
    <mergeCell ref="C287:E287"/>
    <mergeCell ref="C283:E283"/>
    <mergeCell ref="C277:E277"/>
    <mergeCell ref="C278:E278"/>
    <mergeCell ref="C279:E279"/>
    <mergeCell ref="C280:E280"/>
    <mergeCell ref="C281:E281"/>
    <mergeCell ref="C282:E282"/>
    <mergeCell ref="K80:M80"/>
    <mergeCell ref="C276:E276"/>
    <mergeCell ref="C273:E273"/>
    <mergeCell ref="C274:E274"/>
    <mergeCell ref="C275:E275"/>
    <mergeCell ref="H272:J272"/>
    <mergeCell ref="K92:M92"/>
    <mergeCell ref="K104:M104"/>
    <mergeCell ref="K116:M116"/>
    <mergeCell ref="K128:M128"/>
    <mergeCell ref="K140:M140"/>
    <mergeCell ref="L148:M148"/>
    <mergeCell ref="L160:M160"/>
    <mergeCell ref="L172:M172"/>
    <mergeCell ref="L184:M184"/>
    <mergeCell ref="L196:M196"/>
    <mergeCell ref="L208:M208"/>
    <mergeCell ref="L220:M220"/>
    <mergeCell ref="L232:M232"/>
    <mergeCell ref="L244:M244"/>
    <mergeCell ref="L256:M256"/>
    <mergeCell ref="L28:M28"/>
    <mergeCell ref="L40:M40"/>
    <mergeCell ref="L52:M52"/>
    <mergeCell ref="L64:M64"/>
    <mergeCell ref="L76:M76"/>
    <mergeCell ref="K32:M32"/>
    <mergeCell ref="K44:M44"/>
    <mergeCell ref="K56:M56"/>
    <mergeCell ref="K68:M68"/>
    <mergeCell ref="L88:M88"/>
    <mergeCell ref="L100:M100"/>
    <mergeCell ref="L112:M112"/>
    <mergeCell ref="L124:M124"/>
    <mergeCell ref="L136:M136"/>
  </mergeCells>
  <conditionalFormatting sqref="I274:I293">
    <cfRule type="expression" dxfId="82" priority="1">
      <formula>$S274=0</formula>
    </cfRule>
    <cfRule type="expression" dxfId="81" priority="154">
      <formula>SplitPPMarket&lt;&gt;"Y"</formula>
    </cfRule>
  </conditionalFormatting>
  <conditionalFormatting sqref="K32:N32">
    <cfRule type="notContainsBlanks" dxfId="80" priority="85">
      <formula>LEN(TRIM(K32))&gt;0</formula>
    </cfRule>
  </conditionalFormatting>
  <conditionalFormatting sqref="H272:J272">
    <cfRule type="notContainsBlanks" dxfId="79" priority="44">
      <formula>LEN(TRIM(H272))&gt;0</formula>
    </cfRule>
  </conditionalFormatting>
  <conditionalFormatting sqref="I273">
    <cfRule type="expression" dxfId="78" priority="43">
      <formula>$S$294=0</formula>
    </cfRule>
  </conditionalFormatting>
  <conditionalFormatting sqref="K44:N44">
    <cfRule type="notContainsBlanks" dxfId="77" priority="21">
      <formula>LEN(TRIM(K44))&gt;0</formula>
    </cfRule>
  </conditionalFormatting>
  <conditionalFormatting sqref="K56:N56">
    <cfRule type="notContainsBlanks" dxfId="76" priority="20">
      <formula>LEN(TRIM(K56))&gt;0</formula>
    </cfRule>
  </conditionalFormatting>
  <conditionalFormatting sqref="K68:N68">
    <cfRule type="notContainsBlanks" dxfId="75" priority="19">
      <formula>LEN(TRIM(K68))&gt;0</formula>
    </cfRule>
  </conditionalFormatting>
  <conditionalFormatting sqref="K80:N80">
    <cfRule type="notContainsBlanks" dxfId="74" priority="18">
      <formula>LEN(TRIM(K80))&gt;0</formula>
    </cfRule>
  </conditionalFormatting>
  <conditionalFormatting sqref="K92:N92">
    <cfRule type="notContainsBlanks" dxfId="73" priority="17">
      <formula>LEN(TRIM(K92))&gt;0</formula>
    </cfRule>
  </conditionalFormatting>
  <conditionalFormatting sqref="K104:N104">
    <cfRule type="notContainsBlanks" dxfId="72" priority="16">
      <formula>LEN(TRIM(K104))&gt;0</formula>
    </cfRule>
  </conditionalFormatting>
  <conditionalFormatting sqref="K116:N116">
    <cfRule type="notContainsBlanks" dxfId="71" priority="15">
      <formula>LEN(TRIM(K116))&gt;0</formula>
    </cfRule>
  </conditionalFormatting>
  <conditionalFormatting sqref="K128:N128">
    <cfRule type="notContainsBlanks" dxfId="70" priority="14">
      <formula>LEN(TRIM(K128))&gt;0</formula>
    </cfRule>
  </conditionalFormatting>
  <conditionalFormatting sqref="K140:N140">
    <cfRule type="notContainsBlanks" dxfId="69" priority="13">
      <formula>LEN(TRIM(K140))&gt;0</formula>
    </cfRule>
  </conditionalFormatting>
  <conditionalFormatting sqref="K152:N152">
    <cfRule type="notContainsBlanks" dxfId="68" priority="12">
      <formula>LEN(TRIM(K152))&gt;0</formula>
    </cfRule>
  </conditionalFormatting>
  <conditionalFormatting sqref="K164:N164">
    <cfRule type="notContainsBlanks" dxfId="67" priority="11">
      <formula>LEN(TRIM(K164))&gt;0</formula>
    </cfRule>
  </conditionalFormatting>
  <conditionalFormatting sqref="K176:N176">
    <cfRule type="notContainsBlanks" dxfId="66" priority="10">
      <formula>LEN(TRIM(K176))&gt;0</formula>
    </cfRule>
  </conditionalFormatting>
  <conditionalFormatting sqref="K188:N188">
    <cfRule type="notContainsBlanks" dxfId="65" priority="9">
      <formula>LEN(TRIM(K188))&gt;0</formula>
    </cfRule>
  </conditionalFormatting>
  <conditionalFormatting sqref="K200:N200">
    <cfRule type="notContainsBlanks" dxfId="64" priority="8">
      <formula>LEN(TRIM(K200))&gt;0</formula>
    </cfRule>
  </conditionalFormatting>
  <conditionalFormatting sqref="K212:N212">
    <cfRule type="notContainsBlanks" dxfId="63" priority="7">
      <formula>LEN(TRIM(K212))&gt;0</formula>
    </cfRule>
  </conditionalFormatting>
  <conditionalFormatting sqref="K224:N224">
    <cfRule type="notContainsBlanks" dxfId="62" priority="6">
      <formula>LEN(TRIM(K224))&gt;0</formula>
    </cfRule>
  </conditionalFormatting>
  <conditionalFormatting sqref="K236:N236">
    <cfRule type="notContainsBlanks" dxfId="61" priority="5">
      <formula>LEN(TRIM(K236))&gt;0</formula>
    </cfRule>
  </conditionalFormatting>
  <conditionalFormatting sqref="K248:N248">
    <cfRule type="notContainsBlanks" dxfId="60" priority="4">
      <formula>LEN(TRIM(K248))&gt;0</formula>
    </cfRule>
  </conditionalFormatting>
  <conditionalFormatting sqref="K260:N260">
    <cfRule type="notContainsBlanks" dxfId="59" priority="3">
      <formula>LEN(TRIM(K260))&gt;0</formula>
    </cfRule>
  </conditionalFormatting>
  <conditionalFormatting sqref="F274:I293">
    <cfRule type="expression" dxfId="58" priority="2">
      <formula>$C274=MsgNotUsed</formula>
    </cfRule>
  </conditionalFormatting>
  <dataValidations count="2">
    <dataValidation allowBlank="1" showErrorMessage="1" sqref="D60:I62 D36:I38 D127:I129 D48:I50 D55:I57 D31:I34 D67:I69 D264:I266 D120:I122 D72:I74 D79:I81 D84:I86 D91:I93 D96:I98 D103:I105 D108:I110 D115:I117 D43:I45 D24:I24 D139:I141 D15:I17 F58:I58 D132:I134 D144:I146 D151:I153 D156:I158 D163:I165 D168:I170 D175:I177 D180:I182 D187:I189 D192:I194 D199:I201 D204:I206 D211:I213 D216:I218 D223:I225 D228:I230 D235:I237 D240:I242 D247:I249 D252:I254 D259:I261 D20:I22 J58:N62"/>
    <dataValidation type="list" allowBlank="1" showInputMessage="1" showErrorMessage="1" sqref="K274:K293">
      <formula1>CoPayBands</formula1>
    </dataValidation>
  </dataValidations>
  <pageMargins left="0.11811023622047245" right="0.11811023622047245" top="0.19685039370078741" bottom="0.15748031496062992" header="0.31496062992125984" footer="0.31496062992125984"/>
  <pageSetup paperSize="9" scale="47" orientation="landscape" horizontalDpi="300" verticalDpi="30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theme="4"/>
    <pageSetUpPr fitToPage="1"/>
  </sheetPr>
  <dimension ref="A1:T299"/>
  <sheetViews>
    <sheetView showGridLines="0" zoomScaleNormal="100" workbookViewId="0">
      <pane ySplit="3" topLeftCell="A4" activePane="bottomLeft" state="frozen"/>
      <selection activeCell="B7" sqref="B7:G7"/>
      <selection pane="bottomLeft"/>
    </sheetView>
  </sheetViews>
  <sheetFormatPr defaultRowHeight="12.75" customHeight="1" outlineLevelRow="1" x14ac:dyDescent="0.2"/>
  <cols>
    <col min="1" max="1" width="3.7109375" customWidth="1"/>
    <col min="2" max="2" width="3.7109375" hidden="1" customWidth="1"/>
    <col min="3" max="3" width="20.7109375" customWidth="1"/>
    <col min="4" max="13" width="15.7109375" customWidth="1"/>
    <col min="14" max="14" width="15.7109375" style="416" customWidth="1"/>
    <col min="15" max="15" width="3.7109375" hidden="1" customWidth="1"/>
    <col min="16" max="16" width="3.7109375" style="416" hidden="1" customWidth="1"/>
    <col min="17" max="20" width="10.7109375" hidden="1" customWidth="1"/>
  </cols>
  <sheetData>
    <row r="1" spans="1:14" ht="23.25" x14ac:dyDescent="0.2">
      <c r="A1" s="346">
        <f>IF((SUM(D24:I24)&lt;&gt;0),2,0)</f>
        <v>0</v>
      </c>
      <c r="B1" s="342"/>
      <c r="C1" s="343" t="s">
        <v>941</v>
      </c>
      <c r="D1" s="343"/>
      <c r="E1" s="343"/>
      <c r="F1" s="342"/>
      <c r="G1" s="342"/>
      <c r="H1" s="342"/>
      <c r="I1" s="342"/>
      <c r="J1" s="342"/>
      <c r="K1" s="342"/>
      <c r="L1" s="866" t="str">
        <f>IF(SPAChangeFlag=0,MsgNotRequired,IF(A1=0,MsgNotUsed,""))</f>
        <v>** NOT REQUIRED **</v>
      </c>
      <c r="M1" s="866"/>
      <c r="N1" s="866"/>
    </row>
    <row r="2" spans="1:14" ht="15.75" x14ac:dyDescent="0.2">
      <c r="A2" s="342"/>
      <c r="B2" s="342"/>
      <c r="C2" s="344" t="str">
        <f>CONCATENATE("Name of medicine: ", MedicineBrand)</f>
        <v xml:space="preserve">Name of medicine: </v>
      </c>
      <c r="D2" s="345"/>
      <c r="E2" s="345"/>
      <c r="F2" s="342"/>
      <c r="G2" s="342"/>
      <c r="H2" s="342"/>
      <c r="I2" s="342"/>
      <c r="J2" s="342"/>
      <c r="K2" s="342"/>
      <c r="L2" s="342"/>
      <c r="M2" s="342"/>
      <c r="N2" s="342"/>
    </row>
    <row r="3" spans="1:14" ht="15.75" x14ac:dyDescent="0.2">
      <c r="A3" s="342"/>
      <c r="B3" s="342"/>
      <c r="C3" s="344" t="str">
        <f>CONCATENATE("Indication: ",Indication)</f>
        <v xml:space="preserve">Indication: </v>
      </c>
      <c r="D3" s="345"/>
      <c r="E3" s="345"/>
      <c r="F3" s="342"/>
      <c r="G3" s="342"/>
      <c r="H3" s="342"/>
      <c r="I3" s="342"/>
      <c r="J3" s="342"/>
      <c r="K3" s="342"/>
      <c r="L3" s="342"/>
      <c r="M3" s="342"/>
      <c r="N3" s="342"/>
    </row>
    <row r="4" spans="1:14" s="420" customFormat="1" x14ac:dyDescent="0.2">
      <c r="A4" s="650"/>
      <c r="B4" s="650"/>
      <c r="C4" s="662"/>
      <c r="D4" s="662"/>
      <c r="E4" s="662"/>
      <c r="F4" s="650"/>
      <c r="G4" s="650"/>
      <c r="H4" s="650"/>
      <c r="I4" s="650"/>
      <c r="J4" s="650"/>
      <c r="K4" s="650"/>
      <c r="L4" s="650"/>
      <c r="M4" s="650"/>
      <c r="N4" s="650"/>
    </row>
    <row r="5" spans="1:14" ht="15.75" x14ac:dyDescent="0.2">
      <c r="A5" s="122"/>
      <c r="B5" s="122"/>
      <c r="C5" s="123" t="s">
        <v>2</v>
      </c>
      <c r="D5" s="123"/>
      <c r="E5" s="123"/>
      <c r="F5" s="142"/>
      <c r="G5" s="127"/>
      <c r="H5" s="127"/>
      <c r="I5" s="127"/>
      <c r="J5" s="127"/>
      <c r="K5" s="127"/>
      <c r="L5" s="127"/>
      <c r="M5" s="127"/>
      <c r="N5" s="127"/>
    </row>
    <row r="6" spans="1:14" ht="14.25" x14ac:dyDescent="0.2">
      <c r="A6" s="125"/>
      <c r="B6" s="125"/>
      <c r="C6" s="647"/>
      <c r="D6" s="647"/>
      <c r="E6" s="647"/>
      <c r="F6" s="656"/>
      <c r="G6" s="125"/>
      <c r="H6" s="125"/>
      <c r="I6" s="125"/>
      <c r="J6" s="125"/>
      <c r="K6" s="125"/>
      <c r="L6" s="125"/>
      <c r="M6" s="125"/>
      <c r="N6" s="125"/>
    </row>
    <row r="7" spans="1:14" x14ac:dyDescent="0.2">
      <c r="A7" s="125"/>
      <c r="B7" s="125"/>
      <c r="C7" s="162" t="s">
        <v>782</v>
      </c>
      <c r="D7" s="162"/>
      <c r="E7" s="162"/>
      <c r="F7" s="162"/>
      <c r="G7" s="162"/>
      <c r="H7" s="162"/>
      <c r="I7" s="162"/>
      <c r="J7" s="162"/>
      <c r="K7" s="162"/>
      <c r="L7" s="162"/>
      <c r="M7" s="162"/>
      <c r="N7" s="162"/>
    </row>
    <row r="8" spans="1:14" x14ac:dyDescent="0.2">
      <c r="A8" s="125"/>
      <c r="B8" s="125"/>
      <c r="C8" s="644"/>
      <c r="D8" s="644"/>
      <c r="E8" s="644"/>
      <c r="F8" s="660"/>
      <c r="G8" s="660"/>
      <c r="H8" s="660"/>
      <c r="I8" s="660"/>
      <c r="J8" s="660"/>
      <c r="K8" s="660"/>
      <c r="L8" s="660"/>
      <c r="M8" s="660"/>
      <c r="N8" s="660"/>
    </row>
    <row r="9" spans="1:14" x14ac:dyDescent="0.2">
      <c r="A9" s="125"/>
      <c r="B9" s="125"/>
      <c r="C9" s="162"/>
      <c r="D9" s="162"/>
      <c r="E9" s="162"/>
      <c r="F9" s="162"/>
      <c r="G9" s="162"/>
      <c r="H9" s="162"/>
      <c r="I9" s="162"/>
      <c r="J9" s="162"/>
      <c r="K9" s="162"/>
      <c r="L9" s="162"/>
      <c r="M9" s="162"/>
      <c r="N9" s="162"/>
    </row>
    <row r="10" spans="1:14" ht="15.75" x14ac:dyDescent="0.2">
      <c r="A10" s="125"/>
      <c r="B10" s="125"/>
      <c r="C10" s="123" t="s">
        <v>869</v>
      </c>
      <c r="D10" s="123"/>
      <c r="E10" s="123"/>
      <c r="F10" s="142"/>
      <c r="G10" s="127"/>
      <c r="H10" s="127"/>
      <c r="I10" s="127"/>
      <c r="J10" s="127"/>
      <c r="K10" s="127"/>
      <c r="L10" s="127"/>
      <c r="M10" s="127"/>
      <c r="N10" s="127"/>
    </row>
    <row r="11" spans="1:14" ht="15.75" x14ac:dyDescent="0.2">
      <c r="A11" s="125"/>
      <c r="B11" s="125"/>
      <c r="C11" s="655"/>
      <c r="D11" s="655"/>
      <c r="E11" s="655"/>
      <c r="F11" s="656"/>
      <c r="G11" s="125"/>
      <c r="H11" s="125"/>
      <c r="I11" s="125"/>
      <c r="J11" s="125"/>
      <c r="K11" s="125"/>
      <c r="L11" s="125"/>
      <c r="M11" s="125"/>
      <c r="N11" s="125"/>
    </row>
    <row r="12" spans="1:14" x14ac:dyDescent="0.2">
      <c r="A12" s="125"/>
      <c r="B12" s="125"/>
      <c r="C12" s="646" t="s">
        <v>834</v>
      </c>
      <c r="D12" s="646"/>
      <c r="E12" s="646"/>
      <c r="F12" s="646"/>
      <c r="G12" s="646"/>
      <c r="H12" s="646"/>
      <c r="I12" s="646"/>
      <c r="J12" s="646"/>
      <c r="K12" s="646"/>
      <c r="L12" s="646"/>
      <c r="M12" s="646"/>
      <c r="N12" s="646"/>
    </row>
    <row r="13" spans="1:14" x14ac:dyDescent="0.2">
      <c r="A13" s="125"/>
      <c r="B13" s="125"/>
      <c r="C13" s="657"/>
      <c r="D13" s="657"/>
      <c r="E13" s="657"/>
      <c r="F13" s="125"/>
      <c r="G13" s="125"/>
      <c r="H13" s="125"/>
      <c r="I13" s="125"/>
      <c r="J13" s="125"/>
      <c r="K13" s="125"/>
      <c r="L13" s="657"/>
      <c r="M13" s="657"/>
      <c r="N13" s="657"/>
    </row>
    <row r="14" spans="1:14" ht="15.75" x14ac:dyDescent="0.2">
      <c r="A14" s="125"/>
      <c r="B14" s="125"/>
      <c r="C14" s="655" t="s">
        <v>101</v>
      </c>
      <c r="D14" s="81">
        <f>FirstYear</f>
        <v>2021</v>
      </c>
      <c r="E14" s="81">
        <f>D14+1</f>
        <v>2022</v>
      </c>
      <c r="F14" s="81">
        <f>E14+1</f>
        <v>2023</v>
      </c>
      <c r="G14" s="81">
        <f>F14+1</f>
        <v>2024</v>
      </c>
      <c r="H14" s="81">
        <f>G14+1</f>
        <v>2025</v>
      </c>
      <c r="I14" s="81">
        <f>H14+1</f>
        <v>2026</v>
      </c>
      <c r="J14" s="125"/>
      <c r="K14" s="125"/>
      <c r="L14" s="125"/>
      <c r="M14" s="125"/>
      <c r="N14" s="125"/>
    </row>
    <row r="15" spans="1:14" x14ac:dyDescent="0.2">
      <c r="A15" s="125"/>
      <c r="B15" s="125"/>
      <c r="C15" s="84" t="s">
        <v>86</v>
      </c>
      <c r="D15" s="283">
        <f>D31+D43+D55+D67+D79+D91+D103+D115+D127+D139+D151+D163+D175+D187+D199+D211+D223+D235+D247+D259</f>
        <v>0</v>
      </c>
      <c r="E15" s="283">
        <f t="shared" ref="E15:I16" si="0">E31+E43+E55+E67+E79+E91+E103+E115+E127+E139+E151+E163+E175+E187+E199+E211+E223+E235+E247+E259</f>
        <v>0</v>
      </c>
      <c r="F15" s="283">
        <f t="shared" si="0"/>
        <v>0</v>
      </c>
      <c r="G15" s="283">
        <f t="shared" si="0"/>
        <v>0</v>
      </c>
      <c r="H15" s="283">
        <f t="shared" si="0"/>
        <v>0</v>
      </c>
      <c r="I15" s="283">
        <f t="shared" si="0"/>
        <v>0</v>
      </c>
      <c r="J15" s="125"/>
      <c r="K15" s="125"/>
      <c r="L15" s="125"/>
      <c r="M15" s="125"/>
      <c r="N15" s="125"/>
    </row>
    <row r="16" spans="1:14" x14ac:dyDescent="0.2">
      <c r="A16" s="125"/>
      <c r="B16" s="125"/>
      <c r="C16" s="5" t="s">
        <v>111</v>
      </c>
      <c r="D16" s="283">
        <f>D32+D44+D56+D68+D80+D92+D104+D116+D128+D140+D152+D164+D176+D188+D200+D212+D224+D236+D248+D260</f>
        <v>0</v>
      </c>
      <c r="E16" s="283">
        <f t="shared" si="0"/>
        <v>0</v>
      </c>
      <c r="F16" s="283">
        <f t="shared" si="0"/>
        <v>0</v>
      </c>
      <c r="G16" s="283">
        <f t="shared" si="0"/>
        <v>0</v>
      </c>
      <c r="H16" s="283">
        <f t="shared" si="0"/>
        <v>0</v>
      </c>
      <c r="I16" s="283">
        <f t="shared" si="0"/>
        <v>0</v>
      </c>
      <c r="J16" s="125"/>
      <c r="K16" s="125"/>
      <c r="L16" s="125"/>
      <c r="M16" s="125"/>
      <c r="N16" s="125"/>
    </row>
    <row r="17" spans="1:15" x14ac:dyDescent="0.2">
      <c r="A17" s="125"/>
      <c r="B17" s="125"/>
      <c r="C17" s="5" t="s">
        <v>88</v>
      </c>
      <c r="D17" s="284">
        <f t="shared" ref="D17:I17" si="1">D15+D16</f>
        <v>0</v>
      </c>
      <c r="E17" s="284">
        <f t="shared" si="1"/>
        <v>0</v>
      </c>
      <c r="F17" s="284">
        <f t="shared" si="1"/>
        <v>0</v>
      </c>
      <c r="G17" s="284">
        <f t="shared" si="1"/>
        <v>0</v>
      </c>
      <c r="H17" s="284">
        <f t="shared" si="1"/>
        <v>0</v>
      </c>
      <c r="I17" s="284">
        <f t="shared" si="1"/>
        <v>0</v>
      </c>
      <c r="J17" s="125"/>
      <c r="K17" s="125"/>
      <c r="L17" s="125"/>
      <c r="M17" s="125"/>
      <c r="N17" s="125"/>
    </row>
    <row r="18" spans="1:15" x14ac:dyDescent="0.2">
      <c r="A18" s="125"/>
      <c r="B18" s="125"/>
      <c r="C18" s="658"/>
      <c r="D18" s="658"/>
      <c r="E18" s="658"/>
      <c r="F18" s="36"/>
      <c r="G18" s="36"/>
      <c r="H18" s="36"/>
      <c r="I18" s="36"/>
      <c r="J18" s="36"/>
      <c r="K18" s="36"/>
      <c r="L18" s="125"/>
      <c r="M18" s="125"/>
      <c r="N18" s="125"/>
    </row>
    <row r="19" spans="1:15" ht="15.75" x14ac:dyDescent="0.2">
      <c r="A19" s="125"/>
      <c r="B19" s="125"/>
      <c r="C19" s="655" t="s">
        <v>102</v>
      </c>
      <c r="D19" s="81">
        <f>FirstYear</f>
        <v>2021</v>
      </c>
      <c r="E19" s="81">
        <f>D19+1</f>
        <v>2022</v>
      </c>
      <c r="F19" s="81">
        <f>E19+1</f>
        <v>2023</v>
      </c>
      <c r="G19" s="81">
        <f>F19+1</f>
        <v>2024</v>
      </c>
      <c r="H19" s="81">
        <f>G19+1</f>
        <v>2025</v>
      </c>
      <c r="I19" s="81">
        <f>H19+1</f>
        <v>2026</v>
      </c>
      <c r="J19" s="125"/>
      <c r="K19" s="125"/>
      <c r="L19" s="125"/>
      <c r="M19" s="125"/>
      <c r="N19" s="125"/>
    </row>
    <row r="20" spans="1:15" x14ac:dyDescent="0.2">
      <c r="A20" s="125"/>
      <c r="B20" s="125"/>
      <c r="C20" s="84" t="s">
        <v>87</v>
      </c>
      <c r="D20" s="282">
        <f>D36+D48+D60+D72+D84+D96+D108+D120+D132+D144+D156+D168+D180+D192+D204+D216+D228+D240+D252+D264</f>
        <v>0</v>
      </c>
      <c r="E20" s="282">
        <f t="shared" ref="E20:I21" si="2">E36+E48+E60+E72+E84+E96+E108+E120+E132+E144+E156+E168+E180+E192+E204+E216+E228+E240+E252+E264</f>
        <v>0</v>
      </c>
      <c r="F20" s="282">
        <f t="shared" si="2"/>
        <v>0</v>
      </c>
      <c r="G20" s="282">
        <f t="shared" si="2"/>
        <v>0</v>
      </c>
      <c r="H20" s="282">
        <f t="shared" si="2"/>
        <v>0</v>
      </c>
      <c r="I20" s="282">
        <f t="shared" si="2"/>
        <v>0</v>
      </c>
      <c r="J20" s="125"/>
      <c r="K20" s="125"/>
      <c r="L20" s="125"/>
      <c r="M20" s="125"/>
      <c r="N20" s="125"/>
    </row>
    <row r="21" spans="1:15" x14ac:dyDescent="0.2">
      <c r="A21" s="125"/>
      <c r="B21" s="125"/>
      <c r="C21" s="5" t="s">
        <v>111</v>
      </c>
      <c r="D21" s="282">
        <f>D37+D49+D61+D73+D85+D97+D109+D121+D133+D145+D157+D169+D181+D193+D205+D217+D229+D241+D253+D265</f>
        <v>0</v>
      </c>
      <c r="E21" s="282">
        <f t="shared" si="2"/>
        <v>0</v>
      </c>
      <c r="F21" s="282">
        <f t="shared" si="2"/>
        <v>0</v>
      </c>
      <c r="G21" s="282">
        <f t="shared" si="2"/>
        <v>0</v>
      </c>
      <c r="H21" s="282">
        <f t="shared" si="2"/>
        <v>0</v>
      </c>
      <c r="I21" s="282">
        <f t="shared" si="2"/>
        <v>0</v>
      </c>
      <c r="J21" s="125"/>
      <c r="K21" s="125"/>
      <c r="L21" s="125"/>
      <c r="M21" s="125"/>
      <c r="N21" s="125"/>
    </row>
    <row r="22" spans="1:15" x14ac:dyDescent="0.2">
      <c r="A22" s="125"/>
      <c r="B22" s="125"/>
      <c r="C22" s="5" t="s">
        <v>89</v>
      </c>
      <c r="D22" s="286">
        <f t="shared" ref="D22:I22" si="3">D20+D21</f>
        <v>0</v>
      </c>
      <c r="E22" s="286">
        <f t="shared" si="3"/>
        <v>0</v>
      </c>
      <c r="F22" s="286">
        <f t="shared" si="3"/>
        <v>0</v>
      </c>
      <c r="G22" s="286">
        <f t="shared" si="3"/>
        <v>0</v>
      </c>
      <c r="H22" s="286">
        <f t="shared" si="3"/>
        <v>0</v>
      </c>
      <c r="I22" s="286">
        <f t="shared" si="3"/>
        <v>0</v>
      </c>
      <c r="J22" s="125"/>
      <c r="K22" s="125"/>
      <c r="L22" s="125"/>
      <c r="M22" s="125"/>
      <c r="N22" s="125"/>
    </row>
    <row r="23" spans="1:15" x14ac:dyDescent="0.2">
      <c r="A23" s="125"/>
      <c r="B23" s="125"/>
      <c r="C23" s="658"/>
      <c r="D23" s="658"/>
      <c r="E23" s="658"/>
      <c r="F23" s="36"/>
      <c r="G23" s="36"/>
      <c r="H23" s="36"/>
      <c r="I23" s="36"/>
      <c r="J23" s="36"/>
      <c r="K23" s="36"/>
      <c r="L23" s="125"/>
      <c r="M23" s="125"/>
      <c r="N23" s="125"/>
    </row>
    <row r="24" spans="1:15" x14ac:dyDescent="0.2">
      <c r="A24" s="125"/>
      <c r="B24" s="125"/>
      <c r="C24" s="273" t="s">
        <v>845</v>
      </c>
      <c r="D24" s="285">
        <f t="shared" ref="D24:I24" si="4">D22+D17</f>
        <v>0</v>
      </c>
      <c r="E24" s="285">
        <f t="shared" si="4"/>
        <v>0</v>
      </c>
      <c r="F24" s="285">
        <f t="shared" si="4"/>
        <v>0</v>
      </c>
      <c r="G24" s="285">
        <f t="shared" si="4"/>
        <v>0</v>
      </c>
      <c r="H24" s="285">
        <f t="shared" si="4"/>
        <v>0</v>
      </c>
      <c r="I24" s="285">
        <f t="shared" si="4"/>
        <v>0</v>
      </c>
      <c r="J24" s="36"/>
      <c r="K24" s="36"/>
      <c r="L24" s="125"/>
      <c r="M24" s="125"/>
      <c r="N24" s="125"/>
    </row>
    <row r="25" spans="1:15" x14ac:dyDescent="0.2">
      <c r="A25" s="125"/>
      <c r="B25" s="125"/>
      <c r="C25" s="658"/>
      <c r="D25" s="658"/>
      <c r="E25" s="658"/>
      <c r="F25" s="36"/>
      <c r="G25" s="36"/>
      <c r="H25" s="36"/>
      <c r="I25" s="36"/>
      <c r="J25" s="36"/>
      <c r="K25" s="36"/>
      <c r="L25" s="125"/>
      <c r="M25" s="125"/>
      <c r="N25" s="125"/>
    </row>
    <row r="26" spans="1:15" ht="15.75" x14ac:dyDescent="0.2">
      <c r="A26" s="125"/>
      <c r="B26" s="125"/>
      <c r="C26" s="123" t="s">
        <v>870</v>
      </c>
      <c r="D26" s="123"/>
      <c r="E26" s="123"/>
      <c r="F26" s="132"/>
      <c r="G26" s="132"/>
      <c r="H26" s="132"/>
      <c r="I26" s="132"/>
      <c r="J26" s="132"/>
      <c r="K26" s="132"/>
      <c r="L26" s="132"/>
      <c r="M26" s="127"/>
      <c r="N26" s="127"/>
    </row>
    <row r="27" spans="1:15" x14ac:dyDescent="0.2">
      <c r="A27" s="125"/>
      <c r="B27" s="125"/>
      <c r="C27" s="658"/>
      <c r="D27" s="658"/>
      <c r="E27" s="658"/>
      <c r="F27" s="36"/>
      <c r="G27" s="36"/>
      <c r="H27" s="36"/>
      <c r="I27" s="36"/>
      <c r="J27" s="36"/>
      <c r="K27" s="36"/>
      <c r="L27" s="36"/>
      <c r="M27" s="36"/>
      <c r="N27" s="36"/>
      <c r="O27" s="615"/>
    </row>
    <row r="28" spans="1:15" ht="15" x14ac:dyDescent="0.2">
      <c r="A28" s="125"/>
      <c r="B28" s="298">
        <v>1</v>
      </c>
      <c r="C28" s="147" t="str">
        <f>IF(SPAChangeFlag&lt;&gt;0,INDEX(PBSScriptsChanged,B28,1),MsgNotRequired)</f>
        <v>** NOT REQUIRED **</v>
      </c>
      <c r="D28" s="139"/>
      <c r="E28" s="139"/>
      <c r="F28" s="139"/>
      <c r="G28" s="139"/>
      <c r="H28" s="139"/>
      <c r="I28" s="139"/>
      <c r="J28" s="132"/>
      <c r="K28" s="132"/>
      <c r="L28" s="821" t="str">
        <f>IF(AND(C28&lt;&gt;MsgNotUsed,C28&lt;&gt;MsgNotRequired),"Co-payment group " &amp; INDEX(DPMQCoPayChangedEff,B28,2),"")</f>
        <v/>
      </c>
      <c r="M28" s="821"/>
      <c r="N28" s="527"/>
    </row>
    <row r="29" spans="1:15" ht="12.75" hidden="1" customHeight="1" outlineLevel="1" x14ac:dyDescent="0.2">
      <c r="A29" s="125"/>
      <c r="B29" s="242">
        <f>INDEX(SAChanged,B28,5)</f>
        <v>0</v>
      </c>
      <c r="C29" s="658"/>
      <c r="D29" s="697">
        <v>2</v>
      </c>
      <c r="E29" s="697">
        <v>3</v>
      </c>
      <c r="F29" s="650">
        <v>4</v>
      </c>
      <c r="G29" s="650">
        <v>5</v>
      </c>
      <c r="H29" s="650">
        <v>6</v>
      </c>
      <c r="I29" s="650">
        <v>7</v>
      </c>
      <c r="J29" s="36"/>
      <c r="K29" s="36"/>
      <c r="L29" s="36"/>
      <c r="M29" s="36"/>
      <c r="N29" s="36"/>
    </row>
    <row r="30" spans="1:15" ht="12.75" hidden="1" customHeight="1" outlineLevel="1" x14ac:dyDescent="0.2">
      <c r="A30" s="125"/>
      <c r="B30" s="300"/>
      <c r="C30" s="125"/>
      <c r="D30" s="81">
        <f>FirstYear</f>
        <v>2021</v>
      </c>
      <c r="E30" s="81">
        <f>D30+1</f>
        <v>2022</v>
      </c>
      <c r="F30" s="81">
        <f>E30+1</f>
        <v>2023</v>
      </c>
      <c r="G30" s="81">
        <f>F30+1</f>
        <v>2024</v>
      </c>
      <c r="H30" s="81">
        <f>G30+1</f>
        <v>2025</v>
      </c>
      <c r="I30" s="81">
        <f>H30+1</f>
        <v>2026</v>
      </c>
      <c r="J30" s="125"/>
      <c r="K30" s="125"/>
      <c r="L30" s="125"/>
      <c r="M30" s="125"/>
      <c r="N30" s="125"/>
    </row>
    <row r="31" spans="1:15" ht="12.75" hidden="1" customHeight="1" outlineLevel="1" x14ac:dyDescent="0.2">
      <c r="A31" s="125"/>
      <c r="B31" s="298">
        <v>1</v>
      </c>
      <c r="C31" s="84" t="s">
        <v>86</v>
      </c>
      <c r="D31" s="282">
        <f t="shared" ref="D31:I31" si="5">INDEX(PBSScriptsChanged,$B28,D29)*INDEX(DPMQCoPayChangedEff,$B28,$B31)</f>
        <v>0</v>
      </c>
      <c r="E31" s="282">
        <f t="shared" si="5"/>
        <v>0</v>
      </c>
      <c r="F31" s="282">
        <f t="shared" si="5"/>
        <v>0</v>
      </c>
      <c r="G31" s="282">
        <f t="shared" si="5"/>
        <v>0</v>
      </c>
      <c r="H31" s="282">
        <f t="shared" si="5"/>
        <v>0</v>
      </c>
      <c r="I31" s="282">
        <f t="shared" si="5"/>
        <v>0</v>
      </c>
      <c r="J31" s="125"/>
      <c r="K31" s="125"/>
      <c r="L31" s="125"/>
      <c r="M31" s="125"/>
      <c r="N31" s="125"/>
    </row>
    <row r="32" spans="1:15" ht="12.75" hidden="1" customHeight="1" outlineLevel="1" x14ac:dyDescent="0.2">
      <c r="A32" s="125"/>
      <c r="B32" s="298">
        <v>3</v>
      </c>
      <c r="C32" s="5" t="s">
        <v>111</v>
      </c>
      <c r="D32" s="282">
        <f t="shared" ref="D32:I32" si="6">INDEX(PBSScriptsChanged,$B28,D29)*(INDEX(DPMQCoPayChangedEff,$B28,$B32)/INDEX(CoPayCountChanged,$B28))</f>
        <v>0</v>
      </c>
      <c r="E32" s="282">
        <f t="shared" si="6"/>
        <v>0</v>
      </c>
      <c r="F32" s="282">
        <f t="shared" si="6"/>
        <v>0</v>
      </c>
      <c r="G32" s="282">
        <f t="shared" si="6"/>
        <v>0</v>
      </c>
      <c r="H32" s="282">
        <f t="shared" si="6"/>
        <v>0</v>
      </c>
      <c r="I32" s="282">
        <f t="shared" si="6"/>
        <v>0</v>
      </c>
      <c r="J32" s="125"/>
      <c r="K32" s="811" t="str">
        <f>IF(B29&lt;&gt;0,MsgNote&amp;IF(B29="Yes",INDEX(CoPayMethod,1),INDEX(CoPayMethod,2)),"")</f>
        <v/>
      </c>
      <c r="L32" s="811"/>
      <c r="M32" s="811"/>
      <c r="N32" s="628"/>
    </row>
    <row r="33" spans="1:14" ht="12.75" hidden="1" customHeight="1" outlineLevel="1" x14ac:dyDescent="0.2">
      <c r="A33" s="125"/>
      <c r="B33" s="300"/>
      <c r="C33" s="5" t="s">
        <v>88</v>
      </c>
      <c r="D33" s="282">
        <f t="shared" ref="D33:I33" si="7">D31+D32</f>
        <v>0</v>
      </c>
      <c r="E33" s="282">
        <f t="shared" si="7"/>
        <v>0</v>
      </c>
      <c r="F33" s="282">
        <f t="shared" si="7"/>
        <v>0</v>
      </c>
      <c r="G33" s="282">
        <f t="shared" si="7"/>
        <v>0</v>
      </c>
      <c r="H33" s="282">
        <f t="shared" si="7"/>
        <v>0</v>
      </c>
      <c r="I33" s="282">
        <f t="shared" si="7"/>
        <v>0</v>
      </c>
      <c r="J33" s="125"/>
      <c r="K33" s="125"/>
      <c r="L33" s="125"/>
      <c r="M33" s="125"/>
      <c r="N33" s="125"/>
    </row>
    <row r="34" spans="1:14" ht="12.75" hidden="1" customHeight="1" outlineLevel="1" x14ac:dyDescent="0.2">
      <c r="A34" s="125"/>
      <c r="B34" s="300"/>
      <c r="C34" s="125"/>
      <c r="D34" s="125"/>
      <c r="E34" s="125"/>
      <c r="F34" s="125"/>
      <c r="G34" s="125"/>
      <c r="H34" s="125"/>
      <c r="I34" s="125"/>
      <c r="J34" s="125"/>
      <c r="K34" s="125"/>
      <c r="L34" s="125"/>
      <c r="M34" s="125"/>
      <c r="N34" s="125"/>
    </row>
    <row r="35" spans="1:14" ht="15.75" hidden="1" customHeight="1" outlineLevel="1" x14ac:dyDescent="0.2">
      <c r="A35" s="125"/>
      <c r="B35" s="300"/>
      <c r="C35" s="655"/>
      <c r="D35" s="81">
        <f>FirstYear</f>
        <v>2021</v>
      </c>
      <c r="E35" s="81">
        <f>D35+1</f>
        <v>2022</v>
      </c>
      <c r="F35" s="81">
        <f>E35+1</f>
        <v>2023</v>
      </c>
      <c r="G35" s="81">
        <f>F35+1</f>
        <v>2024</v>
      </c>
      <c r="H35" s="81">
        <f>G35+1</f>
        <v>2025</v>
      </c>
      <c r="I35" s="81">
        <f>H35+1</f>
        <v>2026</v>
      </c>
      <c r="J35" s="125"/>
      <c r="K35" s="125"/>
      <c r="L35" s="125"/>
      <c r="M35" s="125"/>
      <c r="N35" s="125"/>
    </row>
    <row r="36" spans="1:14" ht="12.75" hidden="1" customHeight="1" outlineLevel="1" x14ac:dyDescent="0.2">
      <c r="A36" s="125"/>
      <c r="B36" s="298">
        <v>1</v>
      </c>
      <c r="C36" s="84" t="s">
        <v>87</v>
      </c>
      <c r="D36" s="282">
        <f t="shared" ref="D36:I36" si="8">INDEX(RPBSScriptsChanged,$B28,D29)*INDEX(DPMQCoPayChangedEff,$B28,$B36)</f>
        <v>0</v>
      </c>
      <c r="E36" s="282">
        <f t="shared" si="8"/>
        <v>0</v>
      </c>
      <c r="F36" s="282">
        <f t="shared" si="8"/>
        <v>0</v>
      </c>
      <c r="G36" s="282">
        <f t="shared" si="8"/>
        <v>0</v>
      </c>
      <c r="H36" s="282">
        <f t="shared" si="8"/>
        <v>0</v>
      </c>
      <c r="I36" s="282">
        <f t="shared" si="8"/>
        <v>0</v>
      </c>
      <c r="J36" s="125"/>
      <c r="K36" s="125"/>
      <c r="L36" s="125"/>
      <c r="M36" s="125"/>
      <c r="N36" s="125"/>
    </row>
    <row r="37" spans="1:14" ht="12.75" hidden="1" customHeight="1" outlineLevel="1" x14ac:dyDescent="0.2">
      <c r="A37" s="125"/>
      <c r="B37" s="298">
        <v>4</v>
      </c>
      <c r="C37" s="5" t="s">
        <v>111</v>
      </c>
      <c r="D37" s="282">
        <f t="shared" ref="D37:I37" si="9">INDEX(RPBSScriptsChanged,$B28,D29)*(INDEX(DPMQCoPayChangedEff,$B28,$B37)/INDEX(CoPayCountChanged,$B28))</f>
        <v>0</v>
      </c>
      <c r="E37" s="282">
        <f t="shared" si="9"/>
        <v>0</v>
      </c>
      <c r="F37" s="282">
        <f t="shared" si="9"/>
        <v>0</v>
      </c>
      <c r="G37" s="282">
        <f t="shared" si="9"/>
        <v>0</v>
      </c>
      <c r="H37" s="282">
        <f t="shared" si="9"/>
        <v>0</v>
      </c>
      <c r="I37" s="282">
        <f t="shared" si="9"/>
        <v>0</v>
      </c>
      <c r="J37" s="125"/>
      <c r="K37" s="125"/>
      <c r="L37" s="125"/>
      <c r="M37" s="125"/>
      <c r="N37" s="125"/>
    </row>
    <row r="38" spans="1:14" ht="12.75" hidden="1" customHeight="1" outlineLevel="1" x14ac:dyDescent="0.2">
      <c r="A38" s="125"/>
      <c r="B38" s="300"/>
      <c r="C38" s="5" t="s">
        <v>89</v>
      </c>
      <c r="D38" s="282">
        <f t="shared" ref="D38:I38" si="10">D36+D37</f>
        <v>0</v>
      </c>
      <c r="E38" s="282">
        <f t="shared" si="10"/>
        <v>0</v>
      </c>
      <c r="F38" s="282">
        <f t="shared" si="10"/>
        <v>0</v>
      </c>
      <c r="G38" s="282">
        <f t="shared" si="10"/>
        <v>0</v>
      </c>
      <c r="H38" s="282">
        <f t="shared" si="10"/>
        <v>0</v>
      </c>
      <c r="I38" s="282">
        <f t="shared" si="10"/>
        <v>0</v>
      </c>
      <c r="J38" s="125"/>
      <c r="K38" s="125"/>
      <c r="L38" s="125"/>
      <c r="M38" s="125"/>
      <c r="N38" s="125"/>
    </row>
    <row r="39" spans="1:14" ht="12.75" customHeight="1" collapsed="1" x14ac:dyDescent="0.2">
      <c r="A39" s="125"/>
      <c r="B39" s="300"/>
      <c r="C39" s="658"/>
      <c r="D39" s="658"/>
      <c r="E39" s="658"/>
      <c r="F39" s="36"/>
      <c r="G39" s="36"/>
      <c r="H39" s="36"/>
      <c r="I39" s="36"/>
      <c r="J39" s="36"/>
      <c r="K39" s="36"/>
      <c r="L39" s="36"/>
      <c r="M39" s="36"/>
      <c r="N39" s="36"/>
    </row>
    <row r="40" spans="1:14" ht="15" x14ac:dyDescent="0.2">
      <c r="A40" s="125"/>
      <c r="B40" s="298">
        <v>2</v>
      </c>
      <c r="C40" s="147" t="str">
        <f>IF(SPAChangeFlag&lt;&gt;0,INDEX(PBSScriptsChanged,B40,1),MsgNotRequired)</f>
        <v>** NOT REQUIRED **</v>
      </c>
      <c r="D40" s="139"/>
      <c r="E40" s="139"/>
      <c r="F40" s="139"/>
      <c r="G40" s="139"/>
      <c r="H40" s="139"/>
      <c r="I40" s="139"/>
      <c r="J40" s="132"/>
      <c r="K40" s="132"/>
      <c r="L40" s="821" t="str">
        <f>IF(AND(C40&lt;&gt;MsgNotUsed,C40&lt;&gt;MsgNotRequired),"Co-payment group " &amp; INDEX(DPMQCoPayChangedEff,B40,2),"")</f>
        <v/>
      </c>
      <c r="M40" s="821"/>
      <c r="N40" s="633"/>
    </row>
    <row r="41" spans="1:14" ht="12.75" hidden="1" customHeight="1" outlineLevel="1" x14ac:dyDescent="0.2">
      <c r="A41" s="125"/>
      <c r="B41" s="242">
        <f>INDEX(SAChanged,B40,5)</f>
        <v>0</v>
      </c>
      <c r="C41" s="658"/>
      <c r="D41" s="697">
        <v>2</v>
      </c>
      <c r="E41" s="697">
        <v>3</v>
      </c>
      <c r="F41" s="650">
        <v>4</v>
      </c>
      <c r="G41" s="650">
        <v>5</v>
      </c>
      <c r="H41" s="650">
        <v>6</v>
      </c>
      <c r="I41" s="650">
        <v>7</v>
      </c>
      <c r="J41" s="36"/>
      <c r="K41" s="36"/>
      <c r="L41" s="36"/>
      <c r="M41" s="36"/>
      <c r="N41" s="36"/>
    </row>
    <row r="42" spans="1:14" ht="12.75" hidden="1" customHeight="1" outlineLevel="1" x14ac:dyDescent="0.2">
      <c r="A42" s="125"/>
      <c r="B42" s="300"/>
      <c r="C42" s="125"/>
      <c r="D42" s="630">
        <f>FirstYear</f>
        <v>2021</v>
      </c>
      <c r="E42" s="630">
        <f>D42+1</f>
        <v>2022</v>
      </c>
      <c r="F42" s="630">
        <f>E42+1</f>
        <v>2023</v>
      </c>
      <c r="G42" s="630">
        <f>F42+1</f>
        <v>2024</v>
      </c>
      <c r="H42" s="630">
        <f>G42+1</f>
        <v>2025</v>
      </c>
      <c r="I42" s="630">
        <f>H42+1</f>
        <v>2026</v>
      </c>
      <c r="J42" s="125"/>
      <c r="K42" s="125"/>
      <c r="L42" s="125"/>
      <c r="M42" s="125"/>
      <c r="N42" s="125"/>
    </row>
    <row r="43" spans="1:14" ht="12.75" hidden="1" customHeight="1" outlineLevel="1" x14ac:dyDescent="0.2">
      <c r="A43" s="125"/>
      <c r="B43" s="298">
        <v>1</v>
      </c>
      <c r="C43" s="294" t="s">
        <v>86</v>
      </c>
      <c r="D43" s="282">
        <f t="shared" ref="D43:I43" si="11">INDEX(PBSScriptsChanged,$B40,D41)*INDEX(DPMQCoPayChangedEff,$B40,$B43)</f>
        <v>0</v>
      </c>
      <c r="E43" s="282">
        <f t="shared" si="11"/>
        <v>0</v>
      </c>
      <c r="F43" s="282">
        <f t="shared" si="11"/>
        <v>0</v>
      </c>
      <c r="G43" s="282">
        <f t="shared" si="11"/>
        <v>0</v>
      </c>
      <c r="H43" s="282">
        <f t="shared" si="11"/>
        <v>0</v>
      </c>
      <c r="I43" s="282">
        <f t="shared" si="11"/>
        <v>0</v>
      </c>
      <c r="J43" s="125"/>
      <c r="K43" s="125"/>
      <c r="L43" s="125"/>
      <c r="M43" s="125"/>
      <c r="N43" s="125"/>
    </row>
    <row r="44" spans="1:14" ht="12.75" hidden="1" customHeight="1" outlineLevel="1" x14ac:dyDescent="0.2">
      <c r="A44" s="125"/>
      <c r="B44" s="298">
        <v>3</v>
      </c>
      <c r="C44" s="5" t="s">
        <v>111</v>
      </c>
      <c r="D44" s="282">
        <f t="shared" ref="D44:I44" si="12">INDEX(PBSScriptsChanged,$B40,D41)*(INDEX(DPMQCoPayChangedEff,$B40,$B44)/INDEX(CoPayCountChanged,$B40))</f>
        <v>0</v>
      </c>
      <c r="E44" s="282">
        <f t="shared" si="12"/>
        <v>0</v>
      </c>
      <c r="F44" s="282">
        <f t="shared" si="12"/>
        <v>0</v>
      </c>
      <c r="G44" s="282">
        <f t="shared" si="12"/>
        <v>0</v>
      </c>
      <c r="H44" s="282">
        <f t="shared" si="12"/>
        <v>0</v>
      </c>
      <c r="I44" s="282">
        <f t="shared" si="12"/>
        <v>0</v>
      </c>
      <c r="J44" s="125"/>
      <c r="K44" s="811" t="str">
        <f>IF(B41&lt;&gt;0,MsgNote&amp;IF(B41="Yes",INDEX(CoPayMethod,1),INDEX(CoPayMethod,2)),"")</f>
        <v/>
      </c>
      <c r="L44" s="811"/>
      <c r="M44" s="811"/>
      <c r="N44" s="628"/>
    </row>
    <row r="45" spans="1:14" ht="12.75" hidden="1" customHeight="1" outlineLevel="1" x14ac:dyDescent="0.2">
      <c r="A45" s="125"/>
      <c r="B45" s="300"/>
      <c r="C45" s="5" t="s">
        <v>88</v>
      </c>
      <c r="D45" s="282">
        <f t="shared" ref="D45:I45" si="13">D43+D44</f>
        <v>0</v>
      </c>
      <c r="E45" s="282">
        <f t="shared" si="13"/>
        <v>0</v>
      </c>
      <c r="F45" s="282">
        <f t="shared" si="13"/>
        <v>0</v>
      </c>
      <c r="G45" s="282">
        <f t="shared" si="13"/>
        <v>0</v>
      </c>
      <c r="H45" s="282">
        <f t="shared" si="13"/>
        <v>0</v>
      </c>
      <c r="I45" s="282">
        <f t="shared" si="13"/>
        <v>0</v>
      </c>
      <c r="J45" s="125"/>
      <c r="K45" s="125"/>
      <c r="L45" s="125"/>
      <c r="M45" s="125"/>
      <c r="N45" s="125"/>
    </row>
    <row r="46" spans="1:14" ht="12.75" hidden="1" customHeight="1" outlineLevel="1" x14ac:dyDescent="0.2">
      <c r="A46" s="125"/>
      <c r="B46" s="300"/>
      <c r="C46" s="125"/>
      <c r="D46" s="125"/>
      <c r="E46" s="125"/>
      <c r="F46" s="125"/>
      <c r="G46" s="125"/>
      <c r="H46" s="125"/>
      <c r="I46" s="125"/>
      <c r="J46" s="125"/>
      <c r="K46" s="125"/>
      <c r="L46" s="125"/>
      <c r="M46" s="125"/>
      <c r="N46" s="125"/>
    </row>
    <row r="47" spans="1:14" ht="15.75" hidden="1" customHeight="1" outlineLevel="1" x14ac:dyDescent="0.2">
      <c r="A47" s="125"/>
      <c r="B47" s="300"/>
      <c r="C47" s="655"/>
      <c r="D47" s="630">
        <f>FirstYear</f>
        <v>2021</v>
      </c>
      <c r="E47" s="630">
        <f>D47+1</f>
        <v>2022</v>
      </c>
      <c r="F47" s="630">
        <f>E47+1</f>
        <v>2023</v>
      </c>
      <c r="G47" s="630">
        <f>F47+1</f>
        <v>2024</v>
      </c>
      <c r="H47" s="630">
        <f>G47+1</f>
        <v>2025</v>
      </c>
      <c r="I47" s="630">
        <f>H47+1</f>
        <v>2026</v>
      </c>
      <c r="J47" s="125"/>
      <c r="K47" s="125"/>
      <c r="L47" s="125"/>
      <c r="M47" s="125"/>
      <c r="N47" s="125"/>
    </row>
    <row r="48" spans="1:14" ht="12.75" hidden="1" customHeight="1" outlineLevel="1" x14ac:dyDescent="0.2">
      <c r="A48" s="125"/>
      <c r="B48" s="298">
        <v>1</v>
      </c>
      <c r="C48" s="294" t="s">
        <v>87</v>
      </c>
      <c r="D48" s="282">
        <f t="shared" ref="D48:I48" si="14">INDEX(RPBSScriptsChanged,$B40,D41)*INDEX(DPMQCoPayChangedEff,$B40,$B48)</f>
        <v>0</v>
      </c>
      <c r="E48" s="282">
        <f t="shared" si="14"/>
        <v>0</v>
      </c>
      <c r="F48" s="282">
        <f t="shared" si="14"/>
        <v>0</v>
      </c>
      <c r="G48" s="282">
        <f t="shared" si="14"/>
        <v>0</v>
      </c>
      <c r="H48" s="282">
        <f t="shared" si="14"/>
        <v>0</v>
      </c>
      <c r="I48" s="282">
        <f t="shared" si="14"/>
        <v>0</v>
      </c>
      <c r="J48" s="125"/>
      <c r="K48" s="125"/>
      <c r="L48" s="125"/>
      <c r="M48" s="125"/>
      <c r="N48" s="125"/>
    </row>
    <row r="49" spans="1:14" ht="12.75" hidden="1" customHeight="1" outlineLevel="1" x14ac:dyDescent="0.2">
      <c r="A49" s="125"/>
      <c r="B49" s="298">
        <v>4</v>
      </c>
      <c r="C49" s="5" t="s">
        <v>111</v>
      </c>
      <c r="D49" s="282">
        <f t="shared" ref="D49:I49" si="15">INDEX(RPBSScriptsChanged,$B40,D41)*(INDEX(DPMQCoPayChangedEff,$B40,$B49)/INDEX(CoPayCountChanged,$B40))</f>
        <v>0</v>
      </c>
      <c r="E49" s="282">
        <f t="shared" si="15"/>
        <v>0</v>
      </c>
      <c r="F49" s="282">
        <f t="shared" si="15"/>
        <v>0</v>
      </c>
      <c r="G49" s="282">
        <f t="shared" si="15"/>
        <v>0</v>
      </c>
      <c r="H49" s="282">
        <f t="shared" si="15"/>
        <v>0</v>
      </c>
      <c r="I49" s="282">
        <f t="shared" si="15"/>
        <v>0</v>
      </c>
      <c r="J49" s="125"/>
      <c r="K49" s="125"/>
      <c r="L49" s="125"/>
      <c r="M49" s="125"/>
      <c r="N49" s="125"/>
    </row>
    <row r="50" spans="1:14" ht="12.75" hidden="1" customHeight="1" outlineLevel="1" x14ac:dyDescent="0.2">
      <c r="A50" s="125"/>
      <c r="B50" s="300"/>
      <c r="C50" s="5" t="s">
        <v>89</v>
      </c>
      <c r="D50" s="282">
        <f t="shared" ref="D50:I50" si="16">D48+D49</f>
        <v>0</v>
      </c>
      <c r="E50" s="282">
        <f t="shared" si="16"/>
        <v>0</v>
      </c>
      <c r="F50" s="282">
        <f t="shared" si="16"/>
        <v>0</v>
      </c>
      <c r="G50" s="282">
        <f t="shared" si="16"/>
        <v>0</v>
      </c>
      <c r="H50" s="282">
        <f t="shared" si="16"/>
        <v>0</v>
      </c>
      <c r="I50" s="282">
        <f t="shared" si="16"/>
        <v>0</v>
      </c>
      <c r="J50" s="125"/>
      <c r="K50" s="125"/>
      <c r="L50" s="125"/>
      <c r="M50" s="125"/>
      <c r="N50" s="125"/>
    </row>
    <row r="51" spans="1:14" ht="12.75" customHeight="1" collapsed="1" x14ac:dyDescent="0.2">
      <c r="A51" s="125"/>
      <c r="B51" s="300"/>
      <c r="C51" s="658"/>
      <c r="D51" s="658"/>
      <c r="E51" s="658"/>
      <c r="F51" s="36"/>
      <c r="G51" s="36"/>
      <c r="H51" s="36"/>
      <c r="I51" s="36"/>
      <c r="J51" s="36"/>
      <c r="K51" s="36"/>
      <c r="L51" s="36"/>
      <c r="M51" s="36"/>
      <c r="N51" s="36"/>
    </row>
    <row r="52" spans="1:14" ht="15" x14ac:dyDescent="0.2">
      <c r="A52" s="125"/>
      <c r="B52" s="298">
        <v>3</v>
      </c>
      <c r="C52" s="147" t="str">
        <f>IF(SPAChangeFlag&lt;&gt;0,INDEX(PBSScriptsChanged,B52,1),MsgNotRequired)</f>
        <v>** NOT REQUIRED **</v>
      </c>
      <c r="D52" s="139"/>
      <c r="E52" s="139"/>
      <c r="F52" s="139"/>
      <c r="G52" s="139"/>
      <c r="H52" s="139"/>
      <c r="I52" s="139"/>
      <c r="J52" s="132"/>
      <c r="K52" s="132"/>
      <c r="L52" s="821" t="str">
        <f>IF(AND(C52&lt;&gt;MsgNotUsed,C52&lt;&gt;MsgNotRequired),"Co-payment group " &amp; INDEX(DPMQCoPayChangedEff,B52,2),"")</f>
        <v/>
      </c>
      <c r="M52" s="821"/>
      <c r="N52" s="633"/>
    </row>
    <row r="53" spans="1:14" ht="12.75" hidden="1" customHeight="1" outlineLevel="1" x14ac:dyDescent="0.2">
      <c r="A53" s="125"/>
      <c r="B53" s="242">
        <f>INDEX(SAChanged,B52,5)</f>
        <v>0</v>
      </c>
      <c r="C53" s="658"/>
      <c r="D53" s="697">
        <v>2</v>
      </c>
      <c r="E53" s="697">
        <v>3</v>
      </c>
      <c r="F53" s="650">
        <v>4</v>
      </c>
      <c r="G53" s="650">
        <v>5</v>
      </c>
      <c r="H53" s="650">
        <v>6</v>
      </c>
      <c r="I53" s="650">
        <v>7</v>
      </c>
      <c r="J53" s="36"/>
      <c r="K53" s="36"/>
      <c r="L53" s="36"/>
      <c r="M53" s="36"/>
      <c r="N53" s="36"/>
    </row>
    <row r="54" spans="1:14" ht="12.75" hidden="1" customHeight="1" outlineLevel="1" x14ac:dyDescent="0.2">
      <c r="A54" s="125"/>
      <c r="B54" s="300"/>
      <c r="C54" s="125"/>
      <c r="D54" s="630">
        <f>FirstYear</f>
        <v>2021</v>
      </c>
      <c r="E54" s="630">
        <f>D54+1</f>
        <v>2022</v>
      </c>
      <c r="F54" s="630">
        <f>E54+1</f>
        <v>2023</v>
      </c>
      <c r="G54" s="630">
        <f>F54+1</f>
        <v>2024</v>
      </c>
      <c r="H54" s="630">
        <f>G54+1</f>
        <v>2025</v>
      </c>
      <c r="I54" s="630">
        <f>H54+1</f>
        <v>2026</v>
      </c>
      <c r="J54" s="125"/>
      <c r="K54" s="125"/>
      <c r="L54" s="125"/>
      <c r="M54" s="125"/>
      <c r="N54" s="125"/>
    </row>
    <row r="55" spans="1:14" ht="12.75" hidden="1" customHeight="1" outlineLevel="1" x14ac:dyDescent="0.2">
      <c r="A55" s="125"/>
      <c r="B55" s="298">
        <v>1</v>
      </c>
      <c r="C55" s="294" t="s">
        <v>86</v>
      </c>
      <c r="D55" s="282">
        <f t="shared" ref="D55:I55" si="17">INDEX(PBSScriptsChanged,$B52,D53)*INDEX(DPMQCoPayChangedEff,$B52,$B55)</f>
        <v>0</v>
      </c>
      <c r="E55" s="282">
        <f t="shared" si="17"/>
        <v>0</v>
      </c>
      <c r="F55" s="282">
        <f t="shared" si="17"/>
        <v>0</v>
      </c>
      <c r="G55" s="282">
        <f t="shared" si="17"/>
        <v>0</v>
      </c>
      <c r="H55" s="282">
        <f t="shared" si="17"/>
        <v>0</v>
      </c>
      <c r="I55" s="282">
        <f t="shared" si="17"/>
        <v>0</v>
      </c>
      <c r="J55" s="125"/>
      <c r="K55" s="125"/>
      <c r="L55" s="125"/>
      <c r="M55" s="125"/>
      <c r="N55" s="125"/>
    </row>
    <row r="56" spans="1:14" ht="12.75" hidden="1" customHeight="1" outlineLevel="1" x14ac:dyDescent="0.2">
      <c r="A56" s="125"/>
      <c r="B56" s="298">
        <v>3</v>
      </c>
      <c r="C56" s="5" t="s">
        <v>111</v>
      </c>
      <c r="D56" s="282">
        <f t="shared" ref="D56:I56" si="18">INDEX(PBSScriptsChanged,$B52,D53)*(INDEX(DPMQCoPayChangedEff,$B52,$B56)/INDEX(CoPayCountChanged,$B52))</f>
        <v>0</v>
      </c>
      <c r="E56" s="282">
        <f t="shared" si="18"/>
        <v>0</v>
      </c>
      <c r="F56" s="282">
        <f t="shared" si="18"/>
        <v>0</v>
      </c>
      <c r="G56" s="282">
        <f t="shared" si="18"/>
        <v>0</v>
      </c>
      <c r="H56" s="282">
        <f t="shared" si="18"/>
        <v>0</v>
      </c>
      <c r="I56" s="282">
        <f t="shared" si="18"/>
        <v>0</v>
      </c>
      <c r="J56" s="125"/>
      <c r="K56" s="811" t="str">
        <f>IF(B53&lt;&gt;0,MsgNote&amp;IF(B53="Yes",INDEX(CoPayMethod,1),INDEX(CoPayMethod,2)),"")</f>
        <v/>
      </c>
      <c r="L56" s="811"/>
      <c r="M56" s="811"/>
      <c r="N56" s="628"/>
    </row>
    <row r="57" spans="1:14" ht="12.75" hidden="1" customHeight="1" outlineLevel="1" x14ac:dyDescent="0.2">
      <c r="A57" s="125"/>
      <c r="B57" s="300"/>
      <c r="C57" s="5" t="s">
        <v>88</v>
      </c>
      <c r="D57" s="282">
        <f t="shared" ref="D57:I57" si="19">D55+D56</f>
        <v>0</v>
      </c>
      <c r="E57" s="282">
        <f t="shared" si="19"/>
        <v>0</v>
      </c>
      <c r="F57" s="282">
        <f t="shared" si="19"/>
        <v>0</v>
      </c>
      <c r="G57" s="282">
        <f t="shared" si="19"/>
        <v>0</v>
      </c>
      <c r="H57" s="282">
        <f t="shared" si="19"/>
        <v>0</v>
      </c>
      <c r="I57" s="282">
        <f t="shared" si="19"/>
        <v>0</v>
      </c>
      <c r="J57" s="125"/>
      <c r="K57" s="125"/>
      <c r="L57" s="125"/>
      <c r="M57" s="125"/>
      <c r="N57" s="125"/>
    </row>
    <row r="58" spans="1:14" ht="12.75" hidden="1" customHeight="1" outlineLevel="1" x14ac:dyDescent="0.2">
      <c r="A58" s="125"/>
      <c r="B58" s="300"/>
      <c r="C58" s="125"/>
      <c r="D58" s="125"/>
      <c r="E58" s="125"/>
      <c r="F58" s="125"/>
      <c r="G58" s="125"/>
      <c r="H58" s="125"/>
      <c r="I58" s="125"/>
      <c r="J58" s="125"/>
      <c r="K58" s="125"/>
      <c r="L58" s="125"/>
      <c r="M58" s="125"/>
      <c r="N58" s="125"/>
    </row>
    <row r="59" spans="1:14" ht="15.75" hidden="1" customHeight="1" outlineLevel="1" x14ac:dyDescent="0.2">
      <c r="A59" s="125"/>
      <c r="B59" s="300"/>
      <c r="C59" s="655"/>
      <c r="D59" s="630">
        <f>FirstYear</f>
        <v>2021</v>
      </c>
      <c r="E59" s="630">
        <f>D59+1</f>
        <v>2022</v>
      </c>
      <c r="F59" s="630">
        <f>E59+1</f>
        <v>2023</v>
      </c>
      <c r="G59" s="630">
        <f>F59+1</f>
        <v>2024</v>
      </c>
      <c r="H59" s="630">
        <f>G59+1</f>
        <v>2025</v>
      </c>
      <c r="I59" s="630">
        <f>H59+1</f>
        <v>2026</v>
      </c>
      <c r="J59" s="125"/>
      <c r="K59" s="125"/>
      <c r="L59" s="125"/>
      <c r="M59" s="125"/>
      <c r="N59" s="125"/>
    </row>
    <row r="60" spans="1:14" ht="12.75" hidden="1" customHeight="1" outlineLevel="1" x14ac:dyDescent="0.2">
      <c r="A60" s="125"/>
      <c r="B60" s="298">
        <v>1</v>
      </c>
      <c r="C60" s="294" t="s">
        <v>87</v>
      </c>
      <c r="D60" s="282">
        <f t="shared" ref="D60:I60" si="20">INDEX(RPBSScriptsChanged,$B52,D53)*INDEX(DPMQCoPayChangedEff,$B52,$B60)</f>
        <v>0</v>
      </c>
      <c r="E60" s="282">
        <f t="shared" si="20"/>
        <v>0</v>
      </c>
      <c r="F60" s="282">
        <f t="shared" si="20"/>
        <v>0</v>
      </c>
      <c r="G60" s="282">
        <f t="shared" si="20"/>
        <v>0</v>
      </c>
      <c r="H60" s="282">
        <f t="shared" si="20"/>
        <v>0</v>
      </c>
      <c r="I60" s="282">
        <f t="shared" si="20"/>
        <v>0</v>
      </c>
      <c r="J60" s="125"/>
      <c r="K60" s="125"/>
      <c r="L60" s="125"/>
      <c r="M60" s="125"/>
      <c r="N60" s="125"/>
    </row>
    <row r="61" spans="1:14" ht="12.75" hidden="1" customHeight="1" outlineLevel="1" x14ac:dyDescent="0.2">
      <c r="A61" s="125"/>
      <c r="B61" s="298">
        <v>4</v>
      </c>
      <c r="C61" s="5" t="s">
        <v>111</v>
      </c>
      <c r="D61" s="282">
        <f t="shared" ref="D61:I61" si="21">INDEX(RPBSScriptsChanged,$B52,D53)*(INDEX(DPMQCoPayChangedEff,$B52,$B61)/INDEX(CoPayCountChanged,$B52))</f>
        <v>0</v>
      </c>
      <c r="E61" s="282">
        <f t="shared" si="21"/>
        <v>0</v>
      </c>
      <c r="F61" s="282">
        <f t="shared" si="21"/>
        <v>0</v>
      </c>
      <c r="G61" s="282">
        <f t="shared" si="21"/>
        <v>0</v>
      </c>
      <c r="H61" s="282">
        <f t="shared" si="21"/>
        <v>0</v>
      </c>
      <c r="I61" s="282">
        <f t="shared" si="21"/>
        <v>0</v>
      </c>
      <c r="J61" s="125"/>
      <c r="K61" s="125"/>
      <c r="L61" s="125"/>
      <c r="M61" s="125"/>
      <c r="N61" s="125"/>
    </row>
    <row r="62" spans="1:14" ht="12.75" hidden="1" customHeight="1" outlineLevel="1" x14ac:dyDescent="0.2">
      <c r="A62" s="125"/>
      <c r="B62" s="300"/>
      <c r="C62" s="5" t="s">
        <v>89</v>
      </c>
      <c r="D62" s="282">
        <f t="shared" ref="D62:I62" si="22">D60+D61</f>
        <v>0</v>
      </c>
      <c r="E62" s="282">
        <f t="shared" si="22"/>
        <v>0</v>
      </c>
      <c r="F62" s="282">
        <f t="shared" si="22"/>
        <v>0</v>
      </c>
      <c r="G62" s="282">
        <f t="shared" si="22"/>
        <v>0</v>
      </c>
      <c r="H62" s="282">
        <f t="shared" si="22"/>
        <v>0</v>
      </c>
      <c r="I62" s="282">
        <f t="shared" si="22"/>
        <v>0</v>
      </c>
      <c r="J62" s="125"/>
      <c r="K62" s="125"/>
      <c r="L62" s="125"/>
      <c r="M62" s="125"/>
      <c r="N62" s="125"/>
    </row>
    <row r="63" spans="1:14" ht="12.75" customHeight="1" collapsed="1" x14ac:dyDescent="0.2">
      <c r="A63" s="125"/>
      <c r="B63" s="300"/>
      <c r="C63" s="658"/>
      <c r="D63" s="658"/>
      <c r="E63" s="658"/>
      <c r="F63" s="36"/>
      <c r="G63" s="36"/>
      <c r="H63" s="36"/>
      <c r="I63" s="36"/>
      <c r="J63" s="36"/>
      <c r="K63" s="36"/>
      <c r="L63" s="36"/>
      <c r="M63" s="36"/>
      <c r="N63" s="36"/>
    </row>
    <row r="64" spans="1:14" ht="15" x14ac:dyDescent="0.2">
      <c r="A64" s="125"/>
      <c r="B64" s="298">
        <v>4</v>
      </c>
      <c r="C64" s="147" t="str">
        <f>IF(SPAChangeFlag&lt;&gt;0,INDEX(PBSScriptsChanged,B64,1),MsgNotRequired)</f>
        <v>** NOT REQUIRED **</v>
      </c>
      <c r="D64" s="139"/>
      <c r="E64" s="139"/>
      <c r="F64" s="139"/>
      <c r="G64" s="139"/>
      <c r="H64" s="139"/>
      <c r="I64" s="139"/>
      <c r="J64" s="132"/>
      <c r="K64" s="132"/>
      <c r="L64" s="821" t="str">
        <f>IF(AND(C64&lt;&gt;MsgNotUsed,C64&lt;&gt;MsgNotRequired),"Co-payment group " &amp; INDEX(DPMQCoPayChangedEff,B64,2),"")</f>
        <v/>
      </c>
      <c r="M64" s="821"/>
      <c r="N64" s="633"/>
    </row>
    <row r="65" spans="1:14" ht="12.75" hidden="1" customHeight="1" outlineLevel="1" x14ac:dyDescent="0.2">
      <c r="A65" s="125"/>
      <c r="B65" s="242">
        <f>INDEX(SAChanged,B64,5)</f>
        <v>0</v>
      </c>
      <c r="C65" s="658"/>
      <c r="D65" s="697">
        <v>2</v>
      </c>
      <c r="E65" s="697">
        <v>3</v>
      </c>
      <c r="F65" s="650">
        <v>4</v>
      </c>
      <c r="G65" s="650">
        <v>5</v>
      </c>
      <c r="H65" s="650">
        <v>6</v>
      </c>
      <c r="I65" s="650">
        <v>7</v>
      </c>
      <c r="J65" s="36"/>
      <c r="K65" s="36"/>
      <c r="L65" s="36"/>
      <c r="M65" s="36"/>
      <c r="N65" s="36"/>
    </row>
    <row r="66" spans="1:14" ht="12.75" hidden="1" customHeight="1" outlineLevel="1" x14ac:dyDescent="0.2">
      <c r="A66" s="125"/>
      <c r="B66" s="300"/>
      <c r="C66" s="125"/>
      <c r="D66" s="630">
        <f>FirstYear</f>
        <v>2021</v>
      </c>
      <c r="E66" s="630">
        <f>D66+1</f>
        <v>2022</v>
      </c>
      <c r="F66" s="630">
        <f>E66+1</f>
        <v>2023</v>
      </c>
      <c r="G66" s="630">
        <f>F66+1</f>
        <v>2024</v>
      </c>
      <c r="H66" s="630">
        <f>G66+1</f>
        <v>2025</v>
      </c>
      <c r="I66" s="630">
        <f>H66+1</f>
        <v>2026</v>
      </c>
      <c r="J66" s="125"/>
      <c r="K66" s="125"/>
      <c r="L66" s="125"/>
      <c r="M66" s="125"/>
      <c r="N66" s="125"/>
    </row>
    <row r="67" spans="1:14" ht="12.75" hidden="1" customHeight="1" outlineLevel="1" x14ac:dyDescent="0.2">
      <c r="A67" s="125"/>
      <c r="B67" s="298">
        <v>1</v>
      </c>
      <c r="C67" s="294" t="s">
        <v>86</v>
      </c>
      <c r="D67" s="282">
        <f t="shared" ref="D67:I67" si="23">INDEX(PBSScriptsChanged,$B64,D65)*INDEX(DPMQCoPayChangedEff,$B64,$B67)</f>
        <v>0</v>
      </c>
      <c r="E67" s="282">
        <f t="shared" si="23"/>
        <v>0</v>
      </c>
      <c r="F67" s="282">
        <f t="shared" si="23"/>
        <v>0</v>
      </c>
      <c r="G67" s="282">
        <f t="shared" si="23"/>
        <v>0</v>
      </c>
      <c r="H67" s="282">
        <f t="shared" si="23"/>
        <v>0</v>
      </c>
      <c r="I67" s="282">
        <f t="shared" si="23"/>
        <v>0</v>
      </c>
      <c r="J67" s="125"/>
      <c r="K67" s="125"/>
      <c r="L67" s="125"/>
      <c r="M67" s="125"/>
      <c r="N67" s="125"/>
    </row>
    <row r="68" spans="1:14" ht="12.75" hidden="1" customHeight="1" outlineLevel="1" x14ac:dyDescent="0.2">
      <c r="A68" s="125"/>
      <c r="B68" s="298">
        <v>3</v>
      </c>
      <c r="C68" s="5" t="s">
        <v>111</v>
      </c>
      <c r="D68" s="282">
        <f t="shared" ref="D68:I68" si="24">INDEX(PBSScriptsChanged,$B64,D65)*(INDEX(DPMQCoPayChangedEff,$B64,$B68)/INDEX(CoPayCountChanged,$B64))</f>
        <v>0</v>
      </c>
      <c r="E68" s="282">
        <f t="shared" si="24"/>
        <v>0</v>
      </c>
      <c r="F68" s="282">
        <f t="shared" si="24"/>
        <v>0</v>
      </c>
      <c r="G68" s="282">
        <f t="shared" si="24"/>
        <v>0</v>
      </c>
      <c r="H68" s="282">
        <f t="shared" si="24"/>
        <v>0</v>
      </c>
      <c r="I68" s="282">
        <f t="shared" si="24"/>
        <v>0</v>
      </c>
      <c r="J68" s="125"/>
      <c r="K68" s="811" t="str">
        <f>IF(B65&lt;&gt;0,MsgNote&amp;IF(B65="Yes",INDEX(CoPayMethod,1),INDEX(CoPayMethod,2)),"")</f>
        <v/>
      </c>
      <c r="L68" s="811"/>
      <c r="M68" s="811"/>
      <c r="N68" s="628"/>
    </row>
    <row r="69" spans="1:14" ht="12.75" hidden="1" customHeight="1" outlineLevel="1" x14ac:dyDescent="0.2">
      <c r="A69" s="125"/>
      <c r="B69" s="300"/>
      <c r="C69" s="5" t="s">
        <v>88</v>
      </c>
      <c r="D69" s="282">
        <f t="shared" ref="D69:I69" si="25">D67+D68</f>
        <v>0</v>
      </c>
      <c r="E69" s="282">
        <f t="shared" si="25"/>
        <v>0</v>
      </c>
      <c r="F69" s="282">
        <f t="shared" si="25"/>
        <v>0</v>
      </c>
      <c r="G69" s="282">
        <f t="shared" si="25"/>
        <v>0</v>
      </c>
      <c r="H69" s="282">
        <f t="shared" si="25"/>
        <v>0</v>
      </c>
      <c r="I69" s="282">
        <f t="shared" si="25"/>
        <v>0</v>
      </c>
      <c r="J69" s="125"/>
      <c r="K69" s="125"/>
      <c r="L69" s="125"/>
      <c r="M69" s="125"/>
      <c r="N69" s="125"/>
    </row>
    <row r="70" spans="1:14" ht="12.75" hidden="1" customHeight="1" outlineLevel="1" x14ac:dyDescent="0.2">
      <c r="A70" s="125"/>
      <c r="B70" s="300"/>
      <c r="C70" s="125"/>
      <c r="D70" s="125"/>
      <c r="E70" s="125"/>
      <c r="F70" s="125"/>
      <c r="G70" s="125"/>
      <c r="H70" s="125"/>
      <c r="I70" s="125"/>
      <c r="J70" s="125"/>
      <c r="K70" s="125"/>
      <c r="L70" s="125"/>
      <c r="M70" s="125"/>
      <c r="N70" s="125"/>
    </row>
    <row r="71" spans="1:14" ht="15.75" hidden="1" customHeight="1" outlineLevel="1" x14ac:dyDescent="0.2">
      <c r="A71" s="125"/>
      <c r="B71" s="300"/>
      <c r="C71" s="655"/>
      <c r="D71" s="630">
        <f>FirstYear</f>
        <v>2021</v>
      </c>
      <c r="E71" s="630">
        <f>D71+1</f>
        <v>2022</v>
      </c>
      <c r="F71" s="630">
        <f>E71+1</f>
        <v>2023</v>
      </c>
      <c r="G71" s="630">
        <f>F71+1</f>
        <v>2024</v>
      </c>
      <c r="H71" s="630">
        <f>G71+1</f>
        <v>2025</v>
      </c>
      <c r="I71" s="630">
        <f>H71+1</f>
        <v>2026</v>
      </c>
      <c r="J71" s="125"/>
      <c r="K71" s="125"/>
      <c r="L71" s="125"/>
      <c r="M71" s="125"/>
      <c r="N71" s="125"/>
    </row>
    <row r="72" spans="1:14" ht="12.75" hidden="1" customHeight="1" outlineLevel="1" x14ac:dyDescent="0.2">
      <c r="A72" s="125"/>
      <c r="B72" s="298">
        <v>1</v>
      </c>
      <c r="C72" s="294" t="s">
        <v>87</v>
      </c>
      <c r="D72" s="282">
        <f t="shared" ref="D72:I72" si="26">INDEX(RPBSScriptsChanged,$B64,D65)*INDEX(DPMQCoPayChangedEff,$B64,$B72)</f>
        <v>0</v>
      </c>
      <c r="E72" s="282">
        <f t="shared" si="26"/>
        <v>0</v>
      </c>
      <c r="F72" s="282">
        <f t="shared" si="26"/>
        <v>0</v>
      </c>
      <c r="G72" s="282">
        <f t="shared" si="26"/>
        <v>0</v>
      </c>
      <c r="H72" s="282">
        <f t="shared" si="26"/>
        <v>0</v>
      </c>
      <c r="I72" s="282">
        <f t="shared" si="26"/>
        <v>0</v>
      </c>
      <c r="J72" s="125"/>
      <c r="K72" s="125"/>
      <c r="L72" s="125"/>
      <c r="M72" s="125"/>
      <c r="N72" s="125"/>
    </row>
    <row r="73" spans="1:14" ht="12.75" hidden="1" customHeight="1" outlineLevel="1" x14ac:dyDescent="0.2">
      <c r="A73" s="125"/>
      <c r="B73" s="298">
        <v>4</v>
      </c>
      <c r="C73" s="5" t="s">
        <v>111</v>
      </c>
      <c r="D73" s="282">
        <f t="shared" ref="D73:I73" si="27">INDEX(RPBSScriptsChanged,$B64,D65)*(INDEX(DPMQCoPayChangedEff,$B64,$B73)/INDEX(CoPayCountChanged,$B64))</f>
        <v>0</v>
      </c>
      <c r="E73" s="282">
        <f t="shared" si="27"/>
        <v>0</v>
      </c>
      <c r="F73" s="282">
        <f t="shared" si="27"/>
        <v>0</v>
      </c>
      <c r="G73" s="282">
        <f t="shared" si="27"/>
        <v>0</v>
      </c>
      <c r="H73" s="282">
        <f t="shared" si="27"/>
        <v>0</v>
      </c>
      <c r="I73" s="282">
        <f t="shared" si="27"/>
        <v>0</v>
      </c>
      <c r="J73" s="125"/>
      <c r="K73" s="125"/>
      <c r="L73" s="125"/>
      <c r="M73" s="125"/>
      <c r="N73" s="125"/>
    </row>
    <row r="74" spans="1:14" ht="12.75" hidden="1" customHeight="1" outlineLevel="1" x14ac:dyDescent="0.2">
      <c r="A74" s="125"/>
      <c r="B74" s="300"/>
      <c r="C74" s="5" t="s">
        <v>89</v>
      </c>
      <c r="D74" s="282">
        <f t="shared" ref="D74:I74" si="28">D72+D73</f>
        <v>0</v>
      </c>
      <c r="E74" s="282">
        <f t="shared" si="28"/>
        <v>0</v>
      </c>
      <c r="F74" s="282">
        <f t="shared" si="28"/>
        <v>0</v>
      </c>
      <c r="G74" s="282">
        <f t="shared" si="28"/>
        <v>0</v>
      </c>
      <c r="H74" s="282">
        <f t="shared" si="28"/>
        <v>0</v>
      </c>
      <c r="I74" s="282">
        <f t="shared" si="28"/>
        <v>0</v>
      </c>
      <c r="J74" s="125"/>
      <c r="K74" s="125"/>
      <c r="L74" s="125"/>
      <c r="M74" s="125"/>
      <c r="N74" s="125"/>
    </row>
    <row r="75" spans="1:14" ht="12.75" customHeight="1" collapsed="1" x14ac:dyDescent="0.2">
      <c r="A75" s="125"/>
      <c r="B75" s="300"/>
      <c r="C75" s="658"/>
      <c r="D75" s="658"/>
      <c r="E75" s="658"/>
      <c r="F75" s="36"/>
      <c r="G75" s="36"/>
      <c r="H75" s="36"/>
      <c r="I75" s="36"/>
      <c r="J75" s="36"/>
      <c r="K75" s="36"/>
      <c r="L75" s="36"/>
      <c r="M75" s="36"/>
      <c r="N75" s="36"/>
    </row>
    <row r="76" spans="1:14" ht="15" x14ac:dyDescent="0.2">
      <c r="A76" s="125"/>
      <c r="B76" s="298">
        <v>5</v>
      </c>
      <c r="C76" s="147" t="str">
        <f>IF(SPAChangeFlag&lt;&gt;0,INDEX(PBSScriptsChanged,B76,1),MsgNotRequired)</f>
        <v>** NOT REQUIRED **</v>
      </c>
      <c r="D76" s="139"/>
      <c r="E76" s="139"/>
      <c r="F76" s="139"/>
      <c r="G76" s="139"/>
      <c r="H76" s="139"/>
      <c r="I76" s="139"/>
      <c r="J76" s="132"/>
      <c r="K76" s="132"/>
      <c r="L76" s="821" t="str">
        <f>IF(AND(C76&lt;&gt;MsgNotUsed,C76&lt;&gt;MsgNotRequired),"Co-payment group " &amp; INDEX(DPMQCoPayChangedEff,B76,2),"")</f>
        <v/>
      </c>
      <c r="M76" s="821"/>
      <c r="N76" s="633"/>
    </row>
    <row r="77" spans="1:14" ht="12.75" hidden="1" customHeight="1" outlineLevel="1" x14ac:dyDescent="0.2">
      <c r="A77" s="125"/>
      <c r="B77" s="242">
        <f>INDEX(SAChanged,B76,5)</f>
        <v>0</v>
      </c>
      <c r="C77" s="658"/>
      <c r="D77" s="697">
        <v>2</v>
      </c>
      <c r="E77" s="697">
        <v>3</v>
      </c>
      <c r="F77" s="650">
        <v>4</v>
      </c>
      <c r="G77" s="650">
        <v>5</v>
      </c>
      <c r="H77" s="650">
        <v>6</v>
      </c>
      <c r="I77" s="650">
        <v>7</v>
      </c>
      <c r="J77" s="36"/>
      <c r="K77" s="36"/>
      <c r="L77" s="36"/>
      <c r="M77" s="36"/>
      <c r="N77" s="36"/>
    </row>
    <row r="78" spans="1:14" ht="12.75" hidden="1" customHeight="1" outlineLevel="1" x14ac:dyDescent="0.2">
      <c r="A78" s="125"/>
      <c r="B78" s="300"/>
      <c r="C78" s="125"/>
      <c r="D78" s="630">
        <f>FirstYear</f>
        <v>2021</v>
      </c>
      <c r="E78" s="630">
        <f>D78+1</f>
        <v>2022</v>
      </c>
      <c r="F78" s="630">
        <f>E78+1</f>
        <v>2023</v>
      </c>
      <c r="G78" s="630">
        <f>F78+1</f>
        <v>2024</v>
      </c>
      <c r="H78" s="630">
        <f>G78+1</f>
        <v>2025</v>
      </c>
      <c r="I78" s="630">
        <f>H78+1</f>
        <v>2026</v>
      </c>
      <c r="J78" s="125"/>
      <c r="K78" s="125"/>
      <c r="L78" s="125"/>
      <c r="M78" s="125"/>
      <c r="N78" s="125"/>
    </row>
    <row r="79" spans="1:14" ht="12.75" hidden="1" customHeight="1" outlineLevel="1" x14ac:dyDescent="0.2">
      <c r="A79" s="125"/>
      <c r="B79" s="298">
        <v>1</v>
      </c>
      <c r="C79" s="294" t="s">
        <v>86</v>
      </c>
      <c r="D79" s="282">
        <f t="shared" ref="D79:I79" si="29">INDEX(PBSScriptsChanged,$B76,D77)*INDEX(DPMQCoPayChangedEff,$B76,$B79)</f>
        <v>0</v>
      </c>
      <c r="E79" s="282">
        <f t="shared" si="29"/>
        <v>0</v>
      </c>
      <c r="F79" s="282">
        <f t="shared" si="29"/>
        <v>0</v>
      </c>
      <c r="G79" s="282">
        <f t="shared" si="29"/>
        <v>0</v>
      </c>
      <c r="H79" s="282">
        <f t="shared" si="29"/>
        <v>0</v>
      </c>
      <c r="I79" s="282">
        <f t="shared" si="29"/>
        <v>0</v>
      </c>
      <c r="J79" s="125"/>
      <c r="K79" s="125"/>
      <c r="L79" s="125"/>
      <c r="M79" s="125"/>
      <c r="N79" s="125"/>
    </row>
    <row r="80" spans="1:14" ht="12.75" hidden="1" customHeight="1" outlineLevel="1" x14ac:dyDescent="0.2">
      <c r="A80" s="125"/>
      <c r="B80" s="298">
        <v>3</v>
      </c>
      <c r="C80" s="5" t="s">
        <v>111</v>
      </c>
      <c r="D80" s="282">
        <f t="shared" ref="D80:I80" si="30">INDEX(PBSScriptsChanged,$B76,D77)*(INDEX(DPMQCoPayChangedEff,$B76,$B80)/INDEX(CoPayCountChanged,$B76))</f>
        <v>0</v>
      </c>
      <c r="E80" s="282">
        <f t="shared" si="30"/>
        <v>0</v>
      </c>
      <c r="F80" s="282">
        <f t="shared" si="30"/>
        <v>0</v>
      </c>
      <c r="G80" s="282">
        <f t="shared" si="30"/>
        <v>0</v>
      </c>
      <c r="H80" s="282">
        <f t="shared" si="30"/>
        <v>0</v>
      </c>
      <c r="I80" s="282">
        <f t="shared" si="30"/>
        <v>0</v>
      </c>
      <c r="J80" s="125"/>
      <c r="K80" s="811" t="str">
        <f>IF(B77&lt;&gt;0,MsgNote&amp;IF(B77="Yes",INDEX(CoPayMethod,1),INDEX(CoPayMethod,2)),"")</f>
        <v/>
      </c>
      <c r="L80" s="811"/>
      <c r="M80" s="811"/>
      <c r="N80" s="628"/>
    </row>
    <row r="81" spans="1:14" ht="12.75" hidden="1" customHeight="1" outlineLevel="1" x14ac:dyDescent="0.2">
      <c r="A81" s="125"/>
      <c r="B81" s="300"/>
      <c r="C81" s="5" t="s">
        <v>88</v>
      </c>
      <c r="D81" s="282">
        <f t="shared" ref="D81:I81" si="31">D79+D80</f>
        <v>0</v>
      </c>
      <c r="E81" s="282">
        <f t="shared" si="31"/>
        <v>0</v>
      </c>
      <c r="F81" s="282">
        <f t="shared" si="31"/>
        <v>0</v>
      </c>
      <c r="G81" s="282">
        <f t="shared" si="31"/>
        <v>0</v>
      </c>
      <c r="H81" s="282">
        <f t="shared" si="31"/>
        <v>0</v>
      </c>
      <c r="I81" s="282">
        <f t="shared" si="31"/>
        <v>0</v>
      </c>
      <c r="J81" s="125"/>
      <c r="K81" s="125"/>
      <c r="L81" s="125"/>
      <c r="M81" s="125"/>
      <c r="N81" s="125"/>
    </row>
    <row r="82" spans="1:14" ht="12.75" hidden="1" customHeight="1" outlineLevel="1" x14ac:dyDescent="0.2">
      <c r="A82" s="125"/>
      <c r="B82" s="300"/>
      <c r="C82" s="125"/>
      <c r="D82" s="125"/>
      <c r="E82" s="125"/>
      <c r="F82" s="125"/>
      <c r="G82" s="125"/>
      <c r="H82" s="125"/>
      <c r="I82" s="125"/>
      <c r="J82" s="125"/>
      <c r="K82" s="125"/>
      <c r="L82" s="125"/>
      <c r="M82" s="125"/>
      <c r="N82" s="125"/>
    </row>
    <row r="83" spans="1:14" ht="15.75" hidden="1" customHeight="1" outlineLevel="1" x14ac:dyDescent="0.2">
      <c r="A83" s="125"/>
      <c r="B83" s="300"/>
      <c r="C83" s="655"/>
      <c r="D83" s="630">
        <f>FirstYear</f>
        <v>2021</v>
      </c>
      <c r="E83" s="630">
        <f>D83+1</f>
        <v>2022</v>
      </c>
      <c r="F83" s="630">
        <f>E83+1</f>
        <v>2023</v>
      </c>
      <c r="G83" s="630">
        <f>F83+1</f>
        <v>2024</v>
      </c>
      <c r="H83" s="630">
        <f>G83+1</f>
        <v>2025</v>
      </c>
      <c r="I83" s="630">
        <f>H83+1</f>
        <v>2026</v>
      </c>
      <c r="J83" s="125"/>
      <c r="K83" s="125"/>
      <c r="L83" s="125"/>
      <c r="M83" s="125"/>
      <c r="N83" s="125"/>
    </row>
    <row r="84" spans="1:14" ht="12.75" hidden="1" customHeight="1" outlineLevel="1" x14ac:dyDescent="0.2">
      <c r="A84" s="125"/>
      <c r="B84" s="298">
        <v>1</v>
      </c>
      <c r="C84" s="294" t="s">
        <v>87</v>
      </c>
      <c r="D84" s="282">
        <f t="shared" ref="D84:I84" si="32">INDEX(RPBSScriptsChanged,$B76,D77)*INDEX(DPMQCoPayChangedEff,$B76,$B84)</f>
        <v>0</v>
      </c>
      <c r="E84" s="282">
        <f t="shared" si="32"/>
        <v>0</v>
      </c>
      <c r="F84" s="282">
        <f t="shared" si="32"/>
        <v>0</v>
      </c>
      <c r="G84" s="282">
        <f t="shared" si="32"/>
        <v>0</v>
      </c>
      <c r="H84" s="282">
        <f t="shared" si="32"/>
        <v>0</v>
      </c>
      <c r="I84" s="282">
        <f t="shared" si="32"/>
        <v>0</v>
      </c>
      <c r="J84" s="125"/>
      <c r="K84" s="125"/>
      <c r="L84" s="125"/>
      <c r="M84" s="125"/>
      <c r="N84" s="125"/>
    </row>
    <row r="85" spans="1:14" ht="12.75" hidden="1" customHeight="1" outlineLevel="1" x14ac:dyDescent="0.2">
      <c r="A85" s="125"/>
      <c r="B85" s="298">
        <v>4</v>
      </c>
      <c r="C85" s="5" t="s">
        <v>111</v>
      </c>
      <c r="D85" s="282">
        <f t="shared" ref="D85:I85" si="33">INDEX(RPBSScriptsChanged,$B76,D77)*(INDEX(DPMQCoPayChangedEff,$B76,$B85)/INDEX(CoPayCountChanged,$B76))</f>
        <v>0</v>
      </c>
      <c r="E85" s="282">
        <f t="shared" si="33"/>
        <v>0</v>
      </c>
      <c r="F85" s="282">
        <f t="shared" si="33"/>
        <v>0</v>
      </c>
      <c r="G85" s="282">
        <f t="shared" si="33"/>
        <v>0</v>
      </c>
      <c r="H85" s="282">
        <f t="shared" si="33"/>
        <v>0</v>
      </c>
      <c r="I85" s="282">
        <f t="shared" si="33"/>
        <v>0</v>
      </c>
      <c r="J85" s="125"/>
      <c r="K85" s="125"/>
      <c r="L85" s="125"/>
      <c r="M85" s="125"/>
      <c r="N85" s="125"/>
    </row>
    <row r="86" spans="1:14" ht="12.75" hidden="1" customHeight="1" outlineLevel="1" x14ac:dyDescent="0.2">
      <c r="A86" s="125"/>
      <c r="B86" s="300"/>
      <c r="C86" s="5" t="s">
        <v>89</v>
      </c>
      <c r="D86" s="282">
        <f t="shared" ref="D86:I86" si="34">D84+D85</f>
        <v>0</v>
      </c>
      <c r="E86" s="282">
        <f t="shared" si="34"/>
        <v>0</v>
      </c>
      <c r="F86" s="282">
        <f t="shared" si="34"/>
        <v>0</v>
      </c>
      <c r="G86" s="282">
        <f t="shared" si="34"/>
        <v>0</v>
      </c>
      <c r="H86" s="282">
        <f t="shared" si="34"/>
        <v>0</v>
      </c>
      <c r="I86" s="282">
        <f t="shared" si="34"/>
        <v>0</v>
      </c>
      <c r="J86" s="125"/>
      <c r="K86" s="125"/>
      <c r="L86" s="125"/>
      <c r="M86" s="125"/>
      <c r="N86" s="125"/>
    </row>
    <row r="87" spans="1:14" ht="12.75" customHeight="1" collapsed="1" x14ac:dyDescent="0.2">
      <c r="A87" s="125"/>
      <c r="B87" s="300"/>
      <c r="C87" s="658"/>
      <c r="D87" s="658"/>
      <c r="E87" s="658"/>
      <c r="F87" s="36"/>
      <c r="G87" s="36"/>
      <c r="H87" s="36"/>
      <c r="I87" s="36"/>
      <c r="J87" s="36"/>
      <c r="K87" s="36"/>
      <c r="L87" s="36"/>
      <c r="M87" s="36"/>
      <c r="N87" s="36"/>
    </row>
    <row r="88" spans="1:14" ht="15" x14ac:dyDescent="0.2">
      <c r="A88" s="125"/>
      <c r="B88" s="298">
        <v>6</v>
      </c>
      <c r="C88" s="147" t="str">
        <f>IF(SPAChangeFlag&lt;&gt;0,INDEX(PBSScriptsChanged,B88,1),MsgNotRequired)</f>
        <v>** NOT REQUIRED **</v>
      </c>
      <c r="D88" s="139"/>
      <c r="E88" s="139"/>
      <c r="F88" s="139"/>
      <c r="G88" s="139"/>
      <c r="H88" s="139"/>
      <c r="I88" s="139"/>
      <c r="J88" s="132"/>
      <c r="K88" s="132"/>
      <c r="L88" s="821" t="str">
        <f>IF(AND(C88&lt;&gt;MsgNotUsed,C88&lt;&gt;MsgNotRequired),"Co-payment group " &amp; INDEX(DPMQCoPayChangedEff,B88,2),"")</f>
        <v/>
      </c>
      <c r="M88" s="821"/>
      <c r="N88" s="633"/>
    </row>
    <row r="89" spans="1:14" ht="12.75" hidden="1" customHeight="1" outlineLevel="1" x14ac:dyDescent="0.2">
      <c r="A89" s="125"/>
      <c r="B89" s="242">
        <f>INDEX(SAChanged,B88,5)</f>
        <v>0</v>
      </c>
      <c r="C89" s="658"/>
      <c r="D89" s="697">
        <v>2</v>
      </c>
      <c r="E89" s="697">
        <v>3</v>
      </c>
      <c r="F89" s="650">
        <v>4</v>
      </c>
      <c r="G89" s="650">
        <v>5</v>
      </c>
      <c r="H89" s="650">
        <v>6</v>
      </c>
      <c r="I89" s="650">
        <v>7</v>
      </c>
      <c r="J89" s="36"/>
      <c r="K89" s="36"/>
      <c r="L89" s="36"/>
      <c r="M89" s="36"/>
      <c r="N89" s="36"/>
    </row>
    <row r="90" spans="1:14" ht="12.75" hidden="1" customHeight="1" outlineLevel="1" x14ac:dyDescent="0.2">
      <c r="A90" s="125"/>
      <c r="B90" s="300"/>
      <c r="C90" s="125"/>
      <c r="D90" s="630">
        <f>FirstYear</f>
        <v>2021</v>
      </c>
      <c r="E90" s="630">
        <f>D90+1</f>
        <v>2022</v>
      </c>
      <c r="F90" s="630">
        <f>E90+1</f>
        <v>2023</v>
      </c>
      <c r="G90" s="630">
        <f>F90+1</f>
        <v>2024</v>
      </c>
      <c r="H90" s="630">
        <f>G90+1</f>
        <v>2025</v>
      </c>
      <c r="I90" s="630">
        <f>H90+1</f>
        <v>2026</v>
      </c>
      <c r="J90" s="125"/>
      <c r="K90" s="125"/>
      <c r="L90" s="125"/>
      <c r="M90" s="125"/>
      <c r="N90" s="125"/>
    </row>
    <row r="91" spans="1:14" ht="12.75" hidden="1" customHeight="1" outlineLevel="1" x14ac:dyDescent="0.2">
      <c r="A91" s="125"/>
      <c r="B91" s="298">
        <v>1</v>
      </c>
      <c r="C91" s="294" t="s">
        <v>86</v>
      </c>
      <c r="D91" s="282">
        <f t="shared" ref="D91:I91" si="35">INDEX(PBSScriptsChanged,$B88,D89)*INDEX(DPMQCoPayChangedEff,$B88,$B91)</f>
        <v>0</v>
      </c>
      <c r="E91" s="282">
        <f t="shared" si="35"/>
        <v>0</v>
      </c>
      <c r="F91" s="282">
        <f t="shared" si="35"/>
        <v>0</v>
      </c>
      <c r="G91" s="282">
        <f t="shared" si="35"/>
        <v>0</v>
      </c>
      <c r="H91" s="282">
        <f t="shared" si="35"/>
        <v>0</v>
      </c>
      <c r="I91" s="282">
        <f t="shared" si="35"/>
        <v>0</v>
      </c>
      <c r="J91" s="125"/>
      <c r="K91" s="125"/>
      <c r="L91" s="125"/>
      <c r="M91" s="125"/>
      <c r="N91" s="125"/>
    </row>
    <row r="92" spans="1:14" ht="12.75" hidden="1" customHeight="1" outlineLevel="1" x14ac:dyDescent="0.2">
      <c r="A92" s="125"/>
      <c r="B92" s="298">
        <v>3</v>
      </c>
      <c r="C92" s="5" t="s">
        <v>111</v>
      </c>
      <c r="D92" s="282">
        <f t="shared" ref="D92:I92" si="36">INDEX(PBSScriptsChanged,$B88,D89)*(INDEX(DPMQCoPayChangedEff,$B88,$B92)/INDEX(CoPayCountChanged,$B88))</f>
        <v>0</v>
      </c>
      <c r="E92" s="282">
        <f t="shared" si="36"/>
        <v>0</v>
      </c>
      <c r="F92" s="282">
        <f t="shared" si="36"/>
        <v>0</v>
      </c>
      <c r="G92" s="282">
        <f t="shared" si="36"/>
        <v>0</v>
      </c>
      <c r="H92" s="282">
        <f t="shared" si="36"/>
        <v>0</v>
      </c>
      <c r="I92" s="282">
        <f t="shared" si="36"/>
        <v>0</v>
      </c>
      <c r="J92" s="125"/>
      <c r="K92" s="811" t="str">
        <f>IF(B89&lt;&gt;0,MsgNote&amp;IF(B89="Yes",INDEX(CoPayMethod,1),INDEX(CoPayMethod,2)),"")</f>
        <v/>
      </c>
      <c r="L92" s="811"/>
      <c r="M92" s="811"/>
      <c r="N92" s="628"/>
    </row>
    <row r="93" spans="1:14" ht="12.75" hidden="1" customHeight="1" outlineLevel="1" x14ac:dyDescent="0.2">
      <c r="A93" s="125"/>
      <c r="B93" s="300"/>
      <c r="C93" s="5" t="s">
        <v>88</v>
      </c>
      <c r="D93" s="282">
        <f t="shared" ref="D93:I93" si="37">D91+D92</f>
        <v>0</v>
      </c>
      <c r="E93" s="282">
        <f t="shared" si="37"/>
        <v>0</v>
      </c>
      <c r="F93" s="282">
        <f t="shared" si="37"/>
        <v>0</v>
      </c>
      <c r="G93" s="282">
        <f t="shared" si="37"/>
        <v>0</v>
      </c>
      <c r="H93" s="282">
        <f t="shared" si="37"/>
        <v>0</v>
      </c>
      <c r="I93" s="282">
        <f t="shared" si="37"/>
        <v>0</v>
      </c>
      <c r="J93" s="125"/>
      <c r="K93" s="125"/>
      <c r="L93" s="125"/>
      <c r="M93" s="125"/>
      <c r="N93" s="125"/>
    </row>
    <row r="94" spans="1:14" ht="12.75" hidden="1" customHeight="1" outlineLevel="1" x14ac:dyDescent="0.2">
      <c r="A94" s="125"/>
      <c r="B94" s="300"/>
      <c r="C94" s="125"/>
      <c r="D94" s="125"/>
      <c r="E94" s="125"/>
      <c r="F94" s="125"/>
      <c r="G94" s="125"/>
      <c r="H94" s="125"/>
      <c r="I94" s="125"/>
      <c r="J94" s="125"/>
      <c r="K94" s="125"/>
      <c r="L94" s="125"/>
      <c r="M94" s="125"/>
      <c r="N94" s="125"/>
    </row>
    <row r="95" spans="1:14" ht="15.75" hidden="1" customHeight="1" outlineLevel="1" x14ac:dyDescent="0.2">
      <c r="A95" s="125"/>
      <c r="B95" s="300"/>
      <c r="C95" s="655"/>
      <c r="D95" s="630">
        <f>FirstYear</f>
        <v>2021</v>
      </c>
      <c r="E95" s="630">
        <f>D95+1</f>
        <v>2022</v>
      </c>
      <c r="F95" s="630">
        <f>E95+1</f>
        <v>2023</v>
      </c>
      <c r="G95" s="630">
        <f>F95+1</f>
        <v>2024</v>
      </c>
      <c r="H95" s="630">
        <f>G95+1</f>
        <v>2025</v>
      </c>
      <c r="I95" s="630">
        <f>H95+1</f>
        <v>2026</v>
      </c>
      <c r="J95" s="125"/>
      <c r="K95" s="125"/>
      <c r="L95" s="125"/>
      <c r="M95" s="125"/>
      <c r="N95" s="125"/>
    </row>
    <row r="96" spans="1:14" ht="12.75" hidden="1" customHeight="1" outlineLevel="1" x14ac:dyDescent="0.2">
      <c r="A96" s="125"/>
      <c r="B96" s="298">
        <v>1</v>
      </c>
      <c r="C96" s="294" t="s">
        <v>87</v>
      </c>
      <c r="D96" s="282">
        <f t="shared" ref="D96:I96" si="38">INDEX(RPBSScriptsChanged,$B88,D89)*INDEX(DPMQCoPayChangedEff,$B88,$B96)</f>
        <v>0</v>
      </c>
      <c r="E96" s="282">
        <f t="shared" si="38"/>
        <v>0</v>
      </c>
      <c r="F96" s="282">
        <f t="shared" si="38"/>
        <v>0</v>
      </c>
      <c r="G96" s="282">
        <f t="shared" si="38"/>
        <v>0</v>
      </c>
      <c r="H96" s="282">
        <f t="shared" si="38"/>
        <v>0</v>
      </c>
      <c r="I96" s="282">
        <f t="shared" si="38"/>
        <v>0</v>
      </c>
      <c r="J96" s="125"/>
      <c r="K96" s="125"/>
      <c r="L96" s="125"/>
      <c r="M96" s="125"/>
      <c r="N96" s="125"/>
    </row>
    <row r="97" spans="1:14" ht="12.75" hidden="1" customHeight="1" outlineLevel="1" x14ac:dyDescent="0.2">
      <c r="A97" s="125"/>
      <c r="B97" s="298">
        <v>4</v>
      </c>
      <c r="C97" s="5" t="s">
        <v>111</v>
      </c>
      <c r="D97" s="282">
        <f t="shared" ref="D97:I97" si="39">INDEX(RPBSScriptsChanged,$B88,D89)*(INDEX(DPMQCoPayChangedEff,$B88,$B97)/INDEX(CoPayCountChanged,$B88))</f>
        <v>0</v>
      </c>
      <c r="E97" s="282">
        <f t="shared" si="39"/>
        <v>0</v>
      </c>
      <c r="F97" s="282">
        <f t="shared" si="39"/>
        <v>0</v>
      </c>
      <c r="G97" s="282">
        <f t="shared" si="39"/>
        <v>0</v>
      </c>
      <c r="H97" s="282">
        <f t="shared" si="39"/>
        <v>0</v>
      </c>
      <c r="I97" s="282">
        <f t="shared" si="39"/>
        <v>0</v>
      </c>
      <c r="J97" s="125"/>
      <c r="K97" s="125"/>
      <c r="L97" s="125"/>
      <c r="M97" s="125"/>
      <c r="N97" s="125"/>
    </row>
    <row r="98" spans="1:14" ht="12.75" hidden="1" customHeight="1" outlineLevel="1" x14ac:dyDescent="0.2">
      <c r="A98" s="125"/>
      <c r="B98" s="300"/>
      <c r="C98" s="5" t="s">
        <v>89</v>
      </c>
      <c r="D98" s="282">
        <f t="shared" ref="D98:I98" si="40">D96+D97</f>
        <v>0</v>
      </c>
      <c r="E98" s="282">
        <f t="shared" si="40"/>
        <v>0</v>
      </c>
      <c r="F98" s="282">
        <f t="shared" si="40"/>
        <v>0</v>
      </c>
      <c r="G98" s="282">
        <f t="shared" si="40"/>
        <v>0</v>
      </c>
      <c r="H98" s="282">
        <f t="shared" si="40"/>
        <v>0</v>
      </c>
      <c r="I98" s="282">
        <f t="shared" si="40"/>
        <v>0</v>
      </c>
      <c r="J98" s="125"/>
      <c r="K98" s="125"/>
      <c r="L98" s="125"/>
      <c r="M98" s="125"/>
      <c r="N98" s="125"/>
    </row>
    <row r="99" spans="1:14" ht="12.75" customHeight="1" collapsed="1" x14ac:dyDescent="0.2">
      <c r="A99" s="125"/>
      <c r="B99" s="300"/>
      <c r="C99" s="658"/>
      <c r="D99" s="658"/>
      <c r="E99" s="658"/>
      <c r="F99" s="36"/>
      <c r="G99" s="36"/>
      <c r="H99" s="36"/>
      <c r="I99" s="36"/>
      <c r="J99" s="36"/>
      <c r="K99" s="36"/>
      <c r="L99" s="36"/>
      <c r="M99" s="36"/>
      <c r="N99" s="36"/>
    </row>
    <row r="100" spans="1:14" ht="15" x14ac:dyDescent="0.2">
      <c r="A100" s="125"/>
      <c r="B100" s="298">
        <v>7</v>
      </c>
      <c r="C100" s="147" t="str">
        <f>IF(SPAChangeFlag&lt;&gt;0,INDEX(PBSScriptsChanged,B100,1),MsgNotRequired)</f>
        <v>** NOT REQUIRED **</v>
      </c>
      <c r="D100" s="139"/>
      <c r="E100" s="139"/>
      <c r="F100" s="139"/>
      <c r="G100" s="139"/>
      <c r="H100" s="139"/>
      <c r="I100" s="139"/>
      <c r="J100" s="132"/>
      <c r="K100" s="132"/>
      <c r="L100" s="821" t="str">
        <f>IF(AND(C100&lt;&gt;MsgNotUsed,C100&lt;&gt;MsgNotRequired),"Co-payment group " &amp; INDEX(DPMQCoPayChangedEff,B100,2),"")</f>
        <v/>
      </c>
      <c r="M100" s="821"/>
      <c r="N100" s="633"/>
    </row>
    <row r="101" spans="1:14" ht="12.75" hidden="1" customHeight="1" outlineLevel="1" x14ac:dyDescent="0.2">
      <c r="A101" s="125"/>
      <c r="B101" s="242">
        <f>INDEX(SAChanged,B100,5)</f>
        <v>0</v>
      </c>
      <c r="C101" s="658"/>
      <c r="D101" s="697">
        <v>2</v>
      </c>
      <c r="E101" s="697">
        <v>3</v>
      </c>
      <c r="F101" s="650">
        <v>4</v>
      </c>
      <c r="G101" s="650">
        <v>5</v>
      </c>
      <c r="H101" s="650">
        <v>6</v>
      </c>
      <c r="I101" s="650">
        <v>7</v>
      </c>
      <c r="J101" s="36"/>
      <c r="K101" s="36"/>
      <c r="L101" s="36"/>
      <c r="M101" s="36"/>
      <c r="N101" s="36"/>
    </row>
    <row r="102" spans="1:14" ht="12.75" hidden="1" customHeight="1" outlineLevel="1" x14ac:dyDescent="0.2">
      <c r="A102" s="125"/>
      <c r="B102" s="300"/>
      <c r="C102" s="125"/>
      <c r="D102" s="630">
        <f>FirstYear</f>
        <v>2021</v>
      </c>
      <c r="E102" s="630">
        <f>D102+1</f>
        <v>2022</v>
      </c>
      <c r="F102" s="630">
        <f>E102+1</f>
        <v>2023</v>
      </c>
      <c r="G102" s="630">
        <f>F102+1</f>
        <v>2024</v>
      </c>
      <c r="H102" s="630">
        <f>G102+1</f>
        <v>2025</v>
      </c>
      <c r="I102" s="630">
        <f>H102+1</f>
        <v>2026</v>
      </c>
      <c r="J102" s="125"/>
      <c r="K102" s="125"/>
      <c r="L102" s="125"/>
      <c r="M102" s="125"/>
      <c r="N102" s="125"/>
    </row>
    <row r="103" spans="1:14" ht="12.75" hidden="1" customHeight="1" outlineLevel="1" x14ac:dyDescent="0.2">
      <c r="A103" s="125"/>
      <c r="B103" s="298">
        <v>1</v>
      </c>
      <c r="C103" s="294" t="s">
        <v>86</v>
      </c>
      <c r="D103" s="282">
        <f t="shared" ref="D103:I103" si="41">INDEX(PBSScriptsChanged,$B100,D101)*INDEX(DPMQCoPayChangedEff,$B100,$B103)</f>
        <v>0</v>
      </c>
      <c r="E103" s="282">
        <f t="shared" si="41"/>
        <v>0</v>
      </c>
      <c r="F103" s="282">
        <f t="shared" si="41"/>
        <v>0</v>
      </c>
      <c r="G103" s="282">
        <f t="shared" si="41"/>
        <v>0</v>
      </c>
      <c r="H103" s="282">
        <f t="shared" si="41"/>
        <v>0</v>
      </c>
      <c r="I103" s="282">
        <f t="shared" si="41"/>
        <v>0</v>
      </c>
      <c r="J103" s="125"/>
      <c r="K103" s="125"/>
      <c r="L103" s="125"/>
      <c r="M103" s="125"/>
      <c r="N103" s="125"/>
    </row>
    <row r="104" spans="1:14" ht="12.75" hidden="1" customHeight="1" outlineLevel="1" x14ac:dyDescent="0.2">
      <c r="A104" s="125"/>
      <c r="B104" s="298">
        <v>3</v>
      </c>
      <c r="C104" s="5" t="s">
        <v>111</v>
      </c>
      <c r="D104" s="282">
        <f t="shared" ref="D104:I104" si="42">INDEX(PBSScriptsChanged,$B100,D101)*(INDEX(DPMQCoPayChangedEff,$B100,$B104)/INDEX(CoPayCountChanged,$B100))</f>
        <v>0</v>
      </c>
      <c r="E104" s="282">
        <f t="shared" si="42"/>
        <v>0</v>
      </c>
      <c r="F104" s="282">
        <f t="shared" si="42"/>
        <v>0</v>
      </c>
      <c r="G104" s="282">
        <f t="shared" si="42"/>
        <v>0</v>
      </c>
      <c r="H104" s="282">
        <f t="shared" si="42"/>
        <v>0</v>
      </c>
      <c r="I104" s="282">
        <f t="shared" si="42"/>
        <v>0</v>
      </c>
      <c r="J104" s="125"/>
      <c r="K104" s="811" t="str">
        <f>IF(B101&lt;&gt;0,MsgNote&amp;IF(B101="Yes",INDEX(CoPayMethod,1),INDEX(CoPayMethod,2)),"")</f>
        <v/>
      </c>
      <c r="L104" s="811"/>
      <c r="M104" s="811"/>
      <c r="N104" s="628"/>
    </row>
    <row r="105" spans="1:14" ht="12.75" hidden="1" customHeight="1" outlineLevel="1" x14ac:dyDescent="0.2">
      <c r="A105" s="125"/>
      <c r="B105" s="300"/>
      <c r="C105" s="5" t="s">
        <v>88</v>
      </c>
      <c r="D105" s="282">
        <f t="shared" ref="D105:I105" si="43">D103+D104</f>
        <v>0</v>
      </c>
      <c r="E105" s="282">
        <f t="shared" si="43"/>
        <v>0</v>
      </c>
      <c r="F105" s="282">
        <f t="shared" si="43"/>
        <v>0</v>
      </c>
      <c r="G105" s="282">
        <f t="shared" si="43"/>
        <v>0</v>
      </c>
      <c r="H105" s="282">
        <f t="shared" si="43"/>
        <v>0</v>
      </c>
      <c r="I105" s="282">
        <f t="shared" si="43"/>
        <v>0</v>
      </c>
      <c r="J105" s="125"/>
      <c r="K105" s="125"/>
      <c r="L105" s="125"/>
      <c r="M105" s="125"/>
      <c r="N105" s="125"/>
    </row>
    <row r="106" spans="1:14" ht="12.75" hidden="1" customHeight="1" outlineLevel="1" x14ac:dyDescent="0.2">
      <c r="A106" s="125"/>
      <c r="B106" s="300"/>
      <c r="C106" s="125"/>
      <c r="D106" s="125"/>
      <c r="E106" s="125"/>
      <c r="F106" s="125"/>
      <c r="G106" s="125"/>
      <c r="H106" s="125"/>
      <c r="I106" s="125"/>
      <c r="J106" s="125"/>
      <c r="K106" s="125"/>
      <c r="L106" s="125"/>
      <c r="M106" s="125"/>
      <c r="N106" s="125"/>
    </row>
    <row r="107" spans="1:14" ht="15.75" hidden="1" customHeight="1" outlineLevel="1" x14ac:dyDescent="0.2">
      <c r="A107" s="125"/>
      <c r="B107" s="300"/>
      <c r="C107" s="655"/>
      <c r="D107" s="630">
        <f>FirstYear</f>
        <v>2021</v>
      </c>
      <c r="E107" s="630">
        <f>D107+1</f>
        <v>2022</v>
      </c>
      <c r="F107" s="630">
        <f>E107+1</f>
        <v>2023</v>
      </c>
      <c r="G107" s="630">
        <f>F107+1</f>
        <v>2024</v>
      </c>
      <c r="H107" s="630">
        <f>G107+1</f>
        <v>2025</v>
      </c>
      <c r="I107" s="630">
        <f>H107+1</f>
        <v>2026</v>
      </c>
      <c r="J107" s="125"/>
      <c r="K107" s="125"/>
      <c r="L107" s="125"/>
      <c r="M107" s="125"/>
      <c r="N107" s="125"/>
    </row>
    <row r="108" spans="1:14" ht="12.75" hidden="1" customHeight="1" outlineLevel="1" x14ac:dyDescent="0.2">
      <c r="A108" s="125"/>
      <c r="B108" s="298">
        <v>1</v>
      </c>
      <c r="C108" s="294" t="s">
        <v>87</v>
      </c>
      <c r="D108" s="282">
        <f t="shared" ref="D108:I108" si="44">INDEX(RPBSScriptsChanged,$B100,D101)*INDEX(DPMQCoPayChangedEff,$B100,$B108)</f>
        <v>0</v>
      </c>
      <c r="E108" s="282">
        <f t="shared" si="44"/>
        <v>0</v>
      </c>
      <c r="F108" s="282">
        <f t="shared" si="44"/>
        <v>0</v>
      </c>
      <c r="G108" s="282">
        <f t="shared" si="44"/>
        <v>0</v>
      </c>
      <c r="H108" s="282">
        <f t="shared" si="44"/>
        <v>0</v>
      </c>
      <c r="I108" s="282">
        <f t="shared" si="44"/>
        <v>0</v>
      </c>
      <c r="J108" s="125"/>
      <c r="K108" s="125"/>
      <c r="L108" s="125"/>
      <c r="M108" s="125"/>
      <c r="N108" s="125"/>
    </row>
    <row r="109" spans="1:14" ht="12.75" hidden="1" customHeight="1" outlineLevel="1" x14ac:dyDescent="0.2">
      <c r="A109" s="125"/>
      <c r="B109" s="298">
        <v>4</v>
      </c>
      <c r="C109" s="5" t="s">
        <v>111</v>
      </c>
      <c r="D109" s="282">
        <f t="shared" ref="D109:I109" si="45">INDEX(RPBSScriptsChanged,$B100,D101)*(INDEX(DPMQCoPayChangedEff,$B100,$B109)/INDEX(CoPayCountChanged,$B100))</f>
        <v>0</v>
      </c>
      <c r="E109" s="282">
        <f t="shared" si="45"/>
        <v>0</v>
      </c>
      <c r="F109" s="282">
        <f t="shared" si="45"/>
        <v>0</v>
      </c>
      <c r="G109" s="282">
        <f t="shared" si="45"/>
        <v>0</v>
      </c>
      <c r="H109" s="282">
        <f t="shared" si="45"/>
        <v>0</v>
      </c>
      <c r="I109" s="282">
        <f t="shared" si="45"/>
        <v>0</v>
      </c>
      <c r="J109" s="125"/>
      <c r="K109" s="125"/>
      <c r="L109" s="125"/>
      <c r="M109" s="125"/>
      <c r="N109" s="125"/>
    </row>
    <row r="110" spans="1:14" ht="12.75" hidden="1" customHeight="1" outlineLevel="1" x14ac:dyDescent="0.2">
      <c r="A110" s="125"/>
      <c r="B110" s="300"/>
      <c r="C110" s="5" t="s">
        <v>89</v>
      </c>
      <c r="D110" s="282">
        <f t="shared" ref="D110:I110" si="46">D108+D109</f>
        <v>0</v>
      </c>
      <c r="E110" s="282">
        <f t="shared" si="46"/>
        <v>0</v>
      </c>
      <c r="F110" s="282">
        <f t="shared" si="46"/>
        <v>0</v>
      </c>
      <c r="G110" s="282">
        <f t="shared" si="46"/>
        <v>0</v>
      </c>
      <c r="H110" s="282">
        <f t="shared" si="46"/>
        <v>0</v>
      </c>
      <c r="I110" s="282">
        <f t="shared" si="46"/>
        <v>0</v>
      </c>
      <c r="J110" s="125"/>
      <c r="K110" s="125"/>
      <c r="L110" s="125"/>
      <c r="M110" s="125"/>
      <c r="N110" s="125"/>
    </row>
    <row r="111" spans="1:14" ht="12.75" customHeight="1" collapsed="1" x14ac:dyDescent="0.2">
      <c r="A111" s="125"/>
      <c r="B111" s="300"/>
      <c r="C111" s="658"/>
      <c r="D111" s="658"/>
      <c r="E111" s="658"/>
      <c r="F111" s="36"/>
      <c r="G111" s="36"/>
      <c r="H111" s="36"/>
      <c r="I111" s="36"/>
      <c r="J111" s="36"/>
      <c r="K111" s="36"/>
      <c r="L111" s="36"/>
      <c r="M111" s="36"/>
      <c r="N111" s="36"/>
    </row>
    <row r="112" spans="1:14" ht="15" x14ac:dyDescent="0.2">
      <c r="A112" s="125"/>
      <c r="B112" s="298">
        <v>8</v>
      </c>
      <c r="C112" s="147" t="str">
        <f>IF(SPAChangeFlag&lt;&gt;0,INDEX(PBSScriptsChanged,B112,1),MsgNotRequired)</f>
        <v>** NOT REQUIRED **</v>
      </c>
      <c r="D112" s="139"/>
      <c r="E112" s="139"/>
      <c r="F112" s="139"/>
      <c r="G112" s="139"/>
      <c r="H112" s="139"/>
      <c r="I112" s="139"/>
      <c r="J112" s="132"/>
      <c r="K112" s="132"/>
      <c r="L112" s="821" t="str">
        <f>IF(AND(C112&lt;&gt;MsgNotUsed,C112&lt;&gt;MsgNotRequired),"Co-payment group " &amp; INDEX(DPMQCoPayChangedEff,B112,2),"")</f>
        <v/>
      </c>
      <c r="M112" s="821"/>
      <c r="N112" s="633"/>
    </row>
    <row r="113" spans="1:14" ht="12.75" hidden="1" customHeight="1" outlineLevel="1" x14ac:dyDescent="0.2">
      <c r="A113" s="125"/>
      <c r="B113" s="242">
        <f>INDEX(SAChanged,B112,5)</f>
        <v>0</v>
      </c>
      <c r="C113" s="658"/>
      <c r="D113" s="697">
        <v>2</v>
      </c>
      <c r="E113" s="697">
        <v>3</v>
      </c>
      <c r="F113" s="650">
        <v>4</v>
      </c>
      <c r="G113" s="650">
        <v>5</v>
      </c>
      <c r="H113" s="650">
        <v>6</v>
      </c>
      <c r="I113" s="650">
        <v>7</v>
      </c>
      <c r="J113" s="36"/>
      <c r="K113" s="36"/>
      <c r="L113" s="36"/>
      <c r="M113" s="36"/>
      <c r="N113" s="36"/>
    </row>
    <row r="114" spans="1:14" ht="12.75" hidden="1" customHeight="1" outlineLevel="1" x14ac:dyDescent="0.2">
      <c r="A114" s="125"/>
      <c r="B114" s="300"/>
      <c r="C114" s="125"/>
      <c r="D114" s="630">
        <f>FirstYear</f>
        <v>2021</v>
      </c>
      <c r="E114" s="630">
        <f>D114+1</f>
        <v>2022</v>
      </c>
      <c r="F114" s="630">
        <f>E114+1</f>
        <v>2023</v>
      </c>
      <c r="G114" s="630">
        <f>F114+1</f>
        <v>2024</v>
      </c>
      <c r="H114" s="630">
        <f>G114+1</f>
        <v>2025</v>
      </c>
      <c r="I114" s="630">
        <f>H114+1</f>
        <v>2026</v>
      </c>
      <c r="J114" s="125"/>
      <c r="K114" s="125"/>
      <c r="L114" s="125"/>
      <c r="M114" s="125"/>
      <c r="N114" s="125"/>
    </row>
    <row r="115" spans="1:14" ht="12.75" hidden="1" customHeight="1" outlineLevel="1" x14ac:dyDescent="0.2">
      <c r="A115" s="125"/>
      <c r="B115" s="298">
        <v>1</v>
      </c>
      <c r="C115" s="294" t="s">
        <v>86</v>
      </c>
      <c r="D115" s="282">
        <f t="shared" ref="D115:I115" si="47">INDEX(PBSScriptsChanged,$B112,D113)*INDEX(DPMQCoPayChangedEff,$B112,$B115)</f>
        <v>0</v>
      </c>
      <c r="E115" s="282">
        <f t="shared" si="47"/>
        <v>0</v>
      </c>
      <c r="F115" s="282">
        <f t="shared" si="47"/>
        <v>0</v>
      </c>
      <c r="G115" s="282">
        <f t="shared" si="47"/>
        <v>0</v>
      </c>
      <c r="H115" s="282">
        <f t="shared" si="47"/>
        <v>0</v>
      </c>
      <c r="I115" s="282">
        <f t="shared" si="47"/>
        <v>0</v>
      </c>
      <c r="J115" s="125"/>
      <c r="K115" s="125"/>
      <c r="L115" s="125"/>
      <c r="M115" s="125"/>
      <c r="N115" s="125"/>
    </row>
    <row r="116" spans="1:14" ht="12.75" hidden="1" customHeight="1" outlineLevel="1" x14ac:dyDescent="0.2">
      <c r="A116" s="125"/>
      <c r="B116" s="298">
        <v>3</v>
      </c>
      <c r="C116" s="5" t="s">
        <v>111</v>
      </c>
      <c r="D116" s="282">
        <f t="shared" ref="D116:I116" si="48">INDEX(PBSScriptsChanged,$B112,D113)*(INDEX(DPMQCoPayChangedEff,$B112,$B116)/INDEX(CoPayCountChanged,$B112))</f>
        <v>0</v>
      </c>
      <c r="E116" s="282">
        <f t="shared" si="48"/>
        <v>0</v>
      </c>
      <c r="F116" s="282">
        <f t="shared" si="48"/>
        <v>0</v>
      </c>
      <c r="G116" s="282">
        <f t="shared" si="48"/>
        <v>0</v>
      </c>
      <c r="H116" s="282">
        <f t="shared" si="48"/>
        <v>0</v>
      </c>
      <c r="I116" s="282">
        <f t="shared" si="48"/>
        <v>0</v>
      </c>
      <c r="J116" s="125"/>
      <c r="K116" s="811" t="str">
        <f>IF(B113&lt;&gt;0,MsgNote&amp;IF(B113="Yes",INDEX(CoPayMethod,1),INDEX(CoPayMethod,2)),"")</f>
        <v/>
      </c>
      <c r="L116" s="811"/>
      <c r="M116" s="811"/>
      <c r="N116" s="628"/>
    </row>
    <row r="117" spans="1:14" ht="12.75" hidden="1" customHeight="1" outlineLevel="1" x14ac:dyDescent="0.2">
      <c r="A117" s="125"/>
      <c r="B117" s="300"/>
      <c r="C117" s="5" t="s">
        <v>88</v>
      </c>
      <c r="D117" s="282">
        <f t="shared" ref="D117:I117" si="49">D115+D116</f>
        <v>0</v>
      </c>
      <c r="E117" s="282">
        <f t="shared" si="49"/>
        <v>0</v>
      </c>
      <c r="F117" s="282">
        <f t="shared" si="49"/>
        <v>0</v>
      </c>
      <c r="G117" s="282">
        <f t="shared" si="49"/>
        <v>0</v>
      </c>
      <c r="H117" s="282">
        <f t="shared" si="49"/>
        <v>0</v>
      </c>
      <c r="I117" s="282">
        <f t="shared" si="49"/>
        <v>0</v>
      </c>
      <c r="J117" s="125"/>
      <c r="K117" s="125"/>
      <c r="L117" s="125"/>
      <c r="M117" s="125"/>
      <c r="N117" s="125"/>
    </row>
    <row r="118" spans="1:14" ht="12.75" hidden="1" customHeight="1" outlineLevel="1" x14ac:dyDescent="0.2">
      <c r="A118" s="125"/>
      <c r="B118" s="300"/>
      <c r="C118" s="125"/>
      <c r="D118" s="125"/>
      <c r="E118" s="125"/>
      <c r="F118" s="125"/>
      <c r="G118" s="125"/>
      <c r="H118" s="125"/>
      <c r="I118" s="125"/>
      <c r="J118" s="125"/>
      <c r="K118" s="125"/>
      <c r="L118" s="125"/>
      <c r="M118" s="125"/>
      <c r="N118" s="125"/>
    </row>
    <row r="119" spans="1:14" ht="15.75" hidden="1" customHeight="1" outlineLevel="1" x14ac:dyDescent="0.2">
      <c r="A119" s="125"/>
      <c r="B119" s="300"/>
      <c r="C119" s="655"/>
      <c r="D119" s="630">
        <f>FirstYear</f>
        <v>2021</v>
      </c>
      <c r="E119" s="630">
        <f>D119+1</f>
        <v>2022</v>
      </c>
      <c r="F119" s="630">
        <f>E119+1</f>
        <v>2023</v>
      </c>
      <c r="G119" s="630">
        <f>F119+1</f>
        <v>2024</v>
      </c>
      <c r="H119" s="630">
        <f>G119+1</f>
        <v>2025</v>
      </c>
      <c r="I119" s="630">
        <f>H119+1</f>
        <v>2026</v>
      </c>
      <c r="J119" s="125"/>
      <c r="K119" s="125"/>
      <c r="L119" s="125"/>
      <c r="M119" s="125"/>
      <c r="N119" s="125"/>
    </row>
    <row r="120" spans="1:14" ht="12.75" hidden="1" customHeight="1" outlineLevel="1" x14ac:dyDescent="0.2">
      <c r="A120" s="125"/>
      <c r="B120" s="298">
        <v>1</v>
      </c>
      <c r="C120" s="294" t="s">
        <v>87</v>
      </c>
      <c r="D120" s="282">
        <f t="shared" ref="D120:I120" si="50">INDEX(RPBSScriptsChanged,$B112,D113)*INDEX(DPMQCoPayChangedEff,$B112,$B120)</f>
        <v>0</v>
      </c>
      <c r="E120" s="282">
        <f t="shared" si="50"/>
        <v>0</v>
      </c>
      <c r="F120" s="282">
        <f t="shared" si="50"/>
        <v>0</v>
      </c>
      <c r="G120" s="282">
        <f t="shared" si="50"/>
        <v>0</v>
      </c>
      <c r="H120" s="282">
        <f t="shared" si="50"/>
        <v>0</v>
      </c>
      <c r="I120" s="282">
        <f t="shared" si="50"/>
        <v>0</v>
      </c>
      <c r="J120" s="125"/>
      <c r="K120" s="125"/>
      <c r="L120" s="125"/>
      <c r="M120" s="125"/>
      <c r="N120" s="125"/>
    </row>
    <row r="121" spans="1:14" ht="12.75" hidden="1" customHeight="1" outlineLevel="1" x14ac:dyDescent="0.2">
      <c r="A121" s="125"/>
      <c r="B121" s="298">
        <v>4</v>
      </c>
      <c r="C121" s="5" t="s">
        <v>111</v>
      </c>
      <c r="D121" s="282">
        <f t="shared" ref="D121:I121" si="51">INDEX(RPBSScriptsChanged,$B112,D113)*(INDEX(DPMQCoPayChangedEff,$B112,$B121)/INDEX(CoPayCountChanged,$B112))</f>
        <v>0</v>
      </c>
      <c r="E121" s="282">
        <f t="shared" si="51"/>
        <v>0</v>
      </c>
      <c r="F121" s="282">
        <f t="shared" si="51"/>
        <v>0</v>
      </c>
      <c r="G121" s="282">
        <f t="shared" si="51"/>
        <v>0</v>
      </c>
      <c r="H121" s="282">
        <f t="shared" si="51"/>
        <v>0</v>
      </c>
      <c r="I121" s="282">
        <f t="shared" si="51"/>
        <v>0</v>
      </c>
      <c r="J121" s="125"/>
      <c r="K121" s="125"/>
      <c r="L121" s="125"/>
      <c r="M121" s="125"/>
      <c r="N121" s="125"/>
    </row>
    <row r="122" spans="1:14" ht="12.75" hidden="1" customHeight="1" outlineLevel="1" x14ac:dyDescent="0.2">
      <c r="A122" s="125"/>
      <c r="B122" s="300"/>
      <c r="C122" s="5" t="s">
        <v>89</v>
      </c>
      <c r="D122" s="282">
        <f t="shared" ref="D122:I122" si="52">D120+D121</f>
        <v>0</v>
      </c>
      <c r="E122" s="282">
        <f t="shared" si="52"/>
        <v>0</v>
      </c>
      <c r="F122" s="282">
        <f t="shared" si="52"/>
        <v>0</v>
      </c>
      <c r="G122" s="282">
        <f t="shared" si="52"/>
        <v>0</v>
      </c>
      <c r="H122" s="282">
        <f t="shared" si="52"/>
        <v>0</v>
      </c>
      <c r="I122" s="282">
        <f t="shared" si="52"/>
        <v>0</v>
      </c>
      <c r="J122" s="125"/>
      <c r="K122" s="125"/>
      <c r="L122" s="125"/>
      <c r="M122" s="125"/>
      <c r="N122" s="125"/>
    </row>
    <row r="123" spans="1:14" ht="12.75" customHeight="1" collapsed="1" x14ac:dyDescent="0.2">
      <c r="A123" s="125"/>
      <c r="B123" s="300"/>
      <c r="C123" s="658"/>
      <c r="D123" s="658"/>
      <c r="E123" s="658"/>
      <c r="F123" s="36"/>
      <c r="G123" s="36"/>
      <c r="H123" s="36"/>
      <c r="I123" s="36"/>
      <c r="J123" s="36"/>
      <c r="K123" s="36"/>
      <c r="L123" s="36"/>
      <c r="M123" s="36"/>
      <c r="N123" s="36"/>
    </row>
    <row r="124" spans="1:14" ht="15" x14ac:dyDescent="0.2">
      <c r="A124" s="125"/>
      <c r="B124" s="298">
        <v>9</v>
      </c>
      <c r="C124" s="147" t="str">
        <f>IF(SPAChangeFlag&lt;&gt;0,INDEX(PBSScriptsChanged,B124,1),MsgNotRequired)</f>
        <v>** NOT REQUIRED **</v>
      </c>
      <c r="D124" s="139"/>
      <c r="E124" s="139"/>
      <c r="F124" s="139"/>
      <c r="G124" s="139"/>
      <c r="H124" s="139"/>
      <c r="I124" s="139"/>
      <c r="J124" s="132"/>
      <c r="K124" s="132"/>
      <c r="L124" s="821" t="str">
        <f>IF(AND(C124&lt;&gt;MsgNotUsed,C124&lt;&gt;MsgNotRequired),"Co-payment group " &amp; INDEX(DPMQCoPayChangedEff,B124,2),"")</f>
        <v/>
      </c>
      <c r="M124" s="821"/>
      <c r="N124" s="633"/>
    </row>
    <row r="125" spans="1:14" ht="12.75" hidden="1" customHeight="1" outlineLevel="1" x14ac:dyDescent="0.2">
      <c r="A125" s="125"/>
      <c r="B125" s="242">
        <f>INDEX(SAChanged,B124,5)</f>
        <v>0</v>
      </c>
      <c r="C125" s="658"/>
      <c r="D125" s="697">
        <v>2</v>
      </c>
      <c r="E125" s="697">
        <v>3</v>
      </c>
      <c r="F125" s="650">
        <v>4</v>
      </c>
      <c r="G125" s="650">
        <v>5</v>
      </c>
      <c r="H125" s="650">
        <v>6</v>
      </c>
      <c r="I125" s="650">
        <v>7</v>
      </c>
      <c r="J125" s="36"/>
      <c r="K125" s="36"/>
      <c r="L125" s="36"/>
      <c r="M125" s="36"/>
      <c r="N125" s="36"/>
    </row>
    <row r="126" spans="1:14" ht="12.75" hidden="1" customHeight="1" outlineLevel="1" x14ac:dyDescent="0.2">
      <c r="A126" s="125"/>
      <c r="B126" s="300"/>
      <c r="C126" s="125"/>
      <c r="D126" s="630">
        <f>FirstYear</f>
        <v>2021</v>
      </c>
      <c r="E126" s="630">
        <f>D126+1</f>
        <v>2022</v>
      </c>
      <c r="F126" s="630">
        <f>E126+1</f>
        <v>2023</v>
      </c>
      <c r="G126" s="630">
        <f>F126+1</f>
        <v>2024</v>
      </c>
      <c r="H126" s="630">
        <f>G126+1</f>
        <v>2025</v>
      </c>
      <c r="I126" s="630">
        <f>H126+1</f>
        <v>2026</v>
      </c>
      <c r="J126" s="125"/>
      <c r="K126" s="125"/>
      <c r="L126" s="125"/>
      <c r="M126" s="125"/>
      <c r="N126" s="125"/>
    </row>
    <row r="127" spans="1:14" ht="12.75" hidden="1" customHeight="1" outlineLevel="1" x14ac:dyDescent="0.2">
      <c r="A127" s="125"/>
      <c r="B127" s="298">
        <v>1</v>
      </c>
      <c r="C127" s="294" t="s">
        <v>86</v>
      </c>
      <c r="D127" s="282">
        <f t="shared" ref="D127:I127" si="53">INDEX(PBSScriptsChanged,$B124,D125)*INDEX(DPMQCoPayChangedEff,$B124,$B127)</f>
        <v>0</v>
      </c>
      <c r="E127" s="282">
        <f t="shared" si="53"/>
        <v>0</v>
      </c>
      <c r="F127" s="282">
        <f t="shared" si="53"/>
        <v>0</v>
      </c>
      <c r="G127" s="282">
        <f t="shared" si="53"/>
        <v>0</v>
      </c>
      <c r="H127" s="282">
        <f t="shared" si="53"/>
        <v>0</v>
      </c>
      <c r="I127" s="282">
        <f t="shared" si="53"/>
        <v>0</v>
      </c>
      <c r="J127" s="125"/>
      <c r="K127" s="125"/>
      <c r="L127" s="125"/>
      <c r="M127" s="125"/>
      <c r="N127" s="125"/>
    </row>
    <row r="128" spans="1:14" ht="12.75" hidden="1" customHeight="1" outlineLevel="1" x14ac:dyDescent="0.2">
      <c r="A128" s="125"/>
      <c r="B128" s="298">
        <v>3</v>
      </c>
      <c r="C128" s="5" t="s">
        <v>111</v>
      </c>
      <c r="D128" s="282">
        <f t="shared" ref="D128:I128" si="54">INDEX(PBSScriptsChanged,$B124,D125)*(INDEX(DPMQCoPayChangedEff,$B124,$B128)/INDEX(CoPayCountChanged,$B124))</f>
        <v>0</v>
      </c>
      <c r="E128" s="282">
        <f t="shared" si="54"/>
        <v>0</v>
      </c>
      <c r="F128" s="282">
        <f t="shared" si="54"/>
        <v>0</v>
      </c>
      <c r="G128" s="282">
        <f t="shared" si="54"/>
        <v>0</v>
      </c>
      <c r="H128" s="282">
        <f t="shared" si="54"/>
        <v>0</v>
      </c>
      <c r="I128" s="282">
        <f t="shared" si="54"/>
        <v>0</v>
      </c>
      <c r="J128" s="125"/>
      <c r="K128" s="811" t="str">
        <f>IF(B125&lt;&gt;0,MsgNote&amp;IF(B125="Yes",INDEX(CoPayMethod,1),INDEX(CoPayMethod,2)),"")</f>
        <v/>
      </c>
      <c r="L128" s="811"/>
      <c r="M128" s="811"/>
      <c r="N128" s="628"/>
    </row>
    <row r="129" spans="1:14" ht="12.75" hidden="1" customHeight="1" outlineLevel="1" x14ac:dyDescent="0.2">
      <c r="A129" s="125"/>
      <c r="B129" s="300"/>
      <c r="C129" s="5" t="s">
        <v>88</v>
      </c>
      <c r="D129" s="282">
        <f t="shared" ref="D129:I129" si="55">D127+D128</f>
        <v>0</v>
      </c>
      <c r="E129" s="282">
        <f t="shared" si="55"/>
        <v>0</v>
      </c>
      <c r="F129" s="282">
        <f t="shared" si="55"/>
        <v>0</v>
      </c>
      <c r="G129" s="282">
        <f t="shared" si="55"/>
        <v>0</v>
      </c>
      <c r="H129" s="282">
        <f t="shared" si="55"/>
        <v>0</v>
      </c>
      <c r="I129" s="282">
        <f t="shared" si="55"/>
        <v>0</v>
      </c>
      <c r="J129" s="125"/>
      <c r="K129" s="125"/>
      <c r="L129" s="125"/>
      <c r="M129" s="125"/>
      <c r="N129" s="125"/>
    </row>
    <row r="130" spans="1:14" ht="12.75" hidden="1" customHeight="1" outlineLevel="1" x14ac:dyDescent="0.2">
      <c r="A130" s="125"/>
      <c r="B130" s="300"/>
      <c r="C130" s="125"/>
      <c r="D130" s="125"/>
      <c r="E130" s="125"/>
      <c r="F130" s="125"/>
      <c r="G130" s="125"/>
      <c r="H130" s="125"/>
      <c r="I130" s="125"/>
      <c r="J130" s="125"/>
      <c r="K130" s="125"/>
      <c r="L130" s="125"/>
      <c r="M130" s="125"/>
      <c r="N130" s="125"/>
    </row>
    <row r="131" spans="1:14" ht="15.75" hidden="1" customHeight="1" outlineLevel="1" x14ac:dyDescent="0.2">
      <c r="A131" s="125"/>
      <c r="B131" s="300"/>
      <c r="C131" s="655"/>
      <c r="D131" s="630">
        <f>FirstYear</f>
        <v>2021</v>
      </c>
      <c r="E131" s="630">
        <f>D131+1</f>
        <v>2022</v>
      </c>
      <c r="F131" s="630">
        <f>E131+1</f>
        <v>2023</v>
      </c>
      <c r="G131" s="630">
        <f>F131+1</f>
        <v>2024</v>
      </c>
      <c r="H131" s="630">
        <f>G131+1</f>
        <v>2025</v>
      </c>
      <c r="I131" s="630">
        <f>H131+1</f>
        <v>2026</v>
      </c>
      <c r="J131" s="125"/>
      <c r="K131" s="125"/>
      <c r="L131" s="125"/>
      <c r="M131" s="125"/>
      <c r="N131" s="125"/>
    </row>
    <row r="132" spans="1:14" ht="12.75" hidden="1" customHeight="1" outlineLevel="1" x14ac:dyDescent="0.2">
      <c r="A132" s="125"/>
      <c r="B132" s="298">
        <v>1</v>
      </c>
      <c r="C132" s="294" t="s">
        <v>87</v>
      </c>
      <c r="D132" s="282">
        <f t="shared" ref="D132:I132" si="56">INDEX(RPBSScriptsChanged,$B124,D125)*INDEX(DPMQCoPayChangedEff,$B124,$B132)</f>
        <v>0</v>
      </c>
      <c r="E132" s="282">
        <f t="shared" si="56"/>
        <v>0</v>
      </c>
      <c r="F132" s="282">
        <f t="shared" si="56"/>
        <v>0</v>
      </c>
      <c r="G132" s="282">
        <f t="shared" si="56"/>
        <v>0</v>
      </c>
      <c r="H132" s="282">
        <f t="shared" si="56"/>
        <v>0</v>
      </c>
      <c r="I132" s="282">
        <f t="shared" si="56"/>
        <v>0</v>
      </c>
      <c r="J132" s="125"/>
      <c r="K132" s="125"/>
      <c r="L132" s="125"/>
      <c r="M132" s="125"/>
      <c r="N132" s="125"/>
    </row>
    <row r="133" spans="1:14" ht="12.75" hidden="1" customHeight="1" outlineLevel="1" x14ac:dyDescent="0.2">
      <c r="A133" s="125"/>
      <c r="B133" s="298">
        <v>4</v>
      </c>
      <c r="C133" s="5" t="s">
        <v>111</v>
      </c>
      <c r="D133" s="282">
        <f t="shared" ref="D133:I133" si="57">INDEX(RPBSScriptsChanged,$B124,D125)*(INDEX(DPMQCoPayChangedEff,$B124,$B133)/INDEX(CoPayCountChanged,$B124))</f>
        <v>0</v>
      </c>
      <c r="E133" s="282">
        <f t="shared" si="57"/>
        <v>0</v>
      </c>
      <c r="F133" s="282">
        <f t="shared" si="57"/>
        <v>0</v>
      </c>
      <c r="G133" s="282">
        <f t="shared" si="57"/>
        <v>0</v>
      </c>
      <c r="H133" s="282">
        <f t="shared" si="57"/>
        <v>0</v>
      </c>
      <c r="I133" s="282">
        <f t="shared" si="57"/>
        <v>0</v>
      </c>
      <c r="J133" s="125"/>
      <c r="K133" s="125"/>
      <c r="L133" s="125"/>
      <c r="M133" s="125"/>
      <c r="N133" s="125"/>
    </row>
    <row r="134" spans="1:14" ht="12.75" hidden="1" customHeight="1" outlineLevel="1" x14ac:dyDescent="0.2">
      <c r="A134" s="125"/>
      <c r="B134" s="300"/>
      <c r="C134" s="5" t="s">
        <v>89</v>
      </c>
      <c r="D134" s="282">
        <f t="shared" ref="D134:I134" si="58">D132+D133</f>
        <v>0</v>
      </c>
      <c r="E134" s="282">
        <f t="shared" si="58"/>
        <v>0</v>
      </c>
      <c r="F134" s="282">
        <f t="shared" si="58"/>
        <v>0</v>
      </c>
      <c r="G134" s="282">
        <f t="shared" si="58"/>
        <v>0</v>
      </c>
      <c r="H134" s="282">
        <f t="shared" si="58"/>
        <v>0</v>
      </c>
      <c r="I134" s="282">
        <f t="shared" si="58"/>
        <v>0</v>
      </c>
      <c r="J134" s="125"/>
      <c r="K134" s="125"/>
      <c r="L134" s="125"/>
      <c r="M134" s="125"/>
      <c r="N134" s="125"/>
    </row>
    <row r="135" spans="1:14" ht="12.75" customHeight="1" collapsed="1" x14ac:dyDescent="0.2">
      <c r="A135" s="125"/>
      <c r="B135" s="300"/>
      <c r="C135" s="658"/>
      <c r="D135" s="658"/>
      <c r="E135" s="658"/>
      <c r="F135" s="36"/>
      <c r="G135" s="36"/>
      <c r="H135" s="36"/>
      <c r="I135" s="36"/>
      <c r="J135" s="36"/>
      <c r="K135" s="36"/>
      <c r="L135" s="36"/>
      <c r="M135" s="36"/>
      <c r="N135" s="36"/>
    </row>
    <row r="136" spans="1:14" ht="15" x14ac:dyDescent="0.2">
      <c r="A136" s="125"/>
      <c r="B136" s="298">
        <v>10</v>
      </c>
      <c r="C136" s="147" t="str">
        <f>IF(SPAChangeFlag&lt;&gt;0,INDEX(PBSScriptsChanged,B136,1),MsgNotRequired)</f>
        <v>** NOT REQUIRED **</v>
      </c>
      <c r="D136" s="139"/>
      <c r="E136" s="139"/>
      <c r="F136" s="139"/>
      <c r="G136" s="139"/>
      <c r="H136" s="139"/>
      <c r="I136" s="139"/>
      <c r="J136" s="132"/>
      <c r="K136" s="132"/>
      <c r="L136" s="821" t="str">
        <f>IF(AND(C136&lt;&gt;MsgNotUsed,C136&lt;&gt;MsgNotRequired),"Co-payment group " &amp; INDEX(DPMQCoPayChangedEff,B136,2),"")</f>
        <v/>
      </c>
      <c r="M136" s="821"/>
      <c r="N136" s="633"/>
    </row>
    <row r="137" spans="1:14" ht="12.75" hidden="1" customHeight="1" outlineLevel="1" x14ac:dyDescent="0.2">
      <c r="A137" s="125"/>
      <c r="B137" s="242">
        <f>INDEX(SAChanged,B136,5)</f>
        <v>0</v>
      </c>
      <c r="C137" s="658"/>
      <c r="D137" s="697">
        <v>2</v>
      </c>
      <c r="E137" s="697">
        <v>3</v>
      </c>
      <c r="F137" s="650">
        <v>4</v>
      </c>
      <c r="G137" s="650">
        <v>5</v>
      </c>
      <c r="H137" s="650">
        <v>6</v>
      </c>
      <c r="I137" s="650">
        <v>7</v>
      </c>
      <c r="J137" s="36"/>
      <c r="K137" s="36"/>
      <c r="L137" s="36"/>
      <c r="M137" s="36"/>
      <c r="N137" s="36"/>
    </row>
    <row r="138" spans="1:14" ht="12.75" hidden="1" customHeight="1" outlineLevel="1" x14ac:dyDescent="0.2">
      <c r="A138" s="125"/>
      <c r="B138" s="300"/>
      <c r="C138" s="125"/>
      <c r="D138" s="630">
        <f>FirstYear</f>
        <v>2021</v>
      </c>
      <c r="E138" s="630">
        <f>D138+1</f>
        <v>2022</v>
      </c>
      <c r="F138" s="630">
        <f>E138+1</f>
        <v>2023</v>
      </c>
      <c r="G138" s="630">
        <f>F138+1</f>
        <v>2024</v>
      </c>
      <c r="H138" s="630">
        <f>G138+1</f>
        <v>2025</v>
      </c>
      <c r="I138" s="630">
        <f>H138+1</f>
        <v>2026</v>
      </c>
      <c r="J138" s="125"/>
      <c r="K138" s="125"/>
      <c r="L138" s="125"/>
      <c r="M138" s="125"/>
      <c r="N138" s="125"/>
    </row>
    <row r="139" spans="1:14" ht="12.75" hidden="1" customHeight="1" outlineLevel="1" x14ac:dyDescent="0.2">
      <c r="A139" s="125"/>
      <c r="B139" s="298">
        <v>1</v>
      </c>
      <c r="C139" s="294" t="s">
        <v>86</v>
      </c>
      <c r="D139" s="282">
        <f t="shared" ref="D139:I139" si="59">INDEX(PBSScriptsChanged,$B136,D137)*INDEX(DPMQCoPayChangedEff,$B136,$B139)</f>
        <v>0</v>
      </c>
      <c r="E139" s="282">
        <f t="shared" si="59"/>
        <v>0</v>
      </c>
      <c r="F139" s="282">
        <f t="shared" si="59"/>
        <v>0</v>
      </c>
      <c r="G139" s="282">
        <f t="shared" si="59"/>
        <v>0</v>
      </c>
      <c r="H139" s="282">
        <f t="shared" si="59"/>
        <v>0</v>
      </c>
      <c r="I139" s="282">
        <f t="shared" si="59"/>
        <v>0</v>
      </c>
      <c r="J139" s="125"/>
      <c r="K139" s="125"/>
      <c r="L139" s="125"/>
      <c r="M139" s="125"/>
      <c r="N139" s="125"/>
    </row>
    <row r="140" spans="1:14" ht="12.75" hidden="1" customHeight="1" outlineLevel="1" x14ac:dyDescent="0.2">
      <c r="A140" s="125"/>
      <c r="B140" s="298">
        <v>3</v>
      </c>
      <c r="C140" s="5" t="s">
        <v>111</v>
      </c>
      <c r="D140" s="282">
        <f t="shared" ref="D140:I140" si="60">INDEX(PBSScriptsChanged,$B136,D137)*(INDEX(DPMQCoPayChangedEff,$B136,$B140)/INDEX(CoPayCountChanged,$B136))</f>
        <v>0</v>
      </c>
      <c r="E140" s="282">
        <f t="shared" si="60"/>
        <v>0</v>
      </c>
      <c r="F140" s="282">
        <f t="shared" si="60"/>
        <v>0</v>
      </c>
      <c r="G140" s="282">
        <f t="shared" si="60"/>
        <v>0</v>
      </c>
      <c r="H140" s="282">
        <f t="shared" si="60"/>
        <v>0</v>
      </c>
      <c r="I140" s="282">
        <f t="shared" si="60"/>
        <v>0</v>
      </c>
      <c r="J140" s="125"/>
      <c r="K140" s="811" t="str">
        <f>IF(B137&lt;&gt;0,MsgNote&amp;IF(B137="Yes",INDEX(CoPayMethod,1),INDEX(CoPayMethod,2)),"")</f>
        <v/>
      </c>
      <c r="L140" s="811"/>
      <c r="M140" s="811"/>
      <c r="N140" s="628"/>
    </row>
    <row r="141" spans="1:14" ht="12.75" hidden="1" customHeight="1" outlineLevel="1" x14ac:dyDescent="0.2">
      <c r="A141" s="125"/>
      <c r="B141" s="300"/>
      <c r="C141" s="5" t="s">
        <v>88</v>
      </c>
      <c r="D141" s="282">
        <f t="shared" ref="D141:I141" si="61">D139+D140</f>
        <v>0</v>
      </c>
      <c r="E141" s="282">
        <f t="shared" si="61"/>
        <v>0</v>
      </c>
      <c r="F141" s="282">
        <f t="shared" si="61"/>
        <v>0</v>
      </c>
      <c r="G141" s="282">
        <f t="shared" si="61"/>
        <v>0</v>
      </c>
      <c r="H141" s="282">
        <f t="shared" si="61"/>
        <v>0</v>
      </c>
      <c r="I141" s="282">
        <f t="shared" si="61"/>
        <v>0</v>
      </c>
      <c r="J141" s="125"/>
      <c r="K141" s="125"/>
      <c r="L141" s="125"/>
      <c r="M141" s="125"/>
      <c r="N141" s="125"/>
    </row>
    <row r="142" spans="1:14" ht="12.75" hidden="1" customHeight="1" outlineLevel="1" x14ac:dyDescent="0.2">
      <c r="A142" s="125"/>
      <c r="B142" s="300"/>
      <c r="C142" s="125"/>
      <c r="D142" s="125"/>
      <c r="E142" s="125"/>
      <c r="F142" s="125"/>
      <c r="G142" s="125"/>
      <c r="H142" s="125"/>
      <c r="I142" s="125"/>
      <c r="J142" s="125"/>
      <c r="K142" s="125"/>
      <c r="L142" s="125"/>
      <c r="M142" s="125"/>
      <c r="N142" s="125"/>
    </row>
    <row r="143" spans="1:14" ht="15.75" hidden="1" customHeight="1" outlineLevel="1" x14ac:dyDescent="0.2">
      <c r="A143" s="125"/>
      <c r="B143" s="300"/>
      <c r="C143" s="655"/>
      <c r="D143" s="630">
        <f>FirstYear</f>
        <v>2021</v>
      </c>
      <c r="E143" s="630">
        <f>D143+1</f>
        <v>2022</v>
      </c>
      <c r="F143" s="630">
        <f>E143+1</f>
        <v>2023</v>
      </c>
      <c r="G143" s="630">
        <f>F143+1</f>
        <v>2024</v>
      </c>
      <c r="H143" s="630">
        <f>G143+1</f>
        <v>2025</v>
      </c>
      <c r="I143" s="630">
        <f>H143+1</f>
        <v>2026</v>
      </c>
      <c r="J143" s="125"/>
      <c r="K143" s="125"/>
      <c r="L143" s="125"/>
      <c r="M143" s="125"/>
      <c r="N143" s="125"/>
    </row>
    <row r="144" spans="1:14" ht="12.75" hidden="1" customHeight="1" outlineLevel="1" x14ac:dyDescent="0.2">
      <c r="A144" s="125"/>
      <c r="B144" s="298">
        <v>1</v>
      </c>
      <c r="C144" s="294" t="s">
        <v>87</v>
      </c>
      <c r="D144" s="282">
        <f t="shared" ref="D144:I144" si="62">INDEX(RPBSScriptsChanged,$B136,D137)*INDEX(DPMQCoPayChangedEff,$B136,$B144)</f>
        <v>0</v>
      </c>
      <c r="E144" s="282">
        <f t="shared" si="62"/>
        <v>0</v>
      </c>
      <c r="F144" s="282">
        <f t="shared" si="62"/>
        <v>0</v>
      </c>
      <c r="G144" s="282">
        <f t="shared" si="62"/>
        <v>0</v>
      </c>
      <c r="H144" s="282">
        <f t="shared" si="62"/>
        <v>0</v>
      </c>
      <c r="I144" s="282">
        <f t="shared" si="62"/>
        <v>0</v>
      </c>
      <c r="J144" s="125"/>
      <c r="K144" s="125"/>
      <c r="L144" s="125"/>
      <c r="M144" s="125"/>
      <c r="N144" s="125"/>
    </row>
    <row r="145" spans="1:14" ht="12.75" hidden="1" customHeight="1" outlineLevel="1" x14ac:dyDescent="0.2">
      <c r="A145" s="125"/>
      <c r="B145" s="298">
        <v>4</v>
      </c>
      <c r="C145" s="5" t="s">
        <v>111</v>
      </c>
      <c r="D145" s="282">
        <f t="shared" ref="D145:I145" si="63">INDEX(RPBSScriptsChanged,$B136,D137)*(INDEX(DPMQCoPayChangedEff,$B136,$B145)/INDEX(CoPayCountChanged,$B136))</f>
        <v>0</v>
      </c>
      <c r="E145" s="282">
        <f t="shared" si="63"/>
        <v>0</v>
      </c>
      <c r="F145" s="282">
        <f t="shared" si="63"/>
        <v>0</v>
      </c>
      <c r="G145" s="282">
        <f t="shared" si="63"/>
        <v>0</v>
      </c>
      <c r="H145" s="282">
        <f t="shared" si="63"/>
        <v>0</v>
      </c>
      <c r="I145" s="282">
        <f t="shared" si="63"/>
        <v>0</v>
      </c>
      <c r="J145" s="125"/>
      <c r="K145" s="125"/>
      <c r="L145" s="125"/>
      <c r="M145" s="125"/>
      <c r="N145" s="125"/>
    </row>
    <row r="146" spans="1:14" ht="12.75" hidden="1" customHeight="1" outlineLevel="1" x14ac:dyDescent="0.2">
      <c r="A146" s="125"/>
      <c r="B146" s="300"/>
      <c r="C146" s="5" t="s">
        <v>89</v>
      </c>
      <c r="D146" s="282">
        <f t="shared" ref="D146:I146" si="64">D144+D145</f>
        <v>0</v>
      </c>
      <c r="E146" s="282">
        <f t="shared" si="64"/>
        <v>0</v>
      </c>
      <c r="F146" s="282">
        <f t="shared" si="64"/>
        <v>0</v>
      </c>
      <c r="G146" s="282">
        <f t="shared" si="64"/>
        <v>0</v>
      </c>
      <c r="H146" s="282">
        <f t="shared" si="64"/>
        <v>0</v>
      </c>
      <c r="I146" s="282">
        <f t="shared" si="64"/>
        <v>0</v>
      </c>
      <c r="J146" s="125"/>
      <c r="K146" s="125"/>
      <c r="L146" s="125"/>
      <c r="M146" s="125"/>
      <c r="N146" s="125"/>
    </row>
    <row r="147" spans="1:14" ht="12.75" customHeight="1" collapsed="1" x14ac:dyDescent="0.2">
      <c r="A147" s="125"/>
      <c r="B147" s="300"/>
      <c r="C147" s="658"/>
      <c r="D147" s="658"/>
      <c r="E147" s="658"/>
      <c r="F147" s="36"/>
      <c r="G147" s="36"/>
      <c r="H147" s="36"/>
      <c r="I147" s="36"/>
      <c r="J147" s="36"/>
      <c r="K147" s="36"/>
      <c r="L147" s="36"/>
      <c r="M147" s="36"/>
      <c r="N147" s="36"/>
    </row>
    <row r="148" spans="1:14" ht="15" x14ac:dyDescent="0.2">
      <c r="A148" s="125"/>
      <c r="B148" s="298">
        <v>11</v>
      </c>
      <c r="C148" s="147" t="str">
        <f>IF(SPAChangeFlag&lt;&gt;0,INDEX(PBSScriptsChanged,B148,1),MsgNotRequired)</f>
        <v>** NOT REQUIRED **</v>
      </c>
      <c r="D148" s="139"/>
      <c r="E148" s="139"/>
      <c r="F148" s="139"/>
      <c r="G148" s="139"/>
      <c r="H148" s="139"/>
      <c r="I148" s="139"/>
      <c r="J148" s="132"/>
      <c r="K148" s="132"/>
      <c r="L148" s="821" t="str">
        <f>IF(AND(C148&lt;&gt;MsgNotUsed,C148&lt;&gt;MsgNotRequired),"Co-payment group " &amp; INDEX(DPMQCoPayChangedEff,B148,2),"")</f>
        <v/>
      </c>
      <c r="M148" s="821"/>
      <c r="N148" s="633"/>
    </row>
    <row r="149" spans="1:14" ht="12.75" hidden="1" customHeight="1" outlineLevel="1" x14ac:dyDescent="0.2">
      <c r="A149" s="125"/>
      <c r="B149" s="242">
        <f>INDEX(SAChanged,B148,5)</f>
        <v>0</v>
      </c>
      <c r="C149" s="658"/>
      <c r="D149" s="697">
        <v>2</v>
      </c>
      <c r="E149" s="697">
        <v>3</v>
      </c>
      <c r="F149" s="650">
        <v>4</v>
      </c>
      <c r="G149" s="650">
        <v>5</v>
      </c>
      <c r="H149" s="650">
        <v>6</v>
      </c>
      <c r="I149" s="650">
        <v>7</v>
      </c>
      <c r="J149" s="36"/>
      <c r="K149" s="36"/>
      <c r="L149" s="36"/>
      <c r="M149" s="36"/>
      <c r="N149" s="36"/>
    </row>
    <row r="150" spans="1:14" ht="12.75" hidden="1" customHeight="1" outlineLevel="1" x14ac:dyDescent="0.2">
      <c r="A150" s="125"/>
      <c r="B150" s="300"/>
      <c r="C150" s="125"/>
      <c r="D150" s="630">
        <f>FirstYear</f>
        <v>2021</v>
      </c>
      <c r="E150" s="630">
        <f>D150+1</f>
        <v>2022</v>
      </c>
      <c r="F150" s="630">
        <f>E150+1</f>
        <v>2023</v>
      </c>
      <c r="G150" s="630">
        <f>F150+1</f>
        <v>2024</v>
      </c>
      <c r="H150" s="630">
        <f>G150+1</f>
        <v>2025</v>
      </c>
      <c r="I150" s="630">
        <f>H150+1</f>
        <v>2026</v>
      </c>
      <c r="J150" s="125"/>
      <c r="K150" s="125"/>
      <c r="L150" s="125"/>
      <c r="M150" s="125"/>
      <c r="N150" s="125"/>
    </row>
    <row r="151" spans="1:14" ht="12.75" hidden="1" customHeight="1" outlineLevel="1" x14ac:dyDescent="0.2">
      <c r="A151" s="125"/>
      <c r="B151" s="298">
        <v>1</v>
      </c>
      <c r="C151" s="294" t="s">
        <v>86</v>
      </c>
      <c r="D151" s="282">
        <f t="shared" ref="D151:I151" si="65">INDEX(PBSScriptsChanged,$B148,D149)*INDEX(DPMQCoPayChangedEff,$B148,$B151)</f>
        <v>0</v>
      </c>
      <c r="E151" s="282">
        <f t="shared" si="65"/>
        <v>0</v>
      </c>
      <c r="F151" s="282">
        <f t="shared" si="65"/>
        <v>0</v>
      </c>
      <c r="G151" s="282">
        <f t="shared" si="65"/>
        <v>0</v>
      </c>
      <c r="H151" s="282">
        <f t="shared" si="65"/>
        <v>0</v>
      </c>
      <c r="I151" s="282">
        <f t="shared" si="65"/>
        <v>0</v>
      </c>
      <c r="J151" s="125"/>
      <c r="K151" s="125"/>
      <c r="L151" s="125"/>
      <c r="M151" s="125"/>
      <c r="N151" s="125"/>
    </row>
    <row r="152" spans="1:14" ht="12.75" hidden="1" customHeight="1" outlineLevel="1" x14ac:dyDescent="0.2">
      <c r="A152" s="125"/>
      <c r="B152" s="298">
        <v>3</v>
      </c>
      <c r="C152" s="5" t="s">
        <v>111</v>
      </c>
      <c r="D152" s="282">
        <f t="shared" ref="D152:I152" si="66">INDEX(PBSScriptsChanged,$B148,D149)*(INDEX(DPMQCoPayChangedEff,$B148,$B152)/INDEX(CoPayCountChanged,$B148))</f>
        <v>0</v>
      </c>
      <c r="E152" s="282">
        <f t="shared" si="66"/>
        <v>0</v>
      </c>
      <c r="F152" s="282">
        <f t="shared" si="66"/>
        <v>0</v>
      </c>
      <c r="G152" s="282">
        <f t="shared" si="66"/>
        <v>0</v>
      </c>
      <c r="H152" s="282">
        <f t="shared" si="66"/>
        <v>0</v>
      </c>
      <c r="I152" s="282">
        <f t="shared" si="66"/>
        <v>0</v>
      </c>
      <c r="J152" s="125"/>
      <c r="K152" s="811" t="str">
        <f>IF(B149&lt;&gt;0,MsgNote&amp;IF(B149="Yes",INDEX(CoPayMethod,1),INDEX(CoPayMethod,2)),"")</f>
        <v/>
      </c>
      <c r="L152" s="811"/>
      <c r="M152" s="811"/>
      <c r="N152" s="628"/>
    </row>
    <row r="153" spans="1:14" ht="12.75" hidden="1" customHeight="1" outlineLevel="1" x14ac:dyDescent="0.2">
      <c r="A153" s="125"/>
      <c r="B153" s="300"/>
      <c r="C153" s="5" t="s">
        <v>88</v>
      </c>
      <c r="D153" s="282">
        <f t="shared" ref="D153:I153" si="67">D151+D152</f>
        <v>0</v>
      </c>
      <c r="E153" s="282">
        <f t="shared" si="67"/>
        <v>0</v>
      </c>
      <c r="F153" s="282">
        <f t="shared" si="67"/>
        <v>0</v>
      </c>
      <c r="G153" s="282">
        <f t="shared" si="67"/>
        <v>0</v>
      </c>
      <c r="H153" s="282">
        <f t="shared" si="67"/>
        <v>0</v>
      </c>
      <c r="I153" s="282">
        <f t="shared" si="67"/>
        <v>0</v>
      </c>
      <c r="J153" s="125"/>
      <c r="K153" s="125"/>
      <c r="L153" s="125"/>
      <c r="M153" s="125"/>
      <c r="N153" s="125"/>
    </row>
    <row r="154" spans="1:14" ht="12.75" hidden="1" customHeight="1" outlineLevel="1" x14ac:dyDescent="0.2">
      <c r="A154" s="125"/>
      <c r="B154" s="300"/>
      <c r="C154" s="125"/>
      <c r="D154" s="125"/>
      <c r="E154" s="125"/>
      <c r="F154" s="125"/>
      <c r="G154" s="125"/>
      <c r="H154" s="125"/>
      <c r="I154" s="125"/>
      <c r="J154" s="125"/>
      <c r="K154" s="125"/>
      <c r="L154" s="125"/>
      <c r="M154" s="125"/>
      <c r="N154" s="125"/>
    </row>
    <row r="155" spans="1:14" ht="15.75" hidden="1" customHeight="1" outlineLevel="1" x14ac:dyDescent="0.2">
      <c r="A155" s="125"/>
      <c r="B155" s="300"/>
      <c r="C155" s="655"/>
      <c r="D155" s="630">
        <f>FirstYear</f>
        <v>2021</v>
      </c>
      <c r="E155" s="630">
        <f>D155+1</f>
        <v>2022</v>
      </c>
      <c r="F155" s="630">
        <f>E155+1</f>
        <v>2023</v>
      </c>
      <c r="G155" s="630">
        <f>F155+1</f>
        <v>2024</v>
      </c>
      <c r="H155" s="630">
        <f>G155+1</f>
        <v>2025</v>
      </c>
      <c r="I155" s="630">
        <f>H155+1</f>
        <v>2026</v>
      </c>
      <c r="J155" s="125"/>
      <c r="K155" s="125"/>
      <c r="L155" s="125"/>
      <c r="M155" s="125"/>
      <c r="N155" s="125"/>
    </row>
    <row r="156" spans="1:14" ht="12.75" hidden="1" customHeight="1" outlineLevel="1" x14ac:dyDescent="0.2">
      <c r="A156" s="125"/>
      <c r="B156" s="298">
        <v>1</v>
      </c>
      <c r="C156" s="294" t="s">
        <v>87</v>
      </c>
      <c r="D156" s="282">
        <f t="shared" ref="D156:I156" si="68">INDEX(RPBSScriptsChanged,$B148,D149)*INDEX(DPMQCoPayChangedEff,$B148,$B156)</f>
        <v>0</v>
      </c>
      <c r="E156" s="282">
        <f t="shared" si="68"/>
        <v>0</v>
      </c>
      <c r="F156" s="282">
        <f t="shared" si="68"/>
        <v>0</v>
      </c>
      <c r="G156" s="282">
        <f t="shared" si="68"/>
        <v>0</v>
      </c>
      <c r="H156" s="282">
        <f t="shared" si="68"/>
        <v>0</v>
      </c>
      <c r="I156" s="282">
        <f t="shared" si="68"/>
        <v>0</v>
      </c>
      <c r="J156" s="125"/>
      <c r="K156" s="125"/>
      <c r="L156" s="125"/>
      <c r="M156" s="125"/>
      <c r="N156" s="125"/>
    </row>
    <row r="157" spans="1:14" ht="12.75" hidden="1" customHeight="1" outlineLevel="1" x14ac:dyDescent="0.2">
      <c r="A157" s="125"/>
      <c r="B157" s="298">
        <v>4</v>
      </c>
      <c r="C157" s="5" t="s">
        <v>111</v>
      </c>
      <c r="D157" s="282">
        <f t="shared" ref="D157:I157" si="69">INDEX(RPBSScriptsChanged,$B148,D149)*(INDEX(DPMQCoPayChangedEff,$B148,$B157)/INDEX(CoPayCountChanged,$B148))</f>
        <v>0</v>
      </c>
      <c r="E157" s="282">
        <f t="shared" si="69"/>
        <v>0</v>
      </c>
      <c r="F157" s="282">
        <f t="shared" si="69"/>
        <v>0</v>
      </c>
      <c r="G157" s="282">
        <f t="shared" si="69"/>
        <v>0</v>
      </c>
      <c r="H157" s="282">
        <f t="shared" si="69"/>
        <v>0</v>
      </c>
      <c r="I157" s="282">
        <f t="shared" si="69"/>
        <v>0</v>
      </c>
      <c r="J157" s="125"/>
      <c r="K157" s="125"/>
      <c r="L157" s="125"/>
      <c r="M157" s="125"/>
      <c r="N157" s="125"/>
    </row>
    <row r="158" spans="1:14" ht="12.75" hidden="1" customHeight="1" outlineLevel="1" x14ac:dyDescent="0.2">
      <c r="A158" s="125"/>
      <c r="B158" s="300"/>
      <c r="C158" s="5" t="s">
        <v>89</v>
      </c>
      <c r="D158" s="282">
        <f t="shared" ref="D158:I158" si="70">D156+D157</f>
        <v>0</v>
      </c>
      <c r="E158" s="282">
        <f t="shared" si="70"/>
        <v>0</v>
      </c>
      <c r="F158" s="282">
        <f t="shared" si="70"/>
        <v>0</v>
      </c>
      <c r="G158" s="282">
        <f t="shared" si="70"/>
        <v>0</v>
      </c>
      <c r="H158" s="282">
        <f t="shared" si="70"/>
        <v>0</v>
      </c>
      <c r="I158" s="282">
        <f t="shared" si="70"/>
        <v>0</v>
      </c>
      <c r="J158" s="125"/>
      <c r="K158" s="125"/>
      <c r="L158" s="125"/>
      <c r="M158" s="125"/>
      <c r="N158" s="125"/>
    </row>
    <row r="159" spans="1:14" ht="12.75" customHeight="1" collapsed="1" x14ac:dyDescent="0.2">
      <c r="A159" s="125"/>
      <c r="B159" s="300"/>
      <c r="C159" s="658"/>
      <c r="D159" s="658"/>
      <c r="E159" s="658"/>
      <c r="F159" s="36"/>
      <c r="G159" s="36"/>
      <c r="H159" s="36"/>
      <c r="I159" s="36"/>
      <c r="J159" s="36"/>
      <c r="K159" s="36"/>
      <c r="L159" s="36"/>
      <c r="M159" s="36"/>
      <c r="N159" s="36"/>
    </row>
    <row r="160" spans="1:14" ht="15" x14ac:dyDescent="0.2">
      <c r="A160" s="125"/>
      <c r="B160" s="298">
        <v>12</v>
      </c>
      <c r="C160" s="147" t="str">
        <f>IF(SPAChangeFlag&lt;&gt;0,INDEX(PBSScriptsChanged,B160,1),MsgNotRequired)</f>
        <v>** NOT REQUIRED **</v>
      </c>
      <c r="D160" s="139"/>
      <c r="E160" s="139"/>
      <c r="F160" s="139"/>
      <c r="G160" s="139"/>
      <c r="H160" s="139"/>
      <c r="I160" s="139"/>
      <c r="J160" s="132"/>
      <c r="K160" s="132"/>
      <c r="L160" s="821" t="str">
        <f>IF(AND(C160&lt;&gt;MsgNotUsed,C160&lt;&gt;MsgNotRequired),"Co-payment group " &amp; INDEX(DPMQCoPayChangedEff,B160,2),"")</f>
        <v/>
      </c>
      <c r="M160" s="821"/>
      <c r="N160" s="633"/>
    </row>
    <row r="161" spans="1:14" ht="12.75" hidden="1" customHeight="1" outlineLevel="1" x14ac:dyDescent="0.2">
      <c r="A161" s="125"/>
      <c r="B161" s="242">
        <f>INDEX(SAChanged,B160,5)</f>
        <v>0</v>
      </c>
      <c r="C161" s="658"/>
      <c r="D161" s="697">
        <v>2</v>
      </c>
      <c r="E161" s="697">
        <v>3</v>
      </c>
      <c r="F161" s="650">
        <v>4</v>
      </c>
      <c r="G161" s="650">
        <v>5</v>
      </c>
      <c r="H161" s="650">
        <v>6</v>
      </c>
      <c r="I161" s="650">
        <v>7</v>
      </c>
      <c r="J161" s="36"/>
      <c r="K161" s="36"/>
      <c r="L161" s="36"/>
      <c r="M161" s="36"/>
      <c r="N161" s="36"/>
    </row>
    <row r="162" spans="1:14" ht="12.75" hidden="1" customHeight="1" outlineLevel="1" x14ac:dyDescent="0.2">
      <c r="A162" s="125"/>
      <c r="B162" s="300"/>
      <c r="C162" s="125"/>
      <c r="D162" s="630">
        <f>FirstYear</f>
        <v>2021</v>
      </c>
      <c r="E162" s="630">
        <f>D162+1</f>
        <v>2022</v>
      </c>
      <c r="F162" s="630">
        <f>E162+1</f>
        <v>2023</v>
      </c>
      <c r="G162" s="630">
        <f>F162+1</f>
        <v>2024</v>
      </c>
      <c r="H162" s="630">
        <f>G162+1</f>
        <v>2025</v>
      </c>
      <c r="I162" s="630">
        <f>H162+1</f>
        <v>2026</v>
      </c>
      <c r="J162" s="125"/>
      <c r="K162" s="125"/>
      <c r="L162" s="125"/>
      <c r="M162" s="125"/>
      <c r="N162" s="125"/>
    </row>
    <row r="163" spans="1:14" ht="12.75" hidden="1" customHeight="1" outlineLevel="1" x14ac:dyDescent="0.2">
      <c r="A163" s="125"/>
      <c r="B163" s="298">
        <v>1</v>
      </c>
      <c r="C163" s="294" t="s">
        <v>86</v>
      </c>
      <c r="D163" s="282">
        <f t="shared" ref="D163:I163" si="71">INDEX(PBSScriptsChanged,$B160,D161)*INDEX(DPMQCoPayChangedEff,$B160,$B163)</f>
        <v>0</v>
      </c>
      <c r="E163" s="282">
        <f t="shared" si="71"/>
        <v>0</v>
      </c>
      <c r="F163" s="282">
        <f t="shared" si="71"/>
        <v>0</v>
      </c>
      <c r="G163" s="282">
        <f t="shared" si="71"/>
        <v>0</v>
      </c>
      <c r="H163" s="282">
        <f t="shared" si="71"/>
        <v>0</v>
      </c>
      <c r="I163" s="282">
        <f t="shared" si="71"/>
        <v>0</v>
      </c>
      <c r="J163" s="125"/>
      <c r="K163" s="125"/>
      <c r="L163" s="125"/>
      <c r="M163" s="125"/>
      <c r="N163" s="125"/>
    </row>
    <row r="164" spans="1:14" ht="12.75" hidden="1" customHeight="1" outlineLevel="1" x14ac:dyDescent="0.2">
      <c r="A164" s="125"/>
      <c r="B164" s="298">
        <v>3</v>
      </c>
      <c r="C164" s="5" t="s">
        <v>111</v>
      </c>
      <c r="D164" s="282">
        <f t="shared" ref="D164:I164" si="72">INDEX(PBSScriptsChanged,$B160,D161)*(INDEX(DPMQCoPayChangedEff,$B160,$B164)/INDEX(CoPayCountChanged,$B160))</f>
        <v>0</v>
      </c>
      <c r="E164" s="282">
        <f t="shared" si="72"/>
        <v>0</v>
      </c>
      <c r="F164" s="282">
        <f t="shared" si="72"/>
        <v>0</v>
      </c>
      <c r="G164" s="282">
        <f t="shared" si="72"/>
        <v>0</v>
      </c>
      <c r="H164" s="282">
        <f t="shared" si="72"/>
        <v>0</v>
      </c>
      <c r="I164" s="282">
        <f t="shared" si="72"/>
        <v>0</v>
      </c>
      <c r="J164" s="125"/>
      <c r="K164" s="811" t="str">
        <f>IF(B161&lt;&gt;0,MsgNote&amp;IF(B161="Yes",INDEX(CoPayMethod,1),INDEX(CoPayMethod,2)),"")</f>
        <v/>
      </c>
      <c r="L164" s="811"/>
      <c r="M164" s="811"/>
      <c r="N164" s="628"/>
    </row>
    <row r="165" spans="1:14" ht="12.75" hidden="1" customHeight="1" outlineLevel="1" x14ac:dyDescent="0.2">
      <c r="A165" s="125"/>
      <c r="B165" s="300"/>
      <c r="C165" s="5" t="s">
        <v>88</v>
      </c>
      <c r="D165" s="282">
        <f t="shared" ref="D165:I165" si="73">D163+D164</f>
        <v>0</v>
      </c>
      <c r="E165" s="282">
        <f t="shared" si="73"/>
        <v>0</v>
      </c>
      <c r="F165" s="282">
        <f t="shared" si="73"/>
        <v>0</v>
      </c>
      <c r="G165" s="282">
        <f t="shared" si="73"/>
        <v>0</v>
      </c>
      <c r="H165" s="282">
        <f t="shared" si="73"/>
        <v>0</v>
      </c>
      <c r="I165" s="282">
        <f t="shared" si="73"/>
        <v>0</v>
      </c>
      <c r="J165" s="125"/>
      <c r="K165" s="125"/>
      <c r="L165" s="125"/>
      <c r="M165" s="125"/>
      <c r="N165" s="125"/>
    </row>
    <row r="166" spans="1:14" ht="12.75" hidden="1" customHeight="1" outlineLevel="1" x14ac:dyDescent="0.2">
      <c r="A166" s="125"/>
      <c r="B166" s="300"/>
      <c r="C166" s="125"/>
      <c r="D166" s="125"/>
      <c r="E166" s="125"/>
      <c r="F166" s="125"/>
      <c r="G166" s="125"/>
      <c r="H166" s="125"/>
      <c r="I166" s="125"/>
      <c r="J166" s="125"/>
      <c r="K166" s="125"/>
      <c r="L166" s="125"/>
      <c r="M166" s="125"/>
      <c r="N166" s="125"/>
    </row>
    <row r="167" spans="1:14" ht="15.75" hidden="1" customHeight="1" outlineLevel="1" x14ac:dyDescent="0.2">
      <c r="A167" s="125"/>
      <c r="B167" s="300"/>
      <c r="C167" s="655"/>
      <c r="D167" s="630">
        <f>FirstYear</f>
        <v>2021</v>
      </c>
      <c r="E167" s="630">
        <f>D167+1</f>
        <v>2022</v>
      </c>
      <c r="F167" s="630">
        <f>E167+1</f>
        <v>2023</v>
      </c>
      <c r="G167" s="630">
        <f>F167+1</f>
        <v>2024</v>
      </c>
      <c r="H167" s="630">
        <f>G167+1</f>
        <v>2025</v>
      </c>
      <c r="I167" s="630">
        <f>H167+1</f>
        <v>2026</v>
      </c>
      <c r="J167" s="125"/>
      <c r="K167" s="125"/>
      <c r="L167" s="125"/>
      <c r="M167" s="125"/>
      <c r="N167" s="125"/>
    </row>
    <row r="168" spans="1:14" ht="12.75" hidden="1" customHeight="1" outlineLevel="1" x14ac:dyDescent="0.2">
      <c r="A168" s="125"/>
      <c r="B168" s="298">
        <v>1</v>
      </c>
      <c r="C168" s="294" t="s">
        <v>87</v>
      </c>
      <c r="D168" s="282">
        <f t="shared" ref="D168:I168" si="74">INDEX(RPBSScriptsChanged,$B160,D161)*INDEX(DPMQCoPayChangedEff,$B160,$B168)</f>
        <v>0</v>
      </c>
      <c r="E168" s="282">
        <f t="shared" si="74"/>
        <v>0</v>
      </c>
      <c r="F168" s="282">
        <f t="shared" si="74"/>
        <v>0</v>
      </c>
      <c r="G168" s="282">
        <f t="shared" si="74"/>
        <v>0</v>
      </c>
      <c r="H168" s="282">
        <f t="shared" si="74"/>
        <v>0</v>
      </c>
      <c r="I168" s="282">
        <f t="shared" si="74"/>
        <v>0</v>
      </c>
      <c r="J168" s="125"/>
      <c r="K168" s="125"/>
      <c r="L168" s="125"/>
      <c r="M168" s="125"/>
      <c r="N168" s="125"/>
    </row>
    <row r="169" spans="1:14" ht="12.75" hidden="1" customHeight="1" outlineLevel="1" x14ac:dyDescent="0.2">
      <c r="A169" s="125"/>
      <c r="B169" s="298">
        <v>4</v>
      </c>
      <c r="C169" s="5" t="s">
        <v>111</v>
      </c>
      <c r="D169" s="282">
        <f t="shared" ref="D169:I169" si="75">INDEX(RPBSScriptsChanged,$B160,D161)*(INDEX(DPMQCoPayChangedEff,$B160,$B169)/INDEX(CoPayCountChanged,$B160))</f>
        <v>0</v>
      </c>
      <c r="E169" s="282">
        <f t="shared" si="75"/>
        <v>0</v>
      </c>
      <c r="F169" s="282">
        <f t="shared" si="75"/>
        <v>0</v>
      </c>
      <c r="G169" s="282">
        <f t="shared" si="75"/>
        <v>0</v>
      </c>
      <c r="H169" s="282">
        <f t="shared" si="75"/>
        <v>0</v>
      </c>
      <c r="I169" s="282">
        <f t="shared" si="75"/>
        <v>0</v>
      </c>
      <c r="J169" s="125"/>
      <c r="K169" s="125"/>
      <c r="L169" s="125"/>
      <c r="M169" s="125"/>
      <c r="N169" s="125"/>
    </row>
    <row r="170" spans="1:14" ht="12.75" hidden="1" customHeight="1" outlineLevel="1" x14ac:dyDescent="0.2">
      <c r="A170" s="125"/>
      <c r="B170" s="300"/>
      <c r="C170" s="5" t="s">
        <v>89</v>
      </c>
      <c r="D170" s="282">
        <f t="shared" ref="D170:I170" si="76">D168+D169</f>
        <v>0</v>
      </c>
      <c r="E170" s="282">
        <f t="shared" si="76"/>
        <v>0</v>
      </c>
      <c r="F170" s="282">
        <f t="shared" si="76"/>
        <v>0</v>
      </c>
      <c r="G170" s="282">
        <f t="shared" si="76"/>
        <v>0</v>
      </c>
      <c r="H170" s="282">
        <f t="shared" si="76"/>
        <v>0</v>
      </c>
      <c r="I170" s="282">
        <f t="shared" si="76"/>
        <v>0</v>
      </c>
      <c r="J170" s="125"/>
      <c r="K170" s="125"/>
      <c r="L170" s="125"/>
      <c r="M170" s="125"/>
      <c r="N170" s="125"/>
    </row>
    <row r="171" spans="1:14" ht="12.75" customHeight="1" collapsed="1" x14ac:dyDescent="0.2">
      <c r="A171" s="125"/>
      <c r="B171" s="300"/>
      <c r="C171" s="658"/>
      <c r="D171" s="658"/>
      <c r="E171" s="658"/>
      <c r="F171" s="36"/>
      <c r="G171" s="36"/>
      <c r="H171" s="36"/>
      <c r="I171" s="36"/>
      <c r="J171" s="36"/>
      <c r="K171" s="36"/>
      <c r="L171" s="36"/>
      <c r="M171" s="36"/>
      <c r="N171" s="36"/>
    </row>
    <row r="172" spans="1:14" ht="15" x14ac:dyDescent="0.2">
      <c r="A172" s="125"/>
      <c r="B172" s="298">
        <v>13</v>
      </c>
      <c r="C172" s="147" t="str">
        <f>IF(SPAChangeFlag&lt;&gt;0,INDEX(PBSScriptsChanged,B172,1),MsgNotRequired)</f>
        <v>** NOT REQUIRED **</v>
      </c>
      <c r="D172" s="139"/>
      <c r="E172" s="139"/>
      <c r="F172" s="139"/>
      <c r="G172" s="139"/>
      <c r="H172" s="139"/>
      <c r="I172" s="139"/>
      <c r="J172" s="132"/>
      <c r="K172" s="132"/>
      <c r="L172" s="821" t="str">
        <f>IF(AND(C172&lt;&gt;MsgNotUsed,C172&lt;&gt;MsgNotRequired),"Co-payment group " &amp; INDEX(DPMQCoPayChangedEff,B172,2),"")</f>
        <v/>
      </c>
      <c r="M172" s="821"/>
      <c r="N172" s="633"/>
    </row>
    <row r="173" spans="1:14" ht="12.75" hidden="1" customHeight="1" outlineLevel="1" x14ac:dyDescent="0.2">
      <c r="A173" s="125"/>
      <c r="B173" s="242">
        <f>INDEX(SAChanged,B172,5)</f>
        <v>0</v>
      </c>
      <c r="C173" s="658"/>
      <c r="D173" s="697">
        <v>2</v>
      </c>
      <c r="E173" s="697">
        <v>3</v>
      </c>
      <c r="F173" s="650">
        <v>4</v>
      </c>
      <c r="G173" s="650">
        <v>5</v>
      </c>
      <c r="H173" s="650">
        <v>6</v>
      </c>
      <c r="I173" s="650">
        <v>7</v>
      </c>
      <c r="J173" s="36"/>
      <c r="K173" s="36"/>
      <c r="L173" s="36"/>
      <c r="M173" s="36"/>
      <c r="N173" s="36"/>
    </row>
    <row r="174" spans="1:14" ht="12.75" hidden="1" customHeight="1" outlineLevel="1" x14ac:dyDescent="0.2">
      <c r="A174" s="125"/>
      <c r="B174" s="300"/>
      <c r="C174" s="125"/>
      <c r="D174" s="630">
        <f>FirstYear</f>
        <v>2021</v>
      </c>
      <c r="E174" s="630">
        <f>D174+1</f>
        <v>2022</v>
      </c>
      <c r="F174" s="630">
        <f>E174+1</f>
        <v>2023</v>
      </c>
      <c r="G174" s="630">
        <f>F174+1</f>
        <v>2024</v>
      </c>
      <c r="H174" s="630">
        <f>G174+1</f>
        <v>2025</v>
      </c>
      <c r="I174" s="630">
        <f>H174+1</f>
        <v>2026</v>
      </c>
      <c r="J174" s="125"/>
      <c r="K174" s="125"/>
      <c r="L174" s="125"/>
      <c r="M174" s="125"/>
      <c r="N174" s="125"/>
    </row>
    <row r="175" spans="1:14" ht="12.75" hidden="1" customHeight="1" outlineLevel="1" x14ac:dyDescent="0.2">
      <c r="A175" s="125"/>
      <c r="B175" s="298">
        <v>1</v>
      </c>
      <c r="C175" s="294" t="s">
        <v>86</v>
      </c>
      <c r="D175" s="282">
        <f t="shared" ref="D175:I175" si="77">INDEX(PBSScriptsChanged,$B172,D173)*INDEX(DPMQCoPayChangedEff,$B172,$B175)</f>
        <v>0</v>
      </c>
      <c r="E175" s="282">
        <f t="shared" si="77"/>
        <v>0</v>
      </c>
      <c r="F175" s="282">
        <f t="shared" si="77"/>
        <v>0</v>
      </c>
      <c r="G175" s="282">
        <f t="shared" si="77"/>
        <v>0</v>
      </c>
      <c r="H175" s="282">
        <f t="shared" si="77"/>
        <v>0</v>
      </c>
      <c r="I175" s="282">
        <f t="shared" si="77"/>
        <v>0</v>
      </c>
      <c r="J175" s="125"/>
      <c r="K175" s="125"/>
      <c r="L175" s="125"/>
      <c r="M175" s="125"/>
      <c r="N175" s="125"/>
    </row>
    <row r="176" spans="1:14" ht="12.75" hidden="1" customHeight="1" outlineLevel="1" x14ac:dyDescent="0.2">
      <c r="A176" s="125"/>
      <c r="B176" s="298">
        <v>3</v>
      </c>
      <c r="C176" s="5" t="s">
        <v>111</v>
      </c>
      <c r="D176" s="282">
        <f t="shared" ref="D176:I176" si="78">INDEX(PBSScriptsChanged,$B172,D173)*(INDEX(DPMQCoPayChangedEff,$B172,$B176)/INDEX(CoPayCountChanged,$B172))</f>
        <v>0</v>
      </c>
      <c r="E176" s="282">
        <f t="shared" si="78"/>
        <v>0</v>
      </c>
      <c r="F176" s="282">
        <f t="shared" si="78"/>
        <v>0</v>
      </c>
      <c r="G176" s="282">
        <f t="shared" si="78"/>
        <v>0</v>
      </c>
      <c r="H176" s="282">
        <f t="shared" si="78"/>
        <v>0</v>
      </c>
      <c r="I176" s="282">
        <f t="shared" si="78"/>
        <v>0</v>
      </c>
      <c r="J176" s="125"/>
      <c r="K176" s="811" t="str">
        <f>IF(B173&lt;&gt;0,MsgNote&amp;IF(B173="Yes",INDEX(CoPayMethod,1),INDEX(CoPayMethod,2)),"")</f>
        <v/>
      </c>
      <c r="L176" s="811"/>
      <c r="M176" s="811"/>
      <c r="N176" s="628"/>
    </row>
    <row r="177" spans="1:14" ht="12.75" hidden="1" customHeight="1" outlineLevel="1" x14ac:dyDescent="0.2">
      <c r="A177" s="125"/>
      <c r="B177" s="300"/>
      <c r="C177" s="5" t="s">
        <v>88</v>
      </c>
      <c r="D177" s="282">
        <f t="shared" ref="D177:I177" si="79">D175+D176</f>
        <v>0</v>
      </c>
      <c r="E177" s="282">
        <f t="shared" si="79"/>
        <v>0</v>
      </c>
      <c r="F177" s="282">
        <f t="shared" si="79"/>
        <v>0</v>
      </c>
      <c r="G177" s="282">
        <f t="shared" si="79"/>
        <v>0</v>
      </c>
      <c r="H177" s="282">
        <f t="shared" si="79"/>
        <v>0</v>
      </c>
      <c r="I177" s="282">
        <f t="shared" si="79"/>
        <v>0</v>
      </c>
      <c r="J177" s="125"/>
      <c r="K177" s="125"/>
      <c r="L177" s="125"/>
      <c r="M177" s="125"/>
      <c r="N177" s="125"/>
    </row>
    <row r="178" spans="1:14" ht="12.75" hidden="1" customHeight="1" outlineLevel="1" x14ac:dyDescent="0.2">
      <c r="A178" s="125"/>
      <c r="B178" s="300"/>
      <c r="C178" s="125"/>
      <c r="D178" s="125"/>
      <c r="E178" s="125"/>
      <c r="F178" s="125"/>
      <c r="G178" s="125"/>
      <c r="H178" s="125"/>
      <c r="I178" s="125"/>
      <c r="J178" s="125"/>
      <c r="K178" s="125"/>
      <c r="L178" s="125"/>
      <c r="M178" s="125"/>
      <c r="N178" s="125"/>
    </row>
    <row r="179" spans="1:14" ht="15.75" hidden="1" customHeight="1" outlineLevel="1" x14ac:dyDescent="0.2">
      <c r="A179" s="125"/>
      <c r="B179" s="300"/>
      <c r="C179" s="655"/>
      <c r="D179" s="630">
        <f>FirstYear</f>
        <v>2021</v>
      </c>
      <c r="E179" s="630">
        <f>D179+1</f>
        <v>2022</v>
      </c>
      <c r="F179" s="630">
        <f>E179+1</f>
        <v>2023</v>
      </c>
      <c r="G179" s="630">
        <f>F179+1</f>
        <v>2024</v>
      </c>
      <c r="H179" s="630">
        <f>G179+1</f>
        <v>2025</v>
      </c>
      <c r="I179" s="630">
        <f>H179+1</f>
        <v>2026</v>
      </c>
      <c r="J179" s="125"/>
      <c r="K179" s="125"/>
      <c r="L179" s="125"/>
      <c r="M179" s="125"/>
      <c r="N179" s="125"/>
    </row>
    <row r="180" spans="1:14" ht="12.75" hidden="1" customHeight="1" outlineLevel="1" x14ac:dyDescent="0.2">
      <c r="A180" s="125"/>
      <c r="B180" s="298">
        <v>1</v>
      </c>
      <c r="C180" s="294" t="s">
        <v>87</v>
      </c>
      <c r="D180" s="282">
        <f t="shared" ref="D180:I180" si="80">INDEX(RPBSScriptsChanged,$B172,D173)*INDEX(DPMQCoPayChangedEff,$B172,$B180)</f>
        <v>0</v>
      </c>
      <c r="E180" s="282">
        <f t="shared" si="80"/>
        <v>0</v>
      </c>
      <c r="F180" s="282">
        <f t="shared" si="80"/>
        <v>0</v>
      </c>
      <c r="G180" s="282">
        <f t="shared" si="80"/>
        <v>0</v>
      </c>
      <c r="H180" s="282">
        <f t="shared" si="80"/>
        <v>0</v>
      </c>
      <c r="I180" s="282">
        <f t="shared" si="80"/>
        <v>0</v>
      </c>
      <c r="J180" s="125"/>
      <c r="K180" s="125"/>
      <c r="L180" s="125"/>
      <c r="M180" s="125"/>
      <c r="N180" s="125"/>
    </row>
    <row r="181" spans="1:14" ht="12.75" hidden="1" customHeight="1" outlineLevel="1" x14ac:dyDescent="0.2">
      <c r="A181" s="125"/>
      <c r="B181" s="298">
        <v>4</v>
      </c>
      <c r="C181" s="5" t="s">
        <v>111</v>
      </c>
      <c r="D181" s="282">
        <f t="shared" ref="D181:I181" si="81">INDEX(RPBSScriptsChanged,$B172,D173)*(INDEX(DPMQCoPayChangedEff,$B172,$B181)/INDEX(CoPayCountChanged,$B172))</f>
        <v>0</v>
      </c>
      <c r="E181" s="282">
        <f t="shared" si="81"/>
        <v>0</v>
      </c>
      <c r="F181" s="282">
        <f t="shared" si="81"/>
        <v>0</v>
      </c>
      <c r="G181" s="282">
        <f t="shared" si="81"/>
        <v>0</v>
      </c>
      <c r="H181" s="282">
        <f t="shared" si="81"/>
        <v>0</v>
      </c>
      <c r="I181" s="282">
        <f t="shared" si="81"/>
        <v>0</v>
      </c>
      <c r="J181" s="125"/>
      <c r="K181" s="125"/>
      <c r="L181" s="125"/>
      <c r="M181" s="125"/>
      <c r="N181" s="125"/>
    </row>
    <row r="182" spans="1:14" ht="12.75" hidden="1" customHeight="1" outlineLevel="1" x14ac:dyDescent="0.2">
      <c r="A182" s="125"/>
      <c r="B182" s="300"/>
      <c r="C182" s="5" t="s">
        <v>89</v>
      </c>
      <c r="D182" s="282">
        <f t="shared" ref="D182:I182" si="82">D180+D181</f>
        <v>0</v>
      </c>
      <c r="E182" s="282">
        <f t="shared" si="82"/>
        <v>0</v>
      </c>
      <c r="F182" s="282">
        <f t="shared" si="82"/>
        <v>0</v>
      </c>
      <c r="G182" s="282">
        <f t="shared" si="82"/>
        <v>0</v>
      </c>
      <c r="H182" s="282">
        <f t="shared" si="82"/>
        <v>0</v>
      </c>
      <c r="I182" s="282">
        <f t="shared" si="82"/>
        <v>0</v>
      </c>
      <c r="J182" s="125"/>
      <c r="K182" s="125"/>
      <c r="L182" s="125"/>
      <c r="M182" s="125"/>
      <c r="N182" s="125"/>
    </row>
    <row r="183" spans="1:14" ht="12.75" customHeight="1" collapsed="1" x14ac:dyDescent="0.2">
      <c r="A183" s="125"/>
      <c r="B183" s="300"/>
      <c r="C183" s="658"/>
      <c r="D183" s="658"/>
      <c r="E183" s="658"/>
      <c r="F183" s="36"/>
      <c r="G183" s="36"/>
      <c r="H183" s="36"/>
      <c r="I183" s="36"/>
      <c r="J183" s="36"/>
      <c r="K183" s="36"/>
      <c r="L183" s="36"/>
      <c r="M183" s="36"/>
      <c r="N183" s="36"/>
    </row>
    <row r="184" spans="1:14" ht="15" x14ac:dyDescent="0.2">
      <c r="A184" s="125"/>
      <c r="B184" s="298">
        <v>14</v>
      </c>
      <c r="C184" s="147" t="str">
        <f>IF(SPAChangeFlag&lt;&gt;0,INDEX(PBSScriptsChanged,B184,1),MsgNotRequired)</f>
        <v>** NOT REQUIRED **</v>
      </c>
      <c r="D184" s="139"/>
      <c r="E184" s="139"/>
      <c r="F184" s="139"/>
      <c r="G184" s="139"/>
      <c r="H184" s="139"/>
      <c r="I184" s="139"/>
      <c r="J184" s="132"/>
      <c r="K184" s="132"/>
      <c r="L184" s="821" t="str">
        <f>IF(AND(C184&lt;&gt;MsgNotUsed,C184&lt;&gt;MsgNotRequired),"Co-payment group " &amp; INDEX(DPMQCoPayChangedEff,B184,2),"")</f>
        <v/>
      </c>
      <c r="M184" s="821"/>
      <c r="N184" s="633"/>
    </row>
    <row r="185" spans="1:14" ht="12.75" hidden="1" customHeight="1" outlineLevel="1" x14ac:dyDescent="0.2">
      <c r="A185" s="125"/>
      <c r="B185" s="242">
        <f>INDEX(SAChanged,B184,5)</f>
        <v>0</v>
      </c>
      <c r="C185" s="658"/>
      <c r="D185" s="697">
        <v>2</v>
      </c>
      <c r="E185" s="697">
        <v>3</v>
      </c>
      <c r="F185" s="650">
        <v>4</v>
      </c>
      <c r="G185" s="650">
        <v>5</v>
      </c>
      <c r="H185" s="650">
        <v>6</v>
      </c>
      <c r="I185" s="650">
        <v>7</v>
      </c>
      <c r="J185" s="36"/>
      <c r="K185" s="36"/>
      <c r="L185" s="36"/>
      <c r="M185" s="36"/>
      <c r="N185" s="36"/>
    </row>
    <row r="186" spans="1:14" ht="12.75" hidden="1" customHeight="1" outlineLevel="1" x14ac:dyDescent="0.2">
      <c r="A186" s="125"/>
      <c r="B186" s="300"/>
      <c r="C186" s="125"/>
      <c r="D186" s="630">
        <f>FirstYear</f>
        <v>2021</v>
      </c>
      <c r="E186" s="630">
        <f>D186+1</f>
        <v>2022</v>
      </c>
      <c r="F186" s="630">
        <f>E186+1</f>
        <v>2023</v>
      </c>
      <c r="G186" s="630">
        <f>F186+1</f>
        <v>2024</v>
      </c>
      <c r="H186" s="630">
        <f>G186+1</f>
        <v>2025</v>
      </c>
      <c r="I186" s="630">
        <f>H186+1</f>
        <v>2026</v>
      </c>
      <c r="J186" s="125"/>
      <c r="K186" s="125"/>
      <c r="L186" s="125"/>
      <c r="M186" s="125"/>
      <c r="N186" s="125"/>
    </row>
    <row r="187" spans="1:14" ht="12.75" hidden="1" customHeight="1" outlineLevel="1" x14ac:dyDescent="0.2">
      <c r="A187" s="125"/>
      <c r="B187" s="298">
        <v>1</v>
      </c>
      <c r="C187" s="294" t="s">
        <v>86</v>
      </c>
      <c r="D187" s="282">
        <f t="shared" ref="D187:I187" si="83">INDEX(PBSScriptsChanged,$B184,D185)*INDEX(DPMQCoPayChangedEff,$B184,$B187)</f>
        <v>0</v>
      </c>
      <c r="E187" s="282">
        <f t="shared" si="83"/>
        <v>0</v>
      </c>
      <c r="F187" s="282">
        <f t="shared" si="83"/>
        <v>0</v>
      </c>
      <c r="G187" s="282">
        <f t="shared" si="83"/>
        <v>0</v>
      </c>
      <c r="H187" s="282">
        <f t="shared" si="83"/>
        <v>0</v>
      </c>
      <c r="I187" s="282">
        <f t="shared" si="83"/>
        <v>0</v>
      </c>
      <c r="J187" s="125"/>
      <c r="K187" s="125"/>
      <c r="L187" s="125"/>
      <c r="M187" s="125"/>
      <c r="N187" s="125"/>
    </row>
    <row r="188" spans="1:14" ht="12.75" hidden="1" customHeight="1" outlineLevel="1" x14ac:dyDescent="0.2">
      <c r="A188" s="125"/>
      <c r="B188" s="298">
        <v>3</v>
      </c>
      <c r="C188" s="5" t="s">
        <v>111</v>
      </c>
      <c r="D188" s="282">
        <f t="shared" ref="D188:I188" si="84">INDEX(PBSScriptsChanged,$B184,D185)*(INDEX(DPMQCoPayChangedEff,$B184,$B188)/INDEX(CoPayCountChanged,$B184))</f>
        <v>0</v>
      </c>
      <c r="E188" s="282">
        <f t="shared" si="84"/>
        <v>0</v>
      </c>
      <c r="F188" s="282">
        <f t="shared" si="84"/>
        <v>0</v>
      </c>
      <c r="G188" s="282">
        <f t="shared" si="84"/>
        <v>0</v>
      </c>
      <c r="H188" s="282">
        <f t="shared" si="84"/>
        <v>0</v>
      </c>
      <c r="I188" s="282">
        <f t="shared" si="84"/>
        <v>0</v>
      </c>
      <c r="J188" s="125"/>
      <c r="K188" s="811" t="str">
        <f>IF(B185&lt;&gt;0,MsgNote&amp;IF(B185="Yes",INDEX(CoPayMethod,1),INDEX(CoPayMethod,2)),"")</f>
        <v/>
      </c>
      <c r="L188" s="811"/>
      <c r="M188" s="811"/>
      <c r="N188" s="628"/>
    </row>
    <row r="189" spans="1:14" ht="12.75" hidden="1" customHeight="1" outlineLevel="1" x14ac:dyDescent="0.2">
      <c r="A189" s="125"/>
      <c r="B189" s="300"/>
      <c r="C189" s="5" t="s">
        <v>88</v>
      </c>
      <c r="D189" s="282">
        <f t="shared" ref="D189:I189" si="85">D187+D188</f>
        <v>0</v>
      </c>
      <c r="E189" s="282">
        <f t="shared" si="85"/>
        <v>0</v>
      </c>
      <c r="F189" s="282">
        <f t="shared" si="85"/>
        <v>0</v>
      </c>
      <c r="G189" s="282">
        <f t="shared" si="85"/>
        <v>0</v>
      </c>
      <c r="H189" s="282">
        <f t="shared" si="85"/>
        <v>0</v>
      </c>
      <c r="I189" s="282">
        <f t="shared" si="85"/>
        <v>0</v>
      </c>
      <c r="J189" s="125"/>
      <c r="K189" s="125"/>
      <c r="L189" s="125"/>
      <c r="M189" s="125"/>
      <c r="N189" s="125"/>
    </row>
    <row r="190" spans="1:14" ht="12.75" hidden="1" customHeight="1" outlineLevel="1" x14ac:dyDescent="0.2">
      <c r="A190" s="125"/>
      <c r="B190" s="300"/>
      <c r="C190" s="125"/>
      <c r="D190" s="125"/>
      <c r="E190" s="125"/>
      <c r="F190" s="125"/>
      <c r="G190" s="125"/>
      <c r="H190" s="125"/>
      <c r="I190" s="125"/>
      <c r="J190" s="125"/>
      <c r="K190" s="125"/>
      <c r="L190" s="125"/>
      <c r="M190" s="125"/>
      <c r="N190" s="125"/>
    </row>
    <row r="191" spans="1:14" ht="15.75" hidden="1" customHeight="1" outlineLevel="1" x14ac:dyDescent="0.2">
      <c r="A191" s="125"/>
      <c r="B191" s="300"/>
      <c r="C191" s="655"/>
      <c r="D191" s="630">
        <f>FirstYear</f>
        <v>2021</v>
      </c>
      <c r="E191" s="630">
        <f>D191+1</f>
        <v>2022</v>
      </c>
      <c r="F191" s="630">
        <f>E191+1</f>
        <v>2023</v>
      </c>
      <c r="G191" s="630">
        <f>F191+1</f>
        <v>2024</v>
      </c>
      <c r="H191" s="630">
        <f>G191+1</f>
        <v>2025</v>
      </c>
      <c r="I191" s="630">
        <f>H191+1</f>
        <v>2026</v>
      </c>
      <c r="J191" s="125"/>
      <c r="K191" s="125"/>
      <c r="L191" s="125"/>
      <c r="M191" s="125"/>
      <c r="N191" s="125"/>
    </row>
    <row r="192" spans="1:14" ht="12.75" hidden="1" customHeight="1" outlineLevel="1" x14ac:dyDescent="0.2">
      <c r="A192" s="125"/>
      <c r="B192" s="298">
        <v>1</v>
      </c>
      <c r="C192" s="294" t="s">
        <v>87</v>
      </c>
      <c r="D192" s="282">
        <f t="shared" ref="D192:I192" si="86">INDEX(RPBSScriptsChanged,$B184,D185)*INDEX(DPMQCoPayChangedEff,$B184,$B192)</f>
        <v>0</v>
      </c>
      <c r="E192" s="282">
        <f t="shared" si="86"/>
        <v>0</v>
      </c>
      <c r="F192" s="282">
        <f t="shared" si="86"/>
        <v>0</v>
      </c>
      <c r="G192" s="282">
        <f t="shared" si="86"/>
        <v>0</v>
      </c>
      <c r="H192" s="282">
        <f t="shared" si="86"/>
        <v>0</v>
      </c>
      <c r="I192" s="282">
        <f t="shared" si="86"/>
        <v>0</v>
      </c>
      <c r="J192" s="125"/>
      <c r="K192" s="125"/>
      <c r="L192" s="125"/>
      <c r="M192" s="125"/>
      <c r="N192" s="125"/>
    </row>
    <row r="193" spans="1:14" ht="12.75" hidden="1" customHeight="1" outlineLevel="1" x14ac:dyDescent="0.2">
      <c r="A193" s="125"/>
      <c r="B193" s="298">
        <v>4</v>
      </c>
      <c r="C193" s="5" t="s">
        <v>111</v>
      </c>
      <c r="D193" s="282">
        <f t="shared" ref="D193:I193" si="87">INDEX(RPBSScriptsChanged,$B184,D185)*(INDEX(DPMQCoPayChangedEff,$B184,$B193)/INDEX(CoPayCountChanged,$B184))</f>
        <v>0</v>
      </c>
      <c r="E193" s="282">
        <f t="shared" si="87"/>
        <v>0</v>
      </c>
      <c r="F193" s="282">
        <f t="shared" si="87"/>
        <v>0</v>
      </c>
      <c r="G193" s="282">
        <f t="shared" si="87"/>
        <v>0</v>
      </c>
      <c r="H193" s="282">
        <f t="shared" si="87"/>
        <v>0</v>
      </c>
      <c r="I193" s="282">
        <f t="shared" si="87"/>
        <v>0</v>
      </c>
      <c r="J193" s="125"/>
      <c r="K193" s="125"/>
      <c r="L193" s="125"/>
      <c r="M193" s="125"/>
      <c r="N193" s="125"/>
    </row>
    <row r="194" spans="1:14" ht="12.75" hidden="1" customHeight="1" outlineLevel="1" x14ac:dyDescent="0.2">
      <c r="A194" s="125"/>
      <c r="B194" s="300"/>
      <c r="C194" s="5" t="s">
        <v>89</v>
      </c>
      <c r="D194" s="282">
        <f t="shared" ref="D194:I194" si="88">D192+D193</f>
        <v>0</v>
      </c>
      <c r="E194" s="282">
        <f t="shared" si="88"/>
        <v>0</v>
      </c>
      <c r="F194" s="282">
        <f t="shared" si="88"/>
        <v>0</v>
      </c>
      <c r="G194" s="282">
        <f t="shared" si="88"/>
        <v>0</v>
      </c>
      <c r="H194" s="282">
        <f t="shared" si="88"/>
        <v>0</v>
      </c>
      <c r="I194" s="282">
        <f t="shared" si="88"/>
        <v>0</v>
      </c>
      <c r="J194" s="125"/>
      <c r="K194" s="125"/>
      <c r="L194" s="125"/>
      <c r="M194" s="125"/>
      <c r="N194" s="125"/>
    </row>
    <row r="195" spans="1:14" ht="12.75" customHeight="1" collapsed="1" x14ac:dyDescent="0.2">
      <c r="A195" s="125"/>
      <c r="B195" s="300"/>
      <c r="C195" s="658"/>
      <c r="D195" s="658"/>
      <c r="E195" s="658"/>
      <c r="F195" s="36"/>
      <c r="G195" s="36"/>
      <c r="H195" s="36"/>
      <c r="I195" s="36"/>
      <c r="J195" s="36"/>
      <c r="K195" s="36"/>
      <c r="L195" s="36"/>
      <c r="M195" s="36"/>
      <c r="N195" s="36"/>
    </row>
    <row r="196" spans="1:14" ht="15" x14ac:dyDescent="0.2">
      <c r="A196" s="125"/>
      <c r="B196" s="298">
        <v>15</v>
      </c>
      <c r="C196" s="147" t="str">
        <f>IF(SPAChangeFlag&lt;&gt;0,INDEX(PBSScriptsChanged,B196,1),MsgNotRequired)</f>
        <v>** NOT REQUIRED **</v>
      </c>
      <c r="D196" s="139"/>
      <c r="E196" s="139"/>
      <c r="F196" s="139"/>
      <c r="G196" s="139"/>
      <c r="H196" s="139"/>
      <c r="I196" s="139"/>
      <c r="J196" s="132"/>
      <c r="K196" s="132"/>
      <c r="L196" s="821" t="str">
        <f>IF(AND(C196&lt;&gt;MsgNotUsed,C196&lt;&gt;MsgNotRequired),"Co-payment group " &amp; INDEX(DPMQCoPayChangedEff,B196,2),"")</f>
        <v/>
      </c>
      <c r="M196" s="821"/>
      <c r="N196" s="633"/>
    </row>
    <row r="197" spans="1:14" ht="12.75" hidden="1" customHeight="1" outlineLevel="1" x14ac:dyDescent="0.2">
      <c r="A197" s="125"/>
      <c r="B197" s="242">
        <f>INDEX(SAChanged,B196,5)</f>
        <v>0</v>
      </c>
      <c r="C197" s="658"/>
      <c r="D197" s="697">
        <v>2</v>
      </c>
      <c r="E197" s="697">
        <v>3</v>
      </c>
      <c r="F197" s="650">
        <v>4</v>
      </c>
      <c r="G197" s="650">
        <v>5</v>
      </c>
      <c r="H197" s="650">
        <v>6</v>
      </c>
      <c r="I197" s="650">
        <v>7</v>
      </c>
      <c r="J197" s="36"/>
      <c r="K197" s="36"/>
      <c r="L197" s="36"/>
      <c r="M197" s="36"/>
      <c r="N197" s="36"/>
    </row>
    <row r="198" spans="1:14" ht="12.75" hidden="1" customHeight="1" outlineLevel="1" x14ac:dyDescent="0.2">
      <c r="A198" s="125"/>
      <c r="B198" s="300"/>
      <c r="C198" s="125"/>
      <c r="D198" s="630">
        <f>FirstYear</f>
        <v>2021</v>
      </c>
      <c r="E198" s="630">
        <f>D198+1</f>
        <v>2022</v>
      </c>
      <c r="F198" s="630">
        <f>E198+1</f>
        <v>2023</v>
      </c>
      <c r="G198" s="630">
        <f>F198+1</f>
        <v>2024</v>
      </c>
      <c r="H198" s="630">
        <f>G198+1</f>
        <v>2025</v>
      </c>
      <c r="I198" s="630">
        <f>H198+1</f>
        <v>2026</v>
      </c>
      <c r="J198" s="125"/>
      <c r="K198" s="125"/>
      <c r="L198" s="125"/>
      <c r="M198" s="125"/>
      <c r="N198" s="125"/>
    </row>
    <row r="199" spans="1:14" ht="12.75" hidden="1" customHeight="1" outlineLevel="1" x14ac:dyDescent="0.2">
      <c r="A199" s="125"/>
      <c r="B199" s="298">
        <v>1</v>
      </c>
      <c r="C199" s="294" t="s">
        <v>86</v>
      </c>
      <c r="D199" s="282">
        <f t="shared" ref="D199:I199" si="89">INDEX(PBSScriptsChanged,$B196,D197)*INDEX(DPMQCoPayChangedEff,$B196,$B199)</f>
        <v>0</v>
      </c>
      <c r="E199" s="282">
        <f t="shared" si="89"/>
        <v>0</v>
      </c>
      <c r="F199" s="282">
        <f t="shared" si="89"/>
        <v>0</v>
      </c>
      <c r="G199" s="282">
        <f t="shared" si="89"/>
        <v>0</v>
      </c>
      <c r="H199" s="282">
        <f t="shared" si="89"/>
        <v>0</v>
      </c>
      <c r="I199" s="282">
        <f t="shared" si="89"/>
        <v>0</v>
      </c>
      <c r="J199" s="125"/>
      <c r="K199" s="125"/>
      <c r="L199" s="125"/>
      <c r="M199" s="125"/>
      <c r="N199" s="125"/>
    </row>
    <row r="200" spans="1:14" ht="12.75" hidden="1" customHeight="1" outlineLevel="1" x14ac:dyDescent="0.2">
      <c r="A200" s="125"/>
      <c r="B200" s="298">
        <v>3</v>
      </c>
      <c r="C200" s="5" t="s">
        <v>111</v>
      </c>
      <c r="D200" s="282">
        <f t="shared" ref="D200:I200" si="90">INDEX(PBSScriptsChanged,$B196,D197)*(INDEX(DPMQCoPayChangedEff,$B196,$B200)/INDEX(CoPayCountChanged,$B196))</f>
        <v>0</v>
      </c>
      <c r="E200" s="282">
        <f t="shared" si="90"/>
        <v>0</v>
      </c>
      <c r="F200" s="282">
        <f t="shared" si="90"/>
        <v>0</v>
      </c>
      <c r="G200" s="282">
        <f t="shared" si="90"/>
        <v>0</v>
      </c>
      <c r="H200" s="282">
        <f t="shared" si="90"/>
        <v>0</v>
      </c>
      <c r="I200" s="282">
        <f t="shared" si="90"/>
        <v>0</v>
      </c>
      <c r="J200" s="125"/>
      <c r="K200" s="811" t="str">
        <f>IF(B197&lt;&gt;0,MsgNote&amp;IF(B197="Yes",INDEX(CoPayMethod,1),INDEX(CoPayMethod,2)),"")</f>
        <v/>
      </c>
      <c r="L200" s="811"/>
      <c r="M200" s="811"/>
      <c r="N200" s="628"/>
    </row>
    <row r="201" spans="1:14" ht="12.75" hidden="1" customHeight="1" outlineLevel="1" x14ac:dyDescent="0.2">
      <c r="A201" s="125"/>
      <c r="B201" s="300"/>
      <c r="C201" s="5" t="s">
        <v>88</v>
      </c>
      <c r="D201" s="282">
        <f t="shared" ref="D201:I201" si="91">D199+D200</f>
        <v>0</v>
      </c>
      <c r="E201" s="282">
        <f t="shared" si="91"/>
        <v>0</v>
      </c>
      <c r="F201" s="282">
        <f t="shared" si="91"/>
        <v>0</v>
      </c>
      <c r="G201" s="282">
        <f t="shared" si="91"/>
        <v>0</v>
      </c>
      <c r="H201" s="282">
        <f t="shared" si="91"/>
        <v>0</v>
      </c>
      <c r="I201" s="282">
        <f t="shared" si="91"/>
        <v>0</v>
      </c>
      <c r="J201" s="125"/>
      <c r="K201" s="125"/>
      <c r="L201" s="125"/>
      <c r="M201" s="125"/>
      <c r="N201" s="125"/>
    </row>
    <row r="202" spans="1:14" ht="12.75" hidden="1" customHeight="1" outlineLevel="1" x14ac:dyDescent="0.2">
      <c r="A202" s="125"/>
      <c r="B202" s="300"/>
      <c r="C202" s="125"/>
      <c r="D202" s="125"/>
      <c r="E202" s="125"/>
      <c r="F202" s="125"/>
      <c r="G202" s="125"/>
      <c r="H202" s="125"/>
      <c r="I202" s="125"/>
      <c r="J202" s="125"/>
      <c r="K202" s="125"/>
      <c r="L202" s="125"/>
      <c r="M202" s="125"/>
      <c r="N202" s="125"/>
    </row>
    <row r="203" spans="1:14" ht="15.75" hidden="1" customHeight="1" outlineLevel="1" x14ac:dyDescent="0.2">
      <c r="A203" s="125"/>
      <c r="B203" s="300"/>
      <c r="C203" s="655"/>
      <c r="D203" s="630">
        <f>FirstYear</f>
        <v>2021</v>
      </c>
      <c r="E203" s="630">
        <f>D203+1</f>
        <v>2022</v>
      </c>
      <c r="F203" s="630">
        <f>E203+1</f>
        <v>2023</v>
      </c>
      <c r="G203" s="630">
        <f>F203+1</f>
        <v>2024</v>
      </c>
      <c r="H203" s="630">
        <f>G203+1</f>
        <v>2025</v>
      </c>
      <c r="I203" s="630">
        <f>H203+1</f>
        <v>2026</v>
      </c>
      <c r="J203" s="125"/>
      <c r="K203" s="125"/>
      <c r="L203" s="125"/>
      <c r="M203" s="125"/>
      <c r="N203" s="125"/>
    </row>
    <row r="204" spans="1:14" ht="12.75" hidden="1" customHeight="1" outlineLevel="1" x14ac:dyDescent="0.2">
      <c r="A204" s="125"/>
      <c r="B204" s="298">
        <v>1</v>
      </c>
      <c r="C204" s="294" t="s">
        <v>87</v>
      </c>
      <c r="D204" s="282">
        <f t="shared" ref="D204:I204" si="92">INDEX(RPBSScriptsChanged,$B196,D197)*INDEX(DPMQCoPayChangedEff,$B196,$B204)</f>
        <v>0</v>
      </c>
      <c r="E204" s="282">
        <f t="shared" si="92"/>
        <v>0</v>
      </c>
      <c r="F204" s="282">
        <f t="shared" si="92"/>
        <v>0</v>
      </c>
      <c r="G204" s="282">
        <f t="shared" si="92"/>
        <v>0</v>
      </c>
      <c r="H204" s="282">
        <f t="shared" si="92"/>
        <v>0</v>
      </c>
      <c r="I204" s="282">
        <f t="shared" si="92"/>
        <v>0</v>
      </c>
      <c r="J204" s="125"/>
      <c r="K204" s="125"/>
      <c r="L204" s="125"/>
      <c r="M204" s="125"/>
      <c r="N204" s="125"/>
    </row>
    <row r="205" spans="1:14" ht="12.75" hidden="1" customHeight="1" outlineLevel="1" x14ac:dyDescent="0.2">
      <c r="A205" s="125"/>
      <c r="B205" s="298">
        <v>4</v>
      </c>
      <c r="C205" s="5" t="s">
        <v>111</v>
      </c>
      <c r="D205" s="282">
        <f t="shared" ref="D205:I205" si="93">INDEX(RPBSScriptsChanged,$B196,D197)*(INDEX(DPMQCoPayChangedEff,$B196,$B205)/INDEX(CoPayCountChanged,$B196))</f>
        <v>0</v>
      </c>
      <c r="E205" s="282">
        <f t="shared" si="93"/>
        <v>0</v>
      </c>
      <c r="F205" s="282">
        <f t="shared" si="93"/>
        <v>0</v>
      </c>
      <c r="G205" s="282">
        <f t="shared" si="93"/>
        <v>0</v>
      </c>
      <c r="H205" s="282">
        <f t="shared" si="93"/>
        <v>0</v>
      </c>
      <c r="I205" s="282">
        <f t="shared" si="93"/>
        <v>0</v>
      </c>
      <c r="J205" s="125"/>
      <c r="K205" s="125"/>
      <c r="L205" s="125"/>
      <c r="M205" s="125"/>
      <c r="N205" s="125"/>
    </row>
    <row r="206" spans="1:14" ht="12.75" hidden="1" customHeight="1" outlineLevel="1" x14ac:dyDescent="0.2">
      <c r="A206" s="125"/>
      <c r="B206" s="300"/>
      <c r="C206" s="5" t="s">
        <v>89</v>
      </c>
      <c r="D206" s="282">
        <f t="shared" ref="D206:I206" si="94">D204+D205</f>
        <v>0</v>
      </c>
      <c r="E206" s="282">
        <f t="shared" si="94"/>
        <v>0</v>
      </c>
      <c r="F206" s="282">
        <f t="shared" si="94"/>
        <v>0</v>
      </c>
      <c r="G206" s="282">
        <f t="shared" si="94"/>
        <v>0</v>
      </c>
      <c r="H206" s="282">
        <f t="shared" si="94"/>
        <v>0</v>
      </c>
      <c r="I206" s="282">
        <f t="shared" si="94"/>
        <v>0</v>
      </c>
      <c r="J206" s="125"/>
      <c r="K206" s="125"/>
      <c r="L206" s="125"/>
      <c r="M206" s="125"/>
      <c r="N206" s="125"/>
    </row>
    <row r="207" spans="1:14" ht="12.75" customHeight="1" collapsed="1" x14ac:dyDescent="0.2">
      <c r="A207" s="125"/>
      <c r="B207" s="300"/>
      <c r="C207" s="658"/>
      <c r="D207" s="658"/>
      <c r="E207" s="658"/>
      <c r="F207" s="36"/>
      <c r="G207" s="36"/>
      <c r="H207" s="36"/>
      <c r="I207" s="36"/>
      <c r="J207" s="36"/>
      <c r="K207" s="36"/>
      <c r="L207" s="36"/>
      <c r="M207" s="36"/>
      <c r="N207" s="36"/>
    </row>
    <row r="208" spans="1:14" ht="15" x14ac:dyDescent="0.2">
      <c r="A208" s="125"/>
      <c r="B208" s="298">
        <v>16</v>
      </c>
      <c r="C208" s="147" t="str">
        <f>IF(SPAChangeFlag&lt;&gt;0,INDEX(PBSScriptsChanged,B208,1),MsgNotRequired)</f>
        <v>** NOT REQUIRED **</v>
      </c>
      <c r="D208" s="139"/>
      <c r="E208" s="139"/>
      <c r="F208" s="139"/>
      <c r="G208" s="139"/>
      <c r="H208" s="139"/>
      <c r="I208" s="139"/>
      <c r="J208" s="132"/>
      <c r="K208" s="132"/>
      <c r="L208" s="821" t="str">
        <f>IF(AND(C208&lt;&gt;MsgNotUsed,C208&lt;&gt;MsgNotRequired),"Co-payment group " &amp; INDEX(DPMQCoPayChangedEff,B208,2),"")</f>
        <v/>
      </c>
      <c r="M208" s="821"/>
      <c r="N208" s="633"/>
    </row>
    <row r="209" spans="1:14" ht="12.75" hidden="1" customHeight="1" outlineLevel="1" x14ac:dyDescent="0.2">
      <c r="A209" s="125"/>
      <c r="B209" s="242">
        <f>INDEX(SAChanged,B208,5)</f>
        <v>0</v>
      </c>
      <c r="C209" s="658"/>
      <c r="D209" s="697">
        <v>2</v>
      </c>
      <c r="E209" s="697">
        <v>3</v>
      </c>
      <c r="F209" s="650">
        <v>4</v>
      </c>
      <c r="G209" s="650">
        <v>5</v>
      </c>
      <c r="H209" s="650">
        <v>6</v>
      </c>
      <c r="I209" s="650">
        <v>7</v>
      </c>
      <c r="J209" s="36"/>
      <c r="K209" s="36"/>
      <c r="L209" s="36"/>
      <c r="M209" s="36"/>
      <c r="N209" s="36"/>
    </row>
    <row r="210" spans="1:14" ht="12.75" hidden="1" customHeight="1" outlineLevel="1" x14ac:dyDescent="0.2">
      <c r="A210" s="125"/>
      <c r="B210" s="300"/>
      <c r="C210" s="125"/>
      <c r="D210" s="630">
        <f>FirstYear</f>
        <v>2021</v>
      </c>
      <c r="E210" s="630">
        <f>D210+1</f>
        <v>2022</v>
      </c>
      <c r="F210" s="630">
        <f>E210+1</f>
        <v>2023</v>
      </c>
      <c r="G210" s="630">
        <f>F210+1</f>
        <v>2024</v>
      </c>
      <c r="H210" s="630">
        <f>G210+1</f>
        <v>2025</v>
      </c>
      <c r="I210" s="630">
        <f>H210+1</f>
        <v>2026</v>
      </c>
      <c r="J210" s="125"/>
      <c r="K210" s="125"/>
      <c r="L210" s="125"/>
      <c r="M210" s="125"/>
      <c r="N210" s="125"/>
    </row>
    <row r="211" spans="1:14" ht="12.75" hidden="1" customHeight="1" outlineLevel="1" x14ac:dyDescent="0.2">
      <c r="A211" s="125"/>
      <c r="B211" s="298">
        <v>1</v>
      </c>
      <c r="C211" s="294" t="s">
        <v>86</v>
      </c>
      <c r="D211" s="282">
        <f t="shared" ref="D211:I211" si="95">INDEX(PBSScriptsChanged,$B208,D209)*INDEX(DPMQCoPayChangedEff,$B208,$B211)</f>
        <v>0</v>
      </c>
      <c r="E211" s="282">
        <f t="shared" si="95"/>
        <v>0</v>
      </c>
      <c r="F211" s="282">
        <f t="shared" si="95"/>
        <v>0</v>
      </c>
      <c r="G211" s="282">
        <f t="shared" si="95"/>
        <v>0</v>
      </c>
      <c r="H211" s="282">
        <f t="shared" si="95"/>
        <v>0</v>
      </c>
      <c r="I211" s="282">
        <f t="shared" si="95"/>
        <v>0</v>
      </c>
      <c r="J211" s="125"/>
      <c r="K211" s="125"/>
      <c r="L211" s="125"/>
      <c r="M211" s="125"/>
      <c r="N211" s="125"/>
    </row>
    <row r="212" spans="1:14" ht="12.75" hidden="1" customHeight="1" outlineLevel="1" x14ac:dyDescent="0.2">
      <c r="A212" s="125"/>
      <c r="B212" s="298">
        <v>3</v>
      </c>
      <c r="C212" s="5" t="s">
        <v>111</v>
      </c>
      <c r="D212" s="282">
        <f t="shared" ref="D212:I212" si="96">INDEX(PBSScriptsChanged,$B208,D209)*(INDEX(DPMQCoPayChangedEff,$B208,$B212)/INDEX(CoPayCountChanged,$B208))</f>
        <v>0</v>
      </c>
      <c r="E212" s="282">
        <f t="shared" si="96"/>
        <v>0</v>
      </c>
      <c r="F212" s="282">
        <f t="shared" si="96"/>
        <v>0</v>
      </c>
      <c r="G212" s="282">
        <f t="shared" si="96"/>
        <v>0</v>
      </c>
      <c r="H212" s="282">
        <f t="shared" si="96"/>
        <v>0</v>
      </c>
      <c r="I212" s="282">
        <f t="shared" si="96"/>
        <v>0</v>
      </c>
      <c r="J212" s="125"/>
      <c r="K212" s="811" t="str">
        <f>IF(B209&lt;&gt;0,MsgNote&amp;IF(B209="Yes",INDEX(CoPayMethod,1),INDEX(CoPayMethod,2)),"")</f>
        <v/>
      </c>
      <c r="L212" s="811"/>
      <c r="M212" s="811"/>
      <c r="N212" s="628"/>
    </row>
    <row r="213" spans="1:14" ht="12.75" hidden="1" customHeight="1" outlineLevel="1" x14ac:dyDescent="0.2">
      <c r="A213" s="125"/>
      <c r="B213" s="300"/>
      <c r="C213" s="5" t="s">
        <v>88</v>
      </c>
      <c r="D213" s="282">
        <f t="shared" ref="D213:I213" si="97">D211+D212</f>
        <v>0</v>
      </c>
      <c r="E213" s="282">
        <f t="shared" si="97"/>
        <v>0</v>
      </c>
      <c r="F213" s="282">
        <f t="shared" si="97"/>
        <v>0</v>
      </c>
      <c r="G213" s="282">
        <f t="shared" si="97"/>
        <v>0</v>
      </c>
      <c r="H213" s="282">
        <f t="shared" si="97"/>
        <v>0</v>
      </c>
      <c r="I213" s="282">
        <f t="shared" si="97"/>
        <v>0</v>
      </c>
      <c r="J213" s="125"/>
      <c r="K213" s="125"/>
      <c r="L213" s="125"/>
      <c r="M213" s="125"/>
      <c r="N213" s="125"/>
    </row>
    <row r="214" spans="1:14" ht="12.75" hidden="1" customHeight="1" outlineLevel="1" x14ac:dyDescent="0.2">
      <c r="A214" s="125"/>
      <c r="B214" s="300"/>
      <c r="C214" s="125"/>
      <c r="D214" s="125"/>
      <c r="E214" s="125"/>
      <c r="F214" s="125"/>
      <c r="G214" s="125"/>
      <c r="H214" s="125"/>
      <c r="I214" s="125"/>
      <c r="J214" s="125"/>
      <c r="K214" s="125"/>
      <c r="L214" s="125"/>
      <c r="M214" s="125"/>
      <c r="N214" s="125"/>
    </row>
    <row r="215" spans="1:14" ht="15.75" hidden="1" customHeight="1" outlineLevel="1" x14ac:dyDescent="0.2">
      <c r="A215" s="125"/>
      <c r="B215" s="300"/>
      <c r="C215" s="655"/>
      <c r="D215" s="630">
        <f>FirstYear</f>
        <v>2021</v>
      </c>
      <c r="E215" s="630">
        <f>D215+1</f>
        <v>2022</v>
      </c>
      <c r="F215" s="630">
        <f>E215+1</f>
        <v>2023</v>
      </c>
      <c r="G215" s="630">
        <f>F215+1</f>
        <v>2024</v>
      </c>
      <c r="H215" s="630">
        <f>G215+1</f>
        <v>2025</v>
      </c>
      <c r="I215" s="630">
        <f>H215+1</f>
        <v>2026</v>
      </c>
      <c r="J215" s="125"/>
      <c r="K215" s="125"/>
      <c r="L215" s="125"/>
      <c r="M215" s="125"/>
      <c r="N215" s="125"/>
    </row>
    <row r="216" spans="1:14" ht="12.75" hidden="1" customHeight="1" outlineLevel="1" x14ac:dyDescent="0.2">
      <c r="A216" s="125"/>
      <c r="B216" s="298">
        <v>1</v>
      </c>
      <c r="C216" s="294" t="s">
        <v>87</v>
      </c>
      <c r="D216" s="282">
        <f t="shared" ref="D216:I216" si="98">INDEX(RPBSScriptsChanged,$B208,D209)*INDEX(DPMQCoPayChangedEff,$B208,$B216)</f>
        <v>0</v>
      </c>
      <c r="E216" s="282">
        <f t="shared" si="98"/>
        <v>0</v>
      </c>
      <c r="F216" s="282">
        <f t="shared" si="98"/>
        <v>0</v>
      </c>
      <c r="G216" s="282">
        <f t="shared" si="98"/>
        <v>0</v>
      </c>
      <c r="H216" s="282">
        <f t="shared" si="98"/>
        <v>0</v>
      </c>
      <c r="I216" s="282">
        <f t="shared" si="98"/>
        <v>0</v>
      </c>
      <c r="J216" s="125"/>
      <c r="K216" s="125"/>
      <c r="L216" s="125"/>
      <c r="M216" s="125"/>
      <c r="N216" s="125"/>
    </row>
    <row r="217" spans="1:14" ht="12.75" hidden="1" customHeight="1" outlineLevel="1" x14ac:dyDescent="0.2">
      <c r="A217" s="125"/>
      <c r="B217" s="298">
        <v>4</v>
      </c>
      <c r="C217" s="5" t="s">
        <v>111</v>
      </c>
      <c r="D217" s="282">
        <f t="shared" ref="D217:I217" si="99">INDEX(RPBSScriptsChanged,$B208,D209)*(INDEX(DPMQCoPayChangedEff,$B208,$B217)/INDEX(CoPayCountChanged,$B208))</f>
        <v>0</v>
      </c>
      <c r="E217" s="282">
        <f t="shared" si="99"/>
        <v>0</v>
      </c>
      <c r="F217" s="282">
        <f t="shared" si="99"/>
        <v>0</v>
      </c>
      <c r="G217" s="282">
        <f t="shared" si="99"/>
        <v>0</v>
      </c>
      <c r="H217" s="282">
        <f t="shared" si="99"/>
        <v>0</v>
      </c>
      <c r="I217" s="282">
        <f t="shared" si="99"/>
        <v>0</v>
      </c>
      <c r="J217" s="125"/>
      <c r="K217" s="125"/>
      <c r="L217" s="125"/>
      <c r="M217" s="125"/>
      <c r="N217" s="125"/>
    </row>
    <row r="218" spans="1:14" ht="12.75" hidden="1" customHeight="1" outlineLevel="1" x14ac:dyDescent="0.2">
      <c r="A218" s="125"/>
      <c r="B218" s="300"/>
      <c r="C218" s="5" t="s">
        <v>89</v>
      </c>
      <c r="D218" s="282">
        <f t="shared" ref="D218:I218" si="100">D216+D217</f>
        <v>0</v>
      </c>
      <c r="E218" s="282">
        <f t="shared" si="100"/>
        <v>0</v>
      </c>
      <c r="F218" s="282">
        <f t="shared" si="100"/>
        <v>0</v>
      </c>
      <c r="G218" s="282">
        <f t="shared" si="100"/>
        <v>0</v>
      </c>
      <c r="H218" s="282">
        <f t="shared" si="100"/>
        <v>0</v>
      </c>
      <c r="I218" s="282">
        <f t="shared" si="100"/>
        <v>0</v>
      </c>
      <c r="J218" s="125"/>
      <c r="K218" s="125"/>
      <c r="L218" s="125"/>
      <c r="M218" s="125"/>
      <c r="N218" s="125"/>
    </row>
    <row r="219" spans="1:14" ht="12.75" customHeight="1" collapsed="1" x14ac:dyDescent="0.2">
      <c r="A219" s="125"/>
      <c r="B219" s="300"/>
      <c r="C219" s="658"/>
      <c r="D219" s="658"/>
      <c r="E219" s="658"/>
      <c r="F219" s="36"/>
      <c r="G219" s="36"/>
      <c r="H219" s="36"/>
      <c r="I219" s="36"/>
      <c r="J219" s="36"/>
      <c r="K219" s="36"/>
      <c r="L219" s="36"/>
      <c r="M219" s="36"/>
      <c r="N219" s="36"/>
    </row>
    <row r="220" spans="1:14" ht="15" x14ac:dyDescent="0.2">
      <c r="A220" s="125"/>
      <c r="B220" s="298">
        <v>17</v>
      </c>
      <c r="C220" s="147" t="str">
        <f>IF(SPAChangeFlag&lt;&gt;0,INDEX(PBSScriptsChanged,B220,1),MsgNotRequired)</f>
        <v>** NOT REQUIRED **</v>
      </c>
      <c r="D220" s="139"/>
      <c r="E220" s="139"/>
      <c r="F220" s="139"/>
      <c r="G220" s="139"/>
      <c r="H220" s="139"/>
      <c r="I220" s="139"/>
      <c r="J220" s="132"/>
      <c r="K220" s="132"/>
      <c r="L220" s="821" t="str">
        <f>IF(AND(C220&lt;&gt;MsgNotUsed,C220&lt;&gt;MsgNotRequired),"Co-payment group " &amp; INDEX(DPMQCoPayChangedEff,B220,2),"")</f>
        <v/>
      </c>
      <c r="M220" s="821"/>
      <c r="N220" s="633"/>
    </row>
    <row r="221" spans="1:14" ht="12.75" hidden="1" customHeight="1" outlineLevel="1" x14ac:dyDescent="0.2">
      <c r="A221" s="125"/>
      <c r="B221" s="242">
        <f>INDEX(SAChanged,B220,5)</f>
        <v>0</v>
      </c>
      <c r="C221" s="658"/>
      <c r="D221" s="697">
        <v>2</v>
      </c>
      <c r="E221" s="697">
        <v>3</v>
      </c>
      <c r="F221" s="650">
        <v>4</v>
      </c>
      <c r="G221" s="650">
        <v>5</v>
      </c>
      <c r="H221" s="650">
        <v>6</v>
      </c>
      <c r="I221" s="650">
        <v>7</v>
      </c>
      <c r="J221" s="36"/>
      <c r="K221" s="36"/>
      <c r="L221" s="36"/>
      <c r="M221" s="36"/>
      <c r="N221" s="36"/>
    </row>
    <row r="222" spans="1:14" ht="12.75" hidden="1" customHeight="1" outlineLevel="1" x14ac:dyDescent="0.2">
      <c r="A222" s="125"/>
      <c r="B222" s="300"/>
      <c r="C222" s="125"/>
      <c r="D222" s="630">
        <f>FirstYear</f>
        <v>2021</v>
      </c>
      <c r="E222" s="630">
        <f>D222+1</f>
        <v>2022</v>
      </c>
      <c r="F222" s="630">
        <f>E222+1</f>
        <v>2023</v>
      </c>
      <c r="G222" s="630">
        <f>F222+1</f>
        <v>2024</v>
      </c>
      <c r="H222" s="630">
        <f>G222+1</f>
        <v>2025</v>
      </c>
      <c r="I222" s="630">
        <f>H222+1</f>
        <v>2026</v>
      </c>
      <c r="J222" s="125"/>
      <c r="K222" s="125"/>
      <c r="L222" s="125"/>
      <c r="M222" s="125"/>
      <c r="N222" s="125"/>
    </row>
    <row r="223" spans="1:14" ht="12.75" hidden="1" customHeight="1" outlineLevel="1" x14ac:dyDescent="0.2">
      <c r="A223" s="125"/>
      <c r="B223" s="298">
        <v>1</v>
      </c>
      <c r="C223" s="294" t="s">
        <v>86</v>
      </c>
      <c r="D223" s="282">
        <f t="shared" ref="D223:I223" si="101">INDEX(PBSScriptsChanged,$B220,D221)*INDEX(DPMQCoPayChangedEff,$B220,$B223)</f>
        <v>0</v>
      </c>
      <c r="E223" s="282">
        <f t="shared" si="101"/>
        <v>0</v>
      </c>
      <c r="F223" s="282">
        <f t="shared" si="101"/>
        <v>0</v>
      </c>
      <c r="G223" s="282">
        <f t="shared" si="101"/>
        <v>0</v>
      </c>
      <c r="H223" s="282">
        <f t="shared" si="101"/>
        <v>0</v>
      </c>
      <c r="I223" s="282">
        <f t="shared" si="101"/>
        <v>0</v>
      </c>
      <c r="J223" s="125"/>
      <c r="K223" s="125"/>
      <c r="L223" s="125"/>
      <c r="M223" s="125"/>
      <c r="N223" s="125"/>
    </row>
    <row r="224" spans="1:14" ht="12.75" hidden="1" customHeight="1" outlineLevel="1" x14ac:dyDescent="0.2">
      <c r="A224" s="125"/>
      <c r="B224" s="298">
        <v>3</v>
      </c>
      <c r="C224" s="5" t="s">
        <v>111</v>
      </c>
      <c r="D224" s="282">
        <f t="shared" ref="D224:I224" si="102">INDEX(PBSScriptsChanged,$B220,D221)*(INDEX(DPMQCoPayChangedEff,$B220,$B224)/INDEX(CoPayCountChanged,$B220))</f>
        <v>0</v>
      </c>
      <c r="E224" s="282">
        <f t="shared" si="102"/>
        <v>0</v>
      </c>
      <c r="F224" s="282">
        <f t="shared" si="102"/>
        <v>0</v>
      </c>
      <c r="G224" s="282">
        <f t="shared" si="102"/>
        <v>0</v>
      </c>
      <c r="H224" s="282">
        <f t="shared" si="102"/>
        <v>0</v>
      </c>
      <c r="I224" s="282">
        <f t="shared" si="102"/>
        <v>0</v>
      </c>
      <c r="J224" s="125"/>
      <c r="K224" s="811" t="str">
        <f>IF(B221&lt;&gt;0,MsgNote&amp;IF(B221="Yes",INDEX(CoPayMethod,1),INDEX(CoPayMethod,2)),"")</f>
        <v/>
      </c>
      <c r="L224" s="811"/>
      <c r="M224" s="811"/>
      <c r="N224" s="628"/>
    </row>
    <row r="225" spans="1:14" ht="12.75" hidden="1" customHeight="1" outlineLevel="1" x14ac:dyDescent="0.2">
      <c r="A225" s="125"/>
      <c r="B225" s="300"/>
      <c r="C225" s="5" t="s">
        <v>88</v>
      </c>
      <c r="D225" s="282">
        <f t="shared" ref="D225:I225" si="103">D223+D224</f>
        <v>0</v>
      </c>
      <c r="E225" s="282">
        <f t="shared" si="103"/>
        <v>0</v>
      </c>
      <c r="F225" s="282">
        <f t="shared" si="103"/>
        <v>0</v>
      </c>
      <c r="G225" s="282">
        <f t="shared" si="103"/>
        <v>0</v>
      </c>
      <c r="H225" s="282">
        <f t="shared" si="103"/>
        <v>0</v>
      </c>
      <c r="I225" s="282">
        <f t="shared" si="103"/>
        <v>0</v>
      </c>
      <c r="J225" s="125"/>
      <c r="K225" s="125"/>
      <c r="L225" s="125"/>
      <c r="M225" s="125"/>
      <c r="N225" s="125"/>
    </row>
    <row r="226" spans="1:14" ht="12.75" hidden="1" customHeight="1" outlineLevel="1" x14ac:dyDescent="0.2">
      <c r="A226" s="125"/>
      <c r="B226" s="300"/>
      <c r="C226" s="125"/>
      <c r="D226" s="125"/>
      <c r="E226" s="125"/>
      <c r="F226" s="125"/>
      <c r="G226" s="125"/>
      <c r="H226" s="125"/>
      <c r="I226" s="125"/>
      <c r="J226" s="125"/>
      <c r="K226" s="125"/>
      <c r="L226" s="125"/>
      <c r="M226" s="125"/>
      <c r="N226" s="125"/>
    </row>
    <row r="227" spans="1:14" ht="15.75" hidden="1" customHeight="1" outlineLevel="1" x14ac:dyDescent="0.2">
      <c r="A227" s="125"/>
      <c r="B227" s="300"/>
      <c r="C227" s="655"/>
      <c r="D227" s="630">
        <f>FirstYear</f>
        <v>2021</v>
      </c>
      <c r="E227" s="630">
        <f>D227+1</f>
        <v>2022</v>
      </c>
      <c r="F227" s="630">
        <f>E227+1</f>
        <v>2023</v>
      </c>
      <c r="G227" s="630">
        <f>F227+1</f>
        <v>2024</v>
      </c>
      <c r="H227" s="630">
        <f>G227+1</f>
        <v>2025</v>
      </c>
      <c r="I227" s="630">
        <f>H227+1</f>
        <v>2026</v>
      </c>
      <c r="J227" s="125"/>
      <c r="K227" s="125"/>
      <c r="L227" s="125"/>
      <c r="M227" s="125"/>
      <c r="N227" s="125"/>
    </row>
    <row r="228" spans="1:14" ht="12.75" hidden="1" customHeight="1" outlineLevel="1" x14ac:dyDescent="0.2">
      <c r="A228" s="125"/>
      <c r="B228" s="298">
        <v>1</v>
      </c>
      <c r="C228" s="294" t="s">
        <v>87</v>
      </c>
      <c r="D228" s="282">
        <f t="shared" ref="D228:I228" si="104">INDEX(RPBSScriptsChanged,$B220,D221)*INDEX(DPMQCoPayChangedEff,$B220,$B228)</f>
        <v>0</v>
      </c>
      <c r="E228" s="282">
        <f t="shared" si="104"/>
        <v>0</v>
      </c>
      <c r="F228" s="282">
        <f t="shared" si="104"/>
        <v>0</v>
      </c>
      <c r="G228" s="282">
        <f t="shared" si="104"/>
        <v>0</v>
      </c>
      <c r="H228" s="282">
        <f t="shared" si="104"/>
        <v>0</v>
      </c>
      <c r="I228" s="282">
        <f t="shared" si="104"/>
        <v>0</v>
      </c>
      <c r="J228" s="125"/>
      <c r="K228" s="125"/>
      <c r="L228" s="125"/>
      <c r="M228" s="125"/>
      <c r="N228" s="125"/>
    </row>
    <row r="229" spans="1:14" ht="12.75" hidden="1" customHeight="1" outlineLevel="1" x14ac:dyDescent="0.2">
      <c r="A229" s="125"/>
      <c r="B229" s="298">
        <v>4</v>
      </c>
      <c r="C229" s="5" t="s">
        <v>111</v>
      </c>
      <c r="D229" s="282">
        <f t="shared" ref="D229:I229" si="105">INDEX(RPBSScriptsChanged,$B220,D221)*(INDEX(DPMQCoPayChangedEff,$B220,$B229)/INDEX(CoPayCountChanged,$B220))</f>
        <v>0</v>
      </c>
      <c r="E229" s="282">
        <f t="shared" si="105"/>
        <v>0</v>
      </c>
      <c r="F229" s="282">
        <f t="shared" si="105"/>
        <v>0</v>
      </c>
      <c r="G229" s="282">
        <f t="shared" si="105"/>
        <v>0</v>
      </c>
      <c r="H229" s="282">
        <f t="shared" si="105"/>
        <v>0</v>
      </c>
      <c r="I229" s="282">
        <f t="shared" si="105"/>
        <v>0</v>
      </c>
      <c r="J229" s="125"/>
      <c r="K229" s="125"/>
      <c r="L229" s="125"/>
      <c r="M229" s="125"/>
      <c r="N229" s="125"/>
    </row>
    <row r="230" spans="1:14" ht="12.75" hidden="1" customHeight="1" outlineLevel="1" x14ac:dyDescent="0.2">
      <c r="A230" s="125"/>
      <c r="B230" s="300"/>
      <c r="C230" s="5" t="s">
        <v>89</v>
      </c>
      <c r="D230" s="282">
        <f t="shared" ref="D230:I230" si="106">D228+D229</f>
        <v>0</v>
      </c>
      <c r="E230" s="282">
        <f t="shared" si="106"/>
        <v>0</v>
      </c>
      <c r="F230" s="282">
        <f t="shared" si="106"/>
        <v>0</v>
      </c>
      <c r="G230" s="282">
        <f t="shared" si="106"/>
        <v>0</v>
      </c>
      <c r="H230" s="282">
        <f t="shared" si="106"/>
        <v>0</v>
      </c>
      <c r="I230" s="282">
        <f t="shared" si="106"/>
        <v>0</v>
      </c>
      <c r="J230" s="125"/>
      <c r="K230" s="125"/>
      <c r="L230" s="125"/>
      <c r="M230" s="125"/>
      <c r="N230" s="125"/>
    </row>
    <row r="231" spans="1:14" ht="12.75" customHeight="1" collapsed="1" x14ac:dyDescent="0.2">
      <c r="A231" s="125"/>
      <c r="B231" s="300"/>
      <c r="C231" s="658"/>
      <c r="D231" s="658"/>
      <c r="E231" s="658"/>
      <c r="F231" s="36"/>
      <c r="G231" s="36"/>
      <c r="H231" s="36"/>
      <c r="I231" s="36"/>
      <c r="J231" s="36"/>
      <c r="K231" s="36"/>
      <c r="L231" s="36"/>
      <c r="M231" s="36"/>
      <c r="N231" s="36"/>
    </row>
    <row r="232" spans="1:14" ht="15" x14ac:dyDescent="0.2">
      <c r="A232" s="125"/>
      <c r="B232" s="298">
        <v>18</v>
      </c>
      <c r="C232" s="147" t="str">
        <f>IF(SPAChangeFlag&lt;&gt;0,INDEX(PBSScriptsChanged,B232,1),MsgNotRequired)</f>
        <v>** NOT REQUIRED **</v>
      </c>
      <c r="D232" s="139"/>
      <c r="E232" s="139"/>
      <c r="F232" s="139"/>
      <c r="G232" s="139"/>
      <c r="H232" s="139"/>
      <c r="I232" s="139"/>
      <c r="J232" s="132"/>
      <c r="K232" s="132"/>
      <c r="L232" s="821" t="str">
        <f>IF(AND(C232&lt;&gt;MsgNotUsed,C232&lt;&gt;MsgNotRequired),"Co-payment group " &amp; INDEX(DPMQCoPayChangedEff,B232,2),"")</f>
        <v/>
      </c>
      <c r="M232" s="821"/>
      <c r="N232" s="633"/>
    </row>
    <row r="233" spans="1:14" ht="12.75" hidden="1" customHeight="1" outlineLevel="1" x14ac:dyDescent="0.2">
      <c r="A233" s="125"/>
      <c r="B233" s="242">
        <f>INDEX(SAChanged,B232,5)</f>
        <v>0</v>
      </c>
      <c r="C233" s="658"/>
      <c r="D233" s="697">
        <v>2</v>
      </c>
      <c r="E233" s="697">
        <v>3</v>
      </c>
      <c r="F233" s="650">
        <v>4</v>
      </c>
      <c r="G233" s="650">
        <v>5</v>
      </c>
      <c r="H233" s="650">
        <v>6</v>
      </c>
      <c r="I233" s="650">
        <v>7</v>
      </c>
      <c r="J233" s="36"/>
      <c r="K233" s="36"/>
      <c r="L233" s="36"/>
      <c r="M233" s="36"/>
      <c r="N233" s="36"/>
    </row>
    <row r="234" spans="1:14" ht="12.75" hidden="1" customHeight="1" outlineLevel="1" x14ac:dyDescent="0.2">
      <c r="A234" s="125"/>
      <c r="B234" s="300"/>
      <c r="C234" s="125"/>
      <c r="D234" s="630">
        <f>FirstYear</f>
        <v>2021</v>
      </c>
      <c r="E234" s="630">
        <f>D234+1</f>
        <v>2022</v>
      </c>
      <c r="F234" s="630">
        <f>E234+1</f>
        <v>2023</v>
      </c>
      <c r="G234" s="630">
        <f>F234+1</f>
        <v>2024</v>
      </c>
      <c r="H234" s="630">
        <f>G234+1</f>
        <v>2025</v>
      </c>
      <c r="I234" s="630">
        <f>H234+1</f>
        <v>2026</v>
      </c>
      <c r="J234" s="125"/>
      <c r="K234" s="125"/>
      <c r="L234" s="125"/>
      <c r="M234" s="125"/>
      <c r="N234" s="125"/>
    </row>
    <row r="235" spans="1:14" ht="12.75" hidden="1" customHeight="1" outlineLevel="1" x14ac:dyDescent="0.2">
      <c r="A235" s="125"/>
      <c r="B235" s="298">
        <v>1</v>
      </c>
      <c r="C235" s="294" t="s">
        <v>86</v>
      </c>
      <c r="D235" s="282">
        <f t="shared" ref="D235:I235" si="107">INDEX(PBSScriptsChanged,$B232,D233)*INDEX(DPMQCoPayChangedEff,$B232,$B235)</f>
        <v>0</v>
      </c>
      <c r="E235" s="282">
        <f t="shared" si="107"/>
        <v>0</v>
      </c>
      <c r="F235" s="282">
        <f t="shared" si="107"/>
        <v>0</v>
      </c>
      <c r="G235" s="282">
        <f t="shared" si="107"/>
        <v>0</v>
      </c>
      <c r="H235" s="282">
        <f t="shared" si="107"/>
        <v>0</v>
      </c>
      <c r="I235" s="282">
        <f t="shared" si="107"/>
        <v>0</v>
      </c>
      <c r="J235" s="125"/>
      <c r="K235" s="125"/>
      <c r="L235" s="125"/>
      <c r="M235" s="125"/>
      <c r="N235" s="125"/>
    </row>
    <row r="236" spans="1:14" ht="12.75" hidden="1" customHeight="1" outlineLevel="1" x14ac:dyDescent="0.2">
      <c r="A236" s="125"/>
      <c r="B236" s="298">
        <v>3</v>
      </c>
      <c r="C236" s="5" t="s">
        <v>111</v>
      </c>
      <c r="D236" s="282">
        <f t="shared" ref="D236:I236" si="108">INDEX(PBSScriptsChanged,$B232,D233)*(INDEX(DPMQCoPayChangedEff,$B232,$B236)/INDEX(CoPayCountChanged,$B232))</f>
        <v>0</v>
      </c>
      <c r="E236" s="282">
        <f t="shared" si="108"/>
        <v>0</v>
      </c>
      <c r="F236" s="282">
        <f t="shared" si="108"/>
        <v>0</v>
      </c>
      <c r="G236" s="282">
        <f t="shared" si="108"/>
        <v>0</v>
      </c>
      <c r="H236" s="282">
        <f t="shared" si="108"/>
        <v>0</v>
      </c>
      <c r="I236" s="282">
        <f t="shared" si="108"/>
        <v>0</v>
      </c>
      <c r="J236" s="125"/>
      <c r="K236" s="811" t="str">
        <f>IF(B233&lt;&gt;0,MsgNote&amp;IF(B233="Yes",INDEX(CoPayMethod,1),INDEX(CoPayMethod,2)),"")</f>
        <v/>
      </c>
      <c r="L236" s="811"/>
      <c r="M236" s="811"/>
      <c r="N236" s="628"/>
    </row>
    <row r="237" spans="1:14" ht="12.75" hidden="1" customHeight="1" outlineLevel="1" x14ac:dyDescent="0.2">
      <c r="A237" s="125"/>
      <c r="B237" s="300"/>
      <c r="C237" s="5" t="s">
        <v>88</v>
      </c>
      <c r="D237" s="282">
        <f t="shared" ref="D237:I237" si="109">D235+D236</f>
        <v>0</v>
      </c>
      <c r="E237" s="282">
        <f t="shared" si="109"/>
        <v>0</v>
      </c>
      <c r="F237" s="282">
        <f t="shared" si="109"/>
        <v>0</v>
      </c>
      <c r="G237" s="282">
        <f t="shared" si="109"/>
        <v>0</v>
      </c>
      <c r="H237" s="282">
        <f t="shared" si="109"/>
        <v>0</v>
      </c>
      <c r="I237" s="282">
        <f t="shared" si="109"/>
        <v>0</v>
      </c>
      <c r="J237" s="125"/>
      <c r="K237" s="125"/>
      <c r="L237" s="125"/>
      <c r="M237" s="125"/>
      <c r="N237" s="125"/>
    </row>
    <row r="238" spans="1:14" ht="12.75" hidden="1" customHeight="1" outlineLevel="1" x14ac:dyDescent="0.2">
      <c r="A238" s="125"/>
      <c r="B238" s="300"/>
      <c r="C238" s="125"/>
      <c r="D238" s="125"/>
      <c r="E238" s="125"/>
      <c r="F238" s="125"/>
      <c r="G238" s="125"/>
      <c r="H238" s="125"/>
      <c r="I238" s="125"/>
      <c r="J238" s="125"/>
      <c r="K238" s="125"/>
      <c r="L238" s="125"/>
      <c r="M238" s="125"/>
      <c r="N238" s="125"/>
    </row>
    <row r="239" spans="1:14" ht="15.75" hidden="1" customHeight="1" outlineLevel="1" x14ac:dyDescent="0.2">
      <c r="A239" s="125"/>
      <c r="B239" s="300"/>
      <c r="C239" s="655"/>
      <c r="D239" s="630">
        <f>FirstYear</f>
        <v>2021</v>
      </c>
      <c r="E239" s="630">
        <f>D239+1</f>
        <v>2022</v>
      </c>
      <c r="F239" s="630">
        <f>E239+1</f>
        <v>2023</v>
      </c>
      <c r="G239" s="630">
        <f>F239+1</f>
        <v>2024</v>
      </c>
      <c r="H239" s="630">
        <f>G239+1</f>
        <v>2025</v>
      </c>
      <c r="I239" s="630">
        <f>H239+1</f>
        <v>2026</v>
      </c>
      <c r="J239" s="125"/>
      <c r="K239" s="125"/>
      <c r="L239" s="125"/>
      <c r="M239" s="125"/>
      <c r="N239" s="125"/>
    </row>
    <row r="240" spans="1:14" ht="12.75" hidden="1" customHeight="1" outlineLevel="1" x14ac:dyDescent="0.2">
      <c r="A240" s="125"/>
      <c r="B240" s="298">
        <v>1</v>
      </c>
      <c r="C240" s="294" t="s">
        <v>87</v>
      </c>
      <c r="D240" s="282">
        <f t="shared" ref="D240:I240" si="110">INDEX(RPBSScriptsChanged,$B232,D233)*INDEX(DPMQCoPayChangedEff,$B232,$B240)</f>
        <v>0</v>
      </c>
      <c r="E240" s="282">
        <f t="shared" si="110"/>
        <v>0</v>
      </c>
      <c r="F240" s="282">
        <f t="shared" si="110"/>
        <v>0</v>
      </c>
      <c r="G240" s="282">
        <f t="shared" si="110"/>
        <v>0</v>
      </c>
      <c r="H240" s="282">
        <f t="shared" si="110"/>
        <v>0</v>
      </c>
      <c r="I240" s="282">
        <f t="shared" si="110"/>
        <v>0</v>
      </c>
      <c r="J240" s="125"/>
      <c r="K240" s="125"/>
      <c r="L240" s="125"/>
      <c r="M240" s="125"/>
      <c r="N240" s="125"/>
    </row>
    <row r="241" spans="1:14" ht="12.75" hidden="1" customHeight="1" outlineLevel="1" x14ac:dyDescent="0.2">
      <c r="A241" s="125"/>
      <c r="B241" s="298">
        <v>4</v>
      </c>
      <c r="C241" s="5" t="s">
        <v>111</v>
      </c>
      <c r="D241" s="282">
        <f t="shared" ref="D241:I241" si="111">INDEX(RPBSScriptsChanged,$B232,D233)*(INDEX(DPMQCoPayChangedEff,$B232,$B241)/INDEX(CoPayCountChanged,$B232))</f>
        <v>0</v>
      </c>
      <c r="E241" s="282">
        <f t="shared" si="111"/>
        <v>0</v>
      </c>
      <c r="F241" s="282">
        <f t="shared" si="111"/>
        <v>0</v>
      </c>
      <c r="G241" s="282">
        <f t="shared" si="111"/>
        <v>0</v>
      </c>
      <c r="H241" s="282">
        <f t="shared" si="111"/>
        <v>0</v>
      </c>
      <c r="I241" s="282">
        <f t="shared" si="111"/>
        <v>0</v>
      </c>
      <c r="J241" s="125"/>
      <c r="K241" s="125"/>
      <c r="L241" s="125"/>
      <c r="M241" s="125"/>
      <c r="N241" s="125"/>
    </row>
    <row r="242" spans="1:14" ht="12.75" hidden="1" customHeight="1" outlineLevel="1" x14ac:dyDescent="0.2">
      <c r="A242" s="125"/>
      <c r="B242" s="300"/>
      <c r="C242" s="5" t="s">
        <v>89</v>
      </c>
      <c r="D242" s="282">
        <f t="shared" ref="D242:I242" si="112">D240+D241</f>
        <v>0</v>
      </c>
      <c r="E242" s="282">
        <f t="shared" si="112"/>
        <v>0</v>
      </c>
      <c r="F242" s="282">
        <f t="shared" si="112"/>
        <v>0</v>
      </c>
      <c r="G242" s="282">
        <f t="shared" si="112"/>
        <v>0</v>
      </c>
      <c r="H242" s="282">
        <f t="shared" si="112"/>
        <v>0</v>
      </c>
      <c r="I242" s="282">
        <f t="shared" si="112"/>
        <v>0</v>
      </c>
      <c r="J242" s="125"/>
      <c r="K242" s="125"/>
      <c r="L242" s="125"/>
      <c r="M242" s="125"/>
      <c r="N242" s="125"/>
    </row>
    <row r="243" spans="1:14" ht="12.75" customHeight="1" collapsed="1" x14ac:dyDescent="0.2">
      <c r="A243" s="125"/>
      <c r="B243" s="300"/>
      <c r="C243" s="658"/>
      <c r="D243" s="658"/>
      <c r="E243" s="658"/>
      <c r="F243" s="36"/>
      <c r="G243" s="36"/>
      <c r="H243" s="36"/>
      <c r="I243" s="36"/>
      <c r="J243" s="36"/>
      <c r="K243" s="36"/>
      <c r="L243" s="36"/>
      <c r="M243" s="36"/>
      <c r="N243" s="36"/>
    </row>
    <row r="244" spans="1:14" ht="15" x14ac:dyDescent="0.2">
      <c r="A244" s="125"/>
      <c r="B244" s="298">
        <v>19</v>
      </c>
      <c r="C244" s="147" t="str">
        <f>IF(SPAChangeFlag&lt;&gt;0,INDEX(PBSScriptsChanged,B244,1),MsgNotRequired)</f>
        <v>** NOT REQUIRED **</v>
      </c>
      <c r="D244" s="139"/>
      <c r="E244" s="139"/>
      <c r="F244" s="139"/>
      <c r="G244" s="139"/>
      <c r="H244" s="139"/>
      <c r="I244" s="139"/>
      <c r="J244" s="132"/>
      <c r="K244" s="132"/>
      <c r="L244" s="821" t="str">
        <f>IF(AND(C244&lt;&gt;MsgNotUsed,C244&lt;&gt;MsgNotRequired),"Co-payment group " &amp; INDEX(DPMQCoPayChangedEff,B244,2),"")</f>
        <v/>
      </c>
      <c r="M244" s="821"/>
      <c r="N244" s="633"/>
    </row>
    <row r="245" spans="1:14" ht="12.75" hidden="1" customHeight="1" outlineLevel="1" x14ac:dyDescent="0.2">
      <c r="A245" s="125"/>
      <c r="B245" s="242">
        <f>INDEX(SAChanged,B244,5)</f>
        <v>0</v>
      </c>
      <c r="C245" s="658"/>
      <c r="D245" s="697">
        <v>2</v>
      </c>
      <c r="E245" s="697">
        <v>3</v>
      </c>
      <c r="F245" s="650">
        <v>4</v>
      </c>
      <c r="G245" s="650">
        <v>5</v>
      </c>
      <c r="H245" s="650">
        <v>6</v>
      </c>
      <c r="I245" s="650">
        <v>7</v>
      </c>
      <c r="J245" s="36"/>
      <c r="K245" s="36"/>
      <c r="L245" s="36"/>
      <c r="M245" s="36"/>
      <c r="N245" s="36"/>
    </row>
    <row r="246" spans="1:14" ht="12.75" hidden="1" customHeight="1" outlineLevel="1" x14ac:dyDescent="0.2">
      <c r="A246" s="125"/>
      <c r="B246" s="300"/>
      <c r="C246" s="125"/>
      <c r="D246" s="630">
        <f>FirstYear</f>
        <v>2021</v>
      </c>
      <c r="E246" s="630">
        <f>D246+1</f>
        <v>2022</v>
      </c>
      <c r="F246" s="630">
        <f>E246+1</f>
        <v>2023</v>
      </c>
      <c r="G246" s="630">
        <f>F246+1</f>
        <v>2024</v>
      </c>
      <c r="H246" s="630">
        <f>G246+1</f>
        <v>2025</v>
      </c>
      <c r="I246" s="630">
        <f>H246+1</f>
        <v>2026</v>
      </c>
      <c r="J246" s="125"/>
      <c r="K246" s="125"/>
      <c r="L246" s="125"/>
      <c r="M246" s="125"/>
      <c r="N246" s="125"/>
    </row>
    <row r="247" spans="1:14" ht="12.75" hidden="1" customHeight="1" outlineLevel="1" x14ac:dyDescent="0.2">
      <c r="A247" s="125"/>
      <c r="B247" s="298">
        <v>1</v>
      </c>
      <c r="C247" s="294" t="s">
        <v>86</v>
      </c>
      <c r="D247" s="282">
        <f t="shared" ref="D247:I247" si="113">INDEX(PBSScriptsChanged,$B244,D245)*INDEX(DPMQCoPayChangedEff,$B244,$B247)</f>
        <v>0</v>
      </c>
      <c r="E247" s="282">
        <f t="shared" si="113"/>
        <v>0</v>
      </c>
      <c r="F247" s="282">
        <f t="shared" si="113"/>
        <v>0</v>
      </c>
      <c r="G247" s="282">
        <f t="shared" si="113"/>
        <v>0</v>
      </c>
      <c r="H247" s="282">
        <f t="shared" si="113"/>
        <v>0</v>
      </c>
      <c r="I247" s="282">
        <f t="shared" si="113"/>
        <v>0</v>
      </c>
      <c r="J247" s="125"/>
      <c r="K247" s="125"/>
      <c r="L247" s="125"/>
      <c r="M247" s="125"/>
      <c r="N247" s="125"/>
    </row>
    <row r="248" spans="1:14" ht="12.75" hidden="1" customHeight="1" outlineLevel="1" x14ac:dyDescent="0.2">
      <c r="A248" s="125"/>
      <c r="B248" s="298">
        <v>3</v>
      </c>
      <c r="C248" s="5" t="s">
        <v>111</v>
      </c>
      <c r="D248" s="282">
        <f t="shared" ref="D248:I248" si="114">INDEX(PBSScriptsChanged,$B244,D245)*(INDEX(DPMQCoPayChangedEff,$B244,$B248)/INDEX(CoPayCountChanged,$B244))</f>
        <v>0</v>
      </c>
      <c r="E248" s="282">
        <f t="shared" si="114"/>
        <v>0</v>
      </c>
      <c r="F248" s="282">
        <f t="shared" si="114"/>
        <v>0</v>
      </c>
      <c r="G248" s="282">
        <f t="shared" si="114"/>
        <v>0</v>
      </c>
      <c r="H248" s="282">
        <f t="shared" si="114"/>
        <v>0</v>
      </c>
      <c r="I248" s="282">
        <f t="shared" si="114"/>
        <v>0</v>
      </c>
      <c r="J248" s="125"/>
      <c r="K248" s="811" t="str">
        <f>IF(B245&lt;&gt;0,MsgNote&amp;IF(B245="Yes",INDEX(CoPayMethod,1),INDEX(CoPayMethod,2)),"")</f>
        <v/>
      </c>
      <c r="L248" s="811"/>
      <c r="M248" s="811"/>
      <c r="N248" s="628"/>
    </row>
    <row r="249" spans="1:14" ht="12.75" hidden="1" customHeight="1" outlineLevel="1" x14ac:dyDescent="0.2">
      <c r="A249" s="125"/>
      <c r="B249" s="300"/>
      <c r="C249" s="5" t="s">
        <v>88</v>
      </c>
      <c r="D249" s="282">
        <f t="shared" ref="D249:I249" si="115">D247+D248</f>
        <v>0</v>
      </c>
      <c r="E249" s="282">
        <f t="shared" si="115"/>
        <v>0</v>
      </c>
      <c r="F249" s="282">
        <f t="shared" si="115"/>
        <v>0</v>
      </c>
      <c r="G249" s="282">
        <f t="shared" si="115"/>
        <v>0</v>
      </c>
      <c r="H249" s="282">
        <f t="shared" si="115"/>
        <v>0</v>
      </c>
      <c r="I249" s="282">
        <f t="shared" si="115"/>
        <v>0</v>
      </c>
      <c r="J249" s="125"/>
      <c r="K249" s="125"/>
      <c r="L249" s="125"/>
      <c r="M249" s="125"/>
      <c r="N249" s="125"/>
    </row>
    <row r="250" spans="1:14" ht="12.75" hidden="1" customHeight="1" outlineLevel="1" x14ac:dyDescent="0.2">
      <c r="A250" s="125"/>
      <c r="B250" s="300"/>
      <c r="C250" s="125"/>
      <c r="D250" s="125"/>
      <c r="E250" s="125"/>
      <c r="F250" s="125"/>
      <c r="G250" s="125"/>
      <c r="H250" s="125"/>
      <c r="I250" s="125"/>
      <c r="J250" s="125"/>
      <c r="K250" s="125"/>
      <c r="L250" s="125"/>
      <c r="M250" s="125"/>
      <c r="N250" s="125"/>
    </row>
    <row r="251" spans="1:14" ht="15.75" hidden="1" customHeight="1" outlineLevel="1" x14ac:dyDescent="0.2">
      <c r="A251" s="125"/>
      <c r="B251" s="300"/>
      <c r="C251" s="655"/>
      <c r="D251" s="630">
        <f>FirstYear</f>
        <v>2021</v>
      </c>
      <c r="E251" s="630">
        <f>D251+1</f>
        <v>2022</v>
      </c>
      <c r="F251" s="630">
        <f>E251+1</f>
        <v>2023</v>
      </c>
      <c r="G251" s="630">
        <f>F251+1</f>
        <v>2024</v>
      </c>
      <c r="H251" s="630">
        <f>G251+1</f>
        <v>2025</v>
      </c>
      <c r="I251" s="630">
        <f>H251+1</f>
        <v>2026</v>
      </c>
      <c r="J251" s="125"/>
      <c r="K251" s="125"/>
      <c r="L251" s="125"/>
      <c r="M251" s="125"/>
      <c r="N251" s="125"/>
    </row>
    <row r="252" spans="1:14" ht="12.75" hidden="1" customHeight="1" outlineLevel="1" x14ac:dyDescent="0.2">
      <c r="A252" s="125"/>
      <c r="B252" s="298">
        <v>1</v>
      </c>
      <c r="C252" s="294" t="s">
        <v>87</v>
      </c>
      <c r="D252" s="282">
        <f t="shared" ref="D252:I252" si="116">INDEX(RPBSScriptsChanged,$B244,D245)*INDEX(DPMQCoPayChangedEff,$B244,$B252)</f>
        <v>0</v>
      </c>
      <c r="E252" s="282">
        <f t="shared" si="116"/>
        <v>0</v>
      </c>
      <c r="F252" s="282">
        <f t="shared" si="116"/>
        <v>0</v>
      </c>
      <c r="G252" s="282">
        <f t="shared" si="116"/>
        <v>0</v>
      </c>
      <c r="H252" s="282">
        <f t="shared" si="116"/>
        <v>0</v>
      </c>
      <c r="I252" s="282">
        <f t="shared" si="116"/>
        <v>0</v>
      </c>
      <c r="J252" s="125"/>
      <c r="K252" s="125"/>
      <c r="L252" s="125"/>
      <c r="M252" s="125"/>
      <c r="N252" s="125"/>
    </row>
    <row r="253" spans="1:14" ht="12.75" hidden="1" customHeight="1" outlineLevel="1" x14ac:dyDescent="0.2">
      <c r="A253" s="125"/>
      <c r="B253" s="298">
        <v>4</v>
      </c>
      <c r="C253" s="5" t="s">
        <v>111</v>
      </c>
      <c r="D253" s="282">
        <f t="shared" ref="D253:I253" si="117">INDEX(RPBSScriptsChanged,$B244,D245)*(INDEX(DPMQCoPayChangedEff,$B244,$B253)/INDEX(CoPayCountChanged,$B244))</f>
        <v>0</v>
      </c>
      <c r="E253" s="282">
        <f t="shared" si="117"/>
        <v>0</v>
      </c>
      <c r="F253" s="282">
        <f t="shared" si="117"/>
        <v>0</v>
      </c>
      <c r="G253" s="282">
        <f t="shared" si="117"/>
        <v>0</v>
      </c>
      <c r="H253" s="282">
        <f t="shared" si="117"/>
        <v>0</v>
      </c>
      <c r="I253" s="282">
        <f t="shared" si="117"/>
        <v>0</v>
      </c>
      <c r="J253" s="125"/>
      <c r="K253" s="125"/>
      <c r="L253" s="125"/>
      <c r="M253" s="125"/>
      <c r="N253" s="125"/>
    </row>
    <row r="254" spans="1:14" ht="12.75" hidden="1" customHeight="1" outlineLevel="1" x14ac:dyDescent="0.2">
      <c r="A254" s="125"/>
      <c r="B254" s="300"/>
      <c r="C254" s="5" t="s">
        <v>89</v>
      </c>
      <c r="D254" s="282">
        <f t="shared" ref="D254:I254" si="118">D252+D253</f>
        <v>0</v>
      </c>
      <c r="E254" s="282">
        <f t="shared" si="118"/>
        <v>0</v>
      </c>
      <c r="F254" s="282">
        <f t="shared" si="118"/>
        <v>0</v>
      </c>
      <c r="G254" s="282">
        <f t="shared" si="118"/>
        <v>0</v>
      </c>
      <c r="H254" s="282">
        <f t="shared" si="118"/>
        <v>0</v>
      </c>
      <c r="I254" s="282">
        <f t="shared" si="118"/>
        <v>0</v>
      </c>
      <c r="J254" s="125"/>
      <c r="K254" s="125"/>
      <c r="L254" s="125"/>
      <c r="M254" s="125"/>
      <c r="N254" s="125"/>
    </row>
    <row r="255" spans="1:14" ht="12.75" customHeight="1" collapsed="1" x14ac:dyDescent="0.2">
      <c r="A255" s="125"/>
      <c r="B255" s="300"/>
      <c r="C255" s="658"/>
      <c r="D255" s="658"/>
      <c r="E255" s="658"/>
      <c r="F255" s="36"/>
      <c r="G255" s="36"/>
      <c r="H255" s="36"/>
      <c r="I255" s="36"/>
      <c r="J255" s="36"/>
      <c r="K255" s="36"/>
      <c r="L255" s="36"/>
      <c r="M255" s="36"/>
      <c r="N255" s="36"/>
    </row>
    <row r="256" spans="1:14" ht="15" x14ac:dyDescent="0.2">
      <c r="A256" s="125"/>
      <c r="B256" s="298">
        <v>20</v>
      </c>
      <c r="C256" s="147" t="str">
        <f>IF(SPAChangeFlag&lt;&gt;0,INDEX(PBSScriptsChanged,B256,1),MsgNotRequired)</f>
        <v>** NOT REQUIRED **</v>
      </c>
      <c r="D256" s="139"/>
      <c r="E256" s="139"/>
      <c r="F256" s="139"/>
      <c r="G256" s="139"/>
      <c r="H256" s="139"/>
      <c r="I256" s="139"/>
      <c r="J256" s="132"/>
      <c r="K256" s="132"/>
      <c r="L256" s="821" t="str">
        <f>IF(AND(C256&lt;&gt;MsgNotUsed,C256&lt;&gt;MsgNotRequired),"Co-payment group " &amp; INDEX(DPMQCoPayChangedEff,B256,2),"")</f>
        <v/>
      </c>
      <c r="M256" s="821"/>
      <c r="N256" s="633"/>
    </row>
    <row r="257" spans="1:16" ht="12.75" hidden="1" customHeight="1" outlineLevel="1" x14ac:dyDescent="0.2">
      <c r="A257" s="125"/>
      <c r="B257" s="242">
        <f>INDEX(SAChanged,B256,5)</f>
        <v>0</v>
      </c>
      <c r="C257" s="658"/>
      <c r="D257" s="697">
        <v>2</v>
      </c>
      <c r="E257" s="697">
        <v>3</v>
      </c>
      <c r="F257" s="650">
        <v>4</v>
      </c>
      <c r="G257" s="650">
        <v>5</v>
      </c>
      <c r="H257" s="650">
        <v>6</v>
      </c>
      <c r="I257" s="650">
        <v>7</v>
      </c>
      <c r="J257" s="36"/>
      <c r="K257" s="36"/>
      <c r="L257" s="36"/>
      <c r="M257" s="36"/>
      <c r="N257" s="36"/>
    </row>
    <row r="258" spans="1:16" ht="12.75" hidden="1" customHeight="1" outlineLevel="1" x14ac:dyDescent="0.2">
      <c r="A258" s="125"/>
      <c r="B258" s="300"/>
      <c r="C258" s="125"/>
      <c r="D258" s="630">
        <f>FirstYear</f>
        <v>2021</v>
      </c>
      <c r="E258" s="630">
        <f>D258+1</f>
        <v>2022</v>
      </c>
      <c r="F258" s="630">
        <f>E258+1</f>
        <v>2023</v>
      </c>
      <c r="G258" s="630">
        <f>F258+1</f>
        <v>2024</v>
      </c>
      <c r="H258" s="630">
        <f>G258+1</f>
        <v>2025</v>
      </c>
      <c r="I258" s="630">
        <f>H258+1</f>
        <v>2026</v>
      </c>
      <c r="J258" s="125"/>
      <c r="K258" s="125"/>
      <c r="L258" s="125"/>
      <c r="M258" s="125"/>
      <c r="N258" s="125"/>
    </row>
    <row r="259" spans="1:16" ht="12.75" hidden="1" customHeight="1" outlineLevel="1" x14ac:dyDescent="0.2">
      <c r="A259" s="125"/>
      <c r="B259" s="298">
        <v>1</v>
      </c>
      <c r="C259" s="294" t="s">
        <v>86</v>
      </c>
      <c r="D259" s="282">
        <f t="shared" ref="D259:I259" si="119">INDEX(PBSScriptsChanged,$B256,D257)*INDEX(DPMQCoPayChangedEff,$B256,$B259)</f>
        <v>0</v>
      </c>
      <c r="E259" s="282">
        <f t="shared" si="119"/>
        <v>0</v>
      </c>
      <c r="F259" s="282">
        <f t="shared" si="119"/>
        <v>0</v>
      </c>
      <c r="G259" s="282">
        <f t="shared" si="119"/>
        <v>0</v>
      </c>
      <c r="H259" s="282">
        <f t="shared" si="119"/>
        <v>0</v>
      </c>
      <c r="I259" s="282">
        <f t="shared" si="119"/>
        <v>0</v>
      </c>
      <c r="J259" s="125"/>
      <c r="K259" s="125"/>
      <c r="L259" s="125"/>
      <c r="M259" s="125"/>
      <c r="N259" s="125"/>
    </row>
    <row r="260" spans="1:16" ht="12.75" hidden="1" customHeight="1" outlineLevel="1" x14ac:dyDescent="0.2">
      <c r="A260" s="125"/>
      <c r="B260" s="298">
        <v>3</v>
      </c>
      <c r="C260" s="5" t="s">
        <v>111</v>
      </c>
      <c r="D260" s="282">
        <f t="shared" ref="D260:I260" si="120">INDEX(PBSScriptsChanged,$B256,D257)*(INDEX(DPMQCoPayChangedEff,$B256,$B260)/INDEX(CoPayCountChanged,$B256))</f>
        <v>0</v>
      </c>
      <c r="E260" s="282">
        <f t="shared" si="120"/>
        <v>0</v>
      </c>
      <c r="F260" s="282">
        <f t="shared" si="120"/>
        <v>0</v>
      </c>
      <c r="G260" s="282">
        <f t="shared" si="120"/>
        <v>0</v>
      </c>
      <c r="H260" s="282">
        <f t="shared" si="120"/>
        <v>0</v>
      </c>
      <c r="I260" s="282">
        <f t="shared" si="120"/>
        <v>0</v>
      </c>
      <c r="J260" s="125"/>
      <c r="K260" s="811" t="str">
        <f>IF(B257&lt;&gt;0,MsgNote&amp;IF(B257="Yes",INDEX(CoPayMethod,1),INDEX(CoPayMethod,2)),"")</f>
        <v/>
      </c>
      <c r="L260" s="811"/>
      <c r="M260" s="811"/>
      <c r="N260" s="628"/>
    </row>
    <row r="261" spans="1:16" ht="12.75" hidden="1" customHeight="1" outlineLevel="1" x14ac:dyDescent="0.2">
      <c r="A261" s="125"/>
      <c r="B261" s="300"/>
      <c r="C261" s="5" t="s">
        <v>88</v>
      </c>
      <c r="D261" s="282">
        <f t="shared" ref="D261:I261" si="121">D259+D260</f>
        <v>0</v>
      </c>
      <c r="E261" s="282">
        <f t="shared" si="121"/>
        <v>0</v>
      </c>
      <c r="F261" s="282">
        <f t="shared" si="121"/>
        <v>0</v>
      </c>
      <c r="G261" s="282">
        <f t="shared" si="121"/>
        <v>0</v>
      </c>
      <c r="H261" s="282">
        <f t="shared" si="121"/>
        <v>0</v>
      </c>
      <c r="I261" s="282">
        <f t="shared" si="121"/>
        <v>0</v>
      </c>
      <c r="J261" s="125"/>
      <c r="K261" s="125"/>
      <c r="L261" s="125"/>
      <c r="M261" s="125"/>
      <c r="N261" s="125"/>
    </row>
    <row r="262" spans="1:16" ht="12.75" hidden="1" customHeight="1" outlineLevel="1" x14ac:dyDescent="0.2">
      <c r="A262" s="125"/>
      <c r="B262" s="300"/>
      <c r="C262" s="125"/>
      <c r="D262" s="125"/>
      <c r="E262" s="125"/>
      <c r="F262" s="125"/>
      <c r="G262" s="125"/>
      <c r="H262" s="125"/>
      <c r="I262" s="125"/>
      <c r="J262" s="125"/>
      <c r="K262" s="125"/>
      <c r="L262" s="125"/>
      <c r="M262" s="125"/>
      <c r="N262" s="125"/>
    </row>
    <row r="263" spans="1:16" ht="15.75" hidden="1" customHeight="1" outlineLevel="1" x14ac:dyDescent="0.2">
      <c r="A263" s="125"/>
      <c r="B263" s="300"/>
      <c r="C263" s="655"/>
      <c r="D263" s="630">
        <f>FirstYear</f>
        <v>2021</v>
      </c>
      <c r="E263" s="630">
        <f>D263+1</f>
        <v>2022</v>
      </c>
      <c r="F263" s="630">
        <f>E263+1</f>
        <v>2023</v>
      </c>
      <c r="G263" s="630">
        <f>F263+1</f>
        <v>2024</v>
      </c>
      <c r="H263" s="630">
        <f>G263+1</f>
        <v>2025</v>
      </c>
      <c r="I263" s="630">
        <f>H263+1</f>
        <v>2026</v>
      </c>
      <c r="J263" s="125"/>
      <c r="K263" s="125"/>
      <c r="L263" s="125"/>
      <c r="M263" s="125"/>
      <c r="N263" s="125"/>
    </row>
    <row r="264" spans="1:16" ht="12.75" hidden="1" customHeight="1" outlineLevel="1" x14ac:dyDescent="0.2">
      <c r="A264" s="125"/>
      <c r="B264" s="298">
        <v>1</v>
      </c>
      <c r="C264" s="294" t="s">
        <v>87</v>
      </c>
      <c r="D264" s="282">
        <f t="shared" ref="D264:I264" si="122">INDEX(RPBSScriptsChanged,$B256,D257)*INDEX(DPMQCoPayChangedEff,$B256,$B264)</f>
        <v>0</v>
      </c>
      <c r="E264" s="282">
        <f t="shared" si="122"/>
        <v>0</v>
      </c>
      <c r="F264" s="282">
        <f t="shared" si="122"/>
        <v>0</v>
      </c>
      <c r="G264" s="282">
        <f t="shared" si="122"/>
        <v>0</v>
      </c>
      <c r="H264" s="282">
        <f t="shared" si="122"/>
        <v>0</v>
      </c>
      <c r="I264" s="282">
        <f t="shared" si="122"/>
        <v>0</v>
      </c>
      <c r="J264" s="125"/>
      <c r="K264" s="125"/>
      <c r="L264" s="125"/>
      <c r="M264" s="125"/>
      <c r="N264" s="125"/>
    </row>
    <row r="265" spans="1:16" ht="12.75" hidden="1" customHeight="1" outlineLevel="1" x14ac:dyDescent="0.2">
      <c r="A265" s="125"/>
      <c r="B265" s="298">
        <v>4</v>
      </c>
      <c r="C265" s="5" t="s">
        <v>111</v>
      </c>
      <c r="D265" s="282">
        <f t="shared" ref="D265:I265" si="123">INDEX(RPBSScriptsChanged,$B256,D257)*(INDEX(DPMQCoPayChangedEff,$B256,$B265)/INDEX(CoPayCountChanged,$B256))</f>
        <v>0</v>
      </c>
      <c r="E265" s="282">
        <f t="shared" si="123"/>
        <v>0</v>
      </c>
      <c r="F265" s="282">
        <f t="shared" si="123"/>
        <v>0</v>
      </c>
      <c r="G265" s="282">
        <f t="shared" si="123"/>
        <v>0</v>
      </c>
      <c r="H265" s="282">
        <f t="shared" si="123"/>
        <v>0</v>
      </c>
      <c r="I265" s="282">
        <f t="shared" si="123"/>
        <v>0</v>
      </c>
      <c r="J265" s="125"/>
      <c r="K265" s="125"/>
      <c r="L265" s="125"/>
      <c r="M265" s="125"/>
      <c r="N265" s="125"/>
    </row>
    <row r="266" spans="1:16" ht="12.75" hidden="1" customHeight="1" outlineLevel="1" x14ac:dyDescent="0.2">
      <c r="A266" s="125"/>
      <c r="B266" s="300"/>
      <c r="C266" s="5" t="s">
        <v>89</v>
      </c>
      <c r="D266" s="282">
        <f t="shared" ref="D266:I266" si="124">D264+D265</f>
        <v>0</v>
      </c>
      <c r="E266" s="282">
        <f t="shared" si="124"/>
        <v>0</v>
      </c>
      <c r="F266" s="282">
        <f t="shared" si="124"/>
        <v>0</v>
      </c>
      <c r="G266" s="282">
        <f t="shared" si="124"/>
        <v>0</v>
      </c>
      <c r="H266" s="282">
        <f t="shared" si="124"/>
        <v>0</v>
      </c>
      <c r="I266" s="282">
        <f t="shared" si="124"/>
        <v>0</v>
      </c>
      <c r="J266" s="125"/>
      <c r="K266" s="125"/>
      <c r="L266" s="125"/>
      <c r="M266" s="125"/>
      <c r="N266" s="125"/>
    </row>
    <row r="267" spans="1:16" hidden="1" outlineLevel="1" x14ac:dyDescent="0.2">
      <c r="A267" s="125"/>
      <c r="B267" s="300"/>
      <c r="C267" s="658"/>
      <c r="D267" s="658"/>
      <c r="E267" s="658"/>
      <c r="F267" s="36"/>
      <c r="G267" s="36"/>
      <c r="H267" s="36"/>
      <c r="I267" s="36"/>
      <c r="J267" s="36"/>
      <c r="K267" s="36"/>
      <c r="L267" s="36"/>
      <c r="M267" s="36"/>
      <c r="N267" s="36"/>
    </row>
    <row r="268" spans="1:16" s="416" customFormat="1" collapsed="1" x14ac:dyDescent="0.2">
      <c r="A268" s="125"/>
      <c r="B268" s="300"/>
      <c r="C268" s="125"/>
      <c r="D268" s="125"/>
      <c r="E268" s="125"/>
      <c r="F268" s="125"/>
      <c r="G268" s="125"/>
      <c r="H268" s="125"/>
      <c r="I268" s="125"/>
      <c r="J268" s="125"/>
      <c r="K268" s="125"/>
      <c r="L268" s="125"/>
      <c r="M268" s="125"/>
      <c r="N268" s="125"/>
    </row>
    <row r="269" spans="1:16" ht="15.75" x14ac:dyDescent="0.2">
      <c r="A269" s="125"/>
      <c r="B269" s="125"/>
      <c r="C269" s="123" t="s">
        <v>922</v>
      </c>
      <c r="D269" s="123"/>
      <c r="E269" s="123"/>
      <c r="F269" s="142"/>
      <c r="G269" s="127"/>
      <c r="H269" s="127"/>
      <c r="I269" s="127"/>
      <c r="J269" s="127"/>
      <c r="K269" s="127"/>
      <c r="L269" s="127"/>
      <c r="M269" s="127"/>
      <c r="N269" s="127"/>
    </row>
    <row r="270" spans="1:16" x14ac:dyDescent="0.2">
      <c r="A270" s="125"/>
      <c r="B270" s="125"/>
      <c r="C270" s="162"/>
      <c r="D270" s="162"/>
      <c r="E270" s="162"/>
      <c r="F270" s="656"/>
      <c r="G270" s="125"/>
      <c r="H270" s="125"/>
      <c r="I270" s="125"/>
      <c r="J270" s="125"/>
      <c r="K270" s="125"/>
      <c r="L270" s="125"/>
      <c r="M270" s="125"/>
      <c r="N270" s="125"/>
    </row>
    <row r="271" spans="1:16" x14ac:dyDescent="0.2">
      <c r="A271" s="125"/>
      <c r="B271" s="125"/>
      <c r="C271" s="162" t="s">
        <v>833</v>
      </c>
      <c r="D271" s="162"/>
      <c r="E271" s="162"/>
      <c r="F271" s="656"/>
      <c r="G271" s="125"/>
      <c r="H271" s="125"/>
      <c r="I271" s="125"/>
      <c r="J271" s="125"/>
      <c r="K271" s="125"/>
      <c r="L271" s="125"/>
      <c r="M271" s="125"/>
      <c r="N271" s="125"/>
      <c r="O271" s="615"/>
      <c r="P271" s="615"/>
    </row>
    <row r="272" spans="1:16" x14ac:dyDescent="0.2">
      <c r="A272" s="125"/>
      <c r="B272" s="125"/>
      <c r="C272" s="162"/>
      <c r="D272" s="162"/>
      <c r="E272" s="162"/>
      <c r="F272" s="656"/>
      <c r="G272" s="125"/>
      <c r="H272" s="863" t="str">
        <f>IF(S294&gt;0,"DPMA / DPMQ","")</f>
        <v/>
      </c>
      <c r="I272" s="863"/>
      <c r="J272" s="863"/>
      <c r="K272" s="125"/>
      <c r="L272" s="125"/>
      <c r="M272" s="125"/>
      <c r="N272" s="125"/>
      <c r="O272" s="615"/>
      <c r="P272" s="615"/>
    </row>
    <row r="273" spans="1:20" ht="25.5" x14ac:dyDescent="0.2">
      <c r="A273" s="125"/>
      <c r="B273" s="125"/>
      <c r="C273" s="830" t="s">
        <v>813</v>
      </c>
      <c r="D273" s="864"/>
      <c r="E273" s="865"/>
      <c r="F273" s="82" t="s">
        <v>112</v>
      </c>
      <c r="G273" s="82" t="s">
        <v>932</v>
      </c>
      <c r="H273" s="67" t="str">
        <f>IF(S294&gt;0,"Public","DPMA / DPMQ")</f>
        <v>DPMA / DPMQ</v>
      </c>
      <c r="I273" s="67" t="str">
        <f>IF(S294&gt;0,"Private","")</f>
        <v/>
      </c>
      <c r="J273" s="67" t="str">
        <f>IF(S294&gt;0,"Weighted","DPMA / DPMQ")</f>
        <v>DPMA / DPMQ</v>
      </c>
      <c r="K273" s="67" t="s">
        <v>756</v>
      </c>
      <c r="L273" s="446" t="s">
        <v>428</v>
      </c>
      <c r="M273" s="446" t="s">
        <v>429</v>
      </c>
      <c r="N273" s="690"/>
      <c r="O273" s="615"/>
      <c r="P273" s="615"/>
      <c r="Q273" s="758" t="s">
        <v>428</v>
      </c>
      <c r="R273" s="758" t="s">
        <v>429</v>
      </c>
    </row>
    <row r="274" spans="1:20" x14ac:dyDescent="0.2">
      <c r="A274" s="125"/>
      <c r="B274" s="298">
        <v>1</v>
      </c>
      <c r="C274" s="860" t="str">
        <f t="shared" ref="C274:C293" si="125">IF(SPAChangeFlag=1,INDEX(PBSScriptsChanged,B274,1),MsgNotUsed)</f>
        <v>** NOT USED **</v>
      </c>
      <c r="D274" s="861"/>
      <c r="E274" s="862"/>
      <c r="F274" s="287"/>
      <c r="G274" s="63" t="str">
        <f>IF('4b. Impact - affected (pub)'!G274&lt;&gt;"",'4b. Impact - affected (pub)'!G274,"")</f>
        <v/>
      </c>
      <c r="H274" s="287"/>
      <c r="I274" s="287"/>
      <c r="J274" s="288">
        <f>IF(AND(ISBLANK(H274),COUNT(I274)=1),I274,IF(AND(COUNT(H274)=1,ISBLANK(I274)),H274,IF(COUNT(H274:I274)=2,H274*S274+I274*T274,0)))</f>
        <v>0</v>
      </c>
      <c r="K274" s="471" t="str">
        <f>IF(C274&lt;&gt;MsgNotUsed,'4b. Impact - affected (pub)'!L274,"")</f>
        <v/>
      </c>
      <c r="L274" s="288">
        <f>IF(J274&gt;Q274,-Q274,-J274)</f>
        <v>0</v>
      </c>
      <c r="M274" s="288">
        <f>IF(J274&gt;R274,-R274,-J274)</f>
        <v>0</v>
      </c>
      <c r="N274" s="615"/>
      <c r="O274" s="615"/>
      <c r="P274" s="615"/>
      <c r="Q274" s="757">
        <f t="shared" ref="Q274:Q293" si="126">IFERROR(INDEX(CoPayPBS,K274),0)</f>
        <v>0</v>
      </c>
      <c r="R274" s="757">
        <f t="shared" ref="R274:R293" si="127">IFERROR(INDEX(CoPayRPBS,K274),0)</f>
        <v>0</v>
      </c>
      <c r="S274" s="549" t="str">
        <f t="shared" ref="S274:S293" si="128">IFERROR(INDEX(ServiceSplitPublic,K274),"")</f>
        <v/>
      </c>
      <c r="T274" s="549" t="str">
        <f t="shared" ref="T274:T293" si="129">IFERROR(INDEX(ServiceSplitPrivate,K274),"")</f>
        <v/>
      </c>
    </row>
    <row r="275" spans="1:20" x14ac:dyDescent="0.2">
      <c r="A275" s="125"/>
      <c r="B275" s="298">
        <v>2</v>
      </c>
      <c r="C275" s="860" t="str">
        <f t="shared" si="125"/>
        <v>** NOT USED **</v>
      </c>
      <c r="D275" s="861"/>
      <c r="E275" s="862"/>
      <c r="F275" s="287"/>
      <c r="G275" s="63" t="str">
        <f>IF('4b. Impact - affected (pub)'!G275&lt;&gt;"",'4b. Impact - affected (pub)'!G275,"")</f>
        <v/>
      </c>
      <c r="H275" s="287"/>
      <c r="I275" s="287"/>
      <c r="J275" s="288">
        <f t="shared" ref="J275:J293" si="130">IF(AND(ISBLANK(H275),COUNT(I275)=1),I275,IF(AND(COUNT(H275)=1,ISBLANK(I275)),H275,IF(COUNT(H275:I275)=2,H275*S275+I275*T275,0)))</f>
        <v>0</v>
      </c>
      <c r="K275" s="471" t="str">
        <f>IF(C275&lt;&gt;MsgNotUsed,'4b. Impact - affected (pub)'!L275,"")</f>
        <v/>
      </c>
      <c r="L275" s="288">
        <f t="shared" ref="L275:L293" si="131">IF(J275&gt;Q275,-Q275,-J275)</f>
        <v>0</v>
      </c>
      <c r="M275" s="288">
        <f t="shared" ref="M275:M293" si="132">IF(J275&gt;R275,-R275,-J275)</f>
        <v>0</v>
      </c>
      <c r="N275" s="615"/>
      <c r="O275" s="615"/>
      <c r="P275" s="615"/>
      <c r="Q275" s="757">
        <f t="shared" si="126"/>
        <v>0</v>
      </c>
      <c r="R275" s="757">
        <f t="shared" si="127"/>
        <v>0</v>
      </c>
      <c r="S275" s="549" t="str">
        <f t="shared" si="128"/>
        <v/>
      </c>
      <c r="T275" s="549" t="str">
        <f t="shared" si="129"/>
        <v/>
      </c>
    </row>
    <row r="276" spans="1:20" x14ac:dyDescent="0.2">
      <c r="A276" s="125"/>
      <c r="B276" s="298">
        <v>3</v>
      </c>
      <c r="C276" s="860" t="str">
        <f t="shared" si="125"/>
        <v>** NOT USED **</v>
      </c>
      <c r="D276" s="861"/>
      <c r="E276" s="862"/>
      <c r="F276" s="287"/>
      <c r="G276" s="63" t="str">
        <f>IF('4b. Impact - affected (pub)'!G276&lt;&gt;"",'4b. Impact - affected (pub)'!G276,"")</f>
        <v/>
      </c>
      <c r="H276" s="287"/>
      <c r="I276" s="287"/>
      <c r="J276" s="288">
        <f t="shared" si="130"/>
        <v>0</v>
      </c>
      <c r="K276" s="471" t="str">
        <f>IF(C276&lt;&gt;MsgNotUsed,'4b. Impact - affected (pub)'!L276,"")</f>
        <v/>
      </c>
      <c r="L276" s="288">
        <f t="shared" si="131"/>
        <v>0</v>
      </c>
      <c r="M276" s="288">
        <f t="shared" si="132"/>
        <v>0</v>
      </c>
      <c r="N276" s="615"/>
      <c r="O276" s="615"/>
      <c r="P276" s="615"/>
      <c r="Q276" s="757">
        <f t="shared" si="126"/>
        <v>0</v>
      </c>
      <c r="R276" s="757">
        <f t="shared" si="127"/>
        <v>0</v>
      </c>
      <c r="S276" s="549" t="str">
        <f t="shared" si="128"/>
        <v/>
      </c>
      <c r="T276" s="549" t="str">
        <f t="shared" si="129"/>
        <v/>
      </c>
    </row>
    <row r="277" spans="1:20" x14ac:dyDescent="0.2">
      <c r="A277" s="125"/>
      <c r="B277" s="298">
        <v>4</v>
      </c>
      <c r="C277" s="860" t="str">
        <f t="shared" si="125"/>
        <v>** NOT USED **</v>
      </c>
      <c r="D277" s="861"/>
      <c r="E277" s="862"/>
      <c r="F277" s="287"/>
      <c r="G277" s="63" t="str">
        <f>IF('4b. Impact - affected (pub)'!G277&lt;&gt;"",'4b. Impact - affected (pub)'!G277,"")</f>
        <v/>
      </c>
      <c r="H277" s="287"/>
      <c r="I277" s="287"/>
      <c r="J277" s="288">
        <f t="shared" si="130"/>
        <v>0</v>
      </c>
      <c r="K277" s="471" t="str">
        <f>IF(C277&lt;&gt;MsgNotUsed,'4b. Impact - affected (pub)'!L277,"")</f>
        <v/>
      </c>
      <c r="L277" s="288">
        <f t="shared" si="131"/>
        <v>0</v>
      </c>
      <c r="M277" s="288">
        <f t="shared" si="132"/>
        <v>0</v>
      </c>
      <c r="N277" s="615"/>
      <c r="O277" s="615"/>
      <c r="P277" s="615"/>
      <c r="Q277" s="757">
        <f t="shared" si="126"/>
        <v>0</v>
      </c>
      <c r="R277" s="757">
        <f t="shared" si="127"/>
        <v>0</v>
      </c>
      <c r="S277" s="549" t="str">
        <f t="shared" si="128"/>
        <v/>
      </c>
      <c r="T277" s="549" t="str">
        <f t="shared" si="129"/>
        <v/>
      </c>
    </row>
    <row r="278" spans="1:20" x14ac:dyDescent="0.2">
      <c r="A278" s="125"/>
      <c r="B278" s="298">
        <v>5</v>
      </c>
      <c r="C278" s="860" t="str">
        <f t="shared" si="125"/>
        <v>** NOT USED **</v>
      </c>
      <c r="D278" s="861"/>
      <c r="E278" s="862"/>
      <c r="F278" s="287"/>
      <c r="G278" s="63" t="str">
        <f>IF('4b. Impact - affected (pub)'!G278&lt;&gt;"",'4b. Impact - affected (pub)'!G278,"")</f>
        <v/>
      </c>
      <c r="H278" s="287"/>
      <c r="I278" s="287"/>
      <c r="J278" s="288">
        <f t="shared" si="130"/>
        <v>0</v>
      </c>
      <c r="K278" s="471" t="str">
        <f>IF(C278&lt;&gt;MsgNotUsed,'4b. Impact - affected (pub)'!L278,"")</f>
        <v/>
      </c>
      <c r="L278" s="288">
        <f t="shared" si="131"/>
        <v>0</v>
      </c>
      <c r="M278" s="288">
        <f t="shared" si="132"/>
        <v>0</v>
      </c>
      <c r="N278" s="615"/>
      <c r="O278" s="615"/>
      <c r="P278" s="615"/>
      <c r="Q278" s="757">
        <f t="shared" si="126"/>
        <v>0</v>
      </c>
      <c r="R278" s="757">
        <f t="shared" si="127"/>
        <v>0</v>
      </c>
      <c r="S278" s="549" t="str">
        <f t="shared" si="128"/>
        <v/>
      </c>
      <c r="T278" s="549" t="str">
        <f t="shared" si="129"/>
        <v/>
      </c>
    </row>
    <row r="279" spans="1:20" x14ac:dyDescent="0.2">
      <c r="A279" s="125"/>
      <c r="B279" s="298">
        <v>6</v>
      </c>
      <c r="C279" s="860" t="str">
        <f t="shared" si="125"/>
        <v>** NOT USED **</v>
      </c>
      <c r="D279" s="861"/>
      <c r="E279" s="862"/>
      <c r="F279" s="287"/>
      <c r="G279" s="63" t="str">
        <f>IF('4b. Impact - affected (pub)'!G279&lt;&gt;"",'4b. Impact - affected (pub)'!G279,"")</f>
        <v/>
      </c>
      <c r="H279" s="287"/>
      <c r="I279" s="287"/>
      <c r="J279" s="288">
        <f t="shared" si="130"/>
        <v>0</v>
      </c>
      <c r="K279" s="471" t="str">
        <f>IF(C279&lt;&gt;MsgNotUsed,'4b. Impact - affected (pub)'!L279,"")</f>
        <v/>
      </c>
      <c r="L279" s="288">
        <f t="shared" si="131"/>
        <v>0</v>
      </c>
      <c r="M279" s="288">
        <f t="shared" si="132"/>
        <v>0</v>
      </c>
      <c r="N279" s="615"/>
      <c r="O279" s="615"/>
      <c r="P279" s="615"/>
      <c r="Q279" s="757">
        <f t="shared" si="126"/>
        <v>0</v>
      </c>
      <c r="R279" s="757">
        <f t="shared" si="127"/>
        <v>0</v>
      </c>
      <c r="S279" s="549" t="str">
        <f t="shared" si="128"/>
        <v/>
      </c>
      <c r="T279" s="549" t="str">
        <f t="shared" si="129"/>
        <v/>
      </c>
    </row>
    <row r="280" spans="1:20" x14ac:dyDescent="0.2">
      <c r="A280" s="125"/>
      <c r="B280" s="298">
        <v>7</v>
      </c>
      <c r="C280" s="860" t="str">
        <f t="shared" si="125"/>
        <v>** NOT USED **</v>
      </c>
      <c r="D280" s="861"/>
      <c r="E280" s="862"/>
      <c r="F280" s="287"/>
      <c r="G280" s="63" t="str">
        <f>IF('4b. Impact - affected (pub)'!G280&lt;&gt;"",'4b. Impact - affected (pub)'!G280,"")</f>
        <v/>
      </c>
      <c r="H280" s="287"/>
      <c r="I280" s="287"/>
      <c r="J280" s="288">
        <f t="shared" si="130"/>
        <v>0</v>
      </c>
      <c r="K280" s="471" t="str">
        <f>IF(C280&lt;&gt;MsgNotUsed,'4b. Impact - affected (pub)'!L280,"")</f>
        <v/>
      </c>
      <c r="L280" s="288">
        <f t="shared" si="131"/>
        <v>0</v>
      </c>
      <c r="M280" s="288">
        <f t="shared" si="132"/>
        <v>0</v>
      </c>
      <c r="N280" s="615"/>
      <c r="O280" s="615"/>
      <c r="P280" s="615"/>
      <c r="Q280" s="757">
        <f t="shared" si="126"/>
        <v>0</v>
      </c>
      <c r="R280" s="757">
        <f t="shared" si="127"/>
        <v>0</v>
      </c>
      <c r="S280" s="549" t="str">
        <f t="shared" si="128"/>
        <v/>
      </c>
      <c r="T280" s="549" t="str">
        <f t="shared" si="129"/>
        <v/>
      </c>
    </row>
    <row r="281" spans="1:20" x14ac:dyDescent="0.2">
      <c r="A281" s="125"/>
      <c r="B281" s="298">
        <v>8</v>
      </c>
      <c r="C281" s="860" t="str">
        <f t="shared" si="125"/>
        <v>** NOT USED **</v>
      </c>
      <c r="D281" s="861"/>
      <c r="E281" s="862"/>
      <c r="F281" s="287"/>
      <c r="G281" s="63" t="str">
        <f>IF('4b. Impact - affected (pub)'!G281&lt;&gt;"",'4b. Impact - affected (pub)'!G281,"")</f>
        <v/>
      </c>
      <c r="H281" s="287"/>
      <c r="I281" s="287"/>
      <c r="J281" s="288">
        <f t="shared" si="130"/>
        <v>0</v>
      </c>
      <c r="K281" s="471" t="str">
        <f>IF(C281&lt;&gt;MsgNotUsed,'4b. Impact - affected (pub)'!L281,"")</f>
        <v/>
      </c>
      <c r="L281" s="288">
        <f t="shared" si="131"/>
        <v>0</v>
      </c>
      <c r="M281" s="288">
        <f t="shared" si="132"/>
        <v>0</v>
      </c>
      <c r="N281" s="615"/>
      <c r="O281" s="615"/>
      <c r="P281" s="615"/>
      <c r="Q281" s="757">
        <f t="shared" si="126"/>
        <v>0</v>
      </c>
      <c r="R281" s="757">
        <f t="shared" si="127"/>
        <v>0</v>
      </c>
      <c r="S281" s="549" t="str">
        <f t="shared" si="128"/>
        <v/>
      </c>
      <c r="T281" s="549" t="str">
        <f t="shared" si="129"/>
        <v/>
      </c>
    </row>
    <row r="282" spans="1:20" x14ac:dyDescent="0.2">
      <c r="A282" s="125"/>
      <c r="B282" s="298">
        <v>9</v>
      </c>
      <c r="C282" s="860" t="str">
        <f t="shared" si="125"/>
        <v>** NOT USED **</v>
      </c>
      <c r="D282" s="861"/>
      <c r="E282" s="862"/>
      <c r="F282" s="287"/>
      <c r="G282" s="63" t="str">
        <f>IF('4b. Impact - affected (pub)'!G282&lt;&gt;"",'4b. Impact - affected (pub)'!G282,"")</f>
        <v/>
      </c>
      <c r="H282" s="287"/>
      <c r="I282" s="287"/>
      <c r="J282" s="288">
        <f t="shared" si="130"/>
        <v>0</v>
      </c>
      <c r="K282" s="471" t="str">
        <f>IF(C282&lt;&gt;MsgNotUsed,'4b. Impact - affected (pub)'!L282,"")</f>
        <v/>
      </c>
      <c r="L282" s="288">
        <f t="shared" si="131"/>
        <v>0</v>
      </c>
      <c r="M282" s="288">
        <f t="shared" si="132"/>
        <v>0</v>
      </c>
      <c r="N282" s="615"/>
      <c r="O282" s="615"/>
      <c r="P282" s="615"/>
      <c r="Q282" s="757">
        <f t="shared" si="126"/>
        <v>0</v>
      </c>
      <c r="R282" s="757">
        <f t="shared" si="127"/>
        <v>0</v>
      </c>
      <c r="S282" s="549" t="str">
        <f t="shared" si="128"/>
        <v/>
      </c>
      <c r="T282" s="549" t="str">
        <f t="shared" si="129"/>
        <v/>
      </c>
    </row>
    <row r="283" spans="1:20" x14ac:dyDescent="0.2">
      <c r="A283" s="125"/>
      <c r="B283" s="298">
        <v>10</v>
      </c>
      <c r="C283" s="860" t="str">
        <f t="shared" si="125"/>
        <v>** NOT USED **</v>
      </c>
      <c r="D283" s="861"/>
      <c r="E283" s="862"/>
      <c r="F283" s="287"/>
      <c r="G283" s="63" t="str">
        <f>IF('4b. Impact - affected (pub)'!G283&lt;&gt;"",'4b. Impact - affected (pub)'!G283,"")</f>
        <v/>
      </c>
      <c r="H283" s="287"/>
      <c r="I283" s="287"/>
      <c r="J283" s="288">
        <f t="shared" si="130"/>
        <v>0</v>
      </c>
      <c r="K283" s="471" t="str">
        <f>IF(C283&lt;&gt;MsgNotUsed,'4b. Impact - affected (pub)'!L283,"")</f>
        <v/>
      </c>
      <c r="L283" s="288">
        <f t="shared" si="131"/>
        <v>0</v>
      </c>
      <c r="M283" s="288">
        <f t="shared" si="132"/>
        <v>0</v>
      </c>
      <c r="N283" s="615"/>
      <c r="O283" s="615"/>
      <c r="P283" s="615"/>
      <c r="Q283" s="757">
        <f t="shared" si="126"/>
        <v>0</v>
      </c>
      <c r="R283" s="757">
        <f t="shared" si="127"/>
        <v>0</v>
      </c>
      <c r="S283" s="549" t="str">
        <f t="shared" si="128"/>
        <v/>
      </c>
      <c r="T283" s="549" t="str">
        <f t="shared" si="129"/>
        <v/>
      </c>
    </row>
    <row r="284" spans="1:20" x14ac:dyDescent="0.2">
      <c r="A284" s="125"/>
      <c r="B284" s="298">
        <v>11</v>
      </c>
      <c r="C284" s="860" t="str">
        <f t="shared" si="125"/>
        <v>** NOT USED **</v>
      </c>
      <c r="D284" s="861"/>
      <c r="E284" s="862"/>
      <c r="F284" s="287"/>
      <c r="G284" s="63" t="str">
        <f>IF('4b. Impact - affected (pub)'!G284&lt;&gt;"",'4b. Impact - affected (pub)'!G284,"")</f>
        <v/>
      </c>
      <c r="H284" s="287"/>
      <c r="I284" s="287"/>
      <c r="J284" s="288">
        <f t="shared" si="130"/>
        <v>0</v>
      </c>
      <c r="K284" s="471" t="str">
        <f>IF(C284&lt;&gt;MsgNotUsed,'4b. Impact - affected (pub)'!L284,"")</f>
        <v/>
      </c>
      <c r="L284" s="288">
        <f t="shared" si="131"/>
        <v>0</v>
      </c>
      <c r="M284" s="288">
        <f t="shared" si="132"/>
        <v>0</v>
      </c>
      <c r="N284" s="615"/>
      <c r="O284" s="615"/>
      <c r="P284" s="615"/>
      <c r="Q284" s="757">
        <f t="shared" si="126"/>
        <v>0</v>
      </c>
      <c r="R284" s="757">
        <f t="shared" si="127"/>
        <v>0</v>
      </c>
      <c r="S284" s="549" t="str">
        <f t="shared" si="128"/>
        <v/>
      </c>
      <c r="T284" s="549" t="str">
        <f t="shared" si="129"/>
        <v/>
      </c>
    </row>
    <row r="285" spans="1:20" x14ac:dyDescent="0.2">
      <c r="A285" s="125"/>
      <c r="B285" s="298">
        <v>12</v>
      </c>
      <c r="C285" s="860" t="str">
        <f t="shared" si="125"/>
        <v>** NOT USED **</v>
      </c>
      <c r="D285" s="861"/>
      <c r="E285" s="862"/>
      <c r="F285" s="287"/>
      <c r="G285" s="63" t="str">
        <f>IF('4b. Impact - affected (pub)'!G285&lt;&gt;"",'4b. Impact - affected (pub)'!G285,"")</f>
        <v/>
      </c>
      <c r="H285" s="287"/>
      <c r="I285" s="287"/>
      <c r="J285" s="288">
        <f t="shared" si="130"/>
        <v>0</v>
      </c>
      <c r="K285" s="471" t="str">
        <f>IF(C285&lt;&gt;MsgNotUsed,'4b. Impact - affected (pub)'!L285,"")</f>
        <v/>
      </c>
      <c r="L285" s="288">
        <f t="shared" si="131"/>
        <v>0</v>
      </c>
      <c r="M285" s="288">
        <f t="shared" si="132"/>
        <v>0</v>
      </c>
      <c r="N285" s="615"/>
      <c r="O285" s="615"/>
      <c r="P285" s="615"/>
      <c r="Q285" s="757">
        <f t="shared" si="126"/>
        <v>0</v>
      </c>
      <c r="R285" s="757">
        <f t="shared" si="127"/>
        <v>0</v>
      </c>
      <c r="S285" s="549" t="str">
        <f t="shared" si="128"/>
        <v/>
      </c>
      <c r="T285" s="549" t="str">
        <f t="shared" si="129"/>
        <v/>
      </c>
    </row>
    <row r="286" spans="1:20" x14ac:dyDescent="0.2">
      <c r="A286" s="125"/>
      <c r="B286" s="298">
        <v>13</v>
      </c>
      <c r="C286" s="860" t="str">
        <f t="shared" si="125"/>
        <v>** NOT USED **</v>
      </c>
      <c r="D286" s="861"/>
      <c r="E286" s="862"/>
      <c r="F286" s="287"/>
      <c r="G286" s="63" t="str">
        <f>IF('4b. Impact - affected (pub)'!G286&lt;&gt;"",'4b. Impact - affected (pub)'!G286,"")</f>
        <v/>
      </c>
      <c r="H286" s="287"/>
      <c r="I286" s="287"/>
      <c r="J286" s="288">
        <f t="shared" si="130"/>
        <v>0</v>
      </c>
      <c r="K286" s="471" t="str">
        <f>IF(C286&lt;&gt;MsgNotUsed,'4b. Impact - affected (pub)'!L286,"")</f>
        <v/>
      </c>
      <c r="L286" s="288">
        <f t="shared" si="131"/>
        <v>0</v>
      </c>
      <c r="M286" s="288">
        <f t="shared" si="132"/>
        <v>0</v>
      </c>
      <c r="N286" s="615"/>
      <c r="O286" s="615"/>
      <c r="P286" s="615"/>
      <c r="Q286" s="757">
        <f t="shared" si="126"/>
        <v>0</v>
      </c>
      <c r="R286" s="757">
        <f t="shared" si="127"/>
        <v>0</v>
      </c>
      <c r="S286" s="549" t="str">
        <f t="shared" si="128"/>
        <v/>
      </c>
      <c r="T286" s="549" t="str">
        <f t="shared" si="129"/>
        <v/>
      </c>
    </row>
    <row r="287" spans="1:20" x14ac:dyDescent="0.2">
      <c r="A287" s="125"/>
      <c r="B287" s="298">
        <v>14</v>
      </c>
      <c r="C287" s="860" t="str">
        <f t="shared" si="125"/>
        <v>** NOT USED **</v>
      </c>
      <c r="D287" s="861"/>
      <c r="E287" s="862"/>
      <c r="F287" s="287"/>
      <c r="G287" s="63" t="str">
        <f>IF('4b. Impact - affected (pub)'!G287&lt;&gt;"",'4b. Impact - affected (pub)'!G287,"")</f>
        <v/>
      </c>
      <c r="H287" s="287"/>
      <c r="I287" s="287"/>
      <c r="J287" s="288">
        <f t="shared" si="130"/>
        <v>0</v>
      </c>
      <c r="K287" s="471" t="str">
        <f>IF(C287&lt;&gt;MsgNotUsed,'4b. Impact - affected (pub)'!L287,"")</f>
        <v/>
      </c>
      <c r="L287" s="288">
        <f t="shared" si="131"/>
        <v>0</v>
      </c>
      <c r="M287" s="288">
        <f t="shared" si="132"/>
        <v>0</v>
      </c>
      <c r="N287" s="615"/>
      <c r="O287" s="615"/>
      <c r="P287" s="615"/>
      <c r="Q287" s="757">
        <f t="shared" si="126"/>
        <v>0</v>
      </c>
      <c r="R287" s="757">
        <f t="shared" si="127"/>
        <v>0</v>
      </c>
      <c r="S287" s="549" t="str">
        <f t="shared" si="128"/>
        <v/>
      </c>
      <c r="T287" s="549" t="str">
        <f t="shared" si="129"/>
        <v/>
      </c>
    </row>
    <row r="288" spans="1:20" x14ac:dyDescent="0.2">
      <c r="A288" s="125"/>
      <c r="B288" s="298">
        <v>15</v>
      </c>
      <c r="C288" s="860" t="str">
        <f t="shared" si="125"/>
        <v>** NOT USED **</v>
      </c>
      <c r="D288" s="861"/>
      <c r="E288" s="862"/>
      <c r="F288" s="287"/>
      <c r="G288" s="63" t="str">
        <f>IF('4b. Impact - affected (pub)'!G288&lt;&gt;"",'4b. Impact - affected (pub)'!G288,"")</f>
        <v/>
      </c>
      <c r="H288" s="287"/>
      <c r="I288" s="287"/>
      <c r="J288" s="288">
        <f t="shared" si="130"/>
        <v>0</v>
      </c>
      <c r="K288" s="471" t="str">
        <f>IF(C288&lt;&gt;MsgNotUsed,'4b. Impact - affected (pub)'!L288,"")</f>
        <v/>
      </c>
      <c r="L288" s="288">
        <f t="shared" si="131"/>
        <v>0</v>
      </c>
      <c r="M288" s="288">
        <f t="shared" si="132"/>
        <v>0</v>
      </c>
      <c r="N288" s="615"/>
      <c r="O288" s="615"/>
      <c r="P288" s="615"/>
      <c r="Q288" s="757">
        <f t="shared" si="126"/>
        <v>0</v>
      </c>
      <c r="R288" s="757">
        <f t="shared" si="127"/>
        <v>0</v>
      </c>
      <c r="S288" s="549" t="str">
        <f t="shared" si="128"/>
        <v/>
      </c>
      <c r="T288" s="549" t="str">
        <f t="shared" si="129"/>
        <v/>
      </c>
    </row>
    <row r="289" spans="1:20" x14ac:dyDescent="0.2">
      <c r="A289" s="125"/>
      <c r="B289" s="298">
        <v>16</v>
      </c>
      <c r="C289" s="860" t="str">
        <f t="shared" si="125"/>
        <v>** NOT USED **</v>
      </c>
      <c r="D289" s="861"/>
      <c r="E289" s="862"/>
      <c r="F289" s="287"/>
      <c r="G289" s="63" t="str">
        <f>IF('4b. Impact - affected (pub)'!G289&lt;&gt;"",'4b. Impact - affected (pub)'!G289,"")</f>
        <v/>
      </c>
      <c r="H289" s="287"/>
      <c r="I289" s="287"/>
      <c r="J289" s="288">
        <f t="shared" si="130"/>
        <v>0</v>
      </c>
      <c r="K289" s="471" t="str">
        <f>IF(C289&lt;&gt;MsgNotUsed,'4b. Impact - affected (pub)'!L289,"")</f>
        <v/>
      </c>
      <c r="L289" s="288">
        <f t="shared" si="131"/>
        <v>0</v>
      </c>
      <c r="M289" s="288">
        <f t="shared" si="132"/>
        <v>0</v>
      </c>
      <c r="N289" s="615"/>
      <c r="O289" s="615"/>
      <c r="P289" s="615"/>
      <c r="Q289" s="757">
        <f t="shared" si="126"/>
        <v>0</v>
      </c>
      <c r="R289" s="757">
        <f t="shared" si="127"/>
        <v>0</v>
      </c>
      <c r="S289" s="549" t="str">
        <f t="shared" si="128"/>
        <v/>
      </c>
      <c r="T289" s="549" t="str">
        <f t="shared" si="129"/>
        <v/>
      </c>
    </row>
    <row r="290" spans="1:20" x14ac:dyDescent="0.2">
      <c r="A290" s="125"/>
      <c r="B290" s="298">
        <v>17</v>
      </c>
      <c r="C290" s="860" t="str">
        <f t="shared" si="125"/>
        <v>** NOT USED **</v>
      </c>
      <c r="D290" s="861"/>
      <c r="E290" s="862"/>
      <c r="F290" s="287"/>
      <c r="G290" s="63" t="str">
        <f>IF('4b. Impact - affected (pub)'!G290&lt;&gt;"",'4b. Impact - affected (pub)'!G290,"")</f>
        <v/>
      </c>
      <c r="H290" s="287"/>
      <c r="I290" s="287"/>
      <c r="J290" s="288">
        <f t="shared" si="130"/>
        <v>0</v>
      </c>
      <c r="K290" s="471" t="str">
        <f>IF(C290&lt;&gt;MsgNotUsed,'4b. Impact - affected (pub)'!L290,"")</f>
        <v/>
      </c>
      <c r="L290" s="288">
        <f t="shared" si="131"/>
        <v>0</v>
      </c>
      <c r="M290" s="288">
        <f t="shared" si="132"/>
        <v>0</v>
      </c>
      <c r="N290" s="615"/>
      <c r="O290" s="615"/>
      <c r="P290" s="615"/>
      <c r="Q290" s="757">
        <f t="shared" si="126"/>
        <v>0</v>
      </c>
      <c r="R290" s="757">
        <f t="shared" si="127"/>
        <v>0</v>
      </c>
      <c r="S290" s="549" t="str">
        <f t="shared" si="128"/>
        <v/>
      </c>
      <c r="T290" s="549" t="str">
        <f t="shared" si="129"/>
        <v/>
      </c>
    </row>
    <row r="291" spans="1:20" x14ac:dyDescent="0.2">
      <c r="A291" s="125"/>
      <c r="B291" s="298">
        <v>18</v>
      </c>
      <c r="C291" s="860" t="str">
        <f t="shared" si="125"/>
        <v>** NOT USED **</v>
      </c>
      <c r="D291" s="861"/>
      <c r="E291" s="862"/>
      <c r="F291" s="287"/>
      <c r="G291" s="63" t="str">
        <f>IF('4b. Impact - affected (pub)'!G291&lt;&gt;"",'4b. Impact - affected (pub)'!G291,"")</f>
        <v/>
      </c>
      <c r="H291" s="287"/>
      <c r="I291" s="287"/>
      <c r="J291" s="288">
        <f t="shared" si="130"/>
        <v>0</v>
      </c>
      <c r="K291" s="471" t="str">
        <f>IF(C291&lt;&gt;MsgNotUsed,'4b. Impact - affected (pub)'!L291,"")</f>
        <v/>
      </c>
      <c r="L291" s="288">
        <f t="shared" si="131"/>
        <v>0</v>
      </c>
      <c r="M291" s="288">
        <f t="shared" si="132"/>
        <v>0</v>
      </c>
      <c r="N291" s="615"/>
      <c r="O291" s="615"/>
      <c r="P291" s="615"/>
      <c r="Q291" s="757">
        <f t="shared" si="126"/>
        <v>0</v>
      </c>
      <c r="R291" s="757">
        <f t="shared" si="127"/>
        <v>0</v>
      </c>
      <c r="S291" s="549" t="str">
        <f t="shared" si="128"/>
        <v/>
      </c>
      <c r="T291" s="549" t="str">
        <f t="shared" si="129"/>
        <v/>
      </c>
    </row>
    <row r="292" spans="1:20" x14ac:dyDescent="0.2">
      <c r="A292" s="125"/>
      <c r="B292" s="298">
        <v>19</v>
      </c>
      <c r="C292" s="860" t="str">
        <f t="shared" si="125"/>
        <v>** NOT USED **</v>
      </c>
      <c r="D292" s="861"/>
      <c r="E292" s="862"/>
      <c r="F292" s="287"/>
      <c r="G292" s="63" t="str">
        <f>IF('4b. Impact - affected (pub)'!G292&lt;&gt;"",'4b. Impact - affected (pub)'!G292,"")</f>
        <v/>
      </c>
      <c r="H292" s="287"/>
      <c r="I292" s="287"/>
      <c r="J292" s="288">
        <f t="shared" si="130"/>
        <v>0</v>
      </c>
      <c r="K292" s="471" t="str">
        <f>IF(C292&lt;&gt;MsgNotUsed,'4b. Impact - affected (pub)'!L292,"")</f>
        <v/>
      </c>
      <c r="L292" s="288">
        <f t="shared" si="131"/>
        <v>0</v>
      </c>
      <c r="M292" s="288">
        <f t="shared" si="132"/>
        <v>0</v>
      </c>
      <c r="N292" s="615"/>
      <c r="O292" s="615"/>
      <c r="P292" s="615"/>
      <c r="Q292" s="757">
        <f t="shared" si="126"/>
        <v>0</v>
      </c>
      <c r="R292" s="757">
        <f t="shared" si="127"/>
        <v>0</v>
      </c>
      <c r="S292" s="549" t="str">
        <f t="shared" si="128"/>
        <v/>
      </c>
      <c r="T292" s="549" t="str">
        <f t="shared" si="129"/>
        <v/>
      </c>
    </row>
    <row r="293" spans="1:20" x14ac:dyDescent="0.2">
      <c r="A293" s="125"/>
      <c r="B293" s="298">
        <v>20</v>
      </c>
      <c r="C293" s="860" t="str">
        <f t="shared" si="125"/>
        <v>** NOT USED **</v>
      </c>
      <c r="D293" s="861"/>
      <c r="E293" s="862"/>
      <c r="F293" s="287"/>
      <c r="G293" s="63" t="str">
        <f>IF('4b. Impact - affected (pub)'!G293&lt;&gt;"",'4b. Impact - affected (pub)'!G293,"")</f>
        <v/>
      </c>
      <c r="H293" s="287"/>
      <c r="I293" s="287"/>
      <c r="J293" s="288">
        <f t="shared" si="130"/>
        <v>0</v>
      </c>
      <c r="K293" s="471" t="str">
        <f>IF(C293&lt;&gt;MsgNotUsed,'4b. Impact - affected (pub)'!L293,"")</f>
        <v/>
      </c>
      <c r="L293" s="288">
        <f t="shared" si="131"/>
        <v>0</v>
      </c>
      <c r="M293" s="288">
        <f t="shared" si="132"/>
        <v>0</v>
      </c>
      <c r="N293" s="615"/>
      <c r="O293" s="615"/>
      <c r="P293" s="615"/>
      <c r="Q293" s="757">
        <f t="shared" si="126"/>
        <v>0</v>
      </c>
      <c r="R293" s="757">
        <f t="shared" si="127"/>
        <v>0</v>
      </c>
      <c r="S293" s="549" t="str">
        <f t="shared" si="128"/>
        <v/>
      </c>
      <c r="T293" s="549" t="str">
        <f t="shared" si="129"/>
        <v/>
      </c>
    </row>
    <row r="294" spans="1:20" x14ac:dyDescent="0.2">
      <c r="A294" s="125"/>
      <c r="B294" s="125"/>
      <c r="C294" s="125"/>
      <c r="D294" s="125"/>
      <c r="E294" s="125"/>
      <c r="F294" s="125"/>
      <c r="G294" s="125"/>
      <c r="H294" s="125"/>
      <c r="I294" s="125"/>
      <c r="J294" s="125"/>
      <c r="K294" s="125"/>
      <c r="L294" s="125"/>
      <c r="M294" s="125"/>
      <c r="N294" s="125"/>
      <c r="O294" s="615"/>
      <c r="P294" s="615"/>
      <c r="S294" s="759">
        <f>SUM(S274:S293)</f>
        <v>0</v>
      </c>
      <c r="T294" s="416"/>
    </row>
    <row r="295" spans="1:20" x14ac:dyDescent="0.2">
      <c r="A295" s="125"/>
      <c r="B295" s="125"/>
      <c r="C295" s="162"/>
      <c r="D295" s="162"/>
      <c r="E295" s="162"/>
      <c r="F295" s="656"/>
      <c r="G295" s="125"/>
      <c r="H295" s="125"/>
      <c r="I295" s="125"/>
      <c r="J295" s="125"/>
      <c r="K295" s="125"/>
      <c r="L295" s="125"/>
      <c r="M295" s="125"/>
      <c r="N295" s="125"/>
      <c r="O295" s="615"/>
      <c r="P295" s="615"/>
    </row>
    <row r="296" spans="1:20" ht="15.75" x14ac:dyDescent="0.2">
      <c r="A296" s="125"/>
      <c r="B296" s="125"/>
      <c r="C296" s="123" t="s">
        <v>864</v>
      </c>
      <c r="D296" s="123"/>
      <c r="E296" s="123"/>
      <c r="F296" s="156"/>
      <c r="G296" s="126"/>
      <c r="H296" s="126"/>
      <c r="I296" s="126"/>
      <c r="J296" s="126"/>
      <c r="K296" s="127"/>
      <c r="L296" s="127"/>
      <c r="M296" s="127"/>
      <c r="N296" s="127"/>
    </row>
    <row r="297" spans="1:20" x14ac:dyDescent="0.2">
      <c r="A297" s="615"/>
      <c r="B297" s="615"/>
      <c r="C297" s="698"/>
      <c r="D297" s="698"/>
      <c r="E297" s="698"/>
      <c r="F297" s="698"/>
      <c r="G297" s="698"/>
      <c r="H297" s="698"/>
      <c r="I297" s="698"/>
      <c r="J297" s="698"/>
      <c r="K297" s="698"/>
      <c r="L297" s="698"/>
      <c r="M297" s="698"/>
      <c r="N297" s="698"/>
    </row>
    <row r="298" spans="1:20" x14ac:dyDescent="0.2">
      <c r="A298" s="615"/>
      <c r="B298" s="615"/>
      <c r="C298" s="698" t="s">
        <v>874</v>
      </c>
      <c r="D298" s="698"/>
      <c r="E298" s="698"/>
      <c r="F298" s="698"/>
      <c r="G298" s="698"/>
      <c r="H298" s="698"/>
      <c r="I298" s="698"/>
      <c r="J298" s="698"/>
      <c r="K298" s="698"/>
      <c r="L298" s="698"/>
      <c r="M298" s="9"/>
      <c r="N298" s="9"/>
    </row>
    <row r="299" spans="1:20" ht="12.75" customHeight="1" x14ac:dyDescent="0.2">
      <c r="A299" s="615"/>
      <c r="B299" s="615"/>
      <c r="C299" s="615"/>
      <c r="D299" s="615"/>
      <c r="E299" s="615"/>
      <c r="F299" s="615"/>
      <c r="G299" s="615"/>
      <c r="H299" s="615"/>
      <c r="I299" s="615"/>
      <c r="J299" s="615"/>
      <c r="K299" s="615"/>
      <c r="L299" s="615"/>
      <c r="M299" s="615"/>
      <c r="N299" s="615"/>
    </row>
  </sheetData>
  <mergeCells count="63">
    <mergeCell ref="C289:E289"/>
    <mergeCell ref="C290:E290"/>
    <mergeCell ref="C291:E291"/>
    <mergeCell ref="C292:E292"/>
    <mergeCell ref="C293:E293"/>
    <mergeCell ref="C284:E284"/>
    <mergeCell ref="C285:E285"/>
    <mergeCell ref="C286:E286"/>
    <mergeCell ref="C287:E287"/>
    <mergeCell ref="C288:E288"/>
    <mergeCell ref="C276:E276"/>
    <mergeCell ref="C273:E273"/>
    <mergeCell ref="C274:E274"/>
    <mergeCell ref="C275:E275"/>
    <mergeCell ref="K32:M32"/>
    <mergeCell ref="K44:M44"/>
    <mergeCell ref="K56:M56"/>
    <mergeCell ref="K68:M68"/>
    <mergeCell ref="K80:M80"/>
    <mergeCell ref="H272:J272"/>
    <mergeCell ref="K92:M92"/>
    <mergeCell ref="K104:M104"/>
    <mergeCell ref="K116:M116"/>
    <mergeCell ref="K128:M128"/>
    <mergeCell ref="K140:M140"/>
    <mergeCell ref="K260:M260"/>
    <mergeCell ref="C283:E283"/>
    <mergeCell ref="C277:E277"/>
    <mergeCell ref="C278:E278"/>
    <mergeCell ref="C279:E279"/>
    <mergeCell ref="C280:E280"/>
    <mergeCell ref="C281:E281"/>
    <mergeCell ref="C282:E282"/>
    <mergeCell ref="L1:N1"/>
    <mergeCell ref="K212:M212"/>
    <mergeCell ref="K224:M224"/>
    <mergeCell ref="K236:M236"/>
    <mergeCell ref="K248:M248"/>
    <mergeCell ref="K152:M152"/>
    <mergeCell ref="K164:M164"/>
    <mergeCell ref="K176:M176"/>
    <mergeCell ref="K188:M188"/>
    <mergeCell ref="K200:M200"/>
    <mergeCell ref="L28:M28"/>
    <mergeCell ref="L40:M40"/>
    <mergeCell ref="L52:M52"/>
    <mergeCell ref="L64:M64"/>
    <mergeCell ref="L76:M76"/>
    <mergeCell ref="L88:M88"/>
    <mergeCell ref="L100:M100"/>
    <mergeCell ref="L112:M112"/>
    <mergeCell ref="L124:M124"/>
    <mergeCell ref="L136:M136"/>
    <mergeCell ref="L148:M148"/>
    <mergeCell ref="L220:M220"/>
    <mergeCell ref="L232:M232"/>
    <mergeCell ref="L244:M244"/>
    <mergeCell ref="L256:M256"/>
    <mergeCell ref="L160:M160"/>
    <mergeCell ref="L172:M172"/>
    <mergeCell ref="L184:M184"/>
    <mergeCell ref="L196:M196"/>
    <mergeCell ref="L208:M208"/>
  </mergeCells>
  <conditionalFormatting sqref="I274:I293">
    <cfRule type="expression" dxfId="57" priority="1">
      <formula>$S274=0</formula>
    </cfRule>
    <cfRule type="expression" dxfId="56" priority="184">
      <formula>SplitPPMarket&lt;&gt;"Y"</formula>
    </cfRule>
  </conditionalFormatting>
  <conditionalFormatting sqref="K32:N32">
    <cfRule type="notContainsBlanks" dxfId="55" priority="85">
      <formula>LEN(TRIM(K32))&gt;0</formula>
    </cfRule>
  </conditionalFormatting>
  <conditionalFormatting sqref="H272:J272">
    <cfRule type="notContainsBlanks" dxfId="54" priority="44">
      <formula>LEN(TRIM(H272))&gt;0</formula>
    </cfRule>
  </conditionalFormatting>
  <conditionalFormatting sqref="I273">
    <cfRule type="expression" dxfId="53" priority="43">
      <formula>$S$294=0</formula>
    </cfRule>
  </conditionalFormatting>
  <conditionalFormatting sqref="K44:N44">
    <cfRule type="notContainsBlanks" dxfId="52" priority="21">
      <formula>LEN(TRIM(K44))&gt;0</formula>
    </cfRule>
  </conditionalFormatting>
  <conditionalFormatting sqref="K56:N56">
    <cfRule type="notContainsBlanks" dxfId="51" priority="20">
      <formula>LEN(TRIM(K56))&gt;0</formula>
    </cfRule>
  </conditionalFormatting>
  <conditionalFormatting sqref="K68:N68">
    <cfRule type="notContainsBlanks" dxfId="50" priority="19">
      <formula>LEN(TRIM(K68))&gt;0</formula>
    </cfRule>
  </conditionalFormatting>
  <conditionalFormatting sqref="K80:N80">
    <cfRule type="notContainsBlanks" dxfId="49" priority="18">
      <formula>LEN(TRIM(K80))&gt;0</formula>
    </cfRule>
  </conditionalFormatting>
  <conditionalFormatting sqref="K92:N92">
    <cfRule type="notContainsBlanks" dxfId="48" priority="17">
      <formula>LEN(TRIM(K92))&gt;0</formula>
    </cfRule>
  </conditionalFormatting>
  <conditionalFormatting sqref="K104:N104">
    <cfRule type="notContainsBlanks" dxfId="47" priority="16">
      <formula>LEN(TRIM(K104))&gt;0</formula>
    </cfRule>
  </conditionalFormatting>
  <conditionalFormatting sqref="K116:N116">
    <cfRule type="notContainsBlanks" dxfId="46" priority="15">
      <formula>LEN(TRIM(K116))&gt;0</formula>
    </cfRule>
  </conditionalFormatting>
  <conditionalFormatting sqref="K128:N128">
    <cfRule type="notContainsBlanks" dxfId="45" priority="14">
      <formula>LEN(TRIM(K128))&gt;0</formula>
    </cfRule>
  </conditionalFormatting>
  <conditionalFormatting sqref="K140:N140">
    <cfRule type="notContainsBlanks" dxfId="44" priority="13">
      <formula>LEN(TRIM(K140))&gt;0</formula>
    </cfRule>
  </conditionalFormatting>
  <conditionalFormatting sqref="K152:N152">
    <cfRule type="notContainsBlanks" dxfId="43" priority="12">
      <formula>LEN(TRIM(K152))&gt;0</formula>
    </cfRule>
  </conditionalFormatting>
  <conditionalFormatting sqref="K164:N164">
    <cfRule type="notContainsBlanks" dxfId="42" priority="11">
      <formula>LEN(TRIM(K164))&gt;0</formula>
    </cfRule>
  </conditionalFormatting>
  <conditionalFormatting sqref="K176:N176">
    <cfRule type="notContainsBlanks" dxfId="41" priority="10">
      <formula>LEN(TRIM(K176))&gt;0</formula>
    </cfRule>
  </conditionalFormatting>
  <conditionalFormatting sqref="K188:N188">
    <cfRule type="notContainsBlanks" dxfId="40" priority="9">
      <formula>LEN(TRIM(K188))&gt;0</formula>
    </cfRule>
  </conditionalFormatting>
  <conditionalFormatting sqref="K200:N200">
    <cfRule type="notContainsBlanks" dxfId="39" priority="8">
      <formula>LEN(TRIM(K200))&gt;0</formula>
    </cfRule>
  </conditionalFormatting>
  <conditionalFormatting sqref="K212:N212">
    <cfRule type="notContainsBlanks" dxfId="38" priority="7">
      <formula>LEN(TRIM(K212))&gt;0</formula>
    </cfRule>
  </conditionalFormatting>
  <conditionalFormatting sqref="K224:N224">
    <cfRule type="notContainsBlanks" dxfId="37" priority="6">
      <formula>LEN(TRIM(K224))&gt;0</formula>
    </cfRule>
  </conditionalFormatting>
  <conditionalFormatting sqref="K236:N236">
    <cfRule type="notContainsBlanks" dxfId="36" priority="5">
      <formula>LEN(TRIM(K236))&gt;0</formula>
    </cfRule>
  </conditionalFormatting>
  <conditionalFormatting sqref="K248:N248">
    <cfRule type="notContainsBlanks" dxfId="35" priority="4">
      <formula>LEN(TRIM(K248))&gt;0</formula>
    </cfRule>
  </conditionalFormatting>
  <conditionalFormatting sqref="K260:N260">
    <cfRule type="notContainsBlanks" dxfId="34" priority="3">
      <formula>LEN(TRIM(K260))&gt;0</formula>
    </cfRule>
  </conditionalFormatting>
  <conditionalFormatting sqref="F274:I293">
    <cfRule type="expression" dxfId="33" priority="2">
      <formula>$C274=MsgNotUsed</formula>
    </cfRule>
  </conditionalFormatting>
  <dataValidations count="1">
    <dataValidation allowBlank="1" showErrorMessage="1" sqref="D60:I62 D36:I38 D127:I129 D48:I50 D55:I57 D31:I34 D67:I69 D264:I266 D120:I122 D72:I74 D79:I81 D84:I86 D91:I93 D96:I98 D103:I105 D108:I110 D115:I117 D43:I45 D223:I225 D139:I141 D15:I17 F58:I58 D132:I134 D24:I24 D228:I230 D144:I146 D151:I153 D156:I158 D235:I237 D240:I242 D163:I165 D168:I170 D175:I177 D180:I182 D187:I189 D192:I194 D199:I201 D204:I206 D211:I213 D216:I218 D247:I249 D252:I254 D259:I261 D20:I22 J58:N62"/>
  </dataValidations>
  <pageMargins left="0.11811023622047245" right="0.11811023622047245" top="0.19685039370078741" bottom="0.15748031496062992" header="0.31496062992125984" footer="0.31496062992125984"/>
  <pageSetup paperSize="9" scale="47" orientation="landscape" horizontalDpi="300" verticalDpi="3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theme="4"/>
    <pageSetUpPr fitToPage="1"/>
  </sheetPr>
  <dimension ref="A1:M44"/>
  <sheetViews>
    <sheetView showGridLines="0" zoomScaleNormal="100" workbookViewId="0">
      <pane ySplit="3" topLeftCell="A4" activePane="bottomLeft" state="frozen"/>
      <selection activeCell="B7" sqref="B7:G7"/>
      <selection pane="bottomLeft"/>
    </sheetView>
  </sheetViews>
  <sheetFormatPr defaultRowHeight="12.75" customHeight="1" x14ac:dyDescent="0.2"/>
  <cols>
    <col min="1" max="1" width="3.7109375" customWidth="1"/>
    <col min="2" max="2" width="20.7109375" customWidth="1"/>
    <col min="3" max="10" width="15.7109375" customWidth="1"/>
    <col min="11" max="11" width="15.7109375" hidden="1" customWidth="1"/>
    <col min="12" max="12" width="20.7109375" customWidth="1"/>
    <col min="13" max="13" width="25.7109375" customWidth="1"/>
  </cols>
  <sheetData>
    <row r="1" spans="1:13" ht="23.25" x14ac:dyDescent="0.2">
      <c r="A1" s="346">
        <f>IF((SUM(C17:H17)+SUM(C22:H22)&lt;&gt;0),2,0)</f>
        <v>0</v>
      </c>
      <c r="B1" s="343" t="s">
        <v>939</v>
      </c>
      <c r="C1" s="343"/>
      <c r="D1" s="343"/>
      <c r="E1" s="342"/>
      <c r="F1" s="342"/>
      <c r="G1" s="342"/>
      <c r="H1" s="342"/>
      <c r="I1" s="342"/>
      <c r="J1" s="342"/>
      <c r="K1" s="342"/>
      <c r="L1" s="347" t="s">
        <v>45</v>
      </c>
      <c r="M1" s="348" t="str">
        <f>IF(K17=0,"Nil",IF(K19="HS","High save",IF(K19="HC","High cost",IF(K17&lt;0,"Minor save",IF(K17&gt;0,"Minor cost")))))</f>
        <v>Nil</v>
      </c>
    </row>
    <row r="2" spans="1:13" ht="23.25" x14ac:dyDescent="0.2">
      <c r="A2" s="342"/>
      <c r="B2" s="344" t="str">
        <f>CONCATENATE("Name of medicine: ", MedicineBrand)</f>
        <v xml:space="preserve">Name of medicine: </v>
      </c>
      <c r="C2" s="345"/>
      <c r="D2" s="345"/>
      <c r="E2" s="342"/>
      <c r="F2" s="342"/>
      <c r="G2" s="342"/>
      <c r="H2" s="342"/>
      <c r="I2" s="342"/>
      <c r="J2" s="342"/>
      <c r="K2" s="342"/>
      <c r="L2" s="347" t="s">
        <v>47</v>
      </c>
      <c r="M2" s="348" t="str">
        <f>IF(K22=0,"Nil",IF(K22&lt;0,"Save",IF(K22&gt;0,"Cost")))</f>
        <v>Nil</v>
      </c>
    </row>
    <row r="3" spans="1:13" ht="15.75" x14ac:dyDescent="0.2">
      <c r="A3" s="342"/>
      <c r="B3" s="344" t="str">
        <f>CONCATENATE("Indication: ",Indication)</f>
        <v xml:space="preserve">Indication: </v>
      </c>
      <c r="C3" s="345"/>
      <c r="D3" s="345"/>
      <c r="E3" s="342"/>
      <c r="F3" s="342"/>
      <c r="G3" s="342"/>
      <c r="H3" s="342"/>
      <c r="I3" s="342"/>
      <c r="J3" s="342"/>
      <c r="K3" s="342"/>
      <c r="L3" s="342"/>
      <c r="M3" s="342"/>
    </row>
    <row r="4" spans="1:13" s="420" customFormat="1" x14ac:dyDescent="0.2">
      <c r="A4" s="650"/>
      <c r="B4" s="662"/>
      <c r="C4" s="662"/>
      <c r="D4" s="662"/>
      <c r="E4" s="650"/>
      <c r="F4" s="650"/>
      <c r="G4" s="650"/>
      <c r="H4" s="650"/>
      <c r="I4" s="650"/>
      <c r="J4" s="650"/>
      <c r="K4" s="650"/>
      <c r="L4" s="650"/>
      <c r="M4" s="650"/>
    </row>
    <row r="5" spans="1:13" ht="15.75" x14ac:dyDescent="0.2">
      <c r="A5" s="122"/>
      <c r="B5" s="123" t="s">
        <v>2</v>
      </c>
      <c r="C5" s="123"/>
      <c r="D5" s="123"/>
      <c r="E5" s="142"/>
      <c r="F5" s="127"/>
      <c r="G5" s="127"/>
      <c r="H5" s="127"/>
      <c r="I5" s="127"/>
      <c r="J5" s="122"/>
      <c r="K5" s="122"/>
      <c r="L5" s="122"/>
      <c r="M5" s="122"/>
    </row>
    <row r="6" spans="1:13" ht="14.25" x14ac:dyDescent="0.2">
      <c r="A6" s="125"/>
      <c r="B6" s="647"/>
      <c r="C6" s="647"/>
      <c r="D6" s="647"/>
      <c r="E6" s="656"/>
      <c r="F6" s="125"/>
      <c r="G6" s="125"/>
      <c r="H6" s="125"/>
      <c r="I6" s="125"/>
      <c r="J6" s="125"/>
      <c r="K6" s="125"/>
      <c r="L6" s="125"/>
      <c r="M6" s="125"/>
    </row>
    <row r="7" spans="1:13" x14ac:dyDescent="0.2">
      <c r="A7" s="125"/>
      <c r="B7" s="162" t="s">
        <v>236</v>
      </c>
      <c r="C7" s="162"/>
      <c r="D7" s="162"/>
      <c r="E7" s="162"/>
      <c r="F7" s="162"/>
      <c r="G7" s="162"/>
      <c r="H7" s="162"/>
      <c r="I7" s="162"/>
      <c r="J7" s="162"/>
      <c r="K7" s="162"/>
      <c r="L7" s="162"/>
      <c r="M7" s="162"/>
    </row>
    <row r="8" spans="1:13" x14ac:dyDescent="0.2">
      <c r="A8" s="125"/>
      <c r="B8" s="162"/>
      <c r="C8" s="162"/>
      <c r="D8" s="162"/>
      <c r="E8" s="162"/>
      <c r="F8" s="162"/>
      <c r="G8" s="162"/>
      <c r="H8" s="162"/>
      <c r="I8" s="162"/>
      <c r="J8" s="162"/>
      <c r="K8" s="162"/>
      <c r="L8" s="162"/>
      <c r="M8" s="162"/>
    </row>
    <row r="9" spans="1:13" x14ac:dyDescent="0.2">
      <c r="A9" s="125"/>
      <c r="B9" s="162"/>
      <c r="C9" s="162"/>
      <c r="D9" s="162"/>
      <c r="E9" s="162"/>
      <c r="F9" s="162"/>
      <c r="G9" s="162"/>
      <c r="H9" s="162"/>
      <c r="I9" s="162"/>
      <c r="J9" s="162"/>
      <c r="K9" s="162"/>
      <c r="L9" s="162"/>
      <c r="M9" s="162"/>
    </row>
    <row r="10" spans="1:13" ht="15.75" x14ac:dyDescent="0.2">
      <c r="A10" s="125"/>
      <c r="B10" s="123" t="s">
        <v>237</v>
      </c>
      <c r="C10" s="123"/>
      <c r="D10" s="123"/>
      <c r="E10" s="142"/>
      <c r="F10" s="127"/>
      <c r="G10" s="127"/>
      <c r="H10" s="127"/>
      <c r="I10" s="127"/>
      <c r="J10" s="155"/>
      <c r="K10" s="155"/>
      <c r="L10" s="155"/>
      <c r="M10" s="155"/>
    </row>
    <row r="11" spans="1:13" ht="15.75" x14ac:dyDescent="0.2">
      <c r="A11" s="125"/>
      <c r="B11" s="655"/>
      <c r="C11" s="655"/>
      <c r="D11" s="655"/>
      <c r="E11" s="656"/>
      <c r="F11" s="125"/>
      <c r="G11" s="125"/>
      <c r="H11" s="125"/>
      <c r="I11" s="125"/>
      <c r="J11" s="125"/>
      <c r="K11" s="125"/>
      <c r="L11" s="125"/>
      <c r="M11" s="125"/>
    </row>
    <row r="12" spans="1:13" x14ac:dyDescent="0.2">
      <c r="A12" s="125"/>
      <c r="B12" s="646" t="s">
        <v>305</v>
      </c>
      <c r="C12" s="646"/>
      <c r="D12" s="646"/>
      <c r="E12" s="646"/>
      <c r="F12" s="646"/>
      <c r="G12" s="646"/>
      <c r="H12" s="646"/>
      <c r="I12" s="646"/>
      <c r="J12" s="646"/>
      <c r="K12" s="646"/>
      <c r="L12" s="646"/>
      <c r="M12" s="646"/>
    </row>
    <row r="13" spans="1:13" x14ac:dyDescent="0.2">
      <c r="A13" s="125"/>
      <c r="B13" s="657"/>
      <c r="C13" s="657"/>
      <c r="D13" s="657"/>
      <c r="E13" s="125"/>
      <c r="F13" s="125"/>
      <c r="G13" s="125"/>
      <c r="H13" s="125"/>
      <c r="I13" s="125"/>
      <c r="J13" s="125"/>
      <c r="K13" s="141" t="s">
        <v>0</v>
      </c>
      <c r="L13" s="657"/>
      <c r="M13" s="657"/>
    </row>
    <row r="14" spans="1:13" ht="15" x14ac:dyDescent="0.2">
      <c r="A14" s="125"/>
      <c r="B14" s="659" t="s">
        <v>0</v>
      </c>
      <c r="C14" s="81">
        <f>FirstYear</f>
        <v>2021</v>
      </c>
      <c r="D14" s="81">
        <f>C14+1</f>
        <v>2022</v>
      </c>
      <c r="E14" s="81">
        <f>D14+1</f>
        <v>2023</v>
      </c>
      <c r="F14" s="81">
        <f>E14+1</f>
        <v>2024</v>
      </c>
      <c r="G14" s="81">
        <f>F14+1</f>
        <v>2025</v>
      </c>
      <c r="H14" s="81">
        <f>G14+1</f>
        <v>2026</v>
      </c>
      <c r="I14" s="125"/>
      <c r="J14" s="125"/>
      <c r="K14" s="159" t="s">
        <v>263</v>
      </c>
      <c r="L14" s="125"/>
      <c r="M14" s="657"/>
    </row>
    <row r="15" spans="1:13" x14ac:dyDescent="0.2">
      <c r="A15" s="125"/>
      <c r="B15" s="84" t="s">
        <v>238</v>
      </c>
      <c r="C15" s="283">
        <f>'3b. Impact - proposed (pub)'!D17</f>
        <v>0</v>
      </c>
      <c r="D15" s="283">
        <f>'3b. Impact - proposed (pub)'!E17</f>
        <v>0</v>
      </c>
      <c r="E15" s="283">
        <f>'3b. Impact - proposed (pub)'!F17</f>
        <v>0</v>
      </c>
      <c r="F15" s="283">
        <f>'3b. Impact - proposed (pub)'!G17</f>
        <v>0</v>
      </c>
      <c r="G15" s="283">
        <f>'3b. Impact - proposed (pub)'!H17</f>
        <v>0</v>
      </c>
      <c r="H15" s="283">
        <f>'3b. Impact - proposed (pub)'!I17</f>
        <v>0</v>
      </c>
      <c r="I15" s="125"/>
      <c r="J15" s="125"/>
      <c r="K15" s="160">
        <v>20</v>
      </c>
      <c r="L15" s="125"/>
      <c r="M15" s="125"/>
    </row>
    <row r="16" spans="1:13" x14ac:dyDescent="0.2">
      <c r="A16" s="125"/>
      <c r="B16" s="5" t="s">
        <v>239</v>
      </c>
      <c r="C16" s="283">
        <f>'4b. Impact - affected (pub)'!D17</f>
        <v>0</v>
      </c>
      <c r="D16" s="283">
        <f>'4b. Impact - affected (pub)'!E17</f>
        <v>0</v>
      </c>
      <c r="E16" s="283">
        <f>'4b. Impact - affected (pub)'!F17</f>
        <v>0</v>
      </c>
      <c r="F16" s="283">
        <f>'4b. Impact - affected (pub)'!G17</f>
        <v>0</v>
      </c>
      <c r="G16" s="283">
        <f>'4b. Impact - affected (pub)'!H17</f>
        <v>0</v>
      </c>
      <c r="H16" s="283">
        <f>'4b. Impact - affected (pub)'!I17</f>
        <v>0</v>
      </c>
      <c r="I16" s="125"/>
      <c r="J16" s="125"/>
      <c r="K16" s="159" t="s">
        <v>264</v>
      </c>
      <c r="L16" s="125"/>
      <c r="M16" s="125"/>
    </row>
    <row r="17" spans="1:13" x14ac:dyDescent="0.2">
      <c r="A17" s="125"/>
      <c r="B17" s="5" t="s">
        <v>88</v>
      </c>
      <c r="C17" s="284">
        <f t="shared" ref="C17:H17" si="0">C15+C16</f>
        <v>0</v>
      </c>
      <c r="D17" s="284">
        <f t="shared" si="0"/>
        <v>0</v>
      </c>
      <c r="E17" s="284">
        <f t="shared" si="0"/>
        <v>0</v>
      </c>
      <c r="F17" s="284">
        <f t="shared" si="0"/>
        <v>0</v>
      </c>
      <c r="G17" s="284">
        <f t="shared" si="0"/>
        <v>0</v>
      </c>
      <c r="H17" s="284">
        <f t="shared" si="0"/>
        <v>0</v>
      </c>
      <c r="I17" s="125"/>
      <c r="J17" s="125"/>
      <c r="K17" s="245">
        <f>SUM(C35:G35)</f>
        <v>0</v>
      </c>
      <c r="L17" s="125"/>
      <c r="M17" s="125"/>
    </row>
    <row r="18" spans="1:13" x14ac:dyDescent="0.2">
      <c r="A18" s="125"/>
      <c r="B18" s="658"/>
      <c r="C18" s="658"/>
      <c r="D18" s="658"/>
      <c r="E18" s="36"/>
      <c r="F18" s="36"/>
      <c r="G18" s="36"/>
      <c r="H18" s="36"/>
      <c r="I18" s="36"/>
      <c r="J18" s="36"/>
      <c r="K18" s="159" t="s">
        <v>265</v>
      </c>
      <c r="L18" s="125"/>
      <c r="M18" s="125"/>
    </row>
    <row r="19" spans="1:13" ht="15" x14ac:dyDescent="0.2">
      <c r="A19" s="125"/>
      <c r="B19" s="659" t="s">
        <v>1</v>
      </c>
      <c r="C19" s="81">
        <f>FirstYear</f>
        <v>2021</v>
      </c>
      <c r="D19" s="81">
        <f>C19+1</f>
        <v>2022</v>
      </c>
      <c r="E19" s="81">
        <f>D19+1</f>
        <v>2023</v>
      </c>
      <c r="F19" s="81">
        <f>E19+1</f>
        <v>2024</v>
      </c>
      <c r="G19" s="81">
        <f>F19+1</f>
        <v>2025</v>
      </c>
      <c r="H19" s="81">
        <f>G19+1</f>
        <v>2026</v>
      </c>
      <c r="I19" s="125"/>
      <c r="J19" s="125"/>
      <c r="K19" s="161" t="str">
        <f>IF(OR(C35&gt;K15,D35&gt;K15,E35&gt;K15,F35&gt;K15,G35&gt;K15),"HC",IF(OR(C35&lt;-K15,D35&lt;-K15,E35&lt;-K15,F35&lt;-K15,G35&lt;-K15),"HS","X"))</f>
        <v>X</v>
      </c>
      <c r="L19" s="125"/>
      <c r="M19" s="125"/>
    </row>
    <row r="20" spans="1:13" x14ac:dyDescent="0.2">
      <c r="A20" s="125"/>
      <c r="B20" s="84" t="s">
        <v>238</v>
      </c>
      <c r="C20" s="282">
        <f>'3b. Impact - proposed (pub)'!D22</f>
        <v>0</v>
      </c>
      <c r="D20" s="282">
        <f>'3b. Impact - proposed (pub)'!E22</f>
        <v>0</v>
      </c>
      <c r="E20" s="282">
        <f>'3b. Impact - proposed (pub)'!F22</f>
        <v>0</v>
      </c>
      <c r="F20" s="282">
        <f>'3b. Impact - proposed (pub)'!G22</f>
        <v>0</v>
      </c>
      <c r="G20" s="282">
        <f>'3b. Impact - proposed (pub)'!H22</f>
        <v>0</v>
      </c>
      <c r="H20" s="282">
        <f>'3b. Impact - proposed (pub)'!I22</f>
        <v>0</v>
      </c>
      <c r="I20" s="125"/>
      <c r="J20" s="125"/>
      <c r="K20" s="120"/>
      <c r="L20" s="125"/>
      <c r="M20" s="125"/>
    </row>
    <row r="21" spans="1:13" x14ac:dyDescent="0.2">
      <c r="A21" s="125"/>
      <c r="B21" s="5" t="s">
        <v>239</v>
      </c>
      <c r="C21" s="282">
        <f>'4b. Impact - affected (pub)'!D22</f>
        <v>0</v>
      </c>
      <c r="D21" s="282">
        <f>'4b. Impact - affected (pub)'!E22</f>
        <v>0</v>
      </c>
      <c r="E21" s="282">
        <f>'4b. Impact - affected (pub)'!F22</f>
        <v>0</v>
      </c>
      <c r="F21" s="282">
        <f>'4b. Impact - affected (pub)'!G22</f>
        <v>0</v>
      </c>
      <c r="G21" s="282">
        <f>'4b. Impact - affected (pub)'!H22</f>
        <v>0</v>
      </c>
      <c r="H21" s="282">
        <f>'4b. Impact - affected (pub)'!I22</f>
        <v>0</v>
      </c>
      <c r="I21" s="125"/>
      <c r="J21" s="125"/>
      <c r="K21" s="141" t="s">
        <v>1</v>
      </c>
      <c r="L21" s="125"/>
      <c r="M21" s="125"/>
    </row>
    <row r="22" spans="1:13" x14ac:dyDescent="0.2">
      <c r="A22" s="125"/>
      <c r="B22" s="5" t="s">
        <v>89</v>
      </c>
      <c r="C22" s="284">
        <f t="shared" ref="C22:H22" si="1">C20+C21</f>
        <v>0</v>
      </c>
      <c r="D22" s="284">
        <f t="shared" si="1"/>
        <v>0</v>
      </c>
      <c r="E22" s="284">
        <f t="shared" si="1"/>
        <v>0</v>
      </c>
      <c r="F22" s="284">
        <f t="shared" si="1"/>
        <v>0</v>
      </c>
      <c r="G22" s="284">
        <f t="shared" si="1"/>
        <v>0</v>
      </c>
      <c r="H22" s="284">
        <f t="shared" si="1"/>
        <v>0</v>
      </c>
      <c r="I22" s="125"/>
      <c r="J22" s="125"/>
      <c r="K22" s="246">
        <f>SUM(C41:G41)</f>
        <v>0</v>
      </c>
      <c r="L22" s="125"/>
      <c r="M22" s="125"/>
    </row>
    <row r="23" spans="1:13" ht="12.75" customHeight="1" x14ac:dyDescent="0.2">
      <c r="A23" s="615"/>
      <c r="B23" s="615"/>
      <c r="C23" s="615"/>
      <c r="D23" s="615"/>
      <c r="E23" s="615"/>
      <c r="F23" s="615"/>
      <c r="G23" s="615"/>
      <c r="H23" s="615"/>
      <c r="I23" s="615"/>
      <c r="J23" s="615"/>
      <c r="L23" s="615"/>
      <c r="M23" s="615"/>
    </row>
    <row r="24" spans="1:13" x14ac:dyDescent="0.2">
      <c r="A24" s="615"/>
      <c r="B24" s="273" t="s">
        <v>845</v>
      </c>
      <c r="C24" s="285">
        <f t="shared" ref="C24:H24" si="2">C22+C17</f>
        <v>0</v>
      </c>
      <c r="D24" s="285">
        <f t="shared" si="2"/>
        <v>0</v>
      </c>
      <c r="E24" s="285">
        <f t="shared" si="2"/>
        <v>0</v>
      </c>
      <c r="F24" s="285">
        <f t="shared" si="2"/>
        <v>0</v>
      </c>
      <c r="G24" s="285">
        <f t="shared" si="2"/>
        <v>0</v>
      </c>
      <c r="H24" s="285">
        <f t="shared" si="2"/>
        <v>0</v>
      </c>
      <c r="I24" s="615"/>
      <c r="J24" s="615"/>
      <c r="L24" s="615"/>
      <c r="M24" s="615"/>
    </row>
    <row r="25" spans="1:13" x14ac:dyDescent="0.2">
      <c r="A25" s="125"/>
      <c r="B25" s="658"/>
      <c r="C25" s="658"/>
      <c r="D25" s="658"/>
      <c r="E25" s="36"/>
      <c r="F25" s="36"/>
      <c r="G25" s="36"/>
      <c r="H25" s="36"/>
      <c r="I25" s="36"/>
      <c r="J25" s="36"/>
      <c r="K25" s="247">
        <f>'0. Title'!B23</f>
        <v>0</v>
      </c>
      <c r="L25" s="125"/>
      <c r="M25" s="125"/>
    </row>
    <row r="26" spans="1:13" x14ac:dyDescent="0.2">
      <c r="A26" s="125"/>
      <c r="B26" s="658"/>
      <c r="C26" s="658"/>
      <c r="D26" s="658"/>
      <c r="E26" s="36"/>
      <c r="F26" s="36"/>
      <c r="G26" s="36"/>
      <c r="H26" s="36"/>
      <c r="I26" s="36"/>
      <c r="J26" s="36"/>
      <c r="K26" s="661"/>
      <c r="L26" s="125"/>
      <c r="M26" s="125"/>
    </row>
    <row r="27" spans="1:13" ht="15.75" x14ac:dyDescent="0.2">
      <c r="A27" s="125"/>
      <c r="B27" s="79" t="str">
        <f>IF(OR(SPANewFlag=1,SPAChangeFlag=1),"2. Summary - effective prices",MsgNotRequired)</f>
        <v>** NOT REQUIRED **</v>
      </c>
      <c r="C27" s="123"/>
      <c r="D27" s="123"/>
      <c r="E27" s="142"/>
      <c r="F27" s="127"/>
      <c r="G27" s="127"/>
      <c r="H27" s="127"/>
      <c r="I27" s="127"/>
      <c r="J27" s="36"/>
      <c r="K27" s="36"/>
      <c r="L27" s="125"/>
      <c r="M27" s="125"/>
    </row>
    <row r="28" spans="1:13" x14ac:dyDescent="0.2">
      <c r="A28" s="125"/>
      <c r="B28" s="660"/>
      <c r="C28" s="660"/>
      <c r="D28" s="660"/>
      <c r="E28" s="660"/>
      <c r="F28" s="660"/>
      <c r="G28" s="660"/>
      <c r="H28" s="660"/>
      <c r="I28" s="660"/>
      <c r="J28" s="660"/>
      <c r="K28" s="660"/>
      <c r="L28" s="162"/>
      <c r="M28" s="162"/>
    </row>
    <row r="29" spans="1:13" x14ac:dyDescent="0.2">
      <c r="A29" s="125"/>
      <c r="B29" s="646" t="s">
        <v>304</v>
      </c>
      <c r="C29" s="660"/>
      <c r="D29" s="660"/>
      <c r="E29" s="660"/>
      <c r="F29" s="660"/>
      <c r="G29" s="660"/>
      <c r="H29" s="660"/>
      <c r="I29" s="660"/>
      <c r="J29" s="660"/>
      <c r="K29" s="660"/>
      <c r="L29" s="162"/>
      <c r="M29" s="162"/>
    </row>
    <row r="30" spans="1:13" x14ac:dyDescent="0.2">
      <c r="A30" s="125"/>
      <c r="B30" s="125"/>
      <c r="C30" s="125"/>
      <c r="D30" s="125"/>
      <c r="E30" s="125"/>
      <c r="F30" s="125"/>
      <c r="G30" s="125"/>
      <c r="H30" s="125"/>
      <c r="I30" s="125"/>
      <c r="J30" s="125"/>
      <c r="K30" s="125"/>
      <c r="L30" s="125"/>
      <c r="M30" s="162"/>
    </row>
    <row r="31" spans="1:13" ht="15" x14ac:dyDescent="0.2">
      <c r="A31" s="125"/>
      <c r="B31" s="659" t="s">
        <v>0</v>
      </c>
      <c r="C31" s="81">
        <f>FirstYear</f>
        <v>2021</v>
      </c>
      <c r="D31" s="81">
        <f>C31+1</f>
        <v>2022</v>
      </c>
      <c r="E31" s="81">
        <f>D31+1</f>
        <v>2023</v>
      </c>
      <c r="F31" s="81">
        <f>E31+1</f>
        <v>2024</v>
      </c>
      <c r="G31" s="81">
        <f>F31+1</f>
        <v>2025</v>
      </c>
      <c r="H31" s="81">
        <f>G31+1</f>
        <v>2026</v>
      </c>
      <c r="I31" s="162"/>
      <c r="J31" s="162"/>
      <c r="K31" s="162"/>
      <c r="L31" s="162"/>
      <c r="M31" s="162"/>
    </row>
    <row r="32" spans="1:13" x14ac:dyDescent="0.2">
      <c r="A32" s="125"/>
      <c r="B32" s="84" t="s">
        <v>238</v>
      </c>
      <c r="C32" s="283">
        <f>'3c. Impact - proposed (eff)'!D17</f>
        <v>0</v>
      </c>
      <c r="D32" s="283">
        <f>'3c. Impact - proposed (eff)'!E17</f>
        <v>0</v>
      </c>
      <c r="E32" s="283">
        <f>'3c. Impact - proposed (eff)'!F17</f>
        <v>0</v>
      </c>
      <c r="F32" s="283">
        <f>'3c. Impact - proposed (eff)'!G17</f>
        <v>0</v>
      </c>
      <c r="G32" s="283">
        <f>'3c. Impact - proposed (eff)'!H17</f>
        <v>0</v>
      </c>
      <c r="H32" s="283">
        <f>'3c. Impact - proposed (eff)'!I17</f>
        <v>0</v>
      </c>
      <c r="I32" s="162"/>
      <c r="J32" s="162"/>
      <c r="K32" s="162"/>
      <c r="L32" s="162"/>
      <c r="M32" s="162"/>
    </row>
    <row r="33" spans="1:13" x14ac:dyDescent="0.2">
      <c r="A33" s="125"/>
      <c r="B33" s="5" t="s">
        <v>239</v>
      </c>
      <c r="C33" s="283">
        <f>'4c. Impact - affected (eff)'!D17</f>
        <v>0</v>
      </c>
      <c r="D33" s="283">
        <f>'4c. Impact - affected (eff)'!E17</f>
        <v>0</v>
      </c>
      <c r="E33" s="283">
        <f>'4c. Impact - affected (eff)'!F17</f>
        <v>0</v>
      </c>
      <c r="F33" s="283">
        <f>'4c. Impact - affected (eff)'!G17</f>
        <v>0</v>
      </c>
      <c r="G33" s="283">
        <f>'4c. Impact - affected (eff)'!H17</f>
        <v>0</v>
      </c>
      <c r="H33" s="283">
        <f>'4c. Impact - affected (eff)'!I17</f>
        <v>0</v>
      </c>
      <c r="I33" s="162"/>
      <c r="J33" s="162"/>
      <c r="K33" s="162"/>
      <c r="L33" s="162"/>
      <c r="M33" s="162"/>
    </row>
    <row r="34" spans="1:13" x14ac:dyDescent="0.2">
      <c r="A34" s="125"/>
      <c r="B34" s="5" t="s">
        <v>88</v>
      </c>
      <c r="C34" s="284">
        <f t="shared" ref="C34:H34" si="3">C32+C33</f>
        <v>0</v>
      </c>
      <c r="D34" s="284">
        <f t="shared" si="3"/>
        <v>0</v>
      </c>
      <c r="E34" s="284">
        <f t="shared" si="3"/>
        <v>0</v>
      </c>
      <c r="F34" s="284">
        <f t="shared" si="3"/>
        <v>0</v>
      </c>
      <c r="G34" s="284">
        <f t="shared" si="3"/>
        <v>0</v>
      </c>
      <c r="H34" s="284">
        <f t="shared" si="3"/>
        <v>0</v>
      </c>
      <c r="I34" s="162"/>
      <c r="J34" s="162"/>
      <c r="K34" s="162"/>
      <c r="L34" s="162"/>
      <c r="M34" s="162"/>
    </row>
    <row r="35" spans="1:13" hidden="1" x14ac:dyDescent="0.2">
      <c r="A35" s="125"/>
      <c r="B35" s="10"/>
      <c r="C35" s="41">
        <f t="shared" ref="C35:H35" si="4">IF($K$25=0,C17,C34)/1000000</f>
        <v>0</v>
      </c>
      <c r="D35" s="41">
        <f t="shared" si="4"/>
        <v>0</v>
      </c>
      <c r="E35" s="41">
        <f t="shared" si="4"/>
        <v>0</v>
      </c>
      <c r="F35" s="41">
        <f t="shared" si="4"/>
        <v>0</v>
      </c>
      <c r="G35" s="41">
        <f t="shared" si="4"/>
        <v>0</v>
      </c>
      <c r="H35" s="41">
        <f t="shared" si="4"/>
        <v>0</v>
      </c>
      <c r="I35" s="162"/>
      <c r="J35" s="162"/>
      <c r="K35" s="162"/>
      <c r="L35" s="162"/>
      <c r="M35" s="162"/>
    </row>
    <row r="36" spans="1:13" x14ac:dyDescent="0.2">
      <c r="A36" s="125"/>
      <c r="B36" s="658"/>
      <c r="C36" s="658"/>
      <c r="D36" s="658"/>
      <c r="E36" s="36"/>
      <c r="F36" s="36"/>
      <c r="G36" s="36"/>
      <c r="H36" s="36"/>
      <c r="I36" s="162"/>
      <c r="J36" s="162"/>
      <c r="K36" s="162"/>
      <c r="L36" s="162"/>
      <c r="M36" s="162"/>
    </row>
    <row r="37" spans="1:13" ht="15" x14ac:dyDescent="0.2">
      <c r="A37" s="125"/>
      <c r="B37" s="659" t="s">
        <v>1</v>
      </c>
      <c r="C37" s="81">
        <f>FirstYear</f>
        <v>2021</v>
      </c>
      <c r="D37" s="81">
        <f>C37+1</f>
        <v>2022</v>
      </c>
      <c r="E37" s="81">
        <f>D37+1</f>
        <v>2023</v>
      </c>
      <c r="F37" s="81">
        <f>E37+1</f>
        <v>2024</v>
      </c>
      <c r="G37" s="81">
        <f>F37+1</f>
        <v>2025</v>
      </c>
      <c r="H37" s="81">
        <f>G37+1</f>
        <v>2026</v>
      </c>
      <c r="I37" s="162"/>
      <c r="J37" s="162"/>
      <c r="K37" s="162"/>
      <c r="L37" s="162"/>
      <c r="M37" s="162"/>
    </row>
    <row r="38" spans="1:13" x14ac:dyDescent="0.2">
      <c r="A38" s="125"/>
      <c r="B38" s="84" t="s">
        <v>238</v>
      </c>
      <c r="C38" s="282">
        <f>'3c. Impact - proposed (eff)'!D22</f>
        <v>0</v>
      </c>
      <c r="D38" s="282">
        <f>'3c. Impact - proposed (eff)'!E22</f>
        <v>0</v>
      </c>
      <c r="E38" s="282">
        <f>'3c. Impact - proposed (eff)'!F22</f>
        <v>0</v>
      </c>
      <c r="F38" s="282">
        <f>'3c. Impact - proposed (eff)'!G22</f>
        <v>0</v>
      </c>
      <c r="G38" s="282">
        <f>'3c. Impact - proposed (eff)'!H22</f>
        <v>0</v>
      </c>
      <c r="H38" s="282">
        <f>'3c. Impact - proposed (eff)'!I22</f>
        <v>0</v>
      </c>
      <c r="I38" s="162"/>
      <c r="J38" s="162"/>
      <c r="K38" s="162"/>
      <c r="L38" s="162"/>
      <c r="M38" s="162"/>
    </row>
    <row r="39" spans="1:13" x14ac:dyDescent="0.2">
      <c r="A39" s="125"/>
      <c r="B39" s="5" t="s">
        <v>239</v>
      </c>
      <c r="C39" s="282">
        <f>'4c. Impact - affected (eff)'!D22</f>
        <v>0</v>
      </c>
      <c r="D39" s="282">
        <f>'4c. Impact - affected (eff)'!E22</f>
        <v>0</v>
      </c>
      <c r="E39" s="282">
        <f>'4c. Impact - affected (eff)'!F22</f>
        <v>0</v>
      </c>
      <c r="F39" s="282">
        <f>'4c. Impact - affected (eff)'!G22</f>
        <v>0</v>
      </c>
      <c r="G39" s="282">
        <f>'4c. Impact - affected (eff)'!H22</f>
        <v>0</v>
      </c>
      <c r="H39" s="282">
        <f>'4c. Impact - affected (eff)'!I22</f>
        <v>0</v>
      </c>
      <c r="I39" s="162"/>
      <c r="J39" s="162"/>
      <c r="K39" s="162"/>
      <c r="L39" s="162"/>
      <c r="M39" s="162"/>
    </row>
    <row r="40" spans="1:13" x14ac:dyDescent="0.2">
      <c r="A40" s="162"/>
      <c r="B40" s="5" t="s">
        <v>89</v>
      </c>
      <c r="C40" s="284">
        <f t="shared" ref="C40:H40" si="5">C38+C39</f>
        <v>0</v>
      </c>
      <c r="D40" s="284">
        <f t="shared" si="5"/>
        <v>0</v>
      </c>
      <c r="E40" s="284">
        <f t="shared" si="5"/>
        <v>0</v>
      </c>
      <c r="F40" s="284">
        <f t="shared" si="5"/>
        <v>0</v>
      </c>
      <c r="G40" s="284">
        <f t="shared" si="5"/>
        <v>0</v>
      </c>
      <c r="H40" s="284">
        <f t="shared" si="5"/>
        <v>0</v>
      </c>
      <c r="I40" s="162"/>
      <c r="J40" s="162"/>
      <c r="K40" s="162"/>
      <c r="L40" s="162"/>
      <c r="M40" s="162"/>
    </row>
    <row r="41" spans="1:13" hidden="1" x14ac:dyDescent="0.2">
      <c r="A41" s="641"/>
      <c r="B41" s="1"/>
      <c r="C41" s="41">
        <f t="shared" ref="C41:H41" si="6">IF($K$25=0,C22,C40)/1000</f>
        <v>0</v>
      </c>
      <c r="D41" s="41">
        <f t="shared" si="6"/>
        <v>0</v>
      </c>
      <c r="E41" s="41">
        <f t="shared" si="6"/>
        <v>0</v>
      </c>
      <c r="F41" s="41">
        <f t="shared" si="6"/>
        <v>0</v>
      </c>
      <c r="G41" s="41">
        <f t="shared" si="6"/>
        <v>0</v>
      </c>
      <c r="H41" s="41">
        <f t="shared" si="6"/>
        <v>0</v>
      </c>
      <c r="I41" s="641"/>
      <c r="J41" s="1"/>
      <c r="K41" s="1"/>
      <c r="L41" s="641"/>
      <c r="M41" s="641"/>
    </row>
    <row r="42" spans="1:13" ht="12.75" customHeight="1" x14ac:dyDescent="0.2">
      <c r="A42" s="641"/>
      <c r="B42" s="658"/>
      <c r="C42" s="658"/>
      <c r="D42" s="658"/>
      <c r="E42" s="36"/>
      <c r="F42" s="36"/>
      <c r="G42" s="36"/>
      <c r="H42" s="36"/>
      <c r="I42" s="162"/>
      <c r="J42" s="7"/>
      <c r="K42" s="7"/>
      <c r="L42" s="641"/>
      <c r="M42" s="641"/>
    </row>
    <row r="43" spans="1:13" ht="12.75" customHeight="1" x14ac:dyDescent="0.2">
      <c r="A43" s="615"/>
      <c r="B43" s="273" t="s">
        <v>845</v>
      </c>
      <c r="C43" s="285">
        <f t="shared" ref="C43:H43" si="7">C40+C34</f>
        <v>0</v>
      </c>
      <c r="D43" s="285">
        <f t="shared" si="7"/>
        <v>0</v>
      </c>
      <c r="E43" s="285">
        <f t="shared" si="7"/>
        <v>0</v>
      </c>
      <c r="F43" s="285">
        <f t="shared" si="7"/>
        <v>0</v>
      </c>
      <c r="G43" s="285">
        <f t="shared" si="7"/>
        <v>0</v>
      </c>
      <c r="H43" s="285">
        <f t="shared" si="7"/>
        <v>0</v>
      </c>
      <c r="L43" s="615"/>
      <c r="M43" s="615"/>
    </row>
    <row r="44" spans="1:13" ht="12.75" customHeight="1" x14ac:dyDescent="0.2">
      <c r="A44" s="615"/>
    </row>
  </sheetData>
  <conditionalFormatting sqref="C32:H34 C38:H40 C43:H43">
    <cfRule type="expression" dxfId="32" priority="1">
      <formula>$B$27=MsgNotRequired</formula>
    </cfRule>
  </conditionalFormatting>
  <dataValidations disablePrompts="1" count="1">
    <dataValidation allowBlank="1" showErrorMessage="1" sqref="C32:H35 C38:H41 C15:H17 C20:H24 C43:H43"/>
  </dataValidations>
  <pageMargins left="0.11811023622047245" right="0.11811023622047245" top="0.19685039370078741" bottom="0.15748031496062992" header="0.31496062992125984" footer="0.31496062992125984"/>
  <pageSetup paperSize="9" scale="47" orientation="landscape" horizontalDpi="300" verticalDpi="30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theme="4"/>
    <pageSetUpPr fitToPage="1"/>
  </sheetPr>
  <dimension ref="A1:AQ525"/>
  <sheetViews>
    <sheetView showGridLines="0" zoomScaleNormal="100" workbookViewId="0">
      <pane ySplit="3" topLeftCell="A4" activePane="bottomLeft" state="frozen"/>
      <selection activeCell="B7" sqref="B7:G7"/>
      <selection pane="bottomLeft"/>
    </sheetView>
  </sheetViews>
  <sheetFormatPr defaultRowHeight="12.75" customHeight="1" outlineLevelRow="2" x14ac:dyDescent="0.2"/>
  <cols>
    <col min="1" max="1" width="3.7109375" customWidth="1"/>
    <col min="2" max="2" width="3.7109375" hidden="1" customWidth="1"/>
    <col min="3" max="3" width="35.7109375" customWidth="1"/>
    <col min="4" max="10" width="15.7109375" customWidth="1"/>
    <col min="11" max="25" width="10.7109375" hidden="1" customWidth="1"/>
    <col min="26" max="27" width="15.7109375" customWidth="1"/>
    <col min="28" max="39" width="10.7109375" hidden="1" customWidth="1"/>
  </cols>
  <sheetData>
    <row r="1" spans="1:39" ht="23.25" x14ac:dyDescent="0.2">
      <c r="A1" s="346">
        <f>IF((SUM(D27:I27)+SUM(D38:I38)+SUM(D48:I48)&lt;&gt;0),2,0)</f>
        <v>0</v>
      </c>
      <c r="B1" s="341"/>
      <c r="C1" s="343" t="s">
        <v>704</v>
      </c>
      <c r="D1" s="342"/>
      <c r="E1" s="342"/>
      <c r="F1" s="342"/>
      <c r="G1" s="342"/>
      <c r="H1" s="342"/>
      <c r="I1" s="342"/>
      <c r="J1" s="342"/>
      <c r="K1" s="342"/>
      <c r="L1" s="342"/>
      <c r="M1" s="347"/>
      <c r="N1" s="347"/>
      <c r="O1" s="347"/>
      <c r="P1" s="347"/>
      <c r="Q1" s="347"/>
      <c r="R1" s="347"/>
      <c r="S1" s="347"/>
      <c r="T1" s="347"/>
      <c r="U1" s="347"/>
      <c r="V1" s="347"/>
      <c r="W1" s="347"/>
      <c r="X1" s="347"/>
      <c r="Y1" s="347"/>
      <c r="Z1" s="347" t="s">
        <v>312</v>
      </c>
      <c r="AA1" s="348" t="str">
        <f>IF(L49=0,"Nil",IF(L49&lt;0,"Save",IF(L49&gt;0,"Cost")))</f>
        <v>Nil</v>
      </c>
      <c r="AB1" s="347"/>
      <c r="AC1" s="347"/>
      <c r="AD1" s="347"/>
      <c r="AE1" s="347"/>
      <c r="AF1" s="347"/>
      <c r="AG1" s="347"/>
      <c r="AH1" s="347"/>
      <c r="AI1" s="347"/>
      <c r="AJ1" s="347"/>
      <c r="AK1" s="347"/>
      <c r="AL1" s="347"/>
      <c r="AM1" s="347"/>
    </row>
    <row r="2" spans="1:39" ht="15.75" x14ac:dyDescent="0.2">
      <c r="A2" s="342"/>
      <c r="B2" s="342"/>
      <c r="C2" s="344" t="str">
        <f>CONCATENATE("Name of medicine: ", MedicineBrand)</f>
        <v xml:space="preserve">Name of medicine: </v>
      </c>
      <c r="D2" s="342"/>
      <c r="E2" s="342"/>
      <c r="F2" s="342"/>
      <c r="G2" s="342"/>
      <c r="H2" s="342"/>
      <c r="I2" s="342"/>
      <c r="J2" s="342"/>
      <c r="K2" s="342"/>
      <c r="L2" s="342"/>
      <c r="M2" s="342"/>
      <c r="N2" s="342"/>
      <c r="O2" s="342"/>
      <c r="P2" s="342"/>
      <c r="Q2" s="342"/>
      <c r="R2" s="342"/>
      <c r="S2" s="342"/>
      <c r="T2" s="342"/>
      <c r="U2" s="342"/>
      <c r="V2" s="342"/>
      <c r="W2" s="342"/>
      <c r="X2" s="342"/>
      <c r="Y2" s="342"/>
      <c r="Z2" s="342"/>
      <c r="AA2" s="342"/>
      <c r="AB2" s="342"/>
      <c r="AC2" s="342"/>
      <c r="AD2" s="342"/>
      <c r="AE2" s="342"/>
      <c r="AF2" s="342"/>
      <c r="AG2" s="342"/>
      <c r="AH2" s="342"/>
      <c r="AI2" s="342"/>
      <c r="AJ2" s="342"/>
      <c r="AK2" s="342"/>
      <c r="AL2" s="342"/>
      <c r="AM2" s="342"/>
    </row>
    <row r="3" spans="1:39" ht="15.75" x14ac:dyDescent="0.2">
      <c r="A3" s="342"/>
      <c r="B3" s="342"/>
      <c r="C3" s="344" t="str">
        <f>CONCATENATE("Indication: ",Indication)</f>
        <v xml:space="preserve">Indication: </v>
      </c>
      <c r="D3" s="342"/>
      <c r="E3" s="342"/>
      <c r="F3" s="342"/>
      <c r="G3" s="342"/>
      <c r="H3" s="342"/>
      <c r="I3" s="342"/>
      <c r="J3" s="342"/>
      <c r="K3" s="342"/>
      <c r="L3" s="342"/>
      <c r="M3" s="342"/>
      <c r="N3" s="342"/>
      <c r="O3" s="342"/>
      <c r="P3" s="342"/>
      <c r="Q3" s="342"/>
      <c r="R3" s="342"/>
      <c r="S3" s="342"/>
      <c r="T3" s="342"/>
      <c r="U3" s="342"/>
      <c r="V3" s="342"/>
      <c r="W3" s="342"/>
      <c r="X3" s="342"/>
      <c r="Y3" s="342"/>
      <c r="Z3" s="342"/>
      <c r="AA3" s="342"/>
      <c r="AB3" s="342"/>
      <c r="AC3" s="342"/>
      <c r="AD3" s="342"/>
      <c r="AE3" s="342"/>
      <c r="AF3" s="342"/>
      <c r="AG3" s="342"/>
      <c r="AH3" s="342"/>
      <c r="AI3" s="342"/>
      <c r="AJ3" s="342"/>
      <c r="AK3" s="342"/>
      <c r="AL3" s="342"/>
      <c r="AM3" s="342"/>
    </row>
    <row r="4" spans="1:39" s="420" customFormat="1" x14ac:dyDescent="0.2">
      <c r="A4" s="162"/>
      <c r="B4" s="162"/>
      <c r="C4" s="648"/>
      <c r="D4" s="162"/>
      <c r="E4" s="162"/>
      <c r="F4" s="162"/>
      <c r="G4" s="162"/>
      <c r="H4" s="162"/>
      <c r="I4" s="162"/>
      <c r="J4" s="162"/>
      <c r="K4" s="162"/>
      <c r="L4" s="162"/>
      <c r="M4" s="162"/>
      <c r="N4" s="162"/>
      <c r="O4" s="641"/>
      <c r="P4" s="641"/>
      <c r="Q4" s="641"/>
      <c r="R4" s="641"/>
      <c r="S4" s="641"/>
      <c r="T4" s="641"/>
      <c r="U4" s="641"/>
      <c r="V4" s="641"/>
      <c r="W4" s="641"/>
      <c r="X4" s="641"/>
      <c r="Y4" s="641"/>
      <c r="Z4" s="641"/>
      <c r="AA4" s="641"/>
      <c r="AB4" s="641"/>
      <c r="AC4" s="641"/>
      <c r="AD4" s="641"/>
      <c r="AE4" s="641"/>
      <c r="AF4" s="641"/>
      <c r="AG4" s="641"/>
      <c r="AH4" s="641"/>
      <c r="AI4" s="641"/>
      <c r="AJ4" s="641"/>
      <c r="AK4" s="641"/>
    </row>
    <row r="5" spans="1:39" ht="15.75" x14ac:dyDescent="0.2">
      <c r="A5" s="162"/>
      <c r="B5" s="162"/>
      <c r="C5" s="123" t="s">
        <v>2</v>
      </c>
      <c r="D5" s="127"/>
      <c r="E5" s="127"/>
      <c r="F5" s="127"/>
      <c r="G5" s="127"/>
      <c r="H5" s="127"/>
      <c r="I5" s="127"/>
      <c r="J5" s="127"/>
      <c r="K5" s="127"/>
      <c r="L5" s="127"/>
      <c r="M5" s="127"/>
      <c r="N5" s="127"/>
      <c r="O5" s="127"/>
      <c r="P5" s="127"/>
      <c r="Q5" s="127"/>
      <c r="R5" s="127"/>
      <c r="S5" s="127"/>
      <c r="T5" s="127"/>
      <c r="U5" s="127"/>
      <c r="V5" s="127"/>
      <c r="W5" s="127"/>
      <c r="X5" s="127"/>
      <c r="Y5" s="127"/>
      <c r="Z5" s="127"/>
      <c r="AA5" s="127"/>
      <c r="AB5" s="127"/>
      <c r="AC5" s="127"/>
      <c r="AD5" s="127"/>
      <c r="AE5" s="127"/>
      <c r="AF5" s="127"/>
      <c r="AG5" s="127"/>
      <c r="AH5" s="127"/>
      <c r="AI5" s="127"/>
      <c r="AJ5" s="127"/>
      <c r="AK5" s="127"/>
      <c r="AL5" s="127"/>
      <c r="AM5" s="127"/>
    </row>
    <row r="6" spans="1:39" x14ac:dyDescent="0.2">
      <c r="A6" s="162"/>
      <c r="B6" s="162"/>
      <c r="C6" s="641"/>
      <c r="D6" s="641"/>
      <c r="E6" s="641"/>
      <c r="F6" s="641"/>
      <c r="G6" s="641"/>
      <c r="H6" s="641"/>
      <c r="I6" s="641"/>
      <c r="J6" s="641"/>
      <c r="K6" s="641"/>
      <c r="L6" s="641"/>
      <c r="M6" s="641"/>
      <c r="N6" s="641"/>
      <c r="O6" s="7"/>
      <c r="P6" s="7"/>
      <c r="Q6" s="7"/>
      <c r="R6" s="7"/>
      <c r="S6" s="7"/>
      <c r="T6" s="7"/>
      <c r="U6" s="7"/>
      <c r="V6" s="7"/>
      <c r="W6" s="7"/>
      <c r="X6" s="7"/>
      <c r="Y6" s="7"/>
      <c r="Z6" s="7"/>
      <c r="AA6" s="7"/>
    </row>
    <row r="7" spans="1:39" x14ac:dyDescent="0.2">
      <c r="A7" s="162"/>
      <c r="B7" s="162"/>
      <c r="C7" s="162" t="s">
        <v>706</v>
      </c>
      <c r="D7" s="162"/>
      <c r="E7" s="162"/>
      <c r="F7" s="162"/>
      <c r="G7" s="162"/>
      <c r="H7" s="162"/>
      <c r="I7" s="162"/>
      <c r="J7" s="162"/>
      <c r="K7" s="162"/>
      <c r="L7" s="162"/>
      <c r="M7" s="162"/>
      <c r="N7" s="162"/>
    </row>
    <row r="8" spans="1:39" x14ac:dyDescent="0.2">
      <c r="A8" s="162"/>
      <c r="B8" s="162"/>
      <c r="C8" s="648"/>
      <c r="D8" s="162"/>
      <c r="E8" s="162"/>
      <c r="F8" s="162"/>
      <c r="G8" s="162"/>
      <c r="H8" s="162"/>
      <c r="I8" s="162"/>
      <c r="J8" s="162"/>
      <c r="K8" s="162"/>
      <c r="L8" s="162"/>
      <c r="M8" s="162"/>
      <c r="N8" s="162"/>
      <c r="O8" s="7"/>
      <c r="P8" s="7"/>
      <c r="Q8" s="7"/>
      <c r="R8" s="7"/>
      <c r="S8" s="7"/>
      <c r="T8" s="7"/>
      <c r="U8" s="7"/>
      <c r="V8" s="7"/>
      <c r="W8" s="7"/>
      <c r="X8" s="7"/>
      <c r="Y8" s="7"/>
      <c r="Z8" s="7"/>
      <c r="AA8" s="7"/>
    </row>
    <row r="9" spans="1:39" ht="15.75" x14ac:dyDescent="0.2">
      <c r="A9" s="162"/>
      <c r="B9" s="162"/>
      <c r="C9" s="123" t="s">
        <v>1123</v>
      </c>
      <c r="D9" s="127"/>
      <c r="E9" s="127"/>
      <c r="F9" s="127"/>
      <c r="G9" s="127"/>
      <c r="H9" s="127"/>
      <c r="I9" s="127"/>
      <c r="J9" s="127"/>
      <c r="K9" s="127"/>
      <c r="L9" s="127"/>
      <c r="M9" s="127"/>
      <c r="N9" s="127"/>
      <c r="O9" s="127"/>
      <c r="P9" s="127"/>
      <c r="Q9" s="127"/>
      <c r="R9" s="127"/>
      <c r="S9" s="127"/>
      <c r="T9" s="127"/>
      <c r="U9" s="127"/>
      <c r="V9" s="127"/>
      <c r="W9" s="127"/>
      <c r="X9" s="127"/>
      <c r="Y9" s="127"/>
      <c r="Z9" s="127"/>
      <c r="AA9" s="127"/>
      <c r="AB9" s="127"/>
      <c r="AC9" s="127"/>
      <c r="AD9" s="127"/>
      <c r="AE9" s="127"/>
      <c r="AF9" s="127"/>
      <c r="AG9" s="127"/>
      <c r="AH9" s="127"/>
      <c r="AI9" s="127"/>
      <c r="AJ9" s="127"/>
      <c r="AK9" s="127"/>
      <c r="AL9" s="127"/>
      <c r="AM9" s="127"/>
    </row>
    <row r="10" spans="1:39" hidden="1" outlineLevel="1" x14ac:dyDescent="0.2">
      <c r="A10" s="162"/>
      <c r="B10" s="162"/>
      <c r="C10" s="615"/>
    </row>
    <row r="11" spans="1:39" s="416" customFormat="1" hidden="1" outlineLevel="1" x14ac:dyDescent="0.2">
      <c r="A11" s="162"/>
      <c r="B11" s="162"/>
      <c r="C11" s="638" t="s">
        <v>1124</v>
      </c>
    </row>
    <row r="12" spans="1:39" s="416" customFormat="1" hidden="1" outlineLevel="1" x14ac:dyDescent="0.2">
      <c r="A12" s="162"/>
      <c r="B12" s="162"/>
      <c r="C12" s="615"/>
      <c r="L12" s="615"/>
      <c r="M12" s="615"/>
      <c r="N12" s="615"/>
    </row>
    <row r="13" spans="1:39" hidden="1" outlineLevel="1" x14ac:dyDescent="0.2">
      <c r="A13" s="162"/>
      <c r="B13" s="162"/>
      <c r="C13" s="643" t="s">
        <v>122</v>
      </c>
      <c r="D13" s="81">
        <f>FirstYear</f>
        <v>2021</v>
      </c>
      <c r="E13" s="81">
        <f>D13+1</f>
        <v>2022</v>
      </c>
      <c r="F13" s="81">
        <f>E13+1</f>
        <v>2023</v>
      </c>
      <c r="G13" s="81">
        <f>F13+1</f>
        <v>2024</v>
      </c>
      <c r="H13" s="81">
        <f>G13+1</f>
        <v>2025</v>
      </c>
      <c r="I13" s="81">
        <f>H13+1</f>
        <v>2026</v>
      </c>
      <c r="J13" s="121"/>
      <c r="K13" s="687" t="s">
        <v>883</v>
      </c>
      <c r="L13" s="162"/>
      <c r="M13" s="162"/>
      <c r="N13" s="162"/>
    </row>
    <row r="14" spans="1:39" s="416" customFormat="1" hidden="1" outlineLevel="1" x14ac:dyDescent="0.2">
      <c r="A14" s="162"/>
      <c r="B14" s="162"/>
      <c r="C14" s="89" t="s">
        <v>1097</v>
      </c>
      <c r="D14" s="164">
        <f t="shared" ref="D14:I14" si="0">D59+D293</f>
        <v>0</v>
      </c>
      <c r="E14" s="164">
        <f t="shared" si="0"/>
        <v>0</v>
      </c>
      <c r="F14" s="164">
        <f t="shared" si="0"/>
        <v>0</v>
      </c>
      <c r="G14" s="164">
        <f t="shared" si="0"/>
        <v>0</v>
      </c>
      <c r="H14" s="164">
        <f t="shared" si="0"/>
        <v>0</v>
      </c>
      <c r="I14" s="164">
        <f t="shared" si="0"/>
        <v>0</v>
      </c>
      <c r="J14" s="361"/>
      <c r="K14" s="688">
        <v>0</v>
      </c>
      <c r="L14" s="162"/>
      <c r="M14" s="162"/>
      <c r="N14" s="162"/>
    </row>
    <row r="15" spans="1:39" s="416" customFormat="1" hidden="1" outlineLevel="1" x14ac:dyDescent="0.2">
      <c r="A15" s="162"/>
      <c r="B15" s="162"/>
      <c r="C15" s="163" t="s">
        <v>1098</v>
      </c>
      <c r="D15" s="164">
        <f t="shared" ref="D15:I17" si="1">D60+D294</f>
        <v>0</v>
      </c>
      <c r="E15" s="164">
        <f t="shared" si="1"/>
        <v>0</v>
      </c>
      <c r="F15" s="164">
        <f t="shared" si="1"/>
        <v>0</v>
      </c>
      <c r="G15" s="164">
        <f t="shared" si="1"/>
        <v>0</v>
      </c>
      <c r="H15" s="164">
        <f t="shared" si="1"/>
        <v>0</v>
      </c>
      <c r="I15" s="164">
        <f t="shared" si="1"/>
        <v>0</v>
      </c>
      <c r="J15" s="361"/>
      <c r="K15" s="688">
        <v>1</v>
      </c>
      <c r="L15" s="162"/>
      <c r="M15" s="162"/>
      <c r="N15" s="162"/>
    </row>
    <row r="16" spans="1:39" s="416" customFormat="1" hidden="1" outlineLevel="1" x14ac:dyDescent="0.2">
      <c r="A16" s="162"/>
      <c r="B16" s="162"/>
      <c r="C16" s="165" t="s">
        <v>1099</v>
      </c>
      <c r="D16" s="164">
        <f t="shared" si="1"/>
        <v>0</v>
      </c>
      <c r="E16" s="164">
        <f t="shared" si="1"/>
        <v>0</v>
      </c>
      <c r="F16" s="164">
        <f t="shared" si="1"/>
        <v>0</v>
      </c>
      <c r="G16" s="164">
        <f t="shared" si="1"/>
        <v>0</v>
      </c>
      <c r="H16" s="164">
        <f t="shared" si="1"/>
        <v>0</v>
      </c>
      <c r="I16" s="164">
        <f t="shared" si="1"/>
        <v>0</v>
      </c>
      <c r="J16" s="361"/>
      <c r="K16" s="688">
        <v>2</v>
      </c>
      <c r="L16" s="162"/>
      <c r="M16" s="162"/>
      <c r="N16" s="162"/>
    </row>
    <row r="17" spans="1:39" s="416" customFormat="1" hidden="1" outlineLevel="1" x14ac:dyDescent="0.2">
      <c r="A17" s="162"/>
      <c r="B17" s="162"/>
      <c r="C17" s="165" t="s">
        <v>1100</v>
      </c>
      <c r="D17" s="164">
        <f t="shared" si="1"/>
        <v>0</v>
      </c>
      <c r="E17" s="164">
        <f t="shared" si="1"/>
        <v>0</v>
      </c>
      <c r="F17" s="164">
        <f t="shared" si="1"/>
        <v>0</v>
      </c>
      <c r="G17" s="164">
        <f t="shared" si="1"/>
        <v>0</v>
      </c>
      <c r="H17" s="164">
        <f t="shared" si="1"/>
        <v>0</v>
      </c>
      <c r="I17" s="164">
        <f t="shared" si="1"/>
        <v>0</v>
      </c>
      <c r="J17" s="361"/>
      <c r="K17" s="688">
        <v>3</v>
      </c>
      <c r="L17" s="162"/>
      <c r="M17" s="162"/>
      <c r="N17" s="162"/>
    </row>
    <row r="18" spans="1:39" hidden="1" outlineLevel="1" x14ac:dyDescent="0.2">
      <c r="A18" s="162"/>
      <c r="B18" s="162"/>
      <c r="C18" s="294" t="s">
        <v>133</v>
      </c>
      <c r="D18" s="166">
        <f t="shared" ref="D18:I18" si="2">SUM(D14:D17)</f>
        <v>0</v>
      </c>
      <c r="E18" s="166">
        <f t="shared" si="2"/>
        <v>0</v>
      </c>
      <c r="F18" s="166">
        <f t="shared" si="2"/>
        <v>0</v>
      </c>
      <c r="G18" s="166">
        <f t="shared" si="2"/>
        <v>0</v>
      </c>
      <c r="H18" s="166">
        <f t="shared" si="2"/>
        <v>0</v>
      </c>
      <c r="I18" s="166">
        <f t="shared" si="2"/>
        <v>0</v>
      </c>
      <c r="J18" s="121"/>
      <c r="K18" s="121"/>
      <c r="L18" s="162"/>
      <c r="M18" s="162"/>
      <c r="N18" s="162"/>
    </row>
    <row r="19" spans="1:39" s="416" customFormat="1" hidden="1" outlineLevel="1" x14ac:dyDescent="0.2">
      <c r="A19" s="162"/>
      <c r="B19" s="162"/>
      <c r="C19"/>
      <c r="D19"/>
      <c r="E19"/>
      <c r="F19"/>
      <c r="G19"/>
      <c r="H19"/>
      <c r="I19"/>
      <c r="J19" s="361"/>
      <c r="K19" s="361"/>
      <c r="L19" s="162"/>
      <c r="M19" s="162"/>
      <c r="N19" s="162"/>
    </row>
    <row r="20" spans="1:39" s="416" customFormat="1" hidden="1" outlineLevel="1" x14ac:dyDescent="0.2">
      <c r="A20" s="162"/>
      <c r="B20" s="162"/>
      <c r="C20" s="418" t="s">
        <v>123</v>
      </c>
      <c r="D20"/>
      <c r="E20"/>
      <c r="F20"/>
      <c r="G20"/>
      <c r="H20"/>
      <c r="I20"/>
      <c r="J20" s="361"/>
      <c r="K20" s="687" t="s">
        <v>883</v>
      </c>
      <c r="L20" s="162"/>
      <c r="M20" s="162"/>
      <c r="N20" s="162"/>
    </row>
    <row r="21" spans="1:39" s="416" customFormat="1" hidden="1" outlineLevel="1" x14ac:dyDescent="0.2">
      <c r="A21" s="162"/>
      <c r="B21" s="162"/>
      <c r="C21" s="89" t="s">
        <v>1097</v>
      </c>
      <c r="D21" s="164">
        <f t="shared" ref="D21:I21" si="3">D66+D300</f>
        <v>0</v>
      </c>
      <c r="E21" s="164">
        <f t="shared" si="3"/>
        <v>0</v>
      </c>
      <c r="F21" s="164">
        <f t="shared" si="3"/>
        <v>0</v>
      </c>
      <c r="G21" s="164">
        <f t="shared" si="3"/>
        <v>0</v>
      </c>
      <c r="H21" s="164">
        <f t="shared" si="3"/>
        <v>0</v>
      </c>
      <c r="I21" s="164">
        <f t="shared" si="3"/>
        <v>0</v>
      </c>
      <c r="J21" s="361"/>
      <c r="K21" s="689">
        <f>K14</f>
        <v>0</v>
      </c>
      <c r="L21" s="162"/>
      <c r="M21" s="162"/>
      <c r="N21" s="162"/>
    </row>
    <row r="22" spans="1:39" s="416" customFormat="1" hidden="1" outlineLevel="1" x14ac:dyDescent="0.2">
      <c r="A22" s="162"/>
      <c r="B22" s="162"/>
      <c r="C22" s="163" t="s">
        <v>1098</v>
      </c>
      <c r="D22" s="164">
        <f t="shared" ref="D22:I24" si="4">D67+D301</f>
        <v>0</v>
      </c>
      <c r="E22" s="164">
        <f t="shared" si="4"/>
        <v>0</v>
      </c>
      <c r="F22" s="164">
        <f t="shared" si="4"/>
        <v>0</v>
      </c>
      <c r="G22" s="164">
        <f t="shared" si="4"/>
        <v>0</v>
      </c>
      <c r="H22" s="164">
        <f t="shared" si="4"/>
        <v>0</v>
      </c>
      <c r="I22" s="164">
        <f t="shared" si="4"/>
        <v>0</v>
      </c>
      <c r="J22" s="361"/>
      <c r="K22" s="689">
        <f>K15</f>
        <v>1</v>
      </c>
      <c r="L22" s="162"/>
      <c r="M22" s="162"/>
      <c r="N22" s="162"/>
    </row>
    <row r="23" spans="1:39" s="416" customFormat="1" hidden="1" outlineLevel="1" x14ac:dyDescent="0.2">
      <c r="A23" s="162"/>
      <c r="B23" s="162"/>
      <c r="C23" s="165" t="s">
        <v>1099</v>
      </c>
      <c r="D23" s="164">
        <f t="shared" si="4"/>
        <v>0</v>
      </c>
      <c r="E23" s="164">
        <f t="shared" si="4"/>
        <v>0</v>
      </c>
      <c r="F23" s="164">
        <f t="shared" si="4"/>
        <v>0</v>
      </c>
      <c r="G23" s="164">
        <f t="shared" si="4"/>
        <v>0</v>
      </c>
      <c r="H23" s="164">
        <f t="shared" si="4"/>
        <v>0</v>
      </c>
      <c r="I23" s="164">
        <f t="shared" si="4"/>
        <v>0</v>
      </c>
      <c r="J23" s="361"/>
      <c r="K23" s="689">
        <f>K16</f>
        <v>2</v>
      </c>
      <c r="L23" s="162"/>
      <c r="M23" s="162"/>
      <c r="N23" s="162"/>
    </row>
    <row r="24" spans="1:39" s="416" customFormat="1" hidden="1" outlineLevel="1" x14ac:dyDescent="0.2">
      <c r="A24" s="162"/>
      <c r="B24" s="162"/>
      <c r="C24" s="165" t="s">
        <v>1100</v>
      </c>
      <c r="D24" s="164">
        <f t="shared" si="4"/>
        <v>0</v>
      </c>
      <c r="E24" s="164">
        <f t="shared" si="4"/>
        <v>0</v>
      </c>
      <c r="F24" s="164">
        <f t="shared" si="4"/>
        <v>0</v>
      </c>
      <c r="G24" s="164">
        <f t="shared" si="4"/>
        <v>0</v>
      </c>
      <c r="H24" s="164">
        <f t="shared" si="4"/>
        <v>0</v>
      </c>
      <c r="I24" s="164">
        <f t="shared" si="4"/>
        <v>0</v>
      </c>
      <c r="J24" s="361"/>
      <c r="K24" s="689">
        <f>K17</f>
        <v>3</v>
      </c>
      <c r="L24" s="162"/>
      <c r="M24" s="162"/>
      <c r="N24" s="162"/>
    </row>
    <row r="25" spans="1:39" hidden="1" outlineLevel="1" x14ac:dyDescent="0.2">
      <c r="A25" s="162"/>
      <c r="B25" s="162"/>
      <c r="C25" s="167" t="s">
        <v>134</v>
      </c>
      <c r="D25" s="166">
        <f t="shared" ref="D25:I25" si="5">SUM(D21:D24)</f>
        <v>0</v>
      </c>
      <c r="E25" s="166">
        <f t="shared" si="5"/>
        <v>0</v>
      </c>
      <c r="F25" s="166">
        <f t="shared" si="5"/>
        <v>0</v>
      </c>
      <c r="G25" s="166">
        <f t="shared" si="5"/>
        <v>0</v>
      </c>
      <c r="H25" s="166">
        <f t="shared" si="5"/>
        <v>0</v>
      </c>
      <c r="I25" s="166">
        <f t="shared" si="5"/>
        <v>0</v>
      </c>
      <c r="J25" s="121"/>
      <c r="L25" s="615"/>
      <c r="M25" s="162"/>
      <c r="N25" s="162"/>
    </row>
    <row r="26" spans="1:39" ht="12.75" hidden="1" customHeight="1" outlineLevel="1" x14ac:dyDescent="0.2">
      <c r="A26" s="615"/>
      <c r="B26" s="615"/>
      <c r="L26" s="615"/>
      <c r="M26" s="615"/>
      <c r="N26" s="615"/>
    </row>
    <row r="27" spans="1:39" hidden="1" outlineLevel="1" x14ac:dyDescent="0.2">
      <c r="A27" s="162"/>
      <c r="B27" s="162"/>
      <c r="C27" s="84" t="s">
        <v>248</v>
      </c>
      <c r="D27" s="166">
        <f t="shared" ref="D27:I27" si="6">D18+D25</f>
        <v>0</v>
      </c>
      <c r="E27" s="166">
        <f t="shared" si="6"/>
        <v>0</v>
      </c>
      <c r="F27" s="166">
        <f t="shared" si="6"/>
        <v>0</v>
      </c>
      <c r="G27" s="166">
        <f t="shared" si="6"/>
        <v>0</v>
      </c>
      <c r="H27" s="166">
        <f t="shared" si="6"/>
        <v>0</v>
      </c>
      <c r="I27" s="166">
        <f t="shared" si="6"/>
        <v>0</v>
      </c>
      <c r="J27" s="121"/>
      <c r="K27" s="121"/>
      <c r="L27" s="615"/>
      <c r="M27" s="686"/>
      <c r="N27" s="162"/>
    </row>
    <row r="28" spans="1:39" hidden="1" outlineLevel="1" x14ac:dyDescent="0.2">
      <c r="A28" s="125"/>
      <c r="B28" s="125"/>
      <c r="C28" s="121"/>
      <c r="D28" s="121"/>
      <c r="E28" s="121"/>
      <c r="F28" s="121"/>
      <c r="G28" s="121"/>
      <c r="H28" s="121"/>
      <c r="I28" s="121"/>
      <c r="J28" s="121"/>
      <c r="K28" s="121"/>
      <c r="L28" s="125"/>
      <c r="M28" s="125"/>
      <c r="N28" s="125"/>
    </row>
    <row r="29" spans="1:39" ht="15.75" hidden="1" outlineLevel="1" x14ac:dyDescent="0.2">
      <c r="A29" s="125"/>
      <c r="B29" s="125"/>
      <c r="C29" s="123" t="s">
        <v>1125</v>
      </c>
      <c r="D29" s="127"/>
      <c r="E29" s="127"/>
      <c r="F29" s="127"/>
      <c r="G29" s="127"/>
      <c r="H29" s="127"/>
      <c r="I29" s="127"/>
      <c r="J29" s="127"/>
      <c r="K29" s="127"/>
      <c r="L29" s="127"/>
      <c r="M29" s="127"/>
      <c r="N29" s="127"/>
      <c r="O29" s="127"/>
      <c r="P29" s="127"/>
      <c r="Q29" s="127"/>
      <c r="R29" s="127"/>
      <c r="S29" s="127"/>
      <c r="T29" s="127"/>
      <c r="U29" s="127"/>
      <c r="V29" s="127"/>
      <c r="W29" s="127"/>
      <c r="X29" s="127"/>
      <c r="Y29" s="127"/>
      <c r="Z29" s="127"/>
      <c r="AA29" s="127"/>
      <c r="AB29" s="127"/>
      <c r="AC29" s="127"/>
      <c r="AD29" s="127"/>
      <c r="AE29" s="127"/>
      <c r="AF29" s="127"/>
      <c r="AG29" s="127"/>
      <c r="AH29" s="127"/>
      <c r="AI29" s="127"/>
      <c r="AJ29" s="127"/>
      <c r="AK29" s="127"/>
      <c r="AL29" s="127"/>
      <c r="AM29" s="127"/>
    </row>
    <row r="30" spans="1:39" hidden="1" outlineLevel="1" x14ac:dyDescent="0.2">
      <c r="A30" s="125"/>
      <c r="B30" s="125"/>
      <c r="C30" s="125"/>
      <c r="D30" s="121"/>
      <c r="E30" s="121"/>
      <c r="F30" s="121"/>
      <c r="G30" s="121"/>
      <c r="H30" s="121"/>
      <c r="I30" s="121"/>
      <c r="J30" s="121"/>
      <c r="K30" s="121"/>
      <c r="L30" s="121"/>
      <c r="M30" s="121"/>
      <c r="N30" s="121"/>
    </row>
    <row r="31" spans="1:39" s="416" customFormat="1" hidden="1" outlineLevel="1" x14ac:dyDescent="0.2">
      <c r="A31" s="125"/>
      <c r="B31" s="125"/>
      <c r="C31" s="638" t="s">
        <v>1126</v>
      </c>
      <c r="D31" s="361"/>
      <c r="E31" s="361"/>
      <c r="F31" s="361"/>
      <c r="G31" s="361"/>
      <c r="H31" s="361"/>
      <c r="I31" s="361"/>
      <c r="J31" s="361"/>
      <c r="K31" s="361"/>
      <c r="L31" s="361"/>
      <c r="M31" s="361"/>
      <c r="N31" s="361"/>
    </row>
    <row r="32" spans="1:39" s="416" customFormat="1" hidden="1" outlineLevel="1" x14ac:dyDescent="0.2">
      <c r="A32" s="125"/>
      <c r="B32" s="125"/>
      <c r="C32" s="125"/>
      <c r="D32" s="361"/>
      <c r="E32" s="361"/>
      <c r="F32" s="361"/>
      <c r="G32" s="361"/>
      <c r="H32" s="361"/>
      <c r="I32" s="361"/>
      <c r="J32" s="361"/>
      <c r="K32" s="361"/>
      <c r="L32" s="361"/>
      <c r="M32" s="125"/>
      <c r="N32" s="125"/>
    </row>
    <row r="33" spans="1:14" hidden="1" outlineLevel="1" x14ac:dyDescent="0.2">
      <c r="A33" s="125"/>
      <c r="B33" s="125"/>
      <c r="C33" s="643" t="s">
        <v>124</v>
      </c>
      <c r="D33" s="81">
        <f>FirstYear</f>
        <v>2021</v>
      </c>
      <c r="E33" s="81">
        <f>D33+1</f>
        <v>2022</v>
      </c>
      <c r="F33" s="81">
        <f>E33+1</f>
        <v>2023</v>
      </c>
      <c r="G33" s="81">
        <f>F33+1</f>
        <v>2024</v>
      </c>
      <c r="H33" s="81">
        <f>G33+1</f>
        <v>2025</v>
      </c>
      <c r="I33" s="81">
        <f>H33+1</f>
        <v>2026</v>
      </c>
      <c r="J33" s="121"/>
      <c r="K33" s="687" t="s">
        <v>883</v>
      </c>
      <c r="L33" s="552"/>
      <c r="M33" s="690"/>
      <c r="N33" s="125"/>
    </row>
    <row r="34" spans="1:14" hidden="1" outlineLevel="1" x14ac:dyDescent="0.2">
      <c r="A34" s="162"/>
      <c r="B34" s="162"/>
      <c r="C34" s="163" t="s">
        <v>1098</v>
      </c>
      <c r="D34" s="164">
        <f t="shared" ref="D34:I34" si="7">D79+D313</f>
        <v>0</v>
      </c>
      <c r="E34" s="164">
        <f t="shared" si="7"/>
        <v>0</v>
      </c>
      <c r="F34" s="164">
        <f t="shared" si="7"/>
        <v>0</v>
      </c>
      <c r="G34" s="164">
        <f t="shared" si="7"/>
        <v>0</v>
      </c>
      <c r="H34" s="164">
        <f t="shared" si="7"/>
        <v>0</v>
      </c>
      <c r="I34" s="164">
        <f t="shared" si="7"/>
        <v>0</v>
      </c>
      <c r="J34" s="121"/>
      <c r="K34" s="688">
        <v>1</v>
      </c>
      <c r="L34" s="552"/>
      <c r="M34" s="640"/>
      <c r="N34" s="162"/>
    </row>
    <row r="35" spans="1:14" ht="12.75" hidden="1" customHeight="1" outlineLevel="1" x14ac:dyDescent="0.2">
      <c r="A35" s="615"/>
      <c r="B35" s="615"/>
      <c r="K35" s="552"/>
      <c r="L35" s="552"/>
      <c r="M35" s="615"/>
      <c r="N35" s="615"/>
    </row>
    <row r="36" spans="1:14" hidden="1" outlineLevel="1" x14ac:dyDescent="0.2">
      <c r="A36" s="162"/>
      <c r="B36" s="162"/>
      <c r="C36" s="89" t="s">
        <v>1099</v>
      </c>
      <c r="D36" s="164">
        <f t="shared" ref="D36:I37" si="8">D81+D315</f>
        <v>0</v>
      </c>
      <c r="E36" s="164">
        <f t="shared" si="8"/>
        <v>0</v>
      </c>
      <c r="F36" s="164">
        <f t="shared" si="8"/>
        <v>0</v>
      </c>
      <c r="G36" s="164">
        <f t="shared" si="8"/>
        <v>0</v>
      </c>
      <c r="H36" s="164">
        <f t="shared" si="8"/>
        <v>0</v>
      </c>
      <c r="I36" s="164">
        <f t="shared" si="8"/>
        <v>0</v>
      </c>
      <c r="J36" s="121"/>
      <c r="K36" s="688">
        <v>2</v>
      </c>
      <c r="L36" s="552"/>
      <c r="M36" s="640"/>
      <c r="N36" s="162"/>
    </row>
    <row r="37" spans="1:14" hidden="1" outlineLevel="1" x14ac:dyDescent="0.2">
      <c r="A37" s="162"/>
      <c r="B37" s="162"/>
      <c r="C37" s="165" t="s">
        <v>1100</v>
      </c>
      <c r="D37" s="164">
        <f t="shared" si="8"/>
        <v>0</v>
      </c>
      <c r="E37" s="164">
        <f t="shared" si="8"/>
        <v>0</v>
      </c>
      <c r="F37" s="164">
        <f t="shared" si="8"/>
        <v>0</v>
      </c>
      <c r="G37" s="164">
        <f t="shared" si="8"/>
        <v>0</v>
      </c>
      <c r="H37" s="164">
        <f t="shared" si="8"/>
        <v>0</v>
      </c>
      <c r="I37" s="164">
        <f t="shared" si="8"/>
        <v>0</v>
      </c>
      <c r="J37" s="121"/>
      <c r="K37" s="688">
        <v>3</v>
      </c>
      <c r="L37" s="687" t="s">
        <v>470</v>
      </c>
      <c r="M37" s="640"/>
      <c r="N37" s="162"/>
    </row>
    <row r="38" spans="1:14" hidden="1" outlineLevel="1" x14ac:dyDescent="0.2">
      <c r="A38" s="615"/>
      <c r="B38" s="615"/>
      <c r="C38" s="167" t="s">
        <v>124</v>
      </c>
      <c r="D38" s="166">
        <f t="shared" ref="D38:I38" si="9">SUM(D36:D37)</f>
        <v>0</v>
      </c>
      <c r="E38" s="166">
        <f t="shared" si="9"/>
        <v>0</v>
      </c>
      <c r="F38" s="166">
        <f t="shared" si="9"/>
        <v>0</v>
      </c>
      <c r="G38" s="166">
        <f t="shared" si="9"/>
        <v>0</v>
      </c>
      <c r="H38" s="166">
        <f t="shared" si="9"/>
        <v>0</v>
      </c>
      <c r="I38" s="166">
        <f t="shared" si="9"/>
        <v>0</v>
      </c>
      <c r="K38" s="552"/>
      <c r="L38" s="689">
        <f>SUM(D36:H37)</f>
        <v>0</v>
      </c>
      <c r="M38" s="615"/>
      <c r="N38" s="615"/>
    </row>
    <row r="39" spans="1:14" ht="12.75" hidden="1" customHeight="1" outlineLevel="1" x14ac:dyDescent="0.2">
      <c r="A39" s="615"/>
      <c r="B39" s="615"/>
      <c r="K39" s="552"/>
      <c r="L39" s="552"/>
      <c r="M39" s="615"/>
      <c r="N39" s="615"/>
    </row>
    <row r="40" spans="1:14" hidden="1" outlineLevel="1" x14ac:dyDescent="0.2">
      <c r="A40" s="162"/>
      <c r="B40" s="162"/>
      <c r="C40" s="89" t="s">
        <v>1101</v>
      </c>
      <c r="D40" s="164">
        <f t="shared" ref="D40:I41" si="10">D85+D319</f>
        <v>0</v>
      </c>
      <c r="E40" s="164">
        <f t="shared" si="10"/>
        <v>0</v>
      </c>
      <c r="F40" s="164">
        <f t="shared" si="10"/>
        <v>0</v>
      </c>
      <c r="G40" s="164">
        <f t="shared" si="10"/>
        <v>0</v>
      </c>
      <c r="H40" s="164">
        <f t="shared" si="10"/>
        <v>0</v>
      </c>
      <c r="I40" s="164">
        <f t="shared" si="10"/>
        <v>0</v>
      </c>
      <c r="J40" s="121"/>
      <c r="K40" s="688">
        <v>2</v>
      </c>
      <c r="L40" s="552"/>
      <c r="M40" s="640"/>
      <c r="N40" s="162"/>
    </row>
    <row r="41" spans="1:14" hidden="1" outlineLevel="1" x14ac:dyDescent="0.2">
      <c r="A41" s="162"/>
      <c r="B41" s="162"/>
      <c r="C41" s="89" t="s">
        <v>1102</v>
      </c>
      <c r="D41" s="164">
        <f t="shared" si="10"/>
        <v>0</v>
      </c>
      <c r="E41" s="164">
        <f t="shared" si="10"/>
        <v>0</v>
      </c>
      <c r="F41" s="164">
        <f t="shared" si="10"/>
        <v>0</v>
      </c>
      <c r="G41" s="164">
        <f t="shared" si="10"/>
        <v>0</v>
      </c>
      <c r="H41" s="164">
        <f t="shared" si="10"/>
        <v>0</v>
      </c>
      <c r="I41" s="164">
        <f t="shared" si="10"/>
        <v>0</v>
      </c>
      <c r="J41" s="361"/>
      <c r="K41" s="688">
        <v>3</v>
      </c>
      <c r="L41" s="552"/>
      <c r="M41" s="686"/>
      <c r="N41" s="162"/>
    </row>
    <row r="42" spans="1:14" hidden="1" outlineLevel="1" x14ac:dyDescent="0.2">
      <c r="A42" s="125"/>
      <c r="B42" s="125"/>
      <c r="C42" s="125"/>
      <c r="D42" s="121"/>
      <c r="E42" s="121"/>
      <c r="F42" s="121"/>
      <c r="G42" s="121"/>
      <c r="H42" s="121"/>
      <c r="I42" s="121"/>
      <c r="J42" s="121"/>
      <c r="K42" s="137"/>
      <c r="L42" s="552"/>
      <c r="M42" s="125"/>
      <c r="N42" s="125"/>
    </row>
    <row r="43" spans="1:14" hidden="1" outlineLevel="1" x14ac:dyDescent="0.2">
      <c r="A43" s="125"/>
      <c r="B43" s="125"/>
      <c r="C43" s="643" t="s">
        <v>125</v>
      </c>
      <c r="D43" s="121"/>
      <c r="E43" s="121"/>
      <c r="F43" s="121"/>
      <c r="G43" s="121"/>
      <c r="H43" s="121"/>
      <c r="I43" s="121"/>
      <c r="J43" s="121"/>
      <c r="K43" s="687" t="s">
        <v>883</v>
      </c>
      <c r="L43" s="552"/>
      <c r="M43" s="125"/>
      <c r="N43" s="125"/>
    </row>
    <row r="44" spans="1:14" hidden="1" outlineLevel="1" x14ac:dyDescent="0.2">
      <c r="A44" s="162"/>
      <c r="B44" s="162"/>
      <c r="C44" s="163" t="s">
        <v>1098</v>
      </c>
      <c r="D44" s="164">
        <f t="shared" ref="D44:I44" si="11">D89+D323</f>
        <v>0</v>
      </c>
      <c r="E44" s="164">
        <f t="shared" si="11"/>
        <v>0</v>
      </c>
      <c r="F44" s="164">
        <f t="shared" si="11"/>
        <v>0</v>
      </c>
      <c r="G44" s="164">
        <f t="shared" si="11"/>
        <v>0</v>
      </c>
      <c r="H44" s="164">
        <f t="shared" si="11"/>
        <v>0</v>
      </c>
      <c r="I44" s="164">
        <f t="shared" si="11"/>
        <v>0</v>
      </c>
      <c r="J44" s="121"/>
      <c r="K44" s="688">
        <v>1</v>
      </c>
      <c r="L44" s="552"/>
      <c r="M44" s="640"/>
      <c r="N44" s="162"/>
    </row>
    <row r="45" spans="1:14" ht="12.75" hidden="1" customHeight="1" outlineLevel="1" x14ac:dyDescent="0.2">
      <c r="A45" s="615"/>
      <c r="B45" s="615"/>
      <c r="C45" s="416"/>
      <c r="K45" s="552"/>
      <c r="L45" s="552"/>
      <c r="M45" s="615"/>
      <c r="N45" s="615"/>
    </row>
    <row r="46" spans="1:14" hidden="1" outlineLevel="1" x14ac:dyDescent="0.2">
      <c r="A46" s="162"/>
      <c r="B46" s="162"/>
      <c r="C46" s="89" t="s">
        <v>1099</v>
      </c>
      <c r="D46" s="164">
        <f t="shared" ref="D46:I47" si="12">D91+D325</f>
        <v>0</v>
      </c>
      <c r="E46" s="164">
        <f t="shared" si="12"/>
        <v>0</v>
      </c>
      <c r="F46" s="164">
        <f t="shared" si="12"/>
        <v>0</v>
      </c>
      <c r="G46" s="164">
        <f t="shared" si="12"/>
        <v>0</v>
      </c>
      <c r="H46" s="164">
        <f t="shared" si="12"/>
        <v>0</v>
      </c>
      <c r="I46" s="164">
        <f t="shared" si="12"/>
        <v>0</v>
      </c>
      <c r="J46" s="121"/>
      <c r="K46" s="688">
        <v>2</v>
      </c>
      <c r="L46" s="552"/>
      <c r="M46" s="640"/>
      <c r="N46" s="162"/>
    </row>
    <row r="47" spans="1:14" hidden="1" outlineLevel="1" x14ac:dyDescent="0.2">
      <c r="A47" s="162"/>
      <c r="B47" s="162"/>
      <c r="C47" s="165" t="s">
        <v>1100</v>
      </c>
      <c r="D47" s="164">
        <f t="shared" si="12"/>
        <v>0</v>
      </c>
      <c r="E47" s="164">
        <f t="shared" si="12"/>
        <v>0</v>
      </c>
      <c r="F47" s="164">
        <f t="shared" si="12"/>
        <v>0</v>
      </c>
      <c r="G47" s="164">
        <f t="shared" si="12"/>
        <v>0</v>
      </c>
      <c r="H47" s="164">
        <f t="shared" si="12"/>
        <v>0</v>
      </c>
      <c r="I47" s="164">
        <f t="shared" si="12"/>
        <v>0</v>
      </c>
      <c r="J47" s="121"/>
      <c r="K47" s="688">
        <v>3</v>
      </c>
      <c r="L47" s="687" t="s">
        <v>470</v>
      </c>
      <c r="M47" s="640"/>
      <c r="N47" s="162"/>
    </row>
    <row r="48" spans="1:14" hidden="1" outlineLevel="1" x14ac:dyDescent="0.2">
      <c r="A48" s="615"/>
      <c r="B48" s="615"/>
      <c r="C48" s="167" t="s">
        <v>125</v>
      </c>
      <c r="D48" s="166">
        <f t="shared" ref="D48:I48" si="13">SUM(D46:D47)</f>
        <v>0</v>
      </c>
      <c r="E48" s="166">
        <f t="shared" si="13"/>
        <v>0</v>
      </c>
      <c r="F48" s="166">
        <f t="shared" si="13"/>
        <v>0</v>
      </c>
      <c r="G48" s="166">
        <f t="shared" si="13"/>
        <v>0</v>
      </c>
      <c r="H48" s="166">
        <f t="shared" si="13"/>
        <v>0</v>
      </c>
      <c r="I48" s="166">
        <f t="shared" si="13"/>
        <v>0</v>
      </c>
      <c r="K48" s="552"/>
      <c r="L48" s="689">
        <f>SUM(D46:H47)</f>
        <v>0</v>
      </c>
      <c r="M48" s="615"/>
      <c r="N48" s="615"/>
    </row>
    <row r="49" spans="1:39" hidden="1" outlineLevel="1" x14ac:dyDescent="0.2">
      <c r="A49" s="615"/>
      <c r="B49" s="615"/>
      <c r="C49" s="416"/>
      <c r="K49" s="552"/>
      <c r="L49" s="689">
        <f>L48+L38</f>
        <v>0</v>
      </c>
      <c r="M49" s="615"/>
      <c r="N49" s="615"/>
    </row>
    <row r="50" spans="1:39" hidden="1" outlineLevel="1" x14ac:dyDescent="0.2">
      <c r="A50" s="162"/>
      <c r="B50" s="162"/>
      <c r="C50" s="89" t="s">
        <v>1101</v>
      </c>
      <c r="D50" s="164">
        <f t="shared" ref="D50:I51" si="14">D95+D329</f>
        <v>0</v>
      </c>
      <c r="E50" s="164">
        <f t="shared" si="14"/>
        <v>0</v>
      </c>
      <c r="F50" s="164">
        <f t="shared" si="14"/>
        <v>0</v>
      </c>
      <c r="G50" s="164">
        <f t="shared" si="14"/>
        <v>0</v>
      </c>
      <c r="H50" s="164">
        <f t="shared" si="14"/>
        <v>0</v>
      </c>
      <c r="I50" s="164">
        <f t="shared" si="14"/>
        <v>0</v>
      </c>
      <c r="J50" s="121"/>
      <c r="K50" s="688">
        <v>2</v>
      </c>
      <c r="L50" s="552"/>
      <c r="M50" s="640"/>
      <c r="N50" s="162"/>
    </row>
    <row r="51" spans="1:39" s="416" customFormat="1" hidden="1" outlineLevel="1" x14ac:dyDescent="0.2">
      <c r="A51" s="162"/>
      <c r="B51" s="162"/>
      <c r="C51" s="89" t="s">
        <v>1102</v>
      </c>
      <c r="D51" s="164">
        <f t="shared" si="14"/>
        <v>0</v>
      </c>
      <c r="E51" s="164">
        <f t="shared" si="14"/>
        <v>0</v>
      </c>
      <c r="F51" s="164">
        <f t="shared" si="14"/>
        <v>0</v>
      </c>
      <c r="G51" s="164">
        <f t="shared" si="14"/>
        <v>0</v>
      </c>
      <c r="H51" s="164">
        <f t="shared" si="14"/>
        <v>0</v>
      </c>
      <c r="I51" s="164">
        <f t="shared" si="14"/>
        <v>0</v>
      </c>
      <c r="J51" s="361"/>
      <c r="K51" s="688">
        <v>3</v>
      </c>
      <c r="L51" s="552"/>
      <c r="M51" s="640"/>
      <c r="N51" s="162"/>
    </row>
    <row r="52" spans="1:39" hidden="1" outlineLevel="1" x14ac:dyDescent="0.2">
      <c r="A52" s="162"/>
      <c r="B52" s="162"/>
      <c r="J52" s="121"/>
      <c r="M52" s="686"/>
      <c r="N52" s="162"/>
    </row>
    <row r="53" spans="1:39" collapsed="1" x14ac:dyDescent="0.2">
      <c r="A53" s="162"/>
      <c r="B53" s="162"/>
      <c r="C53" s="173"/>
      <c r="D53" s="168"/>
      <c r="E53" s="168"/>
      <c r="F53" s="168"/>
      <c r="G53" s="168"/>
      <c r="H53" s="168"/>
      <c r="I53" s="168"/>
      <c r="J53" s="168"/>
      <c r="K53" s="7"/>
      <c r="M53" s="686"/>
      <c r="N53" s="162"/>
      <c r="O53" s="7"/>
      <c r="P53" s="7"/>
      <c r="Q53" s="7"/>
      <c r="R53" s="7"/>
      <c r="S53" s="7"/>
      <c r="T53" s="7"/>
      <c r="U53" s="7"/>
      <c r="V53" s="7"/>
      <c r="W53" s="7"/>
      <c r="X53" s="7"/>
      <c r="Y53" s="7"/>
      <c r="Z53" s="7"/>
      <c r="AA53" s="7"/>
    </row>
    <row r="54" spans="1:39" s="416" customFormat="1" ht="15.75" x14ac:dyDescent="0.2">
      <c r="A54" s="162"/>
      <c r="B54" s="162"/>
      <c r="C54" s="123" t="s">
        <v>1127</v>
      </c>
      <c r="D54" s="127"/>
      <c r="E54" s="127"/>
      <c r="F54" s="127"/>
      <c r="G54" s="127"/>
      <c r="H54" s="127"/>
      <c r="I54" s="127"/>
      <c r="J54" s="127"/>
      <c r="K54" s="127"/>
      <c r="L54" s="127"/>
      <c r="M54" s="127"/>
      <c r="N54" s="127"/>
      <c r="O54" s="127"/>
      <c r="P54" s="127"/>
      <c r="Q54" s="127"/>
      <c r="R54" s="127"/>
      <c r="S54" s="127"/>
      <c r="T54" s="127"/>
      <c r="U54" s="127"/>
      <c r="V54" s="127"/>
      <c r="W54" s="127"/>
      <c r="X54" s="127"/>
      <c r="Y54" s="127"/>
      <c r="Z54" s="127"/>
      <c r="AA54" s="127"/>
      <c r="AB54" s="127"/>
      <c r="AC54" s="127"/>
      <c r="AD54" s="127"/>
      <c r="AE54" s="127"/>
      <c r="AF54" s="127"/>
      <c r="AG54" s="127"/>
      <c r="AH54" s="127"/>
      <c r="AI54" s="127"/>
      <c r="AJ54" s="127"/>
      <c r="AK54" s="127"/>
      <c r="AL54" s="127"/>
      <c r="AM54" s="127"/>
    </row>
    <row r="55" spans="1:39" s="416" customFormat="1" hidden="1" outlineLevel="1" x14ac:dyDescent="0.2">
      <c r="A55" s="162"/>
      <c r="B55" s="162"/>
      <c r="C55" s="615"/>
    </row>
    <row r="56" spans="1:39" s="416" customFormat="1" hidden="1" outlineLevel="1" x14ac:dyDescent="0.2">
      <c r="A56" s="162"/>
      <c r="B56" s="162"/>
      <c r="C56" s="638" t="s">
        <v>1119</v>
      </c>
    </row>
    <row r="57" spans="1:39" s="416" customFormat="1" hidden="1" outlineLevel="1" x14ac:dyDescent="0.2">
      <c r="A57" s="162"/>
      <c r="B57" s="162"/>
      <c r="C57" s="615"/>
      <c r="L57" s="615"/>
      <c r="M57" s="615"/>
      <c r="N57" s="615"/>
    </row>
    <row r="58" spans="1:39" s="416" customFormat="1" hidden="1" outlineLevel="1" x14ac:dyDescent="0.2">
      <c r="A58" s="162"/>
      <c r="B58" s="162"/>
      <c r="C58" s="643" t="s">
        <v>122</v>
      </c>
      <c r="D58" s="571">
        <f>FirstYear</f>
        <v>2021</v>
      </c>
      <c r="E58" s="571">
        <f>D58+1</f>
        <v>2022</v>
      </c>
      <c r="F58" s="571">
        <f>E58+1</f>
        <v>2023</v>
      </c>
      <c r="G58" s="571">
        <f>F58+1</f>
        <v>2024</v>
      </c>
      <c r="H58" s="571">
        <f>G58+1</f>
        <v>2025</v>
      </c>
      <c r="I58" s="571">
        <f>H58+1</f>
        <v>2026</v>
      </c>
      <c r="J58" s="361"/>
      <c r="K58" s="687" t="s">
        <v>883</v>
      </c>
      <c r="L58" s="162"/>
      <c r="M58" s="162"/>
      <c r="N58" s="162"/>
    </row>
    <row r="59" spans="1:39" s="416" customFormat="1" hidden="1" outlineLevel="1" x14ac:dyDescent="0.2">
      <c r="A59" s="162"/>
      <c r="B59" s="162"/>
      <c r="C59" s="89" t="s">
        <v>1097</v>
      </c>
      <c r="D59" s="164">
        <f>SUMIFS(AB$104:AB$123,$L$104:$L$123,$K59)</f>
        <v>0</v>
      </c>
      <c r="E59" s="164">
        <f t="shared" ref="E59:I62" si="15">SUMIFS(AC$104:AC$123,$L$104:$L$123,$K59)</f>
        <v>0</v>
      </c>
      <c r="F59" s="164">
        <f t="shared" si="15"/>
        <v>0</v>
      </c>
      <c r="G59" s="164">
        <f t="shared" si="15"/>
        <v>0</v>
      </c>
      <c r="H59" s="164">
        <f t="shared" si="15"/>
        <v>0</v>
      </c>
      <c r="I59" s="164">
        <f t="shared" si="15"/>
        <v>0</v>
      </c>
      <c r="J59" s="361"/>
      <c r="K59" s="689">
        <f>K14</f>
        <v>0</v>
      </c>
      <c r="L59" s="162"/>
      <c r="M59" s="162"/>
      <c r="N59" s="162"/>
    </row>
    <row r="60" spans="1:39" s="416" customFormat="1" hidden="1" outlineLevel="1" x14ac:dyDescent="0.2">
      <c r="A60" s="162"/>
      <c r="B60" s="162"/>
      <c r="C60" s="163" t="s">
        <v>1098</v>
      </c>
      <c r="D60" s="164">
        <f>SUMIFS(AB$104:AB$123,$L$104:$L$123,$K60)</f>
        <v>0</v>
      </c>
      <c r="E60" s="164">
        <f t="shared" si="15"/>
        <v>0</v>
      </c>
      <c r="F60" s="164">
        <f t="shared" si="15"/>
        <v>0</v>
      </c>
      <c r="G60" s="164">
        <f t="shared" si="15"/>
        <v>0</v>
      </c>
      <c r="H60" s="164">
        <f t="shared" si="15"/>
        <v>0</v>
      </c>
      <c r="I60" s="164">
        <f t="shared" si="15"/>
        <v>0</v>
      </c>
      <c r="J60" s="361"/>
      <c r="K60" s="689">
        <f>K15</f>
        <v>1</v>
      </c>
      <c r="L60" s="162"/>
      <c r="M60" s="162"/>
      <c r="N60" s="162"/>
    </row>
    <row r="61" spans="1:39" s="416" customFormat="1" hidden="1" outlineLevel="1" x14ac:dyDescent="0.2">
      <c r="A61" s="162"/>
      <c r="B61" s="162"/>
      <c r="C61" s="165" t="s">
        <v>1099</v>
      </c>
      <c r="D61" s="164">
        <f>SUMIFS(AB$104:AB$123,$L$104:$L$123,$K61)</f>
        <v>0</v>
      </c>
      <c r="E61" s="164">
        <f t="shared" si="15"/>
        <v>0</v>
      </c>
      <c r="F61" s="164">
        <f t="shared" si="15"/>
        <v>0</v>
      </c>
      <c r="G61" s="164">
        <f t="shared" si="15"/>
        <v>0</v>
      </c>
      <c r="H61" s="164">
        <f t="shared" si="15"/>
        <v>0</v>
      </c>
      <c r="I61" s="164">
        <f t="shared" si="15"/>
        <v>0</v>
      </c>
      <c r="J61" s="361"/>
      <c r="K61" s="689">
        <f>K16</f>
        <v>2</v>
      </c>
      <c r="L61" s="162"/>
      <c r="M61" s="162"/>
      <c r="N61" s="162"/>
    </row>
    <row r="62" spans="1:39" s="416" customFormat="1" hidden="1" outlineLevel="1" x14ac:dyDescent="0.2">
      <c r="A62" s="162"/>
      <c r="B62" s="162"/>
      <c r="C62" s="165" t="s">
        <v>1100</v>
      </c>
      <c r="D62" s="164">
        <f>SUMIFS(AB$104:AB$123,$L$104:$L$123,$K62)</f>
        <v>0</v>
      </c>
      <c r="E62" s="164">
        <f t="shared" si="15"/>
        <v>0</v>
      </c>
      <c r="F62" s="164">
        <f t="shared" si="15"/>
        <v>0</v>
      </c>
      <c r="G62" s="164">
        <f t="shared" si="15"/>
        <v>0</v>
      </c>
      <c r="H62" s="164">
        <f t="shared" si="15"/>
        <v>0</v>
      </c>
      <c r="I62" s="164">
        <f t="shared" si="15"/>
        <v>0</v>
      </c>
      <c r="J62" s="361"/>
      <c r="K62" s="689">
        <f>K17</f>
        <v>3</v>
      </c>
      <c r="L62" s="162"/>
      <c r="M62" s="162"/>
      <c r="N62" s="162"/>
    </row>
    <row r="63" spans="1:39" s="416" customFormat="1" hidden="1" outlineLevel="1" x14ac:dyDescent="0.2">
      <c r="A63" s="162"/>
      <c r="B63" s="162"/>
      <c r="C63" s="294" t="s">
        <v>133</v>
      </c>
      <c r="D63" s="166">
        <f t="shared" ref="D63:I63" si="16">SUM(D59:D62)</f>
        <v>0</v>
      </c>
      <c r="E63" s="166">
        <f t="shared" si="16"/>
        <v>0</v>
      </c>
      <c r="F63" s="166">
        <f t="shared" si="16"/>
        <v>0</v>
      </c>
      <c r="G63" s="166">
        <f t="shared" si="16"/>
        <v>0</v>
      </c>
      <c r="H63" s="166">
        <f t="shared" si="16"/>
        <v>0</v>
      </c>
      <c r="I63" s="166">
        <f t="shared" si="16"/>
        <v>0</v>
      </c>
      <c r="J63" s="361"/>
      <c r="K63" s="137"/>
      <c r="L63" s="162"/>
      <c r="M63" s="162"/>
      <c r="N63" s="162"/>
    </row>
    <row r="64" spans="1:39" s="416" customFormat="1" hidden="1" outlineLevel="1" x14ac:dyDescent="0.2">
      <c r="A64" s="162"/>
      <c r="B64" s="162"/>
      <c r="J64" s="361"/>
      <c r="K64" s="137"/>
      <c r="L64" s="162"/>
      <c r="M64" s="162"/>
      <c r="N64" s="162"/>
    </row>
    <row r="65" spans="1:39" s="416" customFormat="1" hidden="1" outlineLevel="1" x14ac:dyDescent="0.2">
      <c r="A65" s="162"/>
      <c r="B65" s="162"/>
      <c r="C65" s="418" t="s">
        <v>123</v>
      </c>
      <c r="J65" s="361"/>
      <c r="K65" s="687" t="s">
        <v>883</v>
      </c>
      <c r="L65" s="162"/>
      <c r="M65" s="162"/>
      <c r="N65" s="162"/>
    </row>
    <row r="66" spans="1:39" s="416" customFormat="1" hidden="1" outlineLevel="1" x14ac:dyDescent="0.2">
      <c r="A66" s="162"/>
      <c r="B66" s="162"/>
      <c r="C66" s="89" t="s">
        <v>1097</v>
      </c>
      <c r="D66" s="164">
        <f>SUMIFS(AH$104:AH$123,$L$104:$L$123,$K66)</f>
        <v>0</v>
      </c>
      <c r="E66" s="164">
        <f t="shared" ref="E66:I69" si="17">SUMIFS(AI$104:AI$123,$L$104:$L$123,$K66)</f>
        <v>0</v>
      </c>
      <c r="F66" s="164">
        <f t="shared" si="17"/>
        <v>0</v>
      </c>
      <c r="G66" s="164">
        <f t="shared" si="17"/>
        <v>0</v>
      </c>
      <c r="H66" s="164">
        <f t="shared" si="17"/>
        <v>0</v>
      </c>
      <c r="I66" s="164">
        <f t="shared" si="17"/>
        <v>0</v>
      </c>
      <c r="J66" s="361"/>
      <c r="K66" s="689">
        <f>K21</f>
        <v>0</v>
      </c>
      <c r="L66" s="162"/>
      <c r="M66" s="162"/>
      <c r="N66" s="162"/>
    </row>
    <row r="67" spans="1:39" s="416" customFormat="1" hidden="1" outlineLevel="1" x14ac:dyDescent="0.2">
      <c r="A67" s="162"/>
      <c r="B67" s="162"/>
      <c r="C67" s="163" t="s">
        <v>1098</v>
      </c>
      <c r="D67" s="164">
        <f>SUMIFS(AH$104:AH$123,$L$104:$L$123,$K67)</f>
        <v>0</v>
      </c>
      <c r="E67" s="164">
        <f t="shared" si="17"/>
        <v>0</v>
      </c>
      <c r="F67" s="164">
        <f t="shared" si="17"/>
        <v>0</v>
      </c>
      <c r="G67" s="164">
        <f t="shared" si="17"/>
        <v>0</v>
      </c>
      <c r="H67" s="164">
        <f t="shared" si="17"/>
        <v>0</v>
      </c>
      <c r="I67" s="164">
        <f t="shared" si="17"/>
        <v>0</v>
      </c>
      <c r="J67" s="361"/>
      <c r="K67" s="689">
        <f>K22</f>
        <v>1</v>
      </c>
      <c r="L67" s="162"/>
      <c r="M67" s="162"/>
      <c r="N67" s="162"/>
    </row>
    <row r="68" spans="1:39" s="416" customFormat="1" hidden="1" outlineLevel="1" x14ac:dyDescent="0.2">
      <c r="A68" s="162"/>
      <c r="B68" s="162"/>
      <c r="C68" s="165" t="s">
        <v>1099</v>
      </c>
      <c r="D68" s="164">
        <f>SUMIFS(AH$104:AH$123,$L$104:$L$123,$K68)</f>
        <v>0</v>
      </c>
      <c r="E68" s="164">
        <f t="shared" si="17"/>
        <v>0</v>
      </c>
      <c r="F68" s="164">
        <f t="shared" si="17"/>
        <v>0</v>
      </c>
      <c r="G68" s="164">
        <f t="shared" si="17"/>
        <v>0</v>
      </c>
      <c r="H68" s="164">
        <f t="shared" si="17"/>
        <v>0</v>
      </c>
      <c r="I68" s="164">
        <f t="shared" si="17"/>
        <v>0</v>
      </c>
      <c r="J68" s="361"/>
      <c r="K68" s="689">
        <f>K23</f>
        <v>2</v>
      </c>
      <c r="L68" s="162"/>
      <c r="M68" s="162"/>
      <c r="N68" s="162"/>
    </row>
    <row r="69" spans="1:39" s="416" customFormat="1" hidden="1" outlineLevel="1" x14ac:dyDescent="0.2">
      <c r="A69" s="162"/>
      <c r="B69" s="162"/>
      <c r="C69" s="165" t="s">
        <v>1100</v>
      </c>
      <c r="D69" s="164">
        <f>SUMIFS(AH$104:AH$123,$L$104:$L$123,$K69)</f>
        <v>0</v>
      </c>
      <c r="E69" s="164">
        <f t="shared" si="17"/>
        <v>0</v>
      </c>
      <c r="F69" s="164">
        <f t="shared" si="17"/>
        <v>0</v>
      </c>
      <c r="G69" s="164">
        <f t="shared" si="17"/>
        <v>0</v>
      </c>
      <c r="H69" s="164">
        <f t="shared" si="17"/>
        <v>0</v>
      </c>
      <c r="I69" s="164">
        <f t="shared" si="17"/>
        <v>0</v>
      </c>
      <c r="J69" s="361"/>
      <c r="K69" s="689">
        <f>K24</f>
        <v>3</v>
      </c>
      <c r="L69" s="162"/>
      <c r="M69" s="162"/>
      <c r="N69" s="162"/>
    </row>
    <row r="70" spans="1:39" s="416" customFormat="1" hidden="1" outlineLevel="1" x14ac:dyDescent="0.2">
      <c r="A70" s="162"/>
      <c r="B70" s="162"/>
      <c r="C70" s="167" t="s">
        <v>134</v>
      </c>
      <c r="D70" s="166">
        <f t="shared" ref="D70:I70" si="18">SUM(D66:D69)</f>
        <v>0</v>
      </c>
      <c r="E70" s="166">
        <f t="shared" si="18"/>
        <v>0</v>
      </c>
      <c r="F70" s="166">
        <f t="shared" si="18"/>
        <v>0</v>
      </c>
      <c r="G70" s="166">
        <f t="shared" si="18"/>
        <v>0</v>
      </c>
      <c r="H70" s="166">
        <f t="shared" si="18"/>
        <v>0</v>
      </c>
      <c r="I70" s="166">
        <f t="shared" si="18"/>
        <v>0</v>
      </c>
      <c r="J70" s="361"/>
      <c r="L70" s="615"/>
      <c r="M70" s="162"/>
      <c r="N70" s="162"/>
    </row>
    <row r="71" spans="1:39" s="416" customFormat="1" ht="12.75" hidden="1" customHeight="1" outlineLevel="1" x14ac:dyDescent="0.2">
      <c r="A71" s="615"/>
      <c r="B71" s="615"/>
      <c r="L71" s="615"/>
      <c r="M71" s="615"/>
      <c r="N71" s="615"/>
    </row>
    <row r="72" spans="1:39" s="416" customFormat="1" hidden="1" outlineLevel="1" x14ac:dyDescent="0.2">
      <c r="A72" s="162"/>
      <c r="B72" s="162"/>
      <c r="C72" s="294" t="s">
        <v>248</v>
      </c>
      <c r="D72" s="166">
        <f t="shared" ref="D72:I72" si="19">D63+D70</f>
        <v>0</v>
      </c>
      <c r="E72" s="166">
        <f t="shared" si="19"/>
        <v>0</v>
      </c>
      <c r="F72" s="166">
        <f t="shared" si="19"/>
        <v>0</v>
      </c>
      <c r="G72" s="166">
        <f t="shared" si="19"/>
        <v>0</v>
      </c>
      <c r="H72" s="166">
        <f t="shared" si="19"/>
        <v>0</v>
      </c>
      <c r="I72" s="166">
        <f t="shared" si="19"/>
        <v>0</v>
      </c>
      <c r="J72" s="361"/>
      <c r="K72" s="361"/>
      <c r="L72" s="615"/>
      <c r="M72" s="686"/>
      <c r="N72" s="162"/>
    </row>
    <row r="73" spans="1:39" s="416" customFormat="1" hidden="1" outlineLevel="1" x14ac:dyDescent="0.2">
      <c r="A73" s="125"/>
      <c r="B73" s="125"/>
      <c r="C73" s="361"/>
      <c r="D73" s="361"/>
      <c r="E73" s="361"/>
      <c r="F73" s="361"/>
      <c r="G73" s="361"/>
      <c r="H73" s="361"/>
      <c r="I73" s="361"/>
      <c r="J73" s="361"/>
      <c r="K73" s="361"/>
      <c r="L73" s="125"/>
      <c r="M73" s="125"/>
      <c r="N73" s="125"/>
    </row>
    <row r="74" spans="1:39" s="416" customFormat="1" ht="15.75" hidden="1" outlineLevel="1" x14ac:dyDescent="0.2">
      <c r="A74" s="125"/>
      <c r="B74" s="125"/>
      <c r="C74" s="123" t="s">
        <v>1128</v>
      </c>
      <c r="D74" s="127"/>
      <c r="E74" s="127"/>
      <c r="F74" s="127"/>
      <c r="G74" s="127"/>
      <c r="H74" s="127"/>
      <c r="I74" s="127"/>
      <c r="J74" s="127"/>
      <c r="K74" s="127"/>
      <c r="L74" s="127"/>
      <c r="M74" s="127"/>
      <c r="N74" s="127"/>
      <c r="O74" s="127"/>
      <c r="P74" s="127"/>
      <c r="Q74" s="127"/>
      <c r="R74" s="127"/>
      <c r="S74" s="127"/>
      <c r="T74" s="127"/>
      <c r="U74" s="127"/>
      <c r="V74" s="127"/>
      <c r="W74" s="127"/>
      <c r="X74" s="127"/>
      <c r="Y74" s="127"/>
      <c r="Z74" s="127"/>
      <c r="AA74" s="127"/>
      <c r="AB74" s="127"/>
      <c r="AC74" s="127"/>
      <c r="AD74" s="127"/>
      <c r="AE74" s="127"/>
      <c r="AF74" s="127"/>
      <c r="AG74" s="127"/>
      <c r="AH74" s="127"/>
      <c r="AI74" s="127"/>
      <c r="AJ74" s="127"/>
      <c r="AK74" s="127"/>
      <c r="AL74" s="127"/>
      <c r="AM74" s="127"/>
    </row>
    <row r="75" spans="1:39" s="416" customFormat="1" hidden="1" outlineLevel="1" x14ac:dyDescent="0.2">
      <c r="A75" s="125"/>
      <c r="B75" s="125"/>
      <c r="C75" s="125"/>
      <c r="D75" s="361"/>
      <c r="E75" s="361"/>
      <c r="F75" s="361"/>
      <c r="G75" s="361"/>
      <c r="H75" s="361"/>
      <c r="I75" s="361"/>
      <c r="J75" s="361"/>
      <c r="K75" s="361"/>
      <c r="L75" s="361"/>
      <c r="M75" s="361"/>
      <c r="N75" s="361"/>
    </row>
    <row r="76" spans="1:39" s="416" customFormat="1" hidden="1" outlineLevel="1" x14ac:dyDescent="0.2">
      <c r="A76" s="125"/>
      <c r="B76" s="125"/>
      <c r="C76" s="638" t="s">
        <v>1120</v>
      </c>
      <c r="D76" s="361"/>
      <c r="E76" s="361"/>
      <c r="F76" s="361"/>
      <c r="G76" s="361"/>
      <c r="H76" s="361"/>
      <c r="I76" s="361"/>
      <c r="J76" s="361"/>
      <c r="K76" s="361"/>
      <c r="L76" s="361"/>
      <c r="M76" s="361"/>
      <c r="N76" s="361"/>
    </row>
    <row r="77" spans="1:39" s="416" customFormat="1" hidden="1" outlineLevel="1" x14ac:dyDescent="0.2">
      <c r="A77" s="125"/>
      <c r="B77" s="125"/>
      <c r="C77" s="125"/>
      <c r="D77" s="361"/>
      <c r="E77" s="361"/>
      <c r="F77" s="361"/>
      <c r="G77" s="361"/>
      <c r="H77" s="361"/>
      <c r="I77" s="361"/>
      <c r="J77" s="361"/>
      <c r="K77" s="361"/>
      <c r="L77" s="125"/>
      <c r="M77" s="125"/>
      <c r="N77" s="125"/>
    </row>
    <row r="78" spans="1:39" s="416" customFormat="1" hidden="1" outlineLevel="1" x14ac:dyDescent="0.2">
      <c r="A78" s="125"/>
      <c r="B78" s="125"/>
      <c r="C78" s="418" t="s">
        <v>124</v>
      </c>
      <c r="D78" s="571">
        <f>FirstYear</f>
        <v>2021</v>
      </c>
      <c r="E78" s="571">
        <f>D78+1</f>
        <v>2022</v>
      </c>
      <c r="F78" s="571">
        <f>E78+1</f>
        <v>2023</v>
      </c>
      <c r="G78" s="571">
        <f>F78+1</f>
        <v>2024</v>
      </c>
      <c r="H78" s="571">
        <f>G78+1</f>
        <v>2025</v>
      </c>
      <c r="I78" s="571">
        <f>H78+1</f>
        <v>2026</v>
      </c>
      <c r="J78" s="361"/>
      <c r="K78" s="572" t="s">
        <v>883</v>
      </c>
      <c r="L78" s="615"/>
      <c r="M78" s="690"/>
      <c r="N78" s="125"/>
    </row>
    <row r="79" spans="1:39" s="416" customFormat="1" hidden="1" outlineLevel="1" x14ac:dyDescent="0.2">
      <c r="A79" s="162"/>
      <c r="B79" s="162"/>
      <c r="C79" s="163" t="s">
        <v>1098</v>
      </c>
      <c r="D79" s="164">
        <f>SUMIFS(N$104:N$123,$L$104:$L$123,$K79)</f>
        <v>0</v>
      </c>
      <c r="E79" s="164">
        <f t="shared" ref="E79:I79" si="20">SUMIFS(O$104:O$123,$L$104:$L$123,$K79)</f>
        <v>0</v>
      </c>
      <c r="F79" s="164">
        <f t="shared" si="20"/>
        <v>0</v>
      </c>
      <c r="G79" s="164">
        <f t="shared" si="20"/>
        <v>0</v>
      </c>
      <c r="H79" s="164">
        <f t="shared" si="20"/>
        <v>0</v>
      </c>
      <c r="I79" s="164">
        <f t="shared" si="20"/>
        <v>0</v>
      </c>
      <c r="J79" s="361"/>
      <c r="K79" s="248">
        <f>K34</f>
        <v>1</v>
      </c>
      <c r="L79" s="615"/>
      <c r="M79" s="640"/>
      <c r="N79" s="162"/>
    </row>
    <row r="80" spans="1:39" s="416" customFormat="1" ht="12.75" hidden="1" customHeight="1" outlineLevel="1" x14ac:dyDescent="0.2">
      <c r="A80" s="615"/>
      <c r="B80" s="615"/>
      <c r="K80" s="489"/>
      <c r="L80" s="615"/>
      <c r="M80" s="615"/>
      <c r="N80" s="615"/>
    </row>
    <row r="81" spans="1:14" s="416" customFormat="1" hidden="1" outlineLevel="1" x14ac:dyDescent="0.2">
      <c r="A81" s="162"/>
      <c r="B81" s="162"/>
      <c r="C81" s="89" t="s">
        <v>1099</v>
      </c>
      <c r="D81" s="164">
        <f>SUMIFS(N$104:N$123,$L$104:$L$123,$K81)</f>
        <v>0</v>
      </c>
      <c r="E81" s="164">
        <f t="shared" ref="E81:I82" si="21">SUMIFS(O$104:O$123,$L$104:$L$123,$K81)</f>
        <v>0</v>
      </c>
      <c r="F81" s="164">
        <f t="shared" si="21"/>
        <v>0</v>
      </c>
      <c r="G81" s="164">
        <f t="shared" si="21"/>
        <v>0</v>
      </c>
      <c r="H81" s="164">
        <f t="shared" si="21"/>
        <v>0</v>
      </c>
      <c r="I81" s="164">
        <f t="shared" si="21"/>
        <v>0</v>
      </c>
      <c r="J81" s="361"/>
      <c r="K81" s="248">
        <f>K36</f>
        <v>2</v>
      </c>
      <c r="L81" s="615"/>
      <c r="M81" s="640"/>
      <c r="N81" s="162"/>
    </row>
    <row r="82" spans="1:14" s="416" customFormat="1" hidden="1" outlineLevel="1" x14ac:dyDescent="0.2">
      <c r="A82" s="162"/>
      <c r="B82" s="162"/>
      <c r="C82" s="165" t="s">
        <v>1100</v>
      </c>
      <c r="D82" s="164">
        <f>SUMIFS(N$104:N$123,$L$104:$L$123,$K82)</f>
        <v>0</v>
      </c>
      <c r="E82" s="164">
        <f t="shared" si="21"/>
        <v>0</v>
      </c>
      <c r="F82" s="164">
        <f t="shared" si="21"/>
        <v>0</v>
      </c>
      <c r="G82" s="164">
        <f t="shared" si="21"/>
        <v>0</v>
      </c>
      <c r="H82" s="164">
        <f t="shared" si="21"/>
        <v>0</v>
      </c>
      <c r="I82" s="164">
        <f t="shared" si="21"/>
        <v>0</v>
      </c>
      <c r="J82" s="361"/>
      <c r="K82" s="248">
        <f>K37</f>
        <v>3</v>
      </c>
      <c r="L82" s="615"/>
      <c r="M82" s="640"/>
      <c r="N82" s="162"/>
    </row>
    <row r="83" spans="1:14" s="416" customFormat="1" hidden="1" outlineLevel="1" x14ac:dyDescent="0.2">
      <c r="A83" s="615"/>
      <c r="B83" s="615"/>
      <c r="C83" s="167" t="s">
        <v>124</v>
      </c>
      <c r="D83" s="166">
        <f t="shared" ref="D83:I83" si="22">SUM(D81:D82)</f>
        <v>0</v>
      </c>
      <c r="E83" s="166">
        <f t="shared" si="22"/>
        <v>0</v>
      </c>
      <c r="F83" s="166">
        <f t="shared" si="22"/>
        <v>0</v>
      </c>
      <c r="G83" s="166">
        <f t="shared" si="22"/>
        <v>0</v>
      </c>
      <c r="H83" s="166">
        <f t="shared" si="22"/>
        <v>0</v>
      </c>
      <c r="I83" s="166">
        <f t="shared" si="22"/>
        <v>0</v>
      </c>
      <c r="K83" s="489"/>
      <c r="L83" s="615"/>
      <c r="M83" s="615"/>
      <c r="N83" s="615"/>
    </row>
    <row r="84" spans="1:14" s="416" customFormat="1" ht="12.75" hidden="1" customHeight="1" outlineLevel="1" x14ac:dyDescent="0.2">
      <c r="A84" s="615"/>
      <c r="B84" s="615"/>
      <c r="K84" s="489"/>
      <c r="L84" s="615"/>
      <c r="M84" s="615"/>
      <c r="N84" s="615"/>
    </row>
    <row r="85" spans="1:14" s="416" customFormat="1" hidden="1" outlineLevel="1" x14ac:dyDescent="0.2">
      <c r="A85" s="162"/>
      <c r="B85" s="162"/>
      <c r="C85" s="89" t="s">
        <v>1101</v>
      </c>
      <c r="D85" s="164">
        <f>SUMIFS(N$104:N$123,$M$104:$M$123,$K85)</f>
        <v>0</v>
      </c>
      <c r="E85" s="164">
        <f t="shared" ref="E85:I86" si="23">SUMIFS(O$104:O$123,$M$104:$M$123,$K85)</f>
        <v>0</v>
      </c>
      <c r="F85" s="164">
        <f t="shared" si="23"/>
        <v>0</v>
      </c>
      <c r="G85" s="164">
        <f t="shared" si="23"/>
        <v>0</v>
      </c>
      <c r="H85" s="164">
        <f t="shared" si="23"/>
        <v>0</v>
      </c>
      <c r="I85" s="164">
        <f t="shared" si="23"/>
        <v>0</v>
      </c>
      <c r="J85" s="361"/>
      <c r="K85" s="248">
        <f>K40</f>
        <v>2</v>
      </c>
      <c r="L85" s="615"/>
      <c r="M85" s="640"/>
      <c r="N85" s="162"/>
    </row>
    <row r="86" spans="1:14" s="416" customFormat="1" hidden="1" outlineLevel="1" x14ac:dyDescent="0.2">
      <c r="A86" s="162"/>
      <c r="B86" s="162"/>
      <c r="C86" s="89" t="s">
        <v>1102</v>
      </c>
      <c r="D86" s="164">
        <f>SUMIFS(N$104:N$123,$M$104:$M$123,$K86)</f>
        <v>0</v>
      </c>
      <c r="E86" s="164">
        <f t="shared" si="23"/>
        <v>0</v>
      </c>
      <c r="F86" s="164">
        <f t="shared" si="23"/>
        <v>0</v>
      </c>
      <c r="G86" s="164">
        <f t="shared" si="23"/>
        <v>0</v>
      </c>
      <c r="H86" s="164">
        <f t="shared" si="23"/>
        <v>0</v>
      </c>
      <c r="I86" s="164">
        <f t="shared" si="23"/>
        <v>0</v>
      </c>
      <c r="J86" s="361"/>
      <c r="K86" s="248">
        <f>K41</f>
        <v>3</v>
      </c>
      <c r="L86" s="615"/>
      <c r="M86" s="686"/>
      <c r="N86" s="162"/>
    </row>
    <row r="87" spans="1:14" s="416" customFormat="1" hidden="1" outlineLevel="1" x14ac:dyDescent="0.2">
      <c r="A87" s="125"/>
      <c r="B87" s="125"/>
      <c r="C87" s="125"/>
      <c r="D87" s="361"/>
      <c r="E87" s="361"/>
      <c r="F87" s="361"/>
      <c r="G87" s="361"/>
      <c r="H87" s="361"/>
      <c r="I87" s="361"/>
      <c r="J87" s="361"/>
      <c r="K87" s="361"/>
      <c r="L87" s="615"/>
      <c r="M87" s="125"/>
      <c r="N87" s="125"/>
    </row>
    <row r="88" spans="1:14" s="416" customFormat="1" hidden="1" outlineLevel="1" x14ac:dyDescent="0.2">
      <c r="A88" s="125"/>
      <c r="B88" s="125"/>
      <c r="C88" s="643" t="s">
        <v>125</v>
      </c>
      <c r="D88" s="361"/>
      <c r="E88" s="361"/>
      <c r="F88" s="361"/>
      <c r="G88" s="361"/>
      <c r="H88" s="361"/>
      <c r="I88" s="361"/>
      <c r="J88" s="361"/>
      <c r="K88" s="572" t="s">
        <v>883</v>
      </c>
      <c r="L88" s="615"/>
      <c r="M88" s="125"/>
      <c r="N88" s="125"/>
    </row>
    <row r="89" spans="1:14" s="416" customFormat="1" hidden="1" outlineLevel="1" x14ac:dyDescent="0.2">
      <c r="A89" s="162"/>
      <c r="B89" s="162"/>
      <c r="C89" s="163" t="s">
        <v>1098</v>
      </c>
      <c r="D89" s="164">
        <f>SUMIFS(T$104:T$123,$L$104:$L$123,$K89)</f>
        <v>0</v>
      </c>
      <c r="E89" s="164">
        <f t="shared" ref="E89:I89" si="24">SUMIFS(U$104:U$123,$L$104:$L$123,$K89)</f>
        <v>0</v>
      </c>
      <c r="F89" s="164">
        <f t="shared" si="24"/>
        <v>0</v>
      </c>
      <c r="G89" s="164">
        <f t="shared" si="24"/>
        <v>0</v>
      </c>
      <c r="H89" s="164">
        <f t="shared" si="24"/>
        <v>0</v>
      </c>
      <c r="I89" s="164">
        <f t="shared" si="24"/>
        <v>0</v>
      </c>
      <c r="J89" s="361"/>
      <c r="K89" s="248">
        <f>K44</f>
        <v>1</v>
      </c>
      <c r="L89" s="615"/>
      <c r="M89" s="640"/>
      <c r="N89" s="162"/>
    </row>
    <row r="90" spans="1:14" s="416" customFormat="1" ht="12.75" hidden="1" customHeight="1" outlineLevel="1" x14ac:dyDescent="0.2">
      <c r="A90" s="615"/>
      <c r="B90" s="615"/>
      <c r="K90" s="489"/>
      <c r="L90" s="615"/>
      <c r="M90" s="615"/>
      <c r="N90" s="615"/>
    </row>
    <row r="91" spans="1:14" s="416" customFormat="1" hidden="1" outlineLevel="1" x14ac:dyDescent="0.2">
      <c r="A91" s="162"/>
      <c r="B91" s="162"/>
      <c r="C91" s="89" t="s">
        <v>1099</v>
      </c>
      <c r="D91" s="164">
        <f>SUMIFS(T$104:T$123,$L$104:$L$123,$K91)</f>
        <v>0</v>
      </c>
      <c r="E91" s="164">
        <f t="shared" ref="E91:I92" si="25">SUMIFS(U$104:U$123,$L$104:$L$123,$K91)</f>
        <v>0</v>
      </c>
      <c r="F91" s="164">
        <f t="shared" si="25"/>
        <v>0</v>
      </c>
      <c r="G91" s="164">
        <f t="shared" si="25"/>
        <v>0</v>
      </c>
      <c r="H91" s="164">
        <f t="shared" si="25"/>
        <v>0</v>
      </c>
      <c r="I91" s="164">
        <f t="shared" si="25"/>
        <v>0</v>
      </c>
      <c r="J91" s="361"/>
      <c r="K91" s="248">
        <f>K46</f>
        <v>2</v>
      </c>
      <c r="L91" s="615"/>
      <c r="M91" s="640"/>
      <c r="N91" s="162"/>
    </row>
    <row r="92" spans="1:14" s="416" customFormat="1" hidden="1" outlineLevel="1" x14ac:dyDescent="0.2">
      <c r="A92" s="162"/>
      <c r="B92" s="162"/>
      <c r="C92" s="165" t="s">
        <v>1100</v>
      </c>
      <c r="D92" s="164">
        <f>SUMIFS(T$104:T$123,$L$104:$L$123,$K92)</f>
        <v>0</v>
      </c>
      <c r="E92" s="164">
        <f t="shared" si="25"/>
        <v>0</v>
      </c>
      <c r="F92" s="164">
        <f t="shared" si="25"/>
        <v>0</v>
      </c>
      <c r="G92" s="164">
        <f t="shared" si="25"/>
        <v>0</v>
      </c>
      <c r="H92" s="164">
        <f t="shared" si="25"/>
        <v>0</v>
      </c>
      <c r="I92" s="164">
        <f t="shared" si="25"/>
        <v>0</v>
      </c>
      <c r="J92" s="361"/>
      <c r="K92" s="248">
        <f>K47</f>
        <v>3</v>
      </c>
      <c r="L92" s="615"/>
      <c r="M92" s="640"/>
      <c r="N92" s="162"/>
    </row>
    <row r="93" spans="1:14" s="416" customFormat="1" hidden="1" outlineLevel="1" x14ac:dyDescent="0.2">
      <c r="A93" s="615"/>
      <c r="B93" s="615"/>
      <c r="C93" s="167" t="s">
        <v>125</v>
      </c>
      <c r="D93" s="166">
        <f t="shared" ref="D93:I93" si="26">SUM(D91:D92)</f>
        <v>0</v>
      </c>
      <c r="E93" s="166">
        <f t="shared" si="26"/>
        <v>0</v>
      </c>
      <c r="F93" s="166">
        <f t="shared" si="26"/>
        <v>0</v>
      </c>
      <c r="G93" s="166">
        <f t="shared" si="26"/>
        <v>0</v>
      </c>
      <c r="H93" s="166">
        <f t="shared" si="26"/>
        <v>0</v>
      </c>
      <c r="I93" s="166">
        <f t="shared" si="26"/>
        <v>0</v>
      </c>
      <c r="K93" s="489"/>
      <c r="L93" s="615"/>
      <c r="M93" s="615"/>
      <c r="N93" s="615"/>
    </row>
    <row r="94" spans="1:14" s="416" customFormat="1" hidden="1" outlineLevel="1" x14ac:dyDescent="0.2">
      <c r="A94" s="615"/>
      <c r="B94" s="615"/>
      <c r="K94" s="489"/>
      <c r="L94" s="615"/>
      <c r="M94" s="615"/>
      <c r="N94" s="615"/>
    </row>
    <row r="95" spans="1:14" s="416" customFormat="1" hidden="1" outlineLevel="1" x14ac:dyDescent="0.2">
      <c r="A95" s="162"/>
      <c r="B95" s="162"/>
      <c r="C95" s="89" t="s">
        <v>1101</v>
      </c>
      <c r="D95" s="164">
        <f>SUMIFS(T$104:T$123,$M$104:$M$123,$K95)</f>
        <v>0</v>
      </c>
      <c r="E95" s="164">
        <f t="shared" ref="E95:I96" si="27">SUMIFS(U$104:U$123,$M$104:$M$123,$K95)+SUMIFS(U$338:U$357,$M$338:$M$357,$K95)</f>
        <v>0</v>
      </c>
      <c r="F95" s="164">
        <f t="shared" si="27"/>
        <v>0</v>
      </c>
      <c r="G95" s="164">
        <f t="shared" si="27"/>
        <v>0</v>
      </c>
      <c r="H95" s="164">
        <f t="shared" si="27"/>
        <v>0</v>
      </c>
      <c r="I95" s="164">
        <f t="shared" si="27"/>
        <v>0</v>
      </c>
      <c r="J95" s="361"/>
      <c r="K95" s="248">
        <f>K50</f>
        <v>2</v>
      </c>
      <c r="L95" s="615"/>
      <c r="M95" s="640"/>
      <c r="N95" s="162"/>
    </row>
    <row r="96" spans="1:14" s="416" customFormat="1" hidden="1" outlineLevel="1" x14ac:dyDescent="0.2">
      <c r="A96" s="162"/>
      <c r="B96" s="162"/>
      <c r="C96" s="89" t="s">
        <v>1102</v>
      </c>
      <c r="D96" s="164">
        <f>SUMIFS(T$104:T$123,$M$104:$M$123,$K96)</f>
        <v>0</v>
      </c>
      <c r="E96" s="164">
        <f t="shared" si="27"/>
        <v>0</v>
      </c>
      <c r="F96" s="164">
        <f t="shared" si="27"/>
        <v>0</v>
      </c>
      <c r="G96" s="164">
        <f t="shared" si="27"/>
        <v>0</v>
      </c>
      <c r="H96" s="164">
        <f t="shared" si="27"/>
        <v>0</v>
      </c>
      <c r="I96" s="164">
        <f t="shared" si="27"/>
        <v>0</v>
      </c>
      <c r="J96" s="361"/>
      <c r="K96" s="248">
        <f>K51</f>
        <v>3</v>
      </c>
      <c r="L96" s="615"/>
      <c r="M96" s="640"/>
      <c r="N96" s="162"/>
    </row>
    <row r="97" spans="1:43" s="416" customFormat="1" hidden="1" outlineLevel="1" x14ac:dyDescent="0.2">
      <c r="A97" s="162"/>
      <c r="B97" s="162"/>
      <c r="C97" s="615"/>
      <c r="D97" s="615"/>
      <c r="E97" s="615"/>
      <c r="F97" s="615"/>
      <c r="G97" s="615"/>
      <c r="H97" s="615"/>
      <c r="I97" s="615"/>
      <c r="J97" s="125"/>
      <c r="K97" s="615"/>
      <c r="L97" s="615"/>
      <c r="M97" s="686"/>
      <c r="N97" s="162"/>
      <c r="O97" s="615"/>
      <c r="P97" s="615"/>
      <c r="Q97" s="615"/>
      <c r="R97" s="615"/>
      <c r="S97" s="615"/>
      <c r="T97" s="615"/>
      <c r="U97" s="615"/>
      <c r="V97" s="615"/>
      <c r="W97" s="615"/>
      <c r="X97" s="615"/>
      <c r="Y97" s="615"/>
      <c r="Z97" s="615"/>
      <c r="AA97" s="615"/>
      <c r="AB97" s="615"/>
      <c r="AC97" s="615"/>
      <c r="AD97" s="615"/>
      <c r="AE97" s="615"/>
      <c r="AF97" s="615"/>
      <c r="AG97" s="615"/>
      <c r="AH97" s="615"/>
      <c r="AI97" s="615"/>
      <c r="AJ97" s="615"/>
      <c r="AK97" s="615"/>
      <c r="AL97" s="615"/>
      <c r="AM97" s="615"/>
      <c r="AN97" s="615"/>
      <c r="AO97" s="615"/>
      <c r="AP97" s="615"/>
      <c r="AQ97" s="615"/>
    </row>
    <row r="98" spans="1:43" s="416" customFormat="1" collapsed="1" x14ac:dyDescent="0.2">
      <c r="A98" s="162"/>
      <c r="B98" s="162"/>
      <c r="C98" s="648"/>
      <c r="D98" s="691"/>
      <c r="E98" s="691"/>
      <c r="F98" s="691"/>
      <c r="G98" s="691"/>
      <c r="H98" s="691"/>
      <c r="I98" s="691"/>
      <c r="J98" s="691"/>
      <c r="K98" s="691"/>
      <c r="L98" s="691"/>
      <c r="M98" s="691"/>
      <c r="N98" s="691"/>
      <c r="O98" s="691"/>
      <c r="P98" s="691"/>
      <c r="Q98" s="691"/>
      <c r="R98" s="691"/>
      <c r="S98" s="691"/>
      <c r="T98" s="691"/>
      <c r="U98" s="691"/>
      <c r="V98" s="691"/>
      <c r="W98" s="691"/>
      <c r="X98" s="691"/>
      <c r="Y98" s="691"/>
      <c r="Z98" s="691"/>
      <c r="AA98" s="691"/>
      <c r="AB98" s="691"/>
      <c r="AC98" s="691"/>
      <c r="AD98" s="691"/>
      <c r="AE98" s="691"/>
      <c r="AF98" s="691"/>
      <c r="AG98" s="691"/>
      <c r="AH98" s="691"/>
      <c r="AI98" s="691"/>
      <c r="AJ98" s="691"/>
      <c r="AK98" s="691"/>
      <c r="AL98" s="691"/>
      <c r="AM98" s="691"/>
      <c r="AN98" s="615"/>
      <c r="AO98" s="615"/>
      <c r="AP98" s="615"/>
      <c r="AQ98" s="615"/>
    </row>
    <row r="99" spans="1:43" ht="15.75" x14ac:dyDescent="0.2">
      <c r="A99" s="162"/>
      <c r="B99" s="162"/>
      <c r="C99" s="123" t="s">
        <v>884</v>
      </c>
      <c r="D99" s="127"/>
      <c r="E99" s="127"/>
      <c r="F99" s="127"/>
      <c r="G99" s="127"/>
      <c r="H99" s="127"/>
      <c r="I99" s="127"/>
      <c r="J99" s="127"/>
      <c r="K99" s="127"/>
      <c r="L99" s="127"/>
      <c r="M99" s="127"/>
      <c r="N99" s="127"/>
      <c r="O99" s="127"/>
      <c r="P99" s="127"/>
      <c r="Q99" s="127"/>
      <c r="R99" s="127"/>
      <c r="S99" s="127"/>
      <c r="T99" s="127"/>
      <c r="U99" s="127"/>
      <c r="V99" s="127"/>
      <c r="W99" s="127"/>
      <c r="X99" s="127"/>
      <c r="Y99" s="127"/>
      <c r="Z99" s="127"/>
      <c r="AA99" s="127"/>
      <c r="AB99" s="127"/>
      <c r="AC99" s="127"/>
      <c r="AD99" s="127"/>
      <c r="AE99" s="127"/>
      <c r="AF99" s="127"/>
      <c r="AG99" s="127"/>
      <c r="AH99" s="127"/>
      <c r="AI99" s="127"/>
      <c r="AJ99" s="127"/>
      <c r="AK99" s="127"/>
      <c r="AL99" s="127"/>
      <c r="AM99" s="127"/>
    </row>
    <row r="100" spans="1:43" hidden="1" outlineLevel="2" x14ac:dyDescent="0.2">
      <c r="A100" s="162"/>
      <c r="B100" s="162"/>
      <c r="C100" s="615"/>
      <c r="D100" s="615"/>
      <c r="E100" s="615"/>
      <c r="F100" s="615"/>
      <c r="G100" s="615"/>
      <c r="H100" s="615"/>
      <c r="I100" s="615"/>
      <c r="J100" s="615"/>
      <c r="K100" s="615"/>
      <c r="L100" s="615"/>
      <c r="M100" s="615"/>
      <c r="N100" s="365"/>
    </row>
    <row r="101" spans="1:43" hidden="1" outlineLevel="2" x14ac:dyDescent="0.2">
      <c r="A101" s="162"/>
      <c r="B101" s="162"/>
      <c r="C101" s="162" t="s">
        <v>850</v>
      </c>
      <c r="D101" s="162"/>
      <c r="E101" s="162"/>
      <c r="F101" s="162"/>
      <c r="G101" s="162"/>
      <c r="H101" s="162"/>
      <c r="I101" s="162"/>
      <c r="J101" s="162"/>
      <c r="K101" s="162"/>
      <c r="L101" s="162"/>
      <c r="M101" s="162"/>
      <c r="N101" s="836" t="s">
        <v>135</v>
      </c>
      <c r="O101" s="836"/>
      <c r="P101" s="836"/>
      <c r="Q101" s="836"/>
      <c r="R101" s="836"/>
      <c r="S101" s="836"/>
      <c r="T101" s="836"/>
      <c r="U101" s="836"/>
      <c r="V101" s="836"/>
      <c r="W101" s="836"/>
      <c r="X101" s="836"/>
      <c r="Y101" s="836"/>
      <c r="Z101" s="7"/>
      <c r="AA101" s="7"/>
      <c r="AB101" s="877" t="s">
        <v>247</v>
      </c>
      <c r="AC101" s="877"/>
      <c r="AD101" s="877"/>
      <c r="AE101" s="877"/>
      <c r="AF101" s="877"/>
      <c r="AG101" s="877"/>
      <c r="AH101" s="877"/>
      <c r="AI101" s="877"/>
      <c r="AJ101" s="877"/>
      <c r="AK101" s="877"/>
      <c r="AL101" s="877"/>
      <c r="AM101" s="877"/>
    </row>
    <row r="102" spans="1:43" hidden="1" outlineLevel="2" x14ac:dyDescent="0.2">
      <c r="A102" s="162"/>
      <c r="B102" s="162"/>
      <c r="C102" s="616"/>
      <c r="D102" s="162"/>
      <c r="E102" s="162"/>
      <c r="F102" s="162"/>
      <c r="G102" s="162"/>
      <c r="H102" s="162"/>
      <c r="I102" s="162"/>
      <c r="J102" s="162"/>
      <c r="K102" s="162"/>
      <c r="L102" s="162"/>
      <c r="M102" s="162"/>
      <c r="N102" s="836" t="s">
        <v>0</v>
      </c>
      <c r="O102" s="836"/>
      <c r="P102" s="836"/>
      <c r="Q102" s="836"/>
      <c r="R102" s="836"/>
      <c r="S102" s="836"/>
      <c r="T102" s="877" t="s">
        <v>1</v>
      </c>
      <c r="U102" s="877"/>
      <c r="V102" s="877"/>
      <c r="W102" s="877"/>
      <c r="X102" s="877"/>
      <c r="Y102" s="877"/>
      <c r="Z102" s="7"/>
      <c r="AA102" s="7"/>
      <c r="AB102" s="836" t="s">
        <v>0</v>
      </c>
      <c r="AC102" s="836"/>
      <c r="AD102" s="836"/>
      <c r="AE102" s="836"/>
      <c r="AF102" s="836"/>
      <c r="AG102" s="836"/>
      <c r="AH102" s="877" t="s">
        <v>1</v>
      </c>
      <c r="AI102" s="877"/>
      <c r="AJ102" s="877"/>
      <c r="AK102" s="877"/>
      <c r="AL102" s="877"/>
      <c r="AM102" s="877"/>
    </row>
    <row r="103" spans="1:43" ht="25.5" hidden="1" outlineLevel="2" x14ac:dyDescent="0.2">
      <c r="A103" s="162"/>
      <c r="B103" s="162"/>
      <c r="C103" s="880" t="s">
        <v>812</v>
      </c>
      <c r="D103" s="881"/>
      <c r="E103" s="882"/>
      <c r="F103" s="82" t="s">
        <v>430</v>
      </c>
      <c r="G103" s="82" t="s">
        <v>126</v>
      </c>
      <c r="H103" s="82" t="s">
        <v>121</v>
      </c>
      <c r="I103" s="396" t="s">
        <v>700</v>
      </c>
      <c r="J103" s="82" t="s">
        <v>250</v>
      </c>
      <c r="K103" s="82" t="s">
        <v>278</v>
      </c>
      <c r="L103" s="82" t="s">
        <v>277</v>
      </c>
      <c r="M103" s="396" t="s">
        <v>700</v>
      </c>
      <c r="N103" s="301">
        <f>FirstYear</f>
        <v>2021</v>
      </c>
      <c r="O103" s="301">
        <f>N103+1</f>
        <v>2022</v>
      </c>
      <c r="P103" s="301">
        <f>O103+1</f>
        <v>2023</v>
      </c>
      <c r="Q103" s="301">
        <f>P103+1</f>
        <v>2024</v>
      </c>
      <c r="R103" s="301">
        <f>Q103+1</f>
        <v>2025</v>
      </c>
      <c r="S103" s="301">
        <f>R103+1</f>
        <v>2026</v>
      </c>
      <c r="T103" s="301">
        <f>FirstYear</f>
        <v>2021</v>
      </c>
      <c r="U103" s="301">
        <f>T103+1</f>
        <v>2022</v>
      </c>
      <c r="V103" s="301">
        <f>U103+1</f>
        <v>2023</v>
      </c>
      <c r="W103" s="301">
        <f>V103+1</f>
        <v>2024</v>
      </c>
      <c r="X103" s="301">
        <f>W103+1</f>
        <v>2025</v>
      </c>
      <c r="Y103" s="301">
        <f>X103+1</f>
        <v>2026</v>
      </c>
      <c r="AB103" s="566">
        <f>FirstYear</f>
        <v>2021</v>
      </c>
      <c r="AC103" s="566">
        <f>AB103+1</f>
        <v>2022</v>
      </c>
      <c r="AD103" s="566">
        <f>AC103+1</f>
        <v>2023</v>
      </c>
      <c r="AE103" s="566">
        <f>AD103+1</f>
        <v>2024</v>
      </c>
      <c r="AF103" s="566">
        <f>AE103+1</f>
        <v>2025</v>
      </c>
      <c r="AG103" s="566">
        <f>AF103+1</f>
        <v>2026</v>
      </c>
      <c r="AH103" s="566">
        <f>FirstYear</f>
        <v>2021</v>
      </c>
      <c r="AI103" s="566">
        <f>AH103+1</f>
        <v>2022</v>
      </c>
      <c r="AJ103" s="566">
        <f>AI103+1</f>
        <v>2023</v>
      </c>
      <c r="AK103" s="566">
        <f>AJ103+1</f>
        <v>2024</v>
      </c>
      <c r="AL103" s="566">
        <f>AK103+1</f>
        <v>2025</v>
      </c>
      <c r="AM103" s="566">
        <f>AL103+1</f>
        <v>2026</v>
      </c>
    </row>
    <row r="104" spans="1:43" hidden="1" outlineLevel="2" x14ac:dyDescent="0.2">
      <c r="A104" s="125"/>
      <c r="B104" s="298">
        <v>1</v>
      </c>
      <c r="C104" s="878" t="str">
        <f t="shared" ref="C104:C123" si="28">INDEX(PBSScriptsNew,B104,1)</f>
        <v>** NOT USED **</v>
      </c>
      <c r="D104" s="879"/>
      <c r="E104" s="879"/>
      <c r="F104" s="151"/>
      <c r="G104" s="63" t="str">
        <f t="shared" ref="G104:G113" si="29">IF(F104&lt;&gt;"",F104+1,"")</f>
        <v/>
      </c>
      <c r="H104" s="157"/>
      <c r="I104" s="157"/>
      <c r="J104" s="157"/>
      <c r="K104" s="238">
        <f t="shared" ref="K104:K123" si="30">IF(J104="Yes",G104,1)</f>
        <v>1</v>
      </c>
      <c r="L104" s="238">
        <f t="shared" ref="L104:L123" si="31">IF(AND(G104&lt;&gt;"",H104&lt;&gt;""),VLOOKUP(H104,AuthorityCode,2,FALSE),0)</f>
        <v>0</v>
      </c>
      <c r="M104" s="238">
        <f>IF(I104="Yes",L104,0)</f>
        <v>0</v>
      </c>
      <c r="N104" s="248">
        <f t="shared" ref="N104:S104" si="32">D131</f>
        <v>0</v>
      </c>
      <c r="O104" s="248">
        <f t="shared" si="32"/>
        <v>0</v>
      </c>
      <c r="P104" s="248">
        <f t="shared" si="32"/>
        <v>0</v>
      </c>
      <c r="Q104" s="248">
        <f t="shared" si="32"/>
        <v>0</v>
      </c>
      <c r="R104" s="248">
        <f t="shared" si="32"/>
        <v>0</v>
      </c>
      <c r="S104" s="248">
        <f t="shared" si="32"/>
        <v>0</v>
      </c>
      <c r="T104" s="317">
        <f t="shared" ref="T104:Y104" si="33">D132</f>
        <v>0</v>
      </c>
      <c r="U104" s="317">
        <f t="shared" si="33"/>
        <v>0</v>
      </c>
      <c r="V104" s="317">
        <f t="shared" si="33"/>
        <v>0</v>
      </c>
      <c r="W104" s="317">
        <f t="shared" si="33"/>
        <v>0</v>
      </c>
      <c r="X104" s="317">
        <f t="shared" si="33"/>
        <v>0</v>
      </c>
      <c r="Y104" s="317">
        <f t="shared" si="33"/>
        <v>0</v>
      </c>
      <c r="AB104" s="248">
        <f t="shared" ref="AB104:AG104" si="34">D129</f>
        <v>0</v>
      </c>
      <c r="AC104" s="248">
        <f t="shared" si="34"/>
        <v>0</v>
      </c>
      <c r="AD104" s="248">
        <f t="shared" si="34"/>
        <v>0</v>
      </c>
      <c r="AE104" s="248">
        <f t="shared" si="34"/>
        <v>0</v>
      </c>
      <c r="AF104" s="248">
        <f t="shared" si="34"/>
        <v>0</v>
      </c>
      <c r="AG104" s="248">
        <f t="shared" si="34"/>
        <v>0</v>
      </c>
      <c r="AH104" s="317">
        <f t="shared" ref="AH104:AM104" si="35">D130</f>
        <v>0</v>
      </c>
      <c r="AI104" s="317">
        <f t="shared" si="35"/>
        <v>0</v>
      </c>
      <c r="AJ104" s="317">
        <f t="shared" si="35"/>
        <v>0</v>
      </c>
      <c r="AK104" s="317">
        <f t="shared" si="35"/>
        <v>0</v>
      </c>
      <c r="AL104" s="317">
        <f t="shared" si="35"/>
        <v>0</v>
      </c>
      <c r="AM104" s="317">
        <f t="shared" si="35"/>
        <v>0</v>
      </c>
    </row>
    <row r="105" spans="1:43" hidden="1" outlineLevel="2" x14ac:dyDescent="0.2">
      <c r="A105" s="125"/>
      <c r="B105" s="298">
        <v>2</v>
      </c>
      <c r="C105" s="878" t="str">
        <f t="shared" si="28"/>
        <v>** NOT USED **</v>
      </c>
      <c r="D105" s="879"/>
      <c r="E105" s="879"/>
      <c r="F105" s="151"/>
      <c r="G105" s="63" t="str">
        <f t="shared" si="29"/>
        <v/>
      </c>
      <c r="H105" s="157"/>
      <c r="I105" s="157"/>
      <c r="J105" s="157"/>
      <c r="K105" s="238">
        <f t="shared" si="30"/>
        <v>1</v>
      </c>
      <c r="L105" s="238">
        <f t="shared" si="31"/>
        <v>0</v>
      </c>
      <c r="M105" s="238">
        <f t="shared" ref="M105:M123" si="36">IF(I105="Yes",L105,0)</f>
        <v>0</v>
      </c>
      <c r="N105" s="248">
        <f t="shared" ref="N105:S105" si="37">D139</f>
        <v>0</v>
      </c>
      <c r="O105" s="248">
        <f t="shared" si="37"/>
        <v>0</v>
      </c>
      <c r="P105" s="248">
        <f t="shared" si="37"/>
        <v>0</v>
      </c>
      <c r="Q105" s="248">
        <f t="shared" si="37"/>
        <v>0</v>
      </c>
      <c r="R105" s="248">
        <f t="shared" si="37"/>
        <v>0</v>
      </c>
      <c r="S105" s="248">
        <f t="shared" si="37"/>
        <v>0</v>
      </c>
      <c r="T105" s="317">
        <f t="shared" ref="T105:Y105" si="38">D140</f>
        <v>0</v>
      </c>
      <c r="U105" s="317">
        <f t="shared" si="38"/>
        <v>0</v>
      </c>
      <c r="V105" s="317">
        <f t="shared" si="38"/>
        <v>0</v>
      </c>
      <c r="W105" s="317">
        <f t="shared" si="38"/>
        <v>0</v>
      </c>
      <c r="X105" s="317">
        <f t="shared" si="38"/>
        <v>0</v>
      </c>
      <c r="Y105" s="317">
        <f t="shared" si="38"/>
        <v>0</v>
      </c>
      <c r="AB105" s="248">
        <f t="shared" ref="AB105:AG105" si="39">D137</f>
        <v>0</v>
      </c>
      <c r="AC105" s="248">
        <f t="shared" si="39"/>
        <v>0</v>
      </c>
      <c r="AD105" s="248">
        <f t="shared" si="39"/>
        <v>0</v>
      </c>
      <c r="AE105" s="248">
        <f t="shared" si="39"/>
        <v>0</v>
      </c>
      <c r="AF105" s="248">
        <f t="shared" si="39"/>
        <v>0</v>
      </c>
      <c r="AG105" s="248">
        <f t="shared" si="39"/>
        <v>0</v>
      </c>
      <c r="AH105" s="317">
        <f t="shared" ref="AH105:AM105" si="40">D138</f>
        <v>0</v>
      </c>
      <c r="AI105" s="317">
        <f t="shared" si="40"/>
        <v>0</v>
      </c>
      <c r="AJ105" s="317">
        <f t="shared" si="40"/>
        <v>0</v>
      </c>
      <c r="AK105" s="317">
        <f t="shared" si="40"/>
        <v>0</v>
      </c>
      <c r="AL105" s="317">
        <f t="shared" si="40"/>
        <v>0</v>
      </c>
      <c r="AM105" s="317">
        <f t="shared" si="40"/>
        <v>0</v>
      </c>
    </row>
    <row r="106" spans="1:43" hidden="1" outlineLevel="2" x14ac:dyDescent="0.2">
      <c r="A106" s="125"/>
      <c r="B106" s="298">
        <v>3</v>
      </c>
      <c r="C106" s="878" t="str">
        <f t="shared" si="28"/>
        <v>** NOT USED **</v>
      </c>
      <c r="D106" s="879"/>
      <c r="E106" s="879"/>
      <c r="F106" s="151"/>
      <c r="G106" s="63" t="str">
        <f t="shared" si="29"/>
        <v/>
      </c>
      <c r="H106" s="157"/>
      <c r="I106" s="157"/>
      <c r="J106" s="157"/>
      <c r="K106" s="238">
        <f t="shared" si="30"/>
        <v>1</v>
      </c>
      <c r="L106" s="238">
        <f t="shared" si="31"/>
        <v>0</v>
      </c>
      <c r="M106" s="238">
        <f t="shared" si="36"/>
        <v>0</v>
      </c>
      <c r="N106" s="248">
        <f t="shared" ref="N106:S106" si="41">D147</f>
        <v>0</v>
      </c>
      <c r="O106" s="248">
        <f t="shared" si="41"/>
        <v>0</v>
      </c>
      <c r="P106" s="248">
        <f t="shared" si="41"/>
        <v>0</v>
      </c>
      <c r="Q106" s="248">
        <f t="shared" si="41"/>
        <v>0</v>
      </c>
      <c r="R106" s="248">
        <f t="shared" si="41"/>
        <v>0</v>
      </c>
      <c r="S106" s="248">
        <f t="shared" si="41"/>
        <v>0</v>
      </c>
      <c r="T106" s="317">
        <f t="shared" ref="T106:Y106" si="42">D148</f>
        <v>0</v>
      </c>
      <c r="U106" s="317">
        <f t="shared" si="42"/>
        <v>0</v>
      </c>
      <c r="V106" s="317">
        <f t="shared" si="42"/>
        <v>0</v>
      </c>
      <c r="W106" s="317">
        <f t="shared" si="42"/>
        <v>0</v>
      </c>
      <c r="X106" s="317">
        <f t="shared" si="42"/>
        <v>0</v>
      </c>
      <c r="Y106" s="317">
        <f t="shared" si="42"/>
        <v>0</v>
      </c>
      <c r="AB106" s="248">
        <f t="shared" ref="AB106:AG106" si="43">D145</f>
        <v>0</v>
      </c>
      <c r="AC106" s="248">
        <f t="shared" si="43"/>
        <v>0</v>
      </c>
      <c r="AD106" s="248">
        <f t="shared" si="43"/>
        <v>0</v>
      </c>
      <c r="AE106" s="248">
        <f t="shared" si="43"/>
        <v>0</v>
      </c>
      <c r="AF106" s="248">
        <f t="shared" si="43"/>
        <v>0</v>
      </c>
      <c r="AG106" s="248">
        <f t="shared" si="43"/>
        <v>0</v>
      </c>
      <c r="AH106" s="317">
        <f t="shared" ref="AH106:AM106" si="44">D146</f>
        <v>0</v>
      </c>
      <c r="AI106" s="317">
        <f t="shared" si="44"/>
        <v>0</v>
      </c>
      <c r="AJ106" s="317">
        <f t="shared" si="44"/>
        <v>0</v>
      </c>
      <c r="AK106" s="317">
        <f t="shared" si="44"/>
        <v>0</v>
      </c>
      <c r="AL106" s="317">
        <f t="shared" si="44"/>
        <v>0</v>
      </c>
      <c r="AM106" s="317">
        <f t="shared" si="44"/>
        <v>0</v>
      </c>
    </row>
    <row r="107" spans="1:43" hidden="1" outlineLevel="2" x14ac:dyDescent="0.2">
      <c r="A107" s="125"/>
      <c r="B107" s="298">
        <v>4</v>
      </c>
      <c r="C107" s="878" t="str">
        <f t="shared" si="28"/>
        <v>** NOT USED **</v>
      </c>
      <c r="D107" s="879"/>
      <c r="E107" s="879"/>
      <c r="F107" s="151"/>
      <c r="G107" s="63" t="str">
        <f t="shared" si="29"/>
        <v/>
      </c>
      <c r="H107" s="157"/>
      <c r="I107" s="157"/>
      <c r="J107" s="157"/>
      <c r="K107" s="238">
        <f t="shared" si="30"/>
        <v>1</v>
      </c>
      <c r="L107" s="238">
        <f t="shared" si="31"/>
        <v>0</v>
      </c>
      <c r="M107" s="238">
        <f t="shared" si="36"/>
        <v>0</v>
      </c>
      <c r="N107" s="248">
        <f t="shared" ref="N107:S107" si="45">D155</f>
        <v>0</v>
      </c>
      <c r="O107" s="248">
        <f t="shared" si="45"/>
        <v>0</v>
      </c>
      <c r="P107" s="248">
        <f t="shared" si="45"/>
        <v>0</v>
      </c>
      <c r="Q107" s="248">
        <f t="shared" si="45"/>
        <v>0</v>
      </c>
      <c r="R107" s="248">
        <f t="shared" si="45"/>
        <v>0</v>
      </c>
      <c r="S107" s="248">
        <f t="shared" si="45"/>
        <v>0</v>
      </c>
      <c r="T107" s="317">
        <f t="shared" ref="T107:Y107" si="46">D156</f>
        <v>0</v>
      </c>
      <c r="U107" s="317">
        <f t="shared" si="46"/>
        <v>0</v>
      </c>
      <c r="V107" s="317">
        <f t="shared" si="46"/>
        <v>0</v>
      </c>
      <c r="W107" s="317">
        <f t="shared" si="46"/>
        <v>0</v>
      </c>
      <c r="X107" s="317">
        <f t="shared" si="46"/>
        <v>0</v>
      </c>
      <c r="Y107" s="317">
        <f t="shared" si="46"/>
        <v>0</v>
      </c>
      <c r="AB107" s="248">
        <f t="shared" ref="AB107:AG107" si="47">D153</f>
        <v>0</v>
      </c>
      <c r="AC107" s="248">
        <f t="shared" si="47"/>
        <v>0</v>
      </c>
      <c r="AD107" s="248">
        <f t="shared" si="47"/>
        <v>0</v>
      </c>
      <c r="AE107" s="248">
        <f t="shared" si="47"/>
        <v>0</v>
      </c>
      <c r="AF107" s="248">
        <f t="shared" si="47"/>
        <v>0</v>
      </c>
      <c r="AG107" s="248">
        <f t="shared" si="47"/>
        <v>0</v>
      </c>
      <c r="AH107" s="317">
        <f t="shared" ref="AH107:AM107" si="48">D154</f>
        <v>0</v>
      </c>
      <c r="AI107" s="317">
        <f t="shared" si="48"/>
        <v>0</v>
      </c>
      <c r="AJ107" s="317">
        <f t="shared" si="48"/>
        <v>0</v>
      </c>
      <c r="AK107" s="317">
        <f t="shared" si="48"/>
        <v>0</v>
      </c>
      <c r="AL107" s="317">
        <f t="shared" si="48"/>
        <v>0</v>
      </c>
      <c r="AM107" s="317">
        <f t="shared" si="48"/>
        <v>0</v>
      </c>
    </row>
    <row r="108" spans="1:43" hidden="1" outlineLevel="2" x14ac:dyDescent="0.2">
      <c r="A108" s="125"/>
      <c r="B108" s="298">
        <v>5</v>
      </c>
      <c r="C108" s="878" t="str">
        <f t="shared" si="28"/>
        <v>** NOT USED **</v>
      </c>
      <c r="D108" s="879"/>
      <c r="E108" s="879"/>
      <c r="F108" s="151"/>
      <c r="G108" s="63" t="str">
        <f t="shared" si="29"/>
        <v/>
      </c>
      <c r="H108" s="157"/>
      <c r="I108" s="157"/>
      <c r="J108" s="157"/>
      <c r="K108" s="238">
        <f t="shared" si="30"/>
        <v>1</v>
      </c>
      <c r="L108" s="238">
        <f t="shared" si="31"/>
        <v>0</v>
      </c>
      <c r="M108" s="238">
        <f t="shared" si="36"/>
        <v>0</v>
      </c>
      <c r="N108" s="248">
        <f t="shared" ref="N108:S108" si="49">D163</f>
        <v>0</v>
      </c>
      <c r="O108" s="248">
        <f t="shared" si="49"/>
        <v>0</v>
      </c>
      <c r="P108" s="248">
        <f t="shared" si="49"/>
        <v>0</v>
      </c>
      <c r="Q108" s="248">
        <f t="shared" si="49"/>
        <v>0</v>
      </c>
      <c r="R108" s="248">
        <f t="shared" si="49"/>
        <v>0</v>
      </c>
      <c r="S108" s="248">
        <f t="shared" si="49"/>
        <v>0</v>
      </c>
      <c r="T108" s="317">
        <f t="shared" ref="T108:Y108" si="50">D164</f>
        <v>0</v>
      </c>
      <c r="U108" s="317">
        <f t="shared" si="50"/>
        <v>0</v>
      </c>
      <c r="V108" s="317">
        <f t="shared" si="50"/>
        <v>0</v>
      </c>
      <c r="W108" s="317">
        <f t="shared" si="50"/>
        <v>0</v>
      </c>
      <c r="X108" s="317">
        <f t="shared" si="50"/>
        <v>0</v>
      </c>
      <c r="Y108" s="317">
        <f t="shared" si="50"/>
        <v>0</v>
      </c>
      <c r="AB108" s="248">
        <f t="shared" ref="AB108:AG108" si="51">D161</f>
        <v>0</v>
      </c>
      <c r="AC108" s="248">
        <f t="shared" si="51"/>
        <v>0</v>
      </c>
      <c r="AD108" s="248">
        <f t="shared" si="51"/>
        <v>0</v>
      </c>
      <c r="AE108" s="248">
        <f t="shared" si="51"/>
        <v>0</v>
      </c>
      <c r="AF108" s="248">
        <f t="shared" si="51"/>
        <v>0</v>
      </c>
      <c r="AG108" s="248">
        <f t="shared" si="51"/>
        <v>0</v>
      </c>
      <c r="AH108" s="317">
        <f t="shared" ref="AH108:AM108" si="52">D162</f>
        <v>0</v>
      </c>
      <c r="AI108" s="317">
        <f t="shared" si="52"/>
        <v>0</v>
      </c>
      <c r="AJ108" s="317">
        <f t="shared" si="52"/>
        <v>0</v>
      </c>
      <c r="AK108" s="317">
        <f t="shared" si="52"/>
        <v>0</v>
      </c>
      <c r="AL108" s="317">
        <f t="shared" si="52"/>
        <v>0</v>
      </c>
      <c r="AM108" s="317">
        <f t="shared" si="52"/>
        <v>0</v>
      </c>
    </row>
    <row r="109" spans="1:43" hidden="1" outlineLevel="2" x14ac:dyDescent="0.2">
      <c r="A109" s="125"/>
      <c r="B109" s="298">
        <v>6</v>
      </c>
      <c r="C109" s="878" t="str">
        <f t="shared" si="28"/>
        <v>** NOT USED **</v>
      </c>
      <c r="D109" s="879"/>
      <c r="E109" s="879"/>
      <c r="F109" s="151"/>
      <c r="G109" s="63" t="str">
        <f t="shared" si="29"/>
        <v/>
      </c>
      <c r="H109" s="157"/>
      <c r="I109" s="157"/>
      <c r="J109" s="157"/>
      <c r="K109" s="238">
        <f t="shared" si="30"/>
        <v>1</v>
      </c>
      <c r="L109" s="238">
        <f t="shared" si="31"/>
        <v>0</v>
      </c>
      <c r="M109" s="238">
        <f t="shared" si="36"/>
        <v>0</v>
      </c>
      <c r="N109" s="248">
        <f t="shared" ref="N109:S109" si="53">D171</f>
        <v>0</v>
      </c>
      <c r="O109" s="248">
        <f t="shared" si="53"/>
        <v>0</v>
      </c>
      <c r="P109" s="248">
        <f t="shared" si="53"/>
        <v>0</v>
      </c>
      <c r="Q109" s="248">
        <f t="shared" si="53"/>
        <v>0</v>
      </c>
      <c r="R109" s="248">
        <f t="shared" si="53"/>
        <v>0</v>
      </c>
      <c r="S109" s="248">
        <f t="shared" si="53"/>
        <v>0</v>
      </c>
      <c r="T109" s="317">
        <f t="shared" ref="T109:Y109" si="54">D172</f>
        <v>0</v>
      </c>
      <c r="U109" s="317">
        <f t="shared" si="54"/>
        <v>0</v>
      </c>
      <c r="V109" s="317">
        <f t="shared" si="54"/>
        <v>0</v>
      </c>
      <c r="W109" s="317">
        <f t="shared" si="54"/>
        <v>0</v>
      </c>
      <c r="X109" s="317">
        <f t="shared" si="54"/>
        <v>0</v>
      </c>
      <c r="Y109" s="317">
        <f t="shared" si="54"/>
        <v>0</v>
      </c>
      <c r="AB109" s="248">
        <f t="shared" ref="AB109:AG109" si="55">D169</f>
        <v>0</v>
      </c>
      <c r="AC109" s="248">
        <f t="shared" si="55"/>
        <v>0</v>
      </c>
      <c r="AD109" s="248">
        <f t="shared" si="55"/>
        <v>0</v>
      </c>
      <c r="AE109" s="248">
        <f t="shared" si="55"/>
        <v>0</v>
      </c>
      <c r="AF109" s="248">
        <f t="shared" si="55"/>
        <v>0</v>
      </c>
      <c r="AG109" s="248">
        <f t="shared" si="55"/>
        <v>0</v>
      </c>
      <c r="AH109" s="317">
        <f t="shared" ref="AH109:AM109" si="56">D170</f>
        <v>0</v>
      </c>
      <c r="AI109" s="317">
        <f t="shared" si="56"/>
        <v>0</v>
      </c>
      <c r="AJ109" s="317">
        <f t="shared" si="56"/>
        <v>0</v>
      </c>
      <c r="AK109" s="317">
        <f t="shared" si="56"/>
        <v>0</v>
      </c>
      <c r="AL109" s="317">
        <f t="shared" si="56"/>
        <v>0</v>
      </c>
      <c r="AM109" s="317">
        <f t="shared" si="56"/>
        <v>0</v>
      </c>
    </row>
    <row r="110" spans="1:43" hidden="1" outlineLevel="2" x14ac:dyDescent="0.2">
      <c r="A110" s="125"/>
      <c r="B110" s="298">
        <v>7</v>
      </c>
      <c r="C110" s="878" t="str">
        <f t="shared" si="28"/>
        <v>** NOT USED **</v>
      </c>
      <c r="D110" s="879"/>
      <c r="E110" s="879"/>
      <c r="F110" s="151"/>
      <c r="G110" s="63" t="str">
        <f t="shared" si="29"/>
        <v/>
      </c>
      <c r="H110" s="157"/>
      <c r="I110" s="157"/>
      <c r="J110" s="157"/>
      <c r="K110" s="238">
        <f t="shared" si="30"/>
        <v>1</v>
      </c>
      <c r="L110" s="238">
        <f t="shared" si="31"/>
        <v>0</v>
      </c>
      <c r="M110" s="238">
        <f t="shared" si="36"/>
        <v>0</v>
      </c>
      <c r="N110" s="248">
        <f t="shared" ref="N110:S110" si="57">D179</f>
        <v>0</v>
      </c>
      <c r="O110" s="248">
        <f t="shared" si="57"/>
        <v>0</v>
      </c>
      <c r="P110" s="248">
        <f t="shared" si="57"/>
        <v>0</v>
      </c>
      <c r="Q110" s="248">
        <f t="shared" si="57"/>
        <v>0</v>
      </c>
      <c r="R110" s="248">
        <f t="shared" si="57"/>
        <v>0</v>
      </c>
      <c r="S110" s="248">
        <f t="shared" si="57"/>
        <v>0</v>
      </c>
      <c r="T110" s="317">
        <f t="shared" ref="T110:Y110" si="58">D180</f>
        <v>0</v>
      </c>
      <c r="U110" s="317">
        <f t="shared" si="58"/>
        <v>0</v>
      </c>
      <c r="V110" s="317">
        <f t="shared" si="58"/>
        <v>0</v>
      </c>
      <c r="W110" s="317">
        <f t="shared" si="58"/>
        <v>0</v>
      </c>
      <c r="X110" s="317">
        <f t="shared" si="58"/>
        <v>0</v>
      </c>
      <c r="Y110" s="317">
        <f t="shared" si="58"/>
        <v>0</v>
      </c>
      <c r="AB110" s="248">
        <f t="shared" ref="AB110:AG110" si="59">D177</f>
        <v>0</v>
      </c>
      <c r="AC110" s="248">
        <f t="shared" si="59"/>
        <v>0</v>
      </c>
      <c r="AD110" s="248">
        <f t="shared" si="59"/>
        <v>0</v>
      </c>
      <c r="AE110" s="248">
        <f t="shared" si="59"/>
        <v>0</v>
      </c>
      <c r="AF110" s="248">
        <f t="shared" si="59"/>
        <v>0</v>
      </c>
      <c r="AG110" s="248">
        <f t="shared" si="59"/>
        <v>0</v>
      </c>
      <c r="AH110" s="317">
        <f t="shared" ref="AH110:AM110" si="60">D178</f>
        <v>0</v>
      </c>
      <c r="AI110" s="317">
        <f t="shared" si="60"/>
        <v>0</v>
      </c>
      <c r="AJ110" s="317">
        <f t="shared" si="60"/>
        <v>0</v>
      </c>
      <c r="AK110" s="317">
        <f t="shared" si="60"/>
        <v>0</v>
      </c>
      <c r="AL110" s="317">
        <f t="shared" si="60"/>
        <v>0</v>
      </c>
      <c r="AM110" s="317">
        <f t="shared" si="60"/>
        <v>0</v>
      </c>
    </row>
    <row r="111" spans="1:43" hidden="1" outlineLevel="2" x14ac:dyDescent="0.2">
      <c r="A111" s="125"/>
      <c r="B111" s="298">
        <v>8</v>
      </c>
      <c r="C111" s="878" t="str">
        <f t="shared" si="28"/>
        <v>** NOT USED **</v>
      </c>
      <c r="D111" s="879"/>
      <c r="E111" s="879"/>
      <c r="F111" s="151"/>
      <c r="G111" s="63" t="str">
        <f t="shared" si="29"/>
        <v/>
      </c>
      <c r="H111" s="157"/>
      <c r="I111" s="157"/>
      <c r="J111" s="157"/>
      <c r="K111" s="238">
        <f t="shared" si="30"/>
        <v>1</v>
      </c>
      <c r="L111" s="238">
        <f t="shared" si="31"/>
        <v>0</v>
      </c>
      <c r="M111" s="238">
        <f t="shared" si="36"/>
        <v>0</v>
      </c>
      <c r="N111" s="248">
        <f t="shared" ref="N111:S111" si="61">D187</f>
        <v>0</v>
      </c>
      <c r="O111" s="248">
        <f t="shared" si="61"/>
        <v>0</v>
      </c>
      <c r="P111" s="248">
        <f t="shared" si="61"/>
        <v>0</v>
      </c>
      <c r="Q111" s="248">
        <f t="shared" si="61"/>
        <v>0</v>
      </c>
      <c r="R111" s="248">
        <f t="shared" si="61"/>
        <v>0</v>
      </c>
      <c r="S111" s="248">
        <f t="shared" si="61"/>
        <v>0</v>
      </c>
      <c r="T111" s="317">
        <f t="shared" ref="T111:Y111" si="62">D188</f>
        <v>0</v>
      </c>
      <c r="U111" s="317">
        <f t="shared" si="62"/>
        <v>0</v>
      </c>
      <c r="V111" s="317">
        <f t="shared" si="62"/>
        <v>0</v>
      </c>
      <c r="W111" s="317">
        <f t="shared" si="62"/>
        <v>0</v>
      </c>
      <c r="X111" s="317">
        <f t="shared" si="62"/>
        <v>0</v>
      </c>
      <c r="Y111" s="317">
        <f t="shared" si="62"/>
        <v>0</v>
      </c>
      <c r="AB111" s="248">
        <f t="shared" ref="AB111:AG111" si="63">D185</f>
        <v>0</v>
      </c>
      <c r="AC111" s="248">
        <f t="shared" si="63"/>
        <v>0</v>
      </c>
      <c r="AD111" s="248">
        <f t="shared" si="63"/>
        <v>0</v>
      </c>
      <c r="AE111" s="248">
        <f t="shared" si="63"/>
        <v>0</v>
      </c>
      <c r="AF111" s="248">
        <f t="shared" si="63"/>
        <v>0</v>
      </c>
      <c r="AG111" s="248">
        <f t="shared" si="63"/>
        <v>0</v>
      </c>
      <c r="AH111" s="317">
        <f t="shared" ref="AH111:AM111" si="64">D186</f>
        <v>0</v>
      </c>
      <c r="AI111" s="317">
        <f t="shared" si="64"/>
        <v>0</v>
      </c>
      <c r="AJ111" s="317">
        <f t="shared" si="64"/>
        <v>0</v>
      </c>
      <c r="AK111" s="317">
        <f t="shared" si="64"/>
        <v>0</v>
      </c>
      <c r="AL111" s="317">
        <f t="shared" si="64"/>
        <v>0</v>
      </c>
      <c r="AM111" s="317">
        <f t="shared" si="64"/>
        <v>0</v>
      </c>
    </row>
    <row r="112" spans="1:43" hidden="1" outlineLevel="2" x14ac:dyDescent="0.2">
      <c r="A112" s="125"/>
      <c r="B112" s="298">
        <v>9</v>
      </c>
      <c r="C112" s="878" t="str">
        <f t="shared" si="28"/>
        <v>** NOT USED **</v>
      </c>
      <c r="D112" s="879"/>
      <c r="E112" s="879"/>
      <c r="F112" s="151"/>
      <c r="G112" s="63" t="str">
        <f t="shared" si="29"/>
        <v/>
      </c>
      <c r="H112" s="157"/>
      <c r="I112" s="157"/>
      <c r="J112" s="157"/>
      <c r="K112" s="238">
        <f t="shared" si="30"/>
        <v>1</v>
      </c>
      <c r="L112" s="238">
        <f t="shared" si="31"/>
        <v>0</v>
      </c>
      <c r="M112" s="238">
        <f t="shared" si="36"/>
        <v>0</v>
      </c>
      <c r="N112" s="248">
        <f t="shared" ref="N112:S112" si="65">D195</f>
        <v>0</v>
      </c>
      <c r="O112" s="248">
        <f t="shared" si="65"/>
        <v>0</v>
      </c>
      <c r="P112" s="248">
        <f t="shared" si="65"/>
        <v>0</v>
      </c>
      <c r="Q112" s="248">
        <f t="shared" si="65"/>
        <v>0</v>
      </c>
      <c r="R112" s="248">
        <f t="shared" si="65"/>
        <v>0</v>
      </c>
      <c r="S112" s="248">
        <f t="shared" si="65"/>
        <v>0</v>
      </c>
      <c r="T112" s="317">
        <f t="shared" ref="T112:Y112" si="66">D196</f>
        <v>0</v>
      </c>
      <c r="U112" s="317">
        <f t="shared" si="66"/>
        <v>0</v>
      </c>
      <c r="V112" s="317">
        <f t="shared" si="66"/>
        <v>0</v>
      </c>
      <c r="W112" s="317">
        <f t="shared" si="66"/>
        <v>0</v>
      </c>
      <c r="X112" s="317">
        <f t="shared" si="66"/>
        <v>0</v>
      </c>
      <c r="Y112" s="317">
        <f t="shared" si="66"/>
        <v>0</v>
      </c>
      <c r="AB112" s="248">
        <f t="shared" ref="AB112:AG112" si="67">D193</f>
        <v>0</v>
      </c>
      <c r="AC112" s="248">
        <f t="shared" si="67"/>
        <v>0</v>
      </c>
      <c r="AD112" s="248">
        <f t="shared" si="67"/>
        <v>0</v>
      </c>
      <c r="AE112" s="248">
        <f t="shared" si="67"/>
        <v>0</v>
      </c>
      <c r="AF112" s="248">
        <f t="shared" si="67"/>
        <v>0</v>
      </c>
      <c r="AG112" s="248">
        <f t="shared" si="67"/>
        <v>0</v>
      </c>
      <c r="AH112" s="317">
        <f t="shared" ref="AH112:AM112" si="68">D194</f>
        <v>0</v>
      </c>
      <c r="AI112" s="317">
        <f t="shared" si="68"/>
        <v>0</v>
      </c>
      <c r="AJ112" s="317">
        <f t="shared" si="68"/>
        <v>0</v>
      </c>
      <c r="AK112" s="317">
        <f t="shared" si="68"/>
        <v>0</v>
      </c>
      <c r="AL112" s="317">
        <f t="shared" si="68"/>
        <v>0</v>
      </c>
      <c r="AM112" s="317">
        <f t="shared" si="68"/>
        <v>0</v>
      </c>
    </row>
    <row r="113" spans="1:39" hidden="1" outlineLevel="2" x14ac:dyDescent="0.2">
      <c r="A113" s="125"/>
      <c r="B113" s="298">
        <v>10</v>
      </c>
      <c r="C113" s="878" t="str">
        <f t="shared" si="28"/>
        <v>** NOT USED **</v>
      </c>
      <c r="D113" s="879"/>
      <c r="E113" s="879"/>
      <c r="F113" s="151"/>
      <c r="G113" s="63" t="str">
        <f t="shared" si="29"/>
        <v/>
      </c>
      <c r="H113" s="157"/>
      <c r="I113" s="157"/>
      <c r="J113" s="157"/>
      <c r="K113" s="238">
        <f t="shared" si="30"/>
        <v>1</v>
      </c>
      <c r="L113" s="238">
        <f t="shared" si="31"/>
        <v>0</v>
      </c>
      <c r="M113" s="238">
        <f t="shared" si="36"/>
        <v>0</v>
      </c>
      <c r="N113" s="248">
        <f t="shared" ref="N113:S113" si="69">D203</f>
        <v>0</v>
      </c>
      <c r="O113" s="248">
        <f t="shared" si="69"/>
        <v>0</v>
      </c>
      <c r="P113" s="248">
        <f t="shared" si="69"/>
        <v>0</v>
      </c>
      <c r="Q113" s="248">
        <f t="shared" si="69"/>
        <v>0</v>
      </c>
      <c r="R113" s="248">
        <f t="shared" si="69"/>
        <v>0</v>
      </c>
      <c r="S113" s="248">
        <f t="shared" si="69"/>
        <v>0</v>
      </c>
      <c r="T113" s="317">
        <f t="shared" ref="T113:Y113" si="70">D204</f>
        <v>0</v>
      </c>
      <c r="U113" s="317">
        <f t="shared" si="70"/>
        <v>0</v>
      </c>
      <c r="V113" s="317">
        <f t="shared" si="70"/>
        <v>0</v>
      </c>
      <c r="W113" s="317">
        <f t="shared" si="70"/>
        <v>0</v>
      </c>
      <c r="X113" s="317">
        <f t="shared" si="70"/>
        <v>0</v>
      </c>
      <c r="Y113" s="317">
        <f t="shared" si="70"/>
        <v>0</v>
      </c>
      <c r="AB113" s="248">
        <f t="shared" ref="AB113:AG113" si="71">D201</f>
        <v>0</v>
      </c>
      <c r="AC113" s="248">
        <f t="shared" si="71"/>
        <v>0</v>
      </c>
      <c r="AD113" s="248">
        <f t="shared" si="71"/>
        <v>0</v>
      </c>
      <c r="AE113" s="248">
        <f t="shared" si="71"/>
        <v>0</v>
      </c>
      <c r="AF113" s="248">
        <f t="shared" si="71"/>
        <v>0</v>
      </c>
      <c r="AG113" s="248">
        <f t="shared" si="71"/>
        <v>0</v>
      </c>
      <c r="AH113" s="317">
        <f t="shared" ref="AH113:AM113" si="72">D202</f>
        <v>0</v>
      </c>
      <c r="AI113" s="317">
        <f t="shared" si="72"/>
        <v>0</v>
      </c>
      <c r="AJ113" s="317">
        <f t="shared" si="72"/>
        <v>0</v>
      </c>
      <c r="AK113" s="317">
        <f t="shared" si="72"/>
        <v>0</v>
      </c>
      <c r="AL113" s="317">
        <f t="shared" si="72"/>
        <v>0</v>
      </c>
      <c r="AM113" s="317">
        <f t="shared" si="72"/>
        <v>0</v>
      </c>
    </row>
    <row r="114" spans="1:39" hidden="1" outlineLevel="2" x14ac:dyDescent="0.2">
      <c r="A114" s="125"/>
      <c r="B114" s="298">
        <v>11</v>
      </c>
      <c r="C114" s="878" t="str">
        <f t="shared" si="28"/>
        <v>** NOT USED **</v>
      </c>
      <c r="D114" s="879"/>
      <c r="E114" s="879"/>
      <c r="F114" s="151"/>
      <c r="G114" s="63" t="str">
        <f t="shared" ref="G114:G123" si="73">IF(F114&lt;&gt;"",F114+1,"")</f>
        <v/>
      </c>
      <c r="H114" s="157"/>
      <c r="I114" s="157"/>
      <c r="J114" s="157"/>
      <c r="K114" s="238">
        <f t="shared" si="30"/>
        <v>1</v>
      </c>
      <c r="L114" s="238">
        <f t="shared" si="31"/>
        <v>0</v>
      </c>
      <c r="M114" s="238">
        <f t="shared" si="36"/>
        <v>0</v>
      </c>
      <c r="N114" s="248">
        <f t="shared" ref="N114:S114" si="74">D211</f>
        <v>0</v>
      </c>
      <c r="O114" s="248">
        <f t="shared" si="74"/>
        <v>0</v>
      </c>
      <c r="P114" s="248">
        <f t="shared" si="74"/>
        <v>0</v>
      </c>
      <c r="Q114" s="248">
        <f t="shared" si="74"/>
        <v>0</v>
      </c>
      <c r="R114" s="248">
        <f t="shared" si="74"/>
        <v>0</v>
      </c>
      <c r="S114" s="248">
        <f t="shared" si="74"/>
        <v>0</v>
      </c>
      <c r="T114" s="317">
        <f t="shared" ref="T114:Y114" si="75">D212</f>
        <v>0</v>
      </c>
      <c r="U114" s="317">
        <f t="shared" si="75"/>
        <v>0</v>
      </c>
      <c r="V114" s="317">
        <f t="shared" si="75"/>
        <v>0</v>
      </c>
      <c r="W114" s="317">
        <f t="shared" si="75"/>
        <v>0</v>
      </c>
      <c r="X114" s="317">
        <f t="shared" si="75"/>
        <v>0</v>
      </c>
      <c r="Y114" s="317">
        <f t="shared" si="75"/>
        <v>0</v>
      </c>
      <c r="AB114" s="248">
        <f t="shared" ref="AB114:AG114" si="76">D209</f>
        <v>0</v>
      </c>
      <c r="AC114" s="248">
        <f t="shared" si="76"/>
        <v>0</v>
      </c>
      <c r="AD114" s="248">
        <f t="shared" si="76"/>
        <v>0</v>
      </c>
      <c r="AE114" s="248">
        <f t="shared" si="76"/>
        <v>0</v>
      </c>
      <c r="AF114" s="248">
        <f t="shared" si="76"/>
        <v>0</v>
      </c>
      <c r="AG114" s="248">
        <f t="shared" si="76"/>
        <v>0</v>
      </c>
      <c r="AH114" s="317">
        <f t="shared" ref="AH114:AM114" si="77">D210</f>
        <v>0</v>
      </c>
      <c r="AI114" s="317">
        <f t="shared" si="77"/>
        <v>0</v>
      </c>
      <c r="AJ114" s="317">
        <f t="shared" si="77"/>
        <v>0</v>
      </c>
      <c r="AK114" s="317">
        <f t="shared" si="77"/>
        <v>0</v>
      </c>
      <c r="AL114" s="317">
        <f t="shared" si="77"/>
        <v>0</v>
      </c>
      <c r="AM114" s="317">
        <f t="shared" si="77"/>
        <v>0</v>
      </c>
    </row>
    <row r="115" spans="1:39" hidden="1" outlineLevel="2" x14ac:dyDescent="0.2">
      <c r="A115" s="125"/>
      <c r="B115" s="298">
        <v>12</v>
      </c>
      <c r="C115" s="878" t="str">
        <f t="shared" si="28"/>
        <v>** NOT USED **</v>
      </c>
      <c r="D115" s="879"/>
      <c r="E115" s="879"/>
      <c r="F115" s="151"/>
      <c r="G115" s="63" t="str">
        <f t="shared" si="73"/>
        <v/>
      </c>
      <c r="H115" s="157"/>
      <c r="I115" s="157"/>
      <c r="J115" s="157"/>
      <c r="K115" s="238">
        <f t="shared" si="30"/>
        <v>1</v>
      </c>
      <c r="L115" s="238">
        <f t="shared" si="31"/>
        <v>0</v>
      </c>
      <c r="M115" s="238">
        <f t="shared" si="36"/>
        <v>0</v>
      </c>
      <c r="N115" s="248">
        <f t="shared" ref="N115:S115" si="78">D219</f>
        <v>0</v>
      </c>
      <c r="O115" s="248">
        <f t="shared" si="78"/>
        <v>0</v>
      </c>
      <c r="P115" s="248">
        <f t="shared" si="78"/>
        <v>0</v>
      </c>
      <c r="Q115" s="248">
        <f t="shared" si="78"/>
        <v>0</v>
      </c>
      <c r="R115" s="248">
        <f t="shared" si="78"/>
        <v>0</v>
      </c>
      <c r="S115" s="248">
        <f t="shared" si="78"/>
        <v>0</v>
      </c>
      <c r="T115" s="317">
        <f t="shared" ref="T115:Y115" si="79">D220</f>
        <v>0</v>
      </c>
      <c r="U115" s="317">
        <f t="shared" si="79"/>
        <v>0</v>
      </c>
      <c r="V115" s="317">
        <f t="shared" si="79"/>
        <v>0</v>
      </c>
      <c r="W115" s="317">
        <f t="shared" si="79"/>
        <v>0</v>
      </c>
      <c r="X115" s="317">
        <f t="shared" si="79"/>
        <v>0</v>
      </c>
      <c r="Y115" s="317">
        <f t="shared" si="79"/>
        <v>0</v>
      </c>
      <c r="AB115" s="248">
        <f t="shared" ref="AB115:AG115" si="80">D217</f>
        <v>0</v>
      </c>
      <c r="AC115" s="248">
        <f t="shared" si="80"/>
        <v>0</v>
      </c>
      <c r="AD115" s="248">
        <f t="shared" si="80"/>
        <v>0</v>
      </c>
      <c r="AE115" s="248">
        <f t="shared" si="80"/>
        <v>0</v>
      </c>
      <c r="AF115" s="248">
        <f t="shared" si="80"/>
        <v>0</v>
      </c>
      <c r="AG115" s="248">
        <f t="shared" si="80"/>
        <v>0</v>
      </c>
      <c r="AH115" s="317">
        <f t="shared" ref="AH115:AM115" si="81">D218</f>
        <v>0</v>
      </c>
      <c r="AI115" s="317">
        <f t="shared" si="81"/>
        <v>0</v>
      </c>
      <c r="AJ115" s="317">
        <f t="shared" si="81"/>
        <v>0</v>
      </c>
      <c r="AK115" s="317">
        <f t="shared" si="81"/>
        <v>0</v>
      </c>
      <c r="AL115" s="317">
        <f t="shared" si="81"/>
        <v>0</v>
      </c>
      <c r="AM115" s="317">
        <f t="shared" si="81"/>
        <v>0</v>
      </c>
    </row>
    <row r="116" spans="1:39" hidden="1" outlineLevel="2" x14ac:dyDescent="0.2">
      <c r="A116" s="125"/>
      <c r="B116" s="298">
        <v>13</v>
      </c>
      <c r="C116" s="878" t="str">
        <f t="shared" si="28"/>
        <v>** NOT USED **</v>
      </c>
      <c r="D116" s="879"/>
      <c r="E116" s="879"/>
      <c r="F116" s="151"/>
      <c r="G116" s="63" t="str">
        <f t="shared" si="73"/>
        <v/>
      </c>
      <c r="H116" s="157"/>
      <c r="I116" s="157"/>
      <c r="J116" s="157"/>
      <c r="K116" s="238">
        <f t="shared" si="30"/>
        <v>1</v>
      </c>
      <c r="L116" s="238">
        <f t="shared" si="31"/>
        <v>0</v>
      </c>
      <c r="M116" s="238">
        <f t="shared" si="36"/>
        <v>0</v>
      </c>
      <c r="N116" s="248">
        <f t="shared" ref="N116:S116" si="82">D227</f>
        <v>0</v>
      </c>
      <c r="O116" s="248">
        <f t="shared" si="82"/>
        <v>0</v>
      </c>
      <c r="P116" s="248">
        <f t="shared" si="82"/>
        <v>0</v>
      </c>
      <c r="Q116" s="248">
        <f t="shared" si="82"/>
        <v>0</v>
      </c>
      <c r="R116" s="248">
        <f t="shared" si="82"/>
        <v>0</v>
      </c>
      <c r="S116" s="248">
        <f t="shared" si="82"/>
        <v>0</v>
      </c>
      <c r="T116" s="317">
        <f t="shared" ref="T116:Y116" si="83">D228</f>
        <v>0</v>
      </c>
      <c r="U116" s="317">
        <f t="shared" si="83"/>
        <v>0</v>
      </c>
      <c r="V116" s="317">
        <f t="shared" si="83"/>
        <v>0</v>
      </c>
      <c r="W116" s="317">
        <f t="shared" si="83"/>
        <v>0</v>
      </c>
      <c r="X116" s="317">
        <f t="shared" si="83"/>
        <v>0</v>
      </c>
      <c r="Y116" s="317">
        <f t="shared" si="83"/>
        <v>0</v>
      </c>
      <c r="AB116" s="248">
        <f t="shared" ref="AB116:AG116" si="84">D225</f>
        <v>0</v>
      </c>
      <c r="AC116" s="248">
        <f t="shared" si="84"/>
        <v>0</v>
      </c>
      <c r="AD116" s="248">
        <f t="shared" si="84"/>
        <v>0</v>
      </c>
      <c r="AE116" s="248">
        <f t="shared" si="84"/>
        <v>0</v>
      </c>
      <c r="AF116" s="248">
        <f t="shared" si="84"/>
        <v>0</v>
      </c>
      <c r="AG116" s="248">
        <f t="shared" si="84"/>
        <v>0</v>
      </c>
      <c r="AH116" s="317">
        <f t="shared" ref="AH116:AM116" si="85">D226</f>
        <v>0</v>
      </c>
      <c r="AI116" s="317">
        <f t="shared" si="85"/>
        <v>0</v>
      </c>
      <c r="AJ116" s="317">
        <f t="shared" si="85"/>
        <v>0</v>
      </c>
      <c r="AK116" s="317">
        <f t="shared" si="85"/>
        <v>0</v>
      </c>
      <c r="AL116" s="317">
        <f t="shared" si="85"/>
        <v>0</v>
      </c>
      <c r="AM116" s="317">
        <f t="shared" si="85"/>
        <v>0</v>
      </c>
    </row>
    <row r="117" spans="1:39" hidden="1" outlineLevel="2" x14ac:dyDescent="0.2">
      <c r="A117" s="125"/>
      <c r="B117" s="298">
        <v>14</v>
      </c>
      <c r="C117" s="878" t="str">
        <f t="shared" si="28"/>
        <v>** NOT USED **</v>
      </c>
      <c r="D117" s="879"/>
      <c r="E117" s="879"/>
      <c r="F117" s="151"/>
      <c r="G117" s="63" t="str">
        <f t="shared" si="73"/>
        <v/>
      </c>
      <c r="H117" s="157"/>
      <c r="I117" s="157"/>
      <c r="J117" s="157"/>
      <c r="K117" s="238">
        <f t="shared" si="30"/>
        <v>1</v>
      </c>
      <c r="L117" s="238">
        <f t="shared" si="31"/>
        <v>0</v>
      </c>
      <c r="M117" s="238">
        <f t="shared" si="36"/>
        <v>0</v>
      </c>
      <c r="N117" s="248">
        <f t="shared" ref="N117:S117" si="86">D235</f>
        <v>0</v>
      </c>
      <c r="O117" s="248">
        <f t="shared" si="86"/>
        <v>0</v>
      </c>
      <c r="P117" s="248">
        <f t="shared" si="86"/>
        <v>0</v>
      </c>
      <c r="Q117" s="248">
        <f t="shared" si="86"/>
        <v>0</v>
      </c>
      <c r="R117" s="248">
        <f t="shared" si="86"/>
        <v>0</v>
      </c>
      <c r="S117" s="248">
        <f t="shared" si="86"/>
        <v>0</v>
      </c>
      <c r="T117" s="317">
        <f t="shared" ref="T117:Y117" si="87">D236</f>
        <v>0</v>
      </c>
      <c r="U117" s="317">
        <f t="shared" si="87"/>
        <v>0</v>
      </c>
      <c r="V117" s="317">
        <f t="shared" si="87"/>
        <v>0</v>
      </c>
      <c r="W117" s="317">
        <f t="shared" si="87"/>
        <v>0</v>
      </c>
      <c r="X117" s="317">
        <f t="shared" si="87"/>
        <v>0</v>
      </c>
      <c r="Y117" s="317">
        <f t="shared" si="87"/>
        <v>0</v>
      </c>
      <c r="AB117" s="248">
        <f t="shared" ref="AB117:AG117" si="88">D233</f>
        <v>0</v>
      </c>
      <c r="AC117" s="248">
        <f t="shared" si="88"/>
        <v>0</v>
      </c>
      <c r="AD117" s="248">
        <f t="shared" si="88"/>
        <v>0</v>
      </c>
      <c r="AE117" s="248">
        <f t="shared" si="88"/>
        <v>0</v>
      </c>
      <c r="AF117" s="248">
        <f t="shared" si="88"/>
        <v>0</v>
      </c>
      <c r="AG117" s="248">
        <f t="shared" si="88"/>
        <v>0</v>
      </c>
      <c r="AH117" s="317">
        <f t="shared" ref="AH117:AM117" si="89">D234</f>
        <v>0</v>
      </c>
      <c r="AI117" s="317">
        <f t="shared" si="89"/>
        <v>0</v>
      </c>
      <c r="AJ117" s="317">
        <f t="shared" si="89"/>
        <v>0</v>
      </c>
      <c r="AK117" s="317">
        <f t="shared" si="89"/>
        <v>0</v>
      </c>
      <c r="AL117" s="317">
        <f t="shared" si="89"/>
        <v>0</v>
      </c>
      <c r="AM117" s="317">
        <f t="shared" si="89"/>
        <v>0</v>
      </c>
    </row>
    <row r="118" spans="1:39" hidden="1" outlineLevel="2" x14ac:dyDescent="0.2">
      <c r="A118" s="125"/>
      <c r="B118" s="298">
        <v>15</v>
      </c>
      <c r="C118" s="878" t="str">
        <f t="shared" si="28"/>
        <v>** NOT USED **</v>
      </c>
      <c r="D118" s="879"/>
      <c r="E118" s="879"/>
      <c r="F118" s="151"/>
      <c r="G118" s="63" t="str">
        <f t="shared" si="73"/>
        <v/>
      </c>
      <c r="H118" s="157"/>
      <c r="I118" s="157"/>
      <c r="J118" s="157"/>
      <c r="K118" s="238">
        <f t="shared" si="30"/>
        <v>1</v>
      </c>
      <c r="L118" s="238">
        <f t="shared" si="31"/>
        <v>0</v>
      </c>
      <c r="M118" s="238">
        <f t="shared" si="36"/>
        <v>0</v>
      </c>
      <c r="N118" s="248">
        <f t="shared" ref="N118:S118" si="90">D243</f>
        <v>0</v>
      </c>
      <c r="O118" s="248">
        <f t="shared" si="90"/>
        <v>0</v>
      </c>
      <c r="P118" s="248">
        <f t="shared" si="90"/>
        <v>0</v>
      </c>
      <c r="Q118" s="248">
        <f t="shared" si="90"/>
        <v>0</v>
      </c>
      <c r="R118" s="248">
        <f t="shared" si="90"/>
        <v>0</v>
      </c>
      <c r="S118" s="248">
        <f t="shared" si="90"/>
        <v>0</v>
      </c>
      <c r="T118" s="317">
        <f t="shared" ref="T118:Y118" si="91">D244</f>
        <v>0</v>
      </c>
      <c r="U118" s="317">
        <f t="shared" si="91"/>
        <v>0</v>
      </c>
      <c r="V118" s="317">
        <f t="shared" si="91"/>
        <v>0</v>
      </c>
      <c r="W118" s="317">
        <f t="shared" si="91"/>
        <v>0</v>
      </c>
      <c r="X118" s="317">
        <f t="shared" si="91"/>
        <v>0</v>
      </c>
      <c r="Y118" s="317">
        <f t="shared" si="91"/>
        <v>0</v>
      </c>
      <c r="AB118" s="248">
        <f t="shared" ref="AB118:AG118" si="92">D241</f>
        <v>0</v>
      </c>
      <c r="AC118" s="248">
        <f t="shared" si="92"/>
        <v>0</v>
      </c>
      <c r="AD118" s="248">
        <f t="shared" si="92"/>
        <v>0</v>
      </c>
      <c r="AE118" s="248">
        <f t="shared" si="92"/>
        <v>0</v>
      </c>
      <c r="AF118" s="248">
        <f t="shared" si="92"/>
        <v>0</v>
      </c>
      <c r="AG118" s="248">
        <f t="shared" si="92"/>
        <v>0</v>
      </c>
      <c r="AH118" s="317">
        <f t="shared" ref="AH118:AM118" si="93">D242</f>
        <v>0</v>
      </c>
      <c r="AI118" s="317">
        <f t="shared" si="93"/>
        <v>0</v>
      </c>
      <c r="AJ118" s="317">
        <f t="shared" si="93"/>
        <v>0</v>
      </c>
      <c r="AK118" s="317">
        <f t="shared" si="93"/>
        <v>0</v>
      </c>
      <c r="AL118" s="317">
        <f t="shared" si="93"/>
        <v>0</v>
      </c>
      <c r="AM118" s="317">
        <f t="shared" si="93"/>
        <v>0</v>
      </c>
    </row>
    <row r="119" spans="1:39" hidden="1" outlineLevel="2" x14ac:dyDescent="0.2">
      <c r="A119" s="125"/>
      <c r="B119" s="298">
        <v>16</v>
      </c>
      <c r="C119" s="878" t="str">
        <f t="shared" si="28"/>
        <v>** NOT USED **</v>
      </c>
      <c r="D119" s="879"/>
      <c r="E119" s="879"/>
      <c r="F119" s="151"/>
      <c r="G119" s="63" t="str">
        <f t="shared" si="73"/>
        <v/>
      </c>
      <c r="H119" s="157"/>
      <c r="I119" s="157"/>
      <c r="J119" s="157"/>
      <c r="K119" s="238">
        <f t="shared" si="30"/>
        <v>1</v>
      </c>
      <c r="L119" s="238">
        <f t="shared" si="31"/>
        <v>0</v>
      </c>
      <c r="M119" s="238">
        <f t="shared" si="36"/>
        <v>0</v>
      </c>
      <c r="N119" s="248">
        <f t="shared" ref="N119:S119" si="94">D251</f>
        <v>0</v>
      </c>
      <c r="O119" s="248">
        <f t="shared" si="94"/>
        <v>0</v>
      </c>
      <c r="P119" s="248">
        <f t="shared" si="94"/>
        <v>0</v>
      </c>
      <c r="Q119" s="248">
        <f t="shared" si="94"/>
        <v>0</v>
      </c>
      <c r="R119" s="248">
        <f t="shared" si="94"/>
        <v>0</v>
      </c>
      <c r="S119" s="248">
        <f t="shared" si="94"/>
        <v>0</v>
      </c>
      <c r="T119" s="317">
        <f t="shared" ref="T119:Y119" si="95">D252</f>
        <v>0</v>
      </c>
      <c r="U119" s="317">
        <f t="shared" si="95"/>
        <v>0</v>
      </c>
      <c r="V119" s="317">
        <f t="shared" si="95"/>
        <v>0</v>
      </c>
      <c r="W119" s="317">
        <f t="shared" si="95"/>
        <v>0</v>
      </c>
      <c r="X119" s="317">
        <f t="shared" si="95"/>
        <v>0</v>
      </c>
      <c r="Y119" s="317">
        <f t="shared" si="95"/>
        <v>0</v>
      </c>
      <c r="AB119" s="248">
        <f t="shared" ref="AB119:AG119" si="96">D249</f>
        <v>0</v>
      </c>
      <c r="AC119" s="248">
        <f t="shared" si="96"/>
        <v>0</v>
      </c>
      <c r="AD119" s="248">
        <f t="shared" si="96"/>
        <v>0</v>
      </c>
      <c r="AE119" s="248">
        <f t="shared" si="96"/>
        <v>0</v>
      </c>
      <c r="AF119" s="248">
        <f t="shared" si="96"/>
        <v>0</v>
      </c>
      <c r="AG119" s="248">
        <f t="shared" si="96"/>
        <v>0</v>
      </c>
      <c r="AH119" s="317">
        <f t="shared" ref="AH119:AM119" si="97">D250</f>
        <v>0</v>
      </c>
      <c r="AI119" s="317">
        <f t="shared" si="97"/>
        <v>0</v>
      </c>
      <c r="AJ119" s="317">
        <f t="shared" si="97"/>
        <v>0</v>
      </c>
      <c r="AK119" s="317">
        <f t="shared" si="97"/>
        <v>0</v>
      </c>
      <c r="AL119" s="317">
        <f t="shared" si="97"/>
        <v>0</v>
      </c>
      <c r="AM119" s="317">
        <f t="shared" si="97"/>
        <v>0</v>
      </c>
    </row>
    <row r="120" spans="1:39" hidden="1" outlineLevel="2" x14ac:dyDescent="0.2">
      <c r="A120" s="125"/>
      <c r="B120" s="298">
        <v>17</v>
      </c>
      <c r="C120" s="878" t="str">
        <f t="shared" si="28"/>
        <v>** NOT USED **</v>
      </c>
      <c r="D120" s="879"/>
      <c r="E120" s="879"/>
      <c r="F120" s="151"/>
      <c r="G120" s="63" t="str">
        <f t="shared" si="73"/>
        <v/>
      </c>
      <c r="H120" s="157"/>
      <c r="I120" s="157"/>
      <c r="J120" s="157"/>
      <c r="K120" s="238">
        <f t="shared" si="30"/>
        <v>1</v>
      </c>
      <c r="L120" s="238">
        <f t="shared" si="31"/>
        <v>0</v>
      </c>
      <c r="M120" s="238">
        <f t="shared" si="36"/>
        <v>0</v>
      </c>
      <c r="N120" s="248">
        <f t="shared" ref="N120:S120" si="98">D259</f>
        <v>0</v>
      </c>
      <c r="O120" s="248">
        <f t="shared" si="98"/>
        <v>0</v>
      </c>
      <c r="P120" s="248">
        <f t="shared" si="98"/>
        <v>0</v>
      </c>
      <c r="Q120" s="248">
        <f t="shared" si="98"/>
        <v>0</v>
      </c>
      <c r="R120" s="248">
        <f t="shared" si="98"/>
        <v>0</v>
      </c>
      <c r="S120" s="248">
        <f t="shared" si="98"/>
        <v>0</v>
      </c>
      <c r="T120" s="317">
        <f t="shared" ref="T120:Y120" si="99">D260</f>
        <v>0</v>
      </c>
      <c r="U120" s="317">
        <f t="shared" si="99"/>
        <v>0</v>
      </c>
      <c r="V120" s="317">
        <f t="shared" si="99"/>
        <v>0</v>
      </c>
      <c r="W120" s="317">
        <f t="shared" si="99"/>
        <v>0</v>
      </c>
      <c r="X120" s="317">
        <f t="shared" si="99"/>
        <v>0</v>
      </c>
      <c r="Y120" s="317">
        <f t="shared" si="99"/>
        <v>0</v>
      </c>
      <c r="AB120" s="248">
        <f t="shared" ref="AB120:AG120" si="100">D257</f>
        <v>0</v>
      </c>
      <c r="AC120" s="248">
        <f t="shared" si="100"/>
        <v>0</v>
      </c>
      <c r="AD120" s="248">
        <f t="shared" si="100"/>
        <v>0</v>
      </c>
      <c r="AE120" s="248">
        <f t="shared" si="100"/>
        <v>0</v>
      </c>
      <c r="AF120" s="248">
        <f t="shared" si="100"/>
        <v>0</v>
      </c>
      <c r="AG120" s="248">
        <f t="shared" si="100"/>
        <v>0</v>
      </c>
      <c r="AH120" s="317">
        <f t="shared" ref="AH120:AM120" si="101">D258</f>
        <v>0</v>
      </c>
      <c r="AI120" s="317">
        <f t="shared" si="101"/>
        <v>0</v>
      </c>
      <c r="AJ120" s="317">
        <f t="shared" si="101"/>
        <v>0</v>
      </c>
      <c r="AK120" s="317">
        <f t="shared" si="101"/>
        <v>0</v>
      </c>
      <c r="AL120" s="317">
        <f t="shared" si="101"/>
        <v>0</v>
      </c>
      <c r="AM120" s="317">
        <f t="shared" si="101"/>
        <v>0</v>
      </c>
    </row>
    <row r="121" spans="1:39" hidden="1" outlineLevel="2" x14ac:dyDescent="0.2">
      <c r="A121" s="125"/>
      <c r="B121" s="298">
        <v>18</v>
      </c>
      <c r="C121" s="878" t="str">
        <f t="shared" si="28"/>
        <v>** NOT USED **</v>
      </c>
      <c r="D121" s="879"/>
      <c r="E121" s="879"/>
      <c r="F121" s="151"/>
      <c r="G121" s="63" t="str">
        <f t="shared" si="73"/>
        <v/>
      </c>
      <c r="H121" s="157"/>
      <c r="I121" s="157"/>
      <c r="J121" s="157"/>
      <c r="K121" s="238">
        <f t="shared" si="30"/>
        <v>1</v>
      </c>
      <c r="L121" s="238">
        <f t="shared" si="31"/>
        <v>0</v>
      </c>
      <c r="M121" s="238">
        <f t="shared" si="36"/>
        <v>0</v>
      </c>
      <c r="N121" s="248">
        <f t="shared" ref="N121:S121" si="102">D267</f>
        <v>0</v>
      </c>
      <c r="O121" s="248">
        <f t="shared" si="102"/>
        <v>0</v>
      </c>
      <c r="P121" s="248">
        <f t="shared" si="102"/>
        <v>0</v>
      </c>
      <c r="Q121" s="248">
        <f t="shared" si="102"/>
        <v>0</v>
      </c>
      <c r="R121" s="248">
        <f t="shared" si="102"/>
        <v>0</v>
      </c>
      <c r="S121" s="248">
        <f t="shared" si="102"/>
        <v>0</v>
      </c>
      <c r="T121" s="317">
        <f t="shared" ref="T121:Y121" si="103">D268</f>
        <v>0</v>
      </c>
      <c r="U121" s="317">
        <f t="shared" si="103"/>
        <v>0</v>
      </c>
      <c r="V121" s="317">
        <f t="shared" si="103"/>
        <v>0</v>
      </c>
      <c r="W121" s="317">
        <f t="shared" si="103"/>
        <v>0</v>
      </c>
      <c r="X121" s="317">
        <f t="shared" si="103"/>
        <v>0</v>
      </c>
      <c r="Y121" s="317">
        <f t="shared" si="103"/>
        <v>0</v>
      </c>
      <c r="AB121" s="248">
        <f t="shared" ref="AB121:AG121" si="104">D265</f>
        <v>0</v>
      </c>
      <c r="AC121" s="248">
        <f t="shared" si="104"/>
        <v>0</v>
      </c>
      <c r="AD121" s="248">
        <f t="shared" si="104"/>
        <v>0</v>
      </c>
      <c r="AE121" s="248">
        <f t="shared" si="104"/>
        <v>0</v>
      </c>
      <c r="AF121" s="248">
        <f t="shared" si="104"/>
        <v>0</v>
      </c>
      <c r="AG121" s="248">
        <f t="shared" si="104"/>
        <v>0</v>
      </c>
      <c r="AH121" s="317">
        <f t="shared" ref="AH121:AM121" si="105">D266</f>
        <v>0</v>
      </c>
      <c r="AI121" s="317">
        <f t="shared" si="105"/>
        <v>0</v>
      </c>
      <c r="AJ121" s="317">
        <f t="shared" si="105"/>
        <v>0</v>
      </c>
      <c r="AK121" s="317">
        <f t="shared" si="105"/>
        <v>0</v>
      </c>
      <c r="AL121" s="317">
        <f t="shared" si="105"/>
        <v>0</v>
      </c>
      <c r="AM121" s="317">
        <f t="shared" si="105"/>
        <v>0</v>
      </c>
    </row>
    <row r="122" spans="1:39" hidden="1" outlineLevel="2" x14ac:dyDescent="0.2">
      <c r="A122" s="125"/>
      <c r="B122" s="298">
        <v>19</v>
      </c>
      <c r="C122" s="878" t="str">
        <f t="shared" si="28"/>
        <v>** NOT USED **</v>
      </c>
      <c r="D122" s="879"/>
      <c r="E122" s="879"/>
      <c r="F122" s="151"/>
      <c r="G122" s="63" t="str">
        <f t="shared" si="73"/>
        <v/>
      </c>
      <c r="H122" s="157"/>
      <c r="I122" s="157"/>
      <c r="J122" s="157"/>
      <c r="K122" s="238">
        <f t="shared" si="30"/>
        <v>1</v>
      </c>
      <c r="L122" s="238">
        <f t="shared" si="31"/>
        <v>0</v>
      </c>
      <c r="M122" s="238">
        <f t="shared" si="36"/>
        <v>0</v>
      </c>
      <c r="N122" s="248">
        <f t="shared" ref="N122:S122" si="106">D275</f>
        <v>0</v>
      </c>
      <c r="O122" s="248">
        <f t="shared" si="106"/>
        <v>0</v>
      </c>
      <c r="P122" s="248">
        <f t="shared" si="106"/>
        <v>0</v>
      </c>
      <c r="Q122" s="248">
        <f t="shared" si="106"/>
        <v>0</v>
      </c>
      <c r="R122" s="248">
        <f t="shared" si="106"/>
        <v>0</v>
      </c>
      <c r="S122" s="248">
        <f t="shared" si="106"/>
        <v>0</v>
      </c>
      <c r="T122" s="317">
        <f t="shared" ref="T122:Y122" si="107">D276</f>
        <v>0</v>
      </c>
      <c r="U122" s="317">
        <f t="shared" si="107"/>
        <v>0</v>
      </c>
      <c r="V122" s="317">
        <f t="shared" si="107"/>
        <v>0</v>
      </c>
      <c r="W122" s="317">
        <f t="shared" si="107"/>
        <v>0</v>
      </c>
      <c r="X122" s="317">
        <f t="shared" si="107"/>
        <v>0</v>
      </c>
      <c r="Y122" s="317">
        <f t="shared" si="107"/>
        <v>0</v>
      </c>
      <c r="AB122" s="248">
        <f t="shared" ref="AB122:AG122" si="108">D273</f>
        <v>0</v>
      </c>
      <c r="AC122" s="248">
        <f t="shared" si="108"/>
        <v>0</v>
      </c>
      <c r="AD122" s="248">
        <f t="shared" si="108"/>
        <v>0</v>
      </c>
      <c r="AE122" s="248">
        <f t="shared" si="108"/>
        <v>0</v>
      </c>
      <c r="AF122" s="248">
        <f t="shared" si="108"/>
        <v>0</v>
      </c>
      <c r="AG122" s="248">
        <f t="shared" si="108"/>
        <v>0</v>
      </c>
      <c r="AH122" s="317">
        <f t="shared" ref="AH122:AM122" si="109">D274</f>
        <v>0</v>
      </c>
      <c r="AI122" s="317">
        <f t="shared" si="109"/>
        <v>0</v>
      </c>
      <c r="AJ122" s="317">
        <f t="shared" si="109"/>
        <v>0</v>
      </c>
      <c r="AK122" s="317">
        <f t="shared" si="109"/>
        <v>0</v>
      </c>
      <c r="AL122" s="317">
        <f t="shared" si="109"/>
        <v>0</v>
      </c>
      <c r="AM122" s="317">
        <f t="shared" si="109"/>
        <v>0</v>
      </c>
    </row>
    <row r="123" spans="1:39" hidden="1" outlineLevel="2" x14ac:dyDescent="0.2">
      <c r="A123" s="125"/>
      <c r="B123" s="298">
        <v>20</v>
      </c>
      <c r="C123" s="878" t="str">
        <f t="shared" si="28"/>
        <v>** NOT USED **</v>
      </c>
      <c r="D123" s="879"/>
      <c r="E123" s="879"/>
      <c r="F123" s="151"/>
      <c r="G123" s="63" t="str">
        <f t="shared" si="73"/>
        <v/>
      </c>
      <c r="H123" s="157"/>
      <c r="I123" s="157"/>
      <c r="J123" s="157"/>
      <c r="K123" s="238">
        <f t="shared" si="30"/>
        <v>1</v>
      </c>
      <c r="L123" s="238">
        <f t="shared" si="31"/>
        <v>0</v>
      </c>
      <c r="M123" s="238">
        <f t="shared" si="36"/>
        <v>0</v>
      </c>
      <c r="N123" s="248">
        <f t="shared" ref="N123:S123" si="110">D283</f>
        <v>0</v>
      </c>
      <c r="O123" s="248">
        <f t="shared" si="110"/>
        <v>0</v>
      </c>
      <c r="P123" s="248">
        <f t="shared" si="110"/>
        <v>0</v>
      </c>
      <c r="Q123" s="248">
        <f t="shared" si="110"/>
        <v>0</v>
      </c>
      <c r="R123" s="248">
        <f t="shared" si="110"/>
        <v>0</v>
      </c>
      <c r="S123" s="248">
        <f t="shared" si="110"/>
        <v>0</v>
      </c>
      <c r="T123" s="317">
        <f t="shared" ref="T123:Y123" si="111">D284</f>
        <v>0</v>
      </c>
      <c r="U123" s="317">
        <f t="shared" si="111"/>
        <v>0</v>
      </c>
      <c r="V123" s="317">
        <f t="shared" si="111"/>
        <v>0</v>
      </c>
      <c r="W123" s="317">
        <f t="shared" si="111"/>
        <v>0</v>
      </c>
      <c r="X123" s="317">
        <f t="shared" si="111"/>
        <v>0</v>
      </c>
      <c r="Y123" s="317">
        <f t="shared" si="111"/>
        <v>0</v>
      </c>
      <c r="AB123" s="248">
        <f t="shared" ref="AB123:AG123" si="112">D281</f>
        <v>0</v>
      </c>
      <c r="AC123" s="248">
        <f t="shared" si="112"/>
        <v>0</v>
      </c>
      <c r="AD123" s="248">
        <f t="shared" si="112"/>
        <v>0</v>
      </c>
      <c r="AE123" s="248">
        <f t="shared" si="112"/>
        <v>0</v>
      </c>
      <c r="AF123" s="248">
        <f t="shared" si="112"/>
        <v>0</v>
      </c>
      <c r="AG123" s="248">
        <f t="shared" si="112"/>
        <v>0</v>
      </c>
      <c r="AH123" s="317">
        <f t="shared" ref="AH123:AM123" si="113">D282</f>
        <v>0</v>
      </c>
      <c r="AI123" s="317">
        <f t="shared" si="113"/>
        <v>0</v>
      </c>
      <c r="AJ123" s="317">
        <f t="shared" si="113"/>
        <v>0</v>
      </c>
      <c r="AK123" s="317">
        <f t="shared" si="113"/>
        <v>0</v>
      </c>
      <c r="AL123" s="317">
        <f t="shared" si="113"/>
        <v>0</v>
      </c>
      <c r="AM123" s="317">
        <f t="shared" si="113"/>
        <v>0</v>
      </c>
    </row>
    <row r="124" spans="1:39" hidden="1" outlineLevel="2" x14ac:dyDescent="0.2">
      <c r="A124" s="162"/>
      <c r="B124" s="162"/>
      <c r="C124" s="162"/>
      <c r="D124" s="162"/>
      <c r="E124" s="162"/>
      <c r="F124" s="162"/>
      <c r="G124" s="162"/>
      <c r="H124" s="162"/>
      <c r="I124" s="162"/>
      <c r="J124" s="162"/>
      <c r="K124" s="162"/>
      <c r="L124" s="238">
        <f>COUNTIF(L104:L123,3)+COUNTIF(L338:L357,3)</f>
        <v>0</v>
      </c>
      <c r="M124" s="162"/>
      <c r="N124" s="162"/>
      <c r="O124" s="615"/>
      <c r="P124" s="615"/>
      <c r="Q124" s="615"/>
      <c r="R124" s="692"/>
      <c r="S124" s="615"/>
      <c r="T124" s="615"/>
      <c r="U124" s="615"/>
      <c r="V124" s="615"/>
      <c r="W124" s="615"/>
      <c r="X124" s="615"/>
      <c r="Y124" s="615"/>
      <c r="Z124" s="615"/>
      <c r="AA124" s="615"/>
      <c r="AB124" s="615"/>
      <c r="AC124" s="615"/>
      <c r="AD124" s="615"/>
      <c r="AE124" s="615"/>
      <c r="AF124" s="615"/>
      <c r="AG124" s="615"/>
      <c r="AH124" s="615"/>
      <c r="AI124" s="615"/>
      <c r="AJ124" s="615"/>
      <c r="AK124" s="615"/>
      <c r="AL124" s="615"/>
      <c r="AM124" s="615"/>
    </row>
    <row r="125" spans="1:39" hidden="1" outlineLevel="1" collapsed="1" x14ac:dyDescent="0.2">
      <c r="A125" s="162"/>
      <c r="B125" s="162"/>
      <c r="C125" s="162"/>
      <c r="D125" s="162"/>
      <c r="E125" s="162"/>
      <c r="F125" s="162"/>
      <c r="G125" s="162"/>
      <c r="H125" s="162"/>
      <c r="I125" s="162"/>
      <c r="J125" s="162"/>
      <c r="K125" s="162"/>
      <c r="L125" s="162"/>
      <c r="M125" s="162"/>
      <c r="N125" s="162"/>
      <c r="O125" s="615"/>
      <c r="P125" s="615"/>
      <c r="Q125" s="615"/>
      <c r="R125" s="615"/>
      <c r="S125" s="615"/>
      <c r="T125" s="615"/>
      <c r="U125" s="615"/>
      <c r="V125" s="615"/>
      <c r="W125" s="615"/>
      <c r="X125" s="615"/>
      <c r="Y125" s="615"/>
      <c r="Z125" s="615"/>
      <c r="AA125" s="615"/>
      <c r="AB125" s="615"/>
      <c r="AC125" s="615"/>
      <c r="AD125" s="615"/>
      <c r="AE125" s="615"/>
      <c r="AF125" s="615"/>
      <c r="AG125" s="615"/>
      <c r="AH125" s="615"/>
      <c r="AI125" s="615"/>
      <c r="AJ125" s="615"/>
      <c r="AK125" s="615"/>
      <c r="AL125" s="615"/>
      <c r="AM125" s="615"/>
    </row>
    <row r="126" spans="1:39" ht="15" hidden="1" outlineLevel="1" x14ac:dyDescent="0.2">
      <c r="A126" s="162"/>
      <c r="B126" s="298">
        <v>1</v>
      </c>
      <c r="C126" s="147" t="str">
        <f>INDEX(PBSScriptsNew,B126,1)</f>
        <v>** NOT USED **</v>
      </c>
      <c r="D126" s="139"/>
      <c r="E126" s="139"/>
      <c r="F126" s="139"/>
      <c r="G126" s="139"/>
      <c r="H126" s="139"/>
      <c r="I126" s="139"/>
      <c r="J126" s="139"/>
      <c r="K126" s="139"/>
      <c r="L126" s="133"/>
      <c r="M126" s="133"/>
      <c r="N126" s="133"/>
      <c r="O126" s="127"/>
      <c r="P126" s="127"/>
      <c r="Q126" s="127"/>
      <c r="R126" s="127"/>
      <c r="S126" s="127"/>
      <c r="T126" s="127"/>
      <c r="U126" s="127"/>
      <c r="V126" s="127"/>
      <c r="W126" s="127"/>
      <c r="X126" s="127"/>
      <c r="Y126" s="127"/>
      <c r="Z126" s="127"/>
      <c r="AA126" s="127"/>
      <c r="AB126" s="127"/>
      <c r="AC126" s="127"/>
      <c r="AD126" s="127"/>
      <c r="AE126" s="127"/>
      <c r="AF126" s="127"/>
      <c r="AG126" s="127"/>
      <c r="AH126" s="127"/>
      <c r="AI126" s="127"/>
      <c r="AJ126" s="127"/>
      <c r="AK126" s="127"/>
      <c r="AL126" s="127"/>
      <c r="AM126" s="127"/>
    </row>
    <row r="127" spans="1:39" hidden="1" outlineLevel="2" x14ac:dyDescent="0.2">
      <c r="A127" s="162"/>
      <c r="B127" s="162"/>
      <c r="C127" s="615"/>
      <c r="D127" s="397">
        <v>2</v>
      </c>
      <c r="E127" s="397">
        <v>3</v>
      </c>
      <c r="F127" s="397">
        <v>4</v>
      </c>
      <c r="G127" s="397">
        <v>5</v>
      </c>
      <c r="H127" s="397">
        <v>6</v>
      </c>
      <c r="I127" s="397">
        <v>7</v>
      </c>
      <c r="J127" s="624"/>
      <c r="K127" s="615"/>
      <c r="L127" s="615"/>
      <c r="M127" s="615"/>
      <c r="N127" s="615"/>
    </row>
    <row r="128" spans="1:39" hidden="1" outlineLevel="2" x14ac:dyDescent="0.2">
      <c r="A128" s="162"/>
      <c r="B128" s="162"/>
      <c r="C128" s="162"/>
      <c r="D128" s="81">
        <f>FirstYear</f>
        <v>2021</v>
      </c>
      <c r="E128" s="81">
        <f>D128+1</f>
        <v>2022</v>
      </c>
      <c r="F128" s="81">
        <f>E128+1</f>
        <v>2023</v>
      </c>
      <c r="G128" s="81">
        <f>F128+1</f>
        <v>2024</v>
      </c>
      <c r="H128" s="81">
        <f>G128+1</f>
        <v>2025</v>
      </c>
      <c r="I128" s="81">
        <f>H128+1</f>
        <v>2026</v>
      </c>
      <c r="J128" s="162"/>
      <c r="K128" s="162"/>
      <c r="L128" s="162"/>
      <c r="M128" s="162"/>
      <c r="N128" s="162"/>
    </row>
    <row r="129" spans="1:39" hidden="1" outlineLevel="2" x14ac:dyDescent="0.2">
      <c r="A129" s="162"/>
      <c r="B129" s="162"/>
      <c r="C129" s="170" t="s">
        <v>122</v>
      </c>
      <c r="D129" s="171">
        <f t="shared" ref="D129:I129" si="114">INDEX(PBSScriptsNew,$B126,D127)</f>
        <v>0</v>
      </c>
      <c r="E129" s="171">
        <f t="shared" si="114"/>
        <v>0</v>
      </c>
      <c r="F129" s="171">
        <f t="shared" si="114"/>
        <v>0</v>
      </c>
      <c r="G129" s="171">
        <f t="shared" si="114"/>
        <v>0</v>
      </c>
      <c r="H129" s="171">
        <f t="shared" si="114"/>
        <v>0</v>
      </c>
      <c r="I129" s="171">
        <f t="shared" si="114"/>
        <v>0</v>
      </c>
      <c r="J129" s="162"/>
      <c r="K129" s="162"/>
      <c r="L129" s="162"/>
      <c r="M129" s="162"/>
      <c r="N129" s="693"/>
    </row>
    <row r="130" spans="1:39" hidden="1" outlineLevel="2" x14ac:dyDescent="0.2">
      <c r="A130" s="162"/>
      <c r="B130" s="162"/>
      <c r="C130" s="170" t="s">
        <v>123</v>
      </c>
      <c r="D130" s="171">
        <f t="shared" ref="D130:I130" si="115">INDEX(RPBSScriptsNew,$B126,D127)</f>
        <v>0</v>
      </c>
      <c r="E130" s="171">
        <f t="shared" si="115"/>
        <v>0</v>
      </c>
      <c r="F130" s="171">
        <f t="shared" si="115"/>
        <v>0</v>
      </c>
      <c r="G130" s="171">
        <f t="shared" si="115"/>
        <v>0</v>
      </c>
      <c r="H130" s="171">
        <f t="shared" si="115"/>
        <v>0</v>
      </c>
      <c r="I130" s="171">
        <f t="shared" si="115"/>
        <v>0</v>
      </c>
      <c r="J130" s="162"/>
      <c r="K130" s="162"/>
      <c r="L130" s="162"/>
      <c r="M130" s="162"/>
      <c r="N130" s="162"/>
    </row>
    <row r="131" spans="1:39" hidden="1" outlineLevel="2" x14ac:dyDescent="0.2">
      <c r="A131" s="162"/>
      <c r="B131" s="162"/>
      <c r="C131" s="158" t="s">
        <v>124</v>
      </c>
      <c r="D131" s="171">
        <f t="shared" ref="D131:I131" si="116">IF(INDEX(SANew,$B126,7)&gt;0,ROUND(D129/INDEX(SANew,$B126,2),0),0)</f>
        <v>0</v>
      </c>
      <c r="E131" s="171">
        <f t="shared" si="116"/>
        <v>0</v>
      </c>
      <c r="F131" s="171">
        <f t="shared" si="116"/>
        <v>0</v>
      </c>
      <c r="G131" s="171">
        <f t="shared" si="116"/>
        <v>0</v>
      </c>
      <c r="H131" s="171">
        <f t="shared" si="116"/>
        <v>0</v>
      </c>
      <c r="I131" s="171">
        <f t="shared" si="116"/>
        <v>0</v>
      </c>
      <c r="J131" s="162"/>
      <c r="K131" s="615"/>
      <c r="L131" s="640"/>
      <c r="M131" s="162"/>
      <c r="N131" s="615"/>
    </row>
    <row r="132" spans="1:39" hidden="1" outlineLevel="2" x14ac:dyDescent="0.2">
      <c r="A132" s="162"/>
      <c r="B132" s="162"/>
      <c r="C132" s="158" t="s">
        <v>125</v>
      </c>
      <c r="D132" s="171">
        <f t="shared" ref="D132:I132" si="117">IF(INDEX(SANew,$B126,7)&gt;0,ROUND(D130/INDEX(SANew,$B126,2),0),0)</f>
        <v>0</v>
      </c>
      <c r="E132" s="171">
        <f t="shared" si="117"/>
        <v>0</v>
      </c>
      <c r="F132" s="171">
        <f t="shared" si="117"/>
        <v>0</v>
      </c>
      <c r="G132" s="171">
        <f t="shared" si="117"/>
        <v>0</v>
      </c>
      <c r="H132" s="171">
        <f t="shared" si="117"/>
        <v>0</v>
      </c>
      <c r="I132" s="171">
        <f t="shared" si="117"/>
        <v>0</v>
      </c>
      <c r="J132" s="162"/>
      <c r="K132" s="615"/>
      <c r="L132" s="640"/>
      <c r="M132" s="162"/>
      <c r="N132" s="615"/>
    </row>
    <row r="133" spans="1:39" hidden="1" outlineLevel="1" collapsed="1" x14ac:dyDescent="0.2">
      <c r="A133" s="162"/>
      <c r="B133" s="162"/>
      <c r="C133" s="695"/>
      <c r="D133" s="690"/>
      <c r="E133" s="694"/>
      <c r="F133" s="694"/>
      <c r="G133" s="694"/>
      <c r="H133" s="694"/>
      <c r="I133" s="694"/>
      <c r="J133" s="694"/>
      <c r="K133" s="694"/>
      <c r="L133" s="162"/>
      <c r="M133" s="162"/>
      <c r="N133" s="162"/>
    </row>
    <row r="134" spans="1:39" ht="15" hidden="1" outlineLevel="1" x14ac:dyDescent="0.2">
      <c r="A134" s="162"/>
      <c r="B134" s="298">
        <v>2</v>
      </c>
      <c r="C134" s="147" t="str">
        <f>INDEX(PBSScriptsNew,B134,1)</f>
        <v>** NOT USED **</v>
      </c>
      <c r="D134" s="139"/>
      <c r="E134" s="139"/>
      <c r="F134" s="139"/>
      <c r="G134" s="139"/>
      <c r="H134" s="139"/>
      <c r="I134" s="139"/>
      <c r="J134" s="139"/>
      <c r="K134" s="139"/>
      <c r="L134" s="133"/>
      <c r="M134" s="133"/>
      <c r="N134" s="133"/>
      <c r="O134" s="127"/>
      <c r="P134" s="127"/>
      <c r="Q134" s="127"/>
      <c r="R134" s="127"/>
      <c r="S134" s="127"/>
      <c r="T134" s="127"/>
      <c r="U134" s="127"/>
      <c r="V134" s="127"/>
      <c r="W134" s="127"/>
      <c r="X134" s="127"/>
      <c r="Y134" s="127"/>
      <c r="Z134" s="127"/>
      <c r="AA134" s="127"/>
      <c r="AB134" s="127"/>
      <c r="AC134" s="127"/>
      <c r="AD134" s="127"/>
      <c r="AE134" s="127"/>
      <c r="AF134" s="127"/>
      <c r="AG134" s="127"/>
      <c r="AH134" s="127"/>
      <c r="AI134" s="127"/>
      <c r="AJ134" s="127"/>
      <c r="AK134" s="127"/>
      <c r="AL134" s="127"/>
      <c r="AM134" s="127"/>
    </row>
    <row r="135" spans="1:39" hidden="1" outlineLevel="2" x14ac:dyDescent="0.2">
      <c r="A135" s="162"/>
      <c r="B135" s="162"/>
      <c r="C135" s="615"/>
      <c r="D135" s="397">
        <v>2</v>
      </c>
      <c r="E135" s="397">
        <v>3</v>
      </c>
      <c r="F135" s="397">
        <v>4</v>
      </c>
      <c r="G135" s="397">
        <v>5</v>
      </c>
      <c r="H135" s="397">
        <v>6</v>
      </c>
      <c r="I135" s="397">
        <v>7</v>
      </c>
      <c r="J135" s="624"/>
      <c r="K135" s="615"/>
      <c r="L135" s="615"/>
      <c r="M135" s="615"/>
      <c r="N135" s="615"/>
      <c r="O135" s="416"/>
      <c r="P135" s="416"/>
      <c r="Q135" s="416"/>
      <c r="R135" s="416"/>
      <c r="S135" s="416"/>
      <c r="T135" s="416"/>
      <c r="U135" s="416"/>
      <c r="V135" s="416"/>
      <c r="W135" s="416"/>
      <c r="X135" s="416"/>
      <c r="Y135" s="416"/>
      <c r="Z135" s="416"/>
      <c r="AA135" s="416"/>
      <c r="AB135" s="416"/>
      <c r="AC135" s="416"/>
      <c r="AD135" s="416"/>
      <c r="AE135" s="416"/>
      <c r="AF135" s="416"/>
      <c r="AG135" s="416"/>
      <c r="AH135" s="416"/>
      <c r="AI135" s="416"/>
      <c r="AJ135" s="416"/>
      <c r="AK135" s="416"/>
      <c r="AL135" s="416"/>
      <c r="AM135" s="416"/>
    </row>
    <row r="136" spans="1:39" hidden="1" outlineLevel="2" x14ac:dyDescent="0.2">
      <c r="A136" s="162"/>
      <c r="B136" s="162"/>
      <c r="C136" s="162"/>
      <c r="D136" s="630">
        <f>FirstYear</f>
        <v>2021</v>
      </c>
      <c r="E136" s="630">
        <f>D136+1</f>
        <v>2022</v>
      </c>
      <c r="F136" s="630">
        <f>E136+1</f>
        <v>2023</v>
      </c>
      <c r="G136" s="630">
        <f>F136+1</f>
        <v>2024</v>
      </c>
      <c r="H136" s="630">
        <f>G136+1</f>
        <v>2025</v>
      </c>
      <c r="I136" s="630">
        <f>H136+1</f>
        <v>2026</v>
      </c>
      <c r="J136" s="162"/>
      <c r="K136" s="162"/>
      <c r="L136" s="162"/>
      <c r="M136" s="162"/>
      <c r="N136" s="162"/>
      <c r="O136" s="416"/>
      <c r="P136" s="416"/>
      <c r="Q136" s="416"/>
      <c r="R136" s="416"/>
      <c r="S136" s="416"/>
      <c r="T136" s="416"/>
      <c r="U136" s="416"/>
      <c r="V136" s="416"/>
      <c r="W136" s="416"/>
      <c r="X136" s="416"/>
      <c r="Y136" s="416"/>
      <c r="Z136" s="416"/>
      <c r="AA136" s="416"/>
      <c r="AB136" s="416"/>
      <c r="AC136" s="416"/>
      <c r="AD136" s="416"/>
      <c r="AE136" s="416"/>
      <c r="AF136" s="416"/>
      <c r="AG136" s="416"/>
      <c r="AH136" s="416"/>
      <c r="AI136" s="416"/>
      <c r="AJ136" s="416"/>
      <c r="AK136" s="416"/>
      <c r="AL136" s="416"/>
      <c r="AM136" s="416"/>
    </row>
    <row r="137" spans="1:39" hidden="1" outlineLevel="2" x14ac:dyDescent="0.2">
      <c r="A137" s="162"/>
      <c r="B137" s="162"/>
      <c r="C137" s="170" t="s">
        <v>122</v>
      </c>
      <c r="D137" s="171">
        <f t="shared" ref="D137:I137" si="118">INDEX(PBSScriptsNew,$B134,D135)</f>
        <v>0</v>
      </c>
      <c r="E137" s="171">
        <f t="shared" si="118"/>
        <v>0</v>
      </c>
      <c r="F137" s="171">
        <f t="shared" si="118"/>
        <v>0</v>
      </c>
      <c r="G137" s="171">
        <f t="shared" si="118"/>
        <v>0</v>
      </c>
      <c r="H137" s="171">
        <f t="shared" si="118"/>
        <v>0</v>
      </c>
      <c r="I137" s="171">
        <f t="shared" si="118"/>
        <v>0</v>
      </c>
      <c r="J137" s="162"/>
      <c r="K137" s="162"/>
      <c r="L137" s="162"/>
      <c r="M137" s="162"/>
      <c r="N137" s="693"/>
      <c r="O137" s="416"/>
      <c r="P137" s="416"/>
      <c r="Q137" s="416"/>
      <c r="R137" s="416"/>
      <c r="S137" s="416"/>
      <c r="T137" s="416"/>
      <c r="U137" s="416"/>
      <c r="V137" s="416"/>
      <c r="W137" s="416"/>
      <c r="X137" s="416"/>
      <c r="Y137" s="416"/>
      <c r="Z137" s="416"/>
      <c r="AA137" s="416"/>
      <c r="AB137" s="416"/>
      <c r="AC137" s="416"/>
      <c r="AD137" s="416"/>
      <c r="AE137" s="416"/>
      <c r="AF137" s="416"/>
      <c r="AG137" s="416"/>
      <c r="AH137" s="416"/>
      <c r="AI137" s="416"/>
      <c r="AJ137" s="416"/>
      <c r="AK137" s="416"/>
      <c r="AL137" s="416"/>
      <c r="AM137" s="416"/>
    </row>
    <row r="138" spans="1:39" hidden="1" outlineLevel="2" x14ac:dyDescent="0.2">
      <c r="A138" s="162"/>
      <c r="B138" s="162"/>
      <c r="C138" s="170" t="s">
        <v>123</v>
      </c>
      <c r="D138" s="171">
        <f t="shared" ref="D138:I138" si="119">INDEX(RPBSScriptsNew,$B134,D135)</f>
        <v>0</v>
      </c>
      <c r="E138" s="171">
        <f t="shared" si="119"/>
        <v>0</v>
      </c>
      <c r="F138" s="171">
        <f t="shared" si="119"/>
        <v>0</v>
      </c>
      <c r="G138" s="171">
        <f t="shared" si="119"/>
        <v>0</v>
      </c>
      <c r="H138" s="171">
        <f t="shared" si="119"/>
        <v>0</v>
      </c>
      <c r="I138" s="171">
        <f t="shared" si="119"/>
        <v>0</v>
      </c>
      <c r="J138" s="162"/>
      <c r="K138" s="162"/>
      <c r="L138" s="162"/>
      <c r="M138" s="162"/>
      <c r="N138" s="162"/>
      <c r="O138" s="416"/>
      <c r="P138" s="416"/>
      <c r="Q138" s="416"/>
      <c r="R138" s="416"/>
      <c r="S138" s="416"/>
      <c r="T138" s="416"/>
      <c r="U138" s="416"/>
      <c r="V138" s="416"/>
      <c r="W138" s="416"/>
      <c r="X138" s="416"/>
      <c r="Y138" s="416"/>
      <c r="Z138" s="416"/>
      <c r="AA138" s="416"/>
      <c r="AB138" s="416"/>
      <c r="AC138" s="416"/>
      <c r="AD138" s="416"/>
      <c r="AE138" s="416"/>
      <c r="AF138" s="416"/>
      <c r="AG138" s="416"/>
      <c r="AH138" s="416"/>
      <c r="AI138" s="416"/>
      <c r="AJ138" s="416"/>
      <c r="AK138" s="416"/>
      <c r="AL138" s="416"/>
      <c r="AM138" s="416"/>
    </row>
    <row r="139" spans="1:39" hidden="1" outlineLevel="2" x14ac:dyDescent="0.2">
      <c r="A139" s="162"/>
      <c r="B139" s="162"/>
      <c r="C139" s="158" t="s">
        <v>124</v>
      </c>
      <c r="D139" s="171">
        <f t="shared" ref="D139:I139" si="120">IF(INDEX(SANew,$B134,7)&gt;0,ROUND(D137/INDEX(SANew,$B134,2),0),0)</f>
        <v>0</v>
      </c>
      <c r="E139" s="171">
        <f t="shared" si="120"/>
        <v>0</v>
      </c>
      <c r="F139" s="171">
        <f t="shared" si="120"/>
        <v>0</v>
      </c>
      <c r="G139" s="171">
        <f t="shared" si="120"/>
        <v>0</v>
      </c>
      <c r="H139" s="171">
        <f t="shared" si="120"/>
        <v>0</v>
      </c>
      <c r="I139" s="171">
        <f t="shared" si="120"/>
        <v>0</v>
      </c>
      <c r="J139" s="162"/>
      <c r="K139" s="615"/>
      <c r="L139" s="640"/>
      <c r="M139" s="162"/>
      <c r="N139" s="615"/>
      <c r="O139" s="416"/>
      <c r="P139" s="416"/>
      <c r="Q139" s="416"/>
      <c r="R139" s="416"/>
      <c r="S139" s="416"/>
      <c r="T139" s="416"/>
      <c r="U139" s="416"/>
      <c r="V139" s="416"/>
      <c r="W139" s="416"/>
      <c r="X139" s="416"/>
      <c r="Y139" s="416"/>
      <c r="Z139" s="416"/>
      <c r="AA139" s="416"/>
      <c r="AB139" s="416"/>
      <c r="AC139" s="416"/>
      <c r="AD139" s="416"/>
      <c r="AE139" s="416"/>
      <c r="AF139" s="416"/>
      <c r="AG139" s="416"/>
      <c r="AH139" s="416"/>
      <c r="AI139" s="416"/>
      <c r="AJ139" s="416"/>
      <c r="AK139" s="416"/>
      <c r="AL139" s="416"/>
      <c r="AM139" s="416"/>
    </row>
    <row r="140" spans="1:39" hidden="1" outlineLevel="2" x14ac:dyDescent="0.2">
      <c r="A140" s="162"/>
      <c r="B140" s="162"/>
      <c r="C140" s="158" t="s">
        <v>125</v>
      </c>
      <c r="D140" s="171">
        <f t="shared" ref="D140:I140" si="121">IF(INDEX(SANew,$B134,7)&gt;0,ROUND(D138/INDEX(SANew,$B134,2),0),0)</f>
        <v>0</v>
      </c>
      <c r="E140" s="171">
        <f t="shared" si="121"/>
        <v>0</v>
      </c>
      <c r="F140" s="171">
        <f t="shared" si="121"/>
        <v>0</v>
      </c>
      <c r="G140" s="171">
        <f t="shared" si="121"/>
        <v>0</v>
      </c>
      <c r="H140" s="171">
        <f t="shared" si="121"/>
        <v>0</v>
      </c>
      <c r="I140" s="171">
        <f t="shared" si="121"/>
        <v>0</v>
      </c>
      <c r="J140" s="162"/>
      <c r="K140" s="615"/>
      <c r="L140" s="640"/>
      <c r="M140" s="162"/>
      <c r="N140" s="615"/>
      <c r="O140" s="416"/>
      <c r="P140" s="416"/>
      <c r="Q140" s="416"/>
      <c r="R140" s="416"/>
      <c r="S140" s="416"/>
      <c r="T140" s="416"/>
      <c r="U140" s="416"/>
      <c r="V140" s="416"/>
      <c r="W140" s="416"/>
      <c r="X140" s="416"/>
      <c r="Y140" s="416"/>
      <c r="Z140" s="416"/>
      <c r="AA140" s="416"/>
      <c r="AB140" s="416"/>
      <c r="AC140" s="416"/>
      <c r="AD140" s="416"/>
      <c r="AE140" s="416"/>
      <c r="AF140" s="416"/>
      <c r="AG140" s="416"/>
      <c r="AH140" s="416"/>
      <c r="AI140" s="416"/>
      <c r="AJ140" s="416"/>
      <c r="AK140" s="416"/>
      <c r="AL140" s="416"/>
      <c r="AM140" s="416"/>
    </row>
    <row r="141" spans="1:39" hidden="1" outlineLevel="1" collapsed="1" x14ac:dyDescent="0.2">
      <c r="A141" s="162"/>
      <c r="B141" s="162"/>
      <c r="C141" s="695"/>
      <c r="D141" s="690"/>
      <c r="E141" s="694"/>
      <c r="F141" s="694"/>
      <c r="G141" s="694"/>
      <c r="H141" s="694"/>
      <c r="I141" s="694"/>
      <c r="J141" s="694"/>
      <c r="K141" s="694"/>
      <c r="L141" s="162"/>
      <c r="M141" s="162"/>
      <c r="N141" s="162"/>
      <c r="O141" s="416"/>
      <c r="P141" s="416"/>
      <c r="Q141" s="416"/>
      <c r="R141" s="416"/>
      <c r="S141" s="416"/>
      <c r="T141" s="416"/>
      <c r="U141" s="416"/>
      <c r="V141" s="416"/>
      <c r="W141" s="416"/>
      <c r="X141" s="416"/>
      <c r="Y141" s="416"/>
      <c r="Z141" s="416"/>
      <c r="AA141" s="416"/>
      <c r="AB141" s="416"/>
      <c r="AC141" s="416"/>
      <c r="AD141" s="416"/>
      <c r="AE141" s="416"/>
      <c r="AF141" s="416"/>
      <c r="AG141" s="416"/>
      <c r="AH141" s="416"/>
      <c r="AI141" s="416"/>
      <c r="AJ141" s="416"/>
      <c r="AK141" s="416"/>
      <c r="AL141" s="416"/>
      <c r="AM141" s="416"/>
    </row>
    <row r="142" spans="1:39" ht="15" hidden="1" outlineLevel="1" x14ac:dyDescent="0.2">
      <c r="A142" s="162"/>
      <c r="B142" s="298">
        <v>3</v>
      </c>
      <c r="C142" s="147" t="str">
        <f>INDEX(PBSScriptsNew,B142,1)</f>
        <v>** NOT USED **</v>
      </c>
      <c r="D142" s="139"/>
      <c r="E142" s="139"/>
      <c r="F142" s="139"/>
      <c r="G142" s="139"/>
      <c r="H142" s="139"/>
      <c r="I142" s="139"/>
      <c r="J142" s="139"/>
      <c r="K142" s="139"/>
      <c r="L142" s="133"/>
      <c r="M142" s="133"/>
      <c r="N142" s="133"/>
      <c r="O142" s="127"/>
      <c r="P142" s="127"/>
      <c r="Q142" s="127"/>
      <c r="R142" s="127"/>
      <c r="S142" s="127"/>
      <c r="T142" s="127"/>
      <c r="U142" s="127"/>
      <c r="V142" s="127"/>
      <c r="W142" s="127"/>
      <c r="X142" s="127"/>
      <c r="Y142" s="127"/>
      <c r="Z142" s="127"/>
      <c r="AA142" s="127"/>
      <c r="AB142" s="127"/>
      <c r="AC142" s="127"/>
      <c r="AD142" s="127"/>
      <c r="AE142" s="127"/>
      <c r="AF142" s="127"/>
      <c r="AG142" s="127"/>
      <c r="AH142" s="127"/>
      <c r="AI142" s="127"/>
      <c r="AJ142" s="127"/>
      <c r="AK142" s="127"/>
      <c r="AL142" s="127"/>
      <c r="AM142" s="127"/>
    </row>
    <row r="143" spans="1:39" hidden="1" outlineLevel="2" x14ac:dyDescent="0.2">
      <c r="A143" s="162"/>
      <c r="B143" s="162"/>
      <c r="C143" s="615"/>
      <c r="D143" s="397">
        <v>2</v>
      </c>
      <c r="E143" s="397">
        <v>3</v>
      </c>
      <c r="F143" s="397">
        <v>4</v>
      </c>
      <c r="G143" s="397">
        <v>5</v>
      </c>
      <c r="H143" s="397">
        <v>6</v>
      </c>
      <c r="I143" s="397">
        <v>7</v>
      </c>
      <c r="J143" s="624"/>
      <c r="K143" s="615"/>
      <c r="L143" s="615"/>
      <c r="M143" s="615"/>
      <c r="N143" s="615"/>
      <c r="O143" s="416"/>
      <c r="P143" s="416"/>
      <c r="Q143" s="416"/>
      <c r="R143" s="416"/>
      <c r="S143" s="416"/>
      <c r="T143" s="416"/>
      <c r="U143" s="416"/>
      <c r="V143" s="416"/>
      <c r="W143" s="416"/>
      <c r="X143" s="416"/>
      <c r="Y143" s="416"/>
      <c r="Z143" s="416"/>
      <c r="AA143" s="416"/>
      <c r="AB143" s="416"/>
      <c r="AC143" s="416"/>
      <c r="AD143" s="416"/>
      <c r="AE143" s="416"/>
      <c r="AF143" s="416"/>
      <c r="AG143" s="416"/>
      <c r="AH143" s="416"/>
      <c r="AI143" s="416"/>
      <c r="AJ143" s="416"/>
      <c r="AK143" s="416"/>
      <c r="AL143" s="416"/>
      <c r="AM143" s="416"/>
    </row>
    <row r="144" spans="1:39" hidden="1" outlineLevel="2" x14ac:dyDescent="0.2">
      <c r="A144" s="162"/>
      <c r="B144" s="162"/>
      <c r="C144" s="162"/>
      <c r="D144" s="630">
        <f>FirstYear</f>
        <v>2021</v>
      </c>
      <c r="E144" s="630">
        <f>D144+1</f>
        <v>2022</v>
      </c>
      <c r="F144" s="630">
        <f>E144+1</f>
        <v>2023</v>
      </c>
      <c r="G144" s="630">
        <f>F144+1</f>
        <v>2024</v>
      </c>
      <c r="H144" s="630">
        <f>G144+1</f>
        <v>2025</v>
      </c>
      <c r="I144" s="630">
        <f>H144+1</f>
        <v>2026</v>
      </c>
      <c r="J144" s="162"/>
      <c r="K144" s="162"/>
      <c r="L144" s="162"/>
      <c r="M144" s="162"/>
      <c r="N144" s="162"/>
      <c r="O144" s="416"/>
      <c r="P144" s="416"/>
      <c r="Q144" s="416"/>
      <c r="R144" s="416"/>
      <c r="S144" s="416"/>
      <c r="T144" s="416"/>
      <c r="U144" s="416"/>
      <c r="V144" s="416"/>
      <c r="W144" s="416"/>
      <c r="X144" s="416"/>
      <c r="Y144" s="416"/>
      <c r="Z144" s="416"/>
      <c r="AA144" s="416"/>
      <c r="AB144" s="416"/>
      <c r="AC144" s="416"/>
      <c r="AD144" s="416"/>
      <c r="AE144" s="416"/>
      <c r="AF144" s="416"/>
      <c r="AG144" s="416"/>
      <c r="AH144" s="416"/>
      <c r="AI144" s="416"/>
      <c r="AJ144" s="416"/>
      <c r="AK144" s="416"/>
      <c r="AL144" s="416"/>
      <c r="AM144" s="416"/>
    </row>
    <row r="145" spans="1:39" hidden="1" outlineLevel="2" x14ac:dyDescent="0.2">
      <c r="A145" s="162"/>
      <c r="B145" s="162"/>
      <c r="C145" s="170" t="s">
        <v>122</v>
      </c>
      <c r="D145" s="171">
        <f t="shared" ref="D145:I145" si="122">INDEX(PBSScriptsNew,$B142,D143)</f>
        <v>0</v>
      </c>
      <c r="E145" s="171">
        <f t="shared" si="122"/>
        <v>0</v>
      </c>
      <c r="F145" s="171">
        <f t="shared" si="122"/>
        <v>0</v>
      </c>
      <c r="G145" s="171">
        <f t="shared" si="122"/>
        <v>0</v>
      </c>
      <c r="H145" s="171">
        <f t="shared" si="122"/>
        <v>0</v>
      </c>
      <c r="I145" s="171">
        <f t="shared" si="122"/>
        <v>0</v>
      </c>
      <c r="J145" s="162"/>
      <c r="K145" s="162"/>
      <c r="L145" s="162"/>
      <c r="M145" s="162"/>
      <c r="N145" s="693"/>
      <c r="O145" s="416"/>
      <c r="P145" s="416"/>
      <c r="Q145" s="416"/>
      <c r="R145" s="416"/>
      <c r="S145" s="416"/>
      <c r="T145" s="416"/>
      <c r="U145" s="416"/>
      <c r="V145" s="416"/>
      <c r="W145" s="416"/>
      <c r="X145" s="416"/>
      <c r="Y145" s="416"/>
      <c r="Z145" s="416"/>
      <c r="AA145" s="416"/>
      <c r="AB145" s="416"/>
      <c r="AC145" s="416"/>
      <c r="AD145" s="416"/>
      <c r="AE145" s="416"/>
      <c r="AF145" s="416"/>
      <c r="AG145" s="416"/>
      <c r="AH145" s="416"/>
      <c r="AI145" s="416"/>
      <c r="AJ145" s="416"/>
      <c r="AK145" s="416"/>
      <c r="AL145" s="416"/>
      <c r="AM145" s="416"/>
    </row>
    <row r="146" spans="1:39" hidden="1" outlineLevel="2" x14ac:dyDescent="0.2">
      <c r="A146" s="162"/>
      <c r="B146" s="162"/>
      <c r="C146" s="170" t="s">
        <v>123</v>
      </c>
      <c r="D146" s="171">
        <f t="shared" ref="D146:I146" si="123">INDEX(RPBSScriptsNew,$B142,D143)</f>
        <v>0</v>
      </c>
      <c r="E146" s="171">
        <f t="shared" si="123"/>
        <v>0</v>
      </c>
      <c r="F146" s="171">
        <f t="shared" si="123"/>
        <v>0</v>
      </c>
      <c r="G146" s="171">
        <f t="shared" si="123"/>
        <v>0</v>
      </c>
      <c r="H146" s="171">
        <f t="shared" si="123"/>
        <v>0</v>
      </c>
      <c r="I146" s="171">
        <f t="shared" si="123"/>
        <v>0</v>
      </c>
      <c r="J146" s="162"/>
      <c r="K146" s="162"/>
      <c r="L146" s="162"/>
      <c r="M146" s="162"/>
      <c r="N146" s="162"/>
      <c r="O146" s="416"/>
      <c r="P146" s="416"/>
      <c r="Q146" s="416"/>
      <c r="R146" s="416"/>
      <c r="S146" s="416"/>
      <c r="T146" s="416"/>
      <c r="U146" s="416"/>
      <c r="V146" s="416"/>
      <c r="W146" s="416"/>
      <c r="X146" s="416"/>
      <c r="Y146" s="416"/>
      <c r="Z146" s="416"/>
      <c r="AA146" s="416"/>
      <c r="AB146" s="416"/>
      <c r="AC146" s="416"/>
      <c r="AD146" s="416"/>
      <c r="AE146" s="416"/>
      <c r="AF146" s="416"/>
      <c r="AG146" s="416"/>
      <c r="AH146" s="416"/>
      <c r="AI146" s="416"/>
      <c r="AJ146" s="416"/>
      <c r="AK146" s="416"/>
      <c r="AL146" s="416"/>
      <c r="AM146" s="416"/>
    </row>
    <row r="147" spans="1:39" hidden="1" outlineLevel="2" x14ac:dyDescent="0.2">
      <c r="A147" s="162"/>
      <c r="B147" s="162"/>
      <c r="C147" s="158" t="s">
        <v>124</v>
      </c>
      <c r="D147" s="171">
        <f t="shared" ref="D147:I147" si="124">IF(INDEX(SANew,$B142,7)&gt;0,ROUND(D145/INDEX(SANew,$B142,2),0),0)</f>
        <v>0</v>
      </c>
      <c r="E147" s="171">
        <f t="shared" si="124"/>
        <v>0</v>
      </c>
      <c r="F147" s="171">
        <f t="shared" si="124"/>
        <v>0</v>
      </c>
      <c r="G147" s="171">
        <f t="shared" si="124"/>
        <v>0</v>
      </c>
      <c r="H147" s="171">
        <f t="shared" si="124"/>
        <v>0</v>
      </c>
      <c r="I147" s="171">
        <f t="shared" si="124"/>
        <v>0</v>
      </c>
      <c r="J147" s="162"/>
      <c r="K147" s="615"/>
      <c r="L147" s="640"/>
      <c r="M147" s="162"/>
      <c r="N147" s="615"/>
      <c r="O147" s="416"/>
      <c r="P147" s="416"/>
      <c r="Q147" s="416"/>
      <c r="R147" s="416"/>
      <c r="S147" s="416"/>
      <c r="T147" s="416"/>
      <c r="U147" s="416"/>
      <c r="V147" s="416"/>
      <c r="W147" s="416"/>
      <c r="X147" s="416"/>
      <c r="Y147" s="416"/>
      <c r="Z147" s="416"/>
      <c r="AA147" s="416"/>
      <c r="AB147" s="416"/>
      <c r="AC147" s="416"/>
      <c r="AD147" s="416"/>
      <c r="AE147" s="416"/>
      <c r="AF147" s="416"/>
      <c r="AG147" s="416"/>
      <c r="AH147" s="416"/>
      <c r="AI147" s="416"/>
      <c r="AJ147" s="416"/>
      <c r="AK147" s="416"/>
      <c r="AL147" s="416"/>
      <c r="AM147" s="416"/>
    </row>
    <row r="148" spans="1:39" hidden="1" outlineLevel="2" x14ac:dyDescent="0.2">
      <c r="A148" s="162"/>
      <c r="B148" s="162"/>
      <c r="C148" s="158" t="s">
        <v>125</v>
      </c>
      <c r="D148" s="171">
        <f t="shared" ref="D148:I148" si="125">IF(INDEX(SANew,$B142,7)&gt;0,ROUND(D146/INDEX(SANew,$B142,2),0),0)</f>
        <v>0</v>
      </c>
      <c r="E148" s="171">
        <f t="shared" si="125"/>
        <v>0</v>
      </c>
      <c r="F148" s="171">
        <f t="shared" si="125"/>
        <v>0</v>
      </c>
      <c r="G148" s="171">
        <f t="shared" si="125"/>
        <v>0</v>
      </c>
      <c r="H148" s="171">
        <f t="shared" si="125"/>
        <v>0</v>
      </c>
      <c r="I148" s="171">
        <f t="shared" si="125"/>
        <v>0</v>
      </c>
      <c r="J148" s="162"/>
      <c r="K148" s="615"/>
      <c r="L148" s="640"/>
      <c r="M148" s="162"/>
      <c r="N148" s="615"/>
      <c r="O148" s="416"/>
      <c r="P148" s="416"/>
      <c r="Q148" s="416"/>
      <c r="R148" s="416"/>
      <c r="S148" s="416"/>
      <c r="T148" s="416"/>
      <c r="U148" s="416"/>
      <c r="V148" s="416"/>
      <c r="W148" s="416"/>
      <c r="X148" s="416"/>
      <c r="Y148" s="416"/>
      <c r="Z148" s="416"/>
      <c r="AA148" s="416"/>
      <c r="AB148" s="416"/>
      <c r="AC148" s="416"/>
      <c r="AD148" s="416"/>
      <c r="AE148" s="416"/>
      <c r="AF148" s="416"/>
      <c r="AG148" s="416"/>
      <c r="AH148" s="416"/>
      <c r="AI148" s="416"/>
      <c r="AJ148" s="416"/>
      <c r="AK148" s="416"/>
      <c r="AL148" s="416"/>
      <c r="AM148" s="416"/>
    </row>
    <row r="149" spans="1:39" hidden="1" outlineLevel="1" collapsed="1" x14ac:dyDescent="0.2">
      <c r="A149" s="162"/>
      <c r="B149" s="162"/>
      <c r="C149" s="695"/>
      <c r="D149" s="690"/>
      <c r="E149" s="694"/>
      <c r="F149" s="694"/>
      <c r="G149" s="694"/>
      <c r="H149" s="694"/>
      <c r="I149" s="694"/>
      <c r="J149" s="694"/>
      <c r="K149" s="694"/>
      <c r="L149" s="162"/>
      <c r="M149" s="162"/>
      <c r="N149" s="162"/>
      <c r="O149" s="416"/>
      <c r="P149" s="416"/>
      <c r="Q149" s="416"/>
      <c r="R149" s="416"/>
      <c r="S149" s="416"/>
      <c r="T149" s="416"/>
      <c r="U149" s="416"/>
      <c r="V149" s="416"/>
      <c r="W149" s="416"/>
      <c r="X149" s="416"/>
      <c r="Y149" s="416"/>
      <c r="Z149" s="416"/>
      <c r="AA149" s="416"/>
      <c r="AB149" s="416"/>
      <c r="AC149" s="416"/>
      <c r="AD149" s="416"/>
      <c r="AE149" s="416"/>
      <c r="AF149" s="416"/>
      <c r="AG149" s="416"/>
      <c r="AH149" s="416"/>
      <c r="AI149" s="416"/>
      <c r="AJ149" s="416"/>
      <c r="AK149" s="416"/>
      <c r="AL149" s="416"/>
      <c r="AM149" s="416"/>
    </row>
    <row r="150" spans="1:39" ht="15" hidden="1" outlineLevel="1" x14ac:dyDescent="0.2">
      <c r="A150" s="162"/>
      <c r="B150" s="298">
        <v>4</v>
      </c>
      <c r="C150" s="147" t="str">
        <f>INDEX(PBSScriptsNew,B150,1)</f>
        <v>** NOT USED **</v>
      </c>
      <c r="D150" s="139"/>
      <c r="E150" s="139"/>
      <c r="F150" s="139"/>
      <c r="G150" s="139"/>
      <c r="H150" s="139"/>
      <c r="I150" s="139"/>
      <c r="J150" s="139"/>
      <c r="K150" s="139"/>
      <c r="L150" s="133"/>
      <c r="M150" s="133"/>
      <c r="N150" s="133"/>
      <c r="O150" s="127"/>
      <c r="P150" s="127"/>
      <c r="Q150" s="127"/>
      <c r="R150" s="127"/>
      <c r="S150" s="127"/>
      <c r="T150" s="127"/>
      <c r="U150" s="127"/>
      <c r="V150" s="127"/>
      <c r="W150" s="127"/>
      <c r="X150" s="127"/>
      <c r="Y150" s="127"/>
      <c r="Z150" s="127"/>
      <c r="AA150" s="127"/>
      <c r="AB150" s="127"/>
      <c r="AC150" s="127"/>
      <c r="AD150" s="127"/>
      <c r="AE150" s="127"/>
      <c r="AF150" s="127"/>
      <c r="AG150" s="127"/>
      <c r="AH150" s="127"/>
      <c r="AI150" s="127"/>
      <c r="AJ150" s="127"/>
      <c r="AK150" s="127"/>
      <c r="AL150" s="127"/>
      <c r="AM150" s="127"/>
    </row>
    <row r="151" spans="1:39" hidden="1" outlineLevel="2" x14ac:dyDescent="0.2">
      <c r="A151" s="162"/>
      <c r="B151" s="162"/>
      <c r="C151" s="615"/>
      <c r="D151" s="397">
        <v>2</v>
      </c>
      <c r="E151" s="397">
        <v>3</v>
      </c>
      <c r="F151" s="397">
        <v>4</v>
      </c>
      <c r="G151" s="397">
        <v>5</v>
      </c>
      <c r="H151" s="397">
        <v>6</v>
      </c>
      <c r="I151" s="397">
        <v>7</v>
      </c>
      <c r="J151" s="624"/>
      <c r="K151" s="615"/>
      <c r="L151" s="615"/>
      <c r="M151" s="615"/>
      <c r="N151" s="615"/>
      <c r="O151" s="416"/>
      <c r="P151" s="416"/>
      <c r="Q151" s="416"/>
      <c r="R151" s="416"/>
      <c r="S151" s="416"/>
      <c r="T151" s="416"/>
      <c r="U151" s="416"/>
      <c r="V151" s="416"/>
      <c r="W151" s="416"/>
      <c r="X151" s="416"/>
      <c r="Y151" s="416"/>
      <c r="Z151" s="416"/>
      <c r="AA151" s="416"/>
      <c r="AB151" s="416"/>
      <c r="AC151" s="416"/>
      <c r="AD151" s="416"/>
      <c r="AE151" s="416"/>
      <c r="AF151" s="416"/>
      <c r="AG151" s="416"/>
      <c r="AH151" s="416"/>
      <c r="AI151" s="416"/>
      <c r="AJ151" s="416"/>
      <c r="AK151" s="416"/>
      <c r="AL151" s="416"/>
      <c r="AM151" s="416"/>
    </row>
    <row r="152" spans="1:39" hidden="1" outlineLevel="2" x14ac:dyDescent="0.2">
      <c r="A152" s="162"/>
      <c r="B152" s="162"/>
      <c r="C152" s="162"/>
      <c r="D152" s="630">
        <f>FirstYear</f>
        <v>2021</v>
      </c>
      <c r="E152" s="630">
        <f>D152+1</f>
        <v>2022</v>
      </c>
      <c r="F152" s="630">
        <f>E152+1</f>
        <v>2023</v>
      </c>
      <c r="G152" s="630">
        <f>F152+1</f>
        <v>2024</v>
      </c>
      <c r="H152" s="630">
        <f>G152+1</f>
        <v>2025</v>
      </c>
      <c r="I152" s="630">
        <f>H152+1</f>
        <v>2026</v>
      </c>
      <c r="J152" s="162"/>
      <c r="K152" s="162"/>
      <c r="L152" s="162"/>
      <c r="M152" s="162"/>
      <c r="N152" s="162"/>
      <c r="O152" s="416"/>
      <c r="P152" s="416"/>
      <c r="Q152" s="416"/>
      <c r="R152" s="416"/>
      <c r="S152" s="416"/>
      <c r="T152" s="416"/>
      <c r="U152" s="416"/>
      <c r="V152" s="416"/>
      <c r="W152" s="416"/>
      <c r="X152" s="416"/>
      <c r="Y152" s="416"/>
      <c r="Z152" s="416"/>
      <c r="AA152" s="416"/>
      <c r="AB152" s="416"/>
      <c r="AC152" s="416"/>
      <c r="AD152" s="416"/>
      <c r="AE152" s="416"/>
      <c r="AF152" s="416"/>
      <c r="AG152" s="416"/>
      <c r="AH152" s="416"/>
      <c r="AI152" s="416"/>
      <c r="AJ152" s="416"/>
      <c r="AK152" s="416"/>
      <c r="AL152" s="416"/>
      <c r="AM152" s="416"/>
    </row>
    <row r="153" spans="1:39" hidden="1" outlineLevel="2" x14ac:dyDescent="0.2">
      <c r="A153" s="162"/>
      <c r="B153" s="162"/>
      <c r="C153" s="170" t="s">
        <v>122</v>
      </c>
      <c r="D153" s="171">
        <f t="shared" ref="D153:I153" si="126">INDEX(PBSScriptsNew,$B150,D151)</f>
        <v>0</v>
      </c>
      <c r="E153" s="171">
        <f t="shared" si="126"/>
        <v>0</v>
      </c>
      <c r="F153" s="171">
        <f t="shared" si="126"/>
        <v>0</v>
      </c>
      <c r="G153" s="171">
        <f t="shared" si="126"/>
        <v>0</v>
      </c>
      <c r="H153" s="171">
        <f t="shared" si="126"/>
        <v>0</v>
      </c>
      <c r="I153" s="171">
        <f t="shared" si="126"/>
        <v>0</v>
      </c>
      <c r="J153" s="162"/>
      <c r="K153" s="162"/>
      <c r="L153" s="162"/>
      <c r="M153" s="162"/>
      <c r="N153" s="693"/>
      <c r="O153" s="416"/>
      <c r="P153" s="416"/>
      <c r="Q153" s="416"/>
      <c r="R153" s="416"/>
      <c r="S153" s="416"/>
      <c r="T153" s="416"/>
      <c r="U153" s="416"/>
      <c r="V153" s="416"/>
      <c r="W153" s="416"/>
      <c r="X153" s="416"/>
      <c r="Y153" s="416"/>
      <c r="Z153" s="416"/>
      <c r="AA153" s="416"/>
      <c r="AB153" s="416"/>
      <c r="AC153" s="416"/>
      <c r="AD153" s="416"/>
      <c r="AE153" s="416"/>
      <c r="AF153" s="416"/>
      <c r="AG153" s="416"/>
      <c r="AH153" s="416"/>
      <c r="AI153" s="416"/>
      <c r="AJ153" s="416"/>
      <c r="AK153" s="416"/>
      <c r="AL153" s="416"/>
      <c r="AM153" s="416"/>
    </row>
    <row r="154" spans="1:39" hidden="1" outlineLevel="2" x14ac:dyDescent="0.2">
      <c r="A154" s="162"/>
      <c r="B154" s="162"/>
      <c r="C154" s="170" t="s">
        <v>123</v>
      </c>
      <c r="D154" s="171">
        <f t="shared" ref="D154:I154" si="127">INDEX(RPBSScriptsNew,$B150,D151)</f>
        <v>0</v>
      </c>
      <c r="E154" s="171">
        <f t="shared" si="127"/>
        <v>0</v>
      </c>
      <c r="F154" s="171">
        <f t="shared" si="127"/>
        <v>0</v>
      </c>
      <c r="G154" s="171">
        <f t="shared" si="127"/>
        <v>0</v>
      </c>
      <c r="H154" s="171">
        <f t="shared" si="127"/>
        <v>0</v>
      </c>
      <c r="I154" s="171">
        <f t="shared" si="127"/>
        <v>0</v>
      </c>
      <c r="J154" s="162"/>
      <c r="K154" s="162"/>
      <c r="L154" s="162"/>
      <c r="M154" s="162"/>
      <c r="N154" s="162"/>
      <c r="O154" s="416"/>
      <c r="P154" s="416"/>
      <c r="Q154" s="416"/>
      <c r="R154" s="416"/>
      <c r="S154" s="416"/>
      <c r="T154" s="416"/>
      <c r="U154" s="416"/>
      <c r="V154" s="416"/>
      <c r="W154" s="416"/>
      <c r="X154" s="416"/>
      <c r="Y154" s="416"/>
      <c r="Z154" s="416"/>
      <c r="AA154" s="416"/>
      <c r="AB154" s="416"/>
      <c r="AC154" s="416"/>
      <c r="AD154" s="416"/>
      <c r="AE154" s="416"/>
      <c r="AF154" s="416"/>
      <c r="AG154" s="416"/>
      <c r="AH154" s="416"/>
      <c r="AI154" s="416"/>
      <c r="AJ154" s="416"/>
      <c r="AK154" s="416"/>
      <c r="AL154" s="416"/>
      <c r="AM154" s="416"/>
    </row>
    <row r="155" spans="1:39" hidden="1" outlineLevel="2" x14ac:dyDescent="0.2">
      <c r="A155" s="162"/>
      <c r="B155" s="162"/>
      <c r="C155" s="158" t="s">
        <v>124</v>
      </c>
      <c r="D155" s="171">
        <f t="shared" ref="D155:I155" si="128">IF(INDEX(SANew,$B150,7)&gt;0,ROUND(D153/INDEX(SANew,$B150,2),0),0)</f>
        <v>0</v>
      </c>
      <c r="E155" s="171">
        <f t="shared" si="128"/>
        <v>0</v>
      </c>
      <c r="F155" s="171">
        <f t="shared" si="128"/>
        <v>0</v>
      </c>
      <c r="G155" s="171">
        <f t="shared" si="128"/>
        <v>0</v>
      </c>
      <c r="H155" s="171">
        <f t="shared" si="128"/>
        <v>0</v>
      </c>
      <c r="I155" s="171">
        <f t="shared" si="128"/>
        <v>0</v>
      </c>
      <c r="J155" s="162"/>
      <c r="K155" s="615"/>
      <c r="L155" s="640"/>
      <c r="M155" s="162"/>
      <c r="N155" s="615"/>
      <c r="O155" s="416"/>
      <c r="P155" s="416"/>
      <c r="Q155" s="416"/>
      <c r="R155" s="416"/>
      <c r="S155" s="416"/>
      <c r="T155" s="416"/>
      <c r="U155" s="416"/>
      <c r="V155" s="416"/>
      <c r="W155" s="416"/>
      <c r="X155" s="416"/>
      <c r="Y155" s="416"/>
      <c r="Z155" s="416"/>
      <c r="AA155" s="416"/>
      <c r="AB155" s="416"/>
      <c r="AC155" s="416"/>
      <c r="AD155" s="416"/>
      <c r="AE155" s="416"/>
      <c r="AF155" s="416"/>
      <c r="AG155" s="416"/>
      <c r="AH155" s="416"/>
      <c r="AI155" s="416"/>
      <c r="AJ155" s="416"/>
      <c r="AK155" s="416"/>
      <c r="AL155" s="416"/>
      <c r="AM155" s="416"/>
    </row>
    <row r="156" spans="1:39" hidden="1" outlineLevel="2" x14ac:dyDescent="0.2">
      <c r="A156" s="162"/>
      <c r="B156" s="162"/>
      <c r="C156" s="158" t="s">
        <v>125</v>
      </c>
      <c r="D156" s="171">
        <f t="shared" ref="D156:I156" si="129">IF(INDEX(SANew,$B150,7)&gt;0,ROUND(D154/INDEX(SANew,$B150,2),0),0)</f>
        <v>0</v>
      </c>
      <c r="E156" s="171">
        <f t="shared" si="129"/>
        <v>0</v>
      </c>
      <c r="F156" s="171">
        <f t="shared" si="129"/>
        <v>0</v>
      </c>
      <c r="G156" s="171">
        <f t="shared" si="129"/>
        <v>0</v>
      </c>
      <c r="H156" s="171">
        <f t="shared" si="129"/>
        <v>0</v>
      </c>
      <c r="I156" s="171">
        <f t="shared" si="129"/>
        <v>0</v>
      </c>
      <c r="J156" s="162"/>
      <c r="K156" s="615"/>
      <c r="L156" s="640"/>
      <c r="M156" s="162"/>
      <c r="N156" s="615"/>
      <c r="O156" s="416"/>
      <c r="P156" s="416"/>
      <c r="Q156" s="416"/>
      <c r="R156" s="416"/>
      <c r="S156" s="416"/>
      <c r="T156" s="416"/>
      <c r="U156" s="416"/>
      <c r="V156" s="416"/>
      <c r="W156" s="416"/>
      <c r="X156" s="416"/>
      <c r="Y156" s="416"/>
      <c r="Z156" s="416"/>
      <c r="AA156" s="416"/>
      <c r="AB156" s="416"/>
      <c r="AC156" s="416"/>
      <c r="AD156" s="416"/>
      <c r="AE156" s="416"/>
      <c r="AF156" s="416"/>
      <c r="AG156" s="416"/>
      <c r="AH156" s="416"/>
      <c r="AI156" s="416"/>
      <c r="AJ156" s="416"/>
      <c r="AK156" s="416"/>
      <c r="AL156" s="416"/>
      <c r="AM156" s="416"/>
    </row>
    <row r="157" spans="1:39" hidden="1" outlineLevel="1" collapsed="1" x14ac:dyDescent="0.2">
      <c r="A157" s="162"/>
      <c r="B157" s="162"/>
      <c r="C157" s="695"/>
      <c r="D157" s="690"/>
      <c r="E157" s="694"/>
      <c r="F157" s="694"/>
      <c r="G157" s="694"/>
      <c r="H157" s="694"/>
      <c r="I157" s="694"/>
      <c r="J157" s="694"/>
      <c r="K157" s="694"/>
      <c r="L157" s="162"/>
      <c r="M157" s="162"/>
      <c r="N157" s="162"/>
      <c r="O157" s="416"/>
      <c r="P157" s="416"/>
      <c r="Q157" s="416"/>
      <c r="R157" s="416"/>
      <c r="S157" s="416"/>
      <c r="T157" s="416"/>
      <c r="U157" s="416"/>
      <c r="V157" s="416"/>
      <c r="W157" s="416"/>
      <c r="X157" s="416"/>
      <c r="Y157" s="416"/>
      <c r="Z157" s="416"/>
      <c r="AA157" s="416"/>
      <c r="AB157" s="416"/>
      <c r="AC157" s="416"/>
      <c r="AD157" s="416"/>
      <c r="AE157" s="416"/>
      <c r="AF157" s="416"/>
      <c r="AG157" s="416"/>
      <c r="AH157" s="416"/>
      <c r="AI157" s="416"/>
      <c r="AJ157" s="416"/>
      <c r="AK157" s="416"/>
      <c r="AL157" s="416"/>
      <c r="AM157" s="416"/>
    </row>
    <row r="158" spans="1:39" ht="15" hidden="1" outlineLevel="1" x14ac:dyDescent="0.2">
      <c r="A158" s="162"/>
      <c r="B158" s="298">
        <v>5</v>
      </c>
      <c r="C158" s="147" t="str">
        <f>INDEX(PBSScriptsNew,B158,1)</f>
        <v>** NOT USED **</v>
      </c>
      <c r="D158" s="139"/>
      <c r="E158" s="139"/>
      <c r="F158" s="139"/>
      <c r="G158" s="139"/>
      <c r="H158" s="139"/>
      <c r="I158" s="139"/>
      <c r="J158" s="139"/>
      <c r="K158" s="139"/>
      <c r="L158" s="133"/>
      <c r="M158" s="133"/>
      <c r="N158" s="133"/>
      <c r="O158" s="127"/>
      <c r="P158" s="127"/>
      <c r="Q158" s="127"/>
      <c r="R158" s="127"/>
      <c r="S158" s="127"/>
      <c r="T158" s="127"/>
      <c r="U158" s="127"/>
      <c r="V158" s="127"/>
      <c r="W158" s="127"/>
      <c r="X158" s="127"/>
      <c r="Y158" s="127"/>
      <c r="Z158" s="127"/>
      <c r="AA158" s="127"/>
      <c r="AB158" s="127"/>
      <c r="AC158" s="127"/>
      <c r="AD158" s="127"/>
      <c r="AE158" s="127"/>
      <c r="AF158" s="127"/>
      <c r="AG158" s="127"/>
      <c r="AH158" s="127"/>
      <c r="AI158" s="127"/>
      <c r="AJ158" s="127"/>
      <c r="AK158" s="127"/>
      <c r="AL158" s="127"/>
      <c r="AM158" s="127"/>
    </row>
    <row r="159" spans="1:39" hidden="1" outlineLevel="2" x14ac:dyDescent="0.2">
      <c r="A159" s="162"/>
      <c r="B159" s="162"/>
      <c r="C159" s="615"/>
      <c r="D159" s="397">
        <v>2</v>
      </c>
      <c r="E159" s="397">
        <v>3</v>
      </c>
      <c r="F159" s="397">
        <v>4</v>
      </c>
      <c r="G159" s="397">
        <v>5</v>
      </c>
      <c r="H159" s="397">
        <v>6</v>
      </c>
      <c r="I159" s="397">
        <v>7</v>
      </c>
      <c r="J159" s="624"/>
      <c r="K159" s="615"/>
      <c r="L159" s="615"/>
      <c r="M159" s="615"/>
      <c r="N159" s="615"/>
      <c r="O159" s="416"/>
      <c r="P159" s="416"/>
      <c r="Q159" s="416"/>
      <c r="R159" s="416"/>
      <c r="S159" s="416"/>
      <c r="T159" s="416"/>
      <c r="U159" s="416"/>
      <c r="V159" s="416"/>
      <c r="W159" s="416"/>
      <c r="X159" s="416"/>
      <c r="Y159" s="416"/>
      <c r="Z159" s="416"/>
      <c r="AA159" s="416"/>
      <c r="AB159" s="416"/>
      <c r="AC159" s="416"/>
      <c r="AD159" s="416"/>
      <c r="AE159" s="416"/>
      <c r="AF159" s="416"/>
      <c r="AG159" s="416"/>
      <c r="AH159" s="416"/>
      <c r="AI159" s="416"/>
      <c r="AJ159" s="416"/>
      <c r="AK159" s="416"/>
      <c r="AL159" s="416"/>
      <c r="AM159" s="416"/>
    </row>
    <row r="160" spans="1:39" hidden="1" outlineLevel="2" x14ac:dyDescent="0.2">
      <c r="A160" s="162"/>
      <c r="B160" s="162"/>
      <c r="C160" s="162"/>
      <c r="D160" s="630">
        <f>FirstYear</f>
        <v>2021</v>
      </c>
      <c r="E160" s="630">
        <f>D160+1</f>
        <v>2022</v>
      </c>
      <c r="F160" s="630">
        <f>E160+1</f>
        <v>2023</v>
      </c>
      <c r="G160" s="630">
        <f>F160+1</f>
        <v>2024</v>
      </c>
      <c r="H160" s="630">
        <f>G160+1</f>
        <v>2025</v>
      </c>
      <c r="I160" s="630">
        <f>H160+1</f>
        <v>2026</v>
      </c>
      <c r="J160" s="162"/>
      <c r="K160" s="162"/>
      <c r="L160" s="162"/>
      <c r="M160" s="162"/>
      <c r="N160" s="162"/>
      <c r="O160" s="416"/>
      <c r="P160" s="416"/>
      <c r="Q160" s="416"/>
      <c r="R160" s="416"/>
      <c r="S160" s="416"/>
      <c r="T160" s="416"/>
      <c r="U160" s="416"/>
      <c r="V160" s="416"/>
      <c r="W160" s="416"/>
      <c r="X160" s="416"/>
      <c r="Y160" s="416"/>
      <c r="Z160" s="416"/>
      <c r="AA160" s="416"/>
      <c r="AB160" s="416"/>
      <c r="AC160" s="416"/>
      <c r="AD160" s="416"/>
      <c r="AE160" s="416"/>
      <c r="AF160" s="416"/>
      <c r="AG160" s="416"/>
      <c r="AH160" s="416"/>
      <c r="AI160" s="416"/>
      <c r="AJ160" s="416"/>
      <c r="AK160" s="416"/>
      <c r="AL160" s="416"/>
      <c r="AM160" s="416"/>
    </row>
    <row r="161" spans="1:39" hidden="1" outlineLevel="2" x14ac:dyDescent="0.2">
      <c r="A161" s="162"/>
      <c r="B161" s="162"/>
      <c r="C161" s="170" t="s">
        <v>122</v>
      </c>
      <c r="D161" s="171">
        <f t="shared" ref="D161:I161" si="130">INDEX(PBSScriptsNew,$B158,D159)</f>
        <v>0</v>
      </c>
      <c r="E161" s="171">
        <f t="shared" si="130"/>
        <v>0</v>
      </c>
      <c r="F161" s="171">
        <f t="shared" si="130"/>
        <v>0</v>
      </c>
      <c r="G161" s="171">
        <f t="shared" si="130"/>
        <v>0</v>
      </c>
      <c r="H161" s="171">
        <f t="shared" si="130"/>
        <v>0</v>
      </c>
      <c r="I161" s="171">
        <f t="shared" si="130"/>
        <v>0</v>
      </c>
      <c r="J161" s="162"/>
      <c r="K161" s="162"/>
      <c r="L161" s="162"/>
      <c r="M161" s="162"/>
      <c r="N161" s="693"/>
      <c r="O161" s="416"/>
      <c r="P161" s="416"/>
      <c r="Q161" s="416"/>
      <c r="R161" s="416"/>
      <c r="S161" s="416"/>
      <c r="T161" s="416"/>
      <c r="U161" s="416"/>
      <c r="V161" s="416"/>
      <c r="W161" s="416"/>
      <c r="X161" s="416"/>
      <c r="Y161" s="416"/>
      <c r="Z161" s="416"/>
      <c r="AA161" s="416"/>
      <c r="AB161" s="416"/>
      <c r="AC161" s="416"/>
      <c r="AD161" s="416"/>
      <c r="AE161" s="416"/>
      <c r="AF161" s="416"/>
      <c r="AG161" s="416"/>
      <c r="AH161" s="416"/>
      <c r="AI161" s="416"/>
      <c r="AJ161" s="416"/>
      <c r="AK161" s="416"/>
      <c r="AL161" s="416"/>
      <c r="AM161" s="416"/>
    </row>
    <row r="162" spans="1:39" hidden="1" outlineLevel="2" x14ac:dyDescent="0.2">
      <c r="A162" s="162"/>
      <c r="B162" s="162"/>
      <c r="C162" s="170" t="s">
        <v>123</v>
      </c>
      <c r="D162" s="171">
        <f t="shared" ref="D162:I162" si="131">INDEX(RPBSScriptsNew,$B158,D159)</f>
        <v>0</v>
      </c>
      <c r="E162" s="171">
        <f t="shared" si="131"/>
        <v>0</v>
      </c>
      <c r="F162" s="171">
        <f t="shared" si="131"/>
        <v>0</v>
      </c>
      <c r="G162" s="171">
        <f t="shared" si="131"/>
        <v>0</v>
      </c>
      <c r="H162" s="171">
        <f t="shared" si="131"/>
        <v>0</v>
      </c>
      <c r="I162" s="171">
        <f t="shared" si="131"/>
        <v>0</v>
      </c>
      <c r="J162" s="162"/>
      <c r="K162" s="162"/>
      <c r="L162" s="162"/>
      <c r="M162" s="162"/>
      <c r="N162" s="162"/>
      <c r="O162" s="416"/>
      <c r="P162" s="416"/>
      <c r="Q162" s="416"/>
      <c r="R162" s="416"/>
      <c r="S162" s="416"/>
      <c r="T162" s="416"/>
      <c r="U162" s="416"/>
      <c r="V162" s="416"/>
      <c r="W162" s="416"/>
      <c r="X162" s="416"/>
      <c r="Y162" s="416"/>
      <c r="Z162" s="416"/>
      <c r="AA162" s="416"/>
      <c r="AB162" s="416"/>
      <c r="AC162" s="416"/>
      <c r="AD162" s="416"/>
      <c r="AE162" s="416"/>
      <c r="AF162" s="416"/>
      <c r="AG162" s="416"/>
      <c r="AH162" s="416"/>
      <c r="AI162" s="416"/>
      <c r="AJ162" s="416"/>
      <c r="AK162" s="416"/>
      <c r="AL162" s="416"/>
      <c r="AM162" s="416"/>
    </row>
    <row r="163" spans="1:39" hidden="1" outlineLevel="2" x14ac:dyDescent="0.2">
      <c r="A163" s="162"/>
      <c r="B163" s="162"/>
      <c r="C163" s="158" t="s">
        <v>124</v>
      </c>
      <c r="D163" s="171">
        <f t="shared" ref="D163:I163" si="132">IF(INDEX(SANew,$B158,7)&gt;0,ROUND(D161/INDEX(SANew,$B158,2),0),0)</f>
        <v>0</v>
      </c>
      <c r="E163" s="171">
        <f t="shared" si="132"/>
        <v>0</v>
      </c>
      <c r="F163" s="171">
        <f t="shared" si="132"/>
        <v>0</v>
      </c>
      <c r="G163" s="171">
        <f t="shared" si="132"/>
        <v>0</v>
      </c>
      <c r="H163" s="171">
        <f t="shared" si="132"/>
        <v>0</v>
      </c>
      <c r="I163" s="171">
        <f t="shared" si="132"/>
        <v>0</v>
      </c>
      <c r="J163" s="162"/>
      <c r="K163" s="615"/>
      <c r="L163" s="640"/>
      <c r="M163" s="162"/>
      <c r="N163" s="615"/>
      <c r="O163" s="416"/>
      <c r="P163" s="416"/>
      <c r="Q163" s="416"/>
      <c r="R163" s="416"/>
      <c r="S163" s="416"/>
      <c r="T163" s="416"/>
      <c r="U163" s="416"/>
      <c r="V163" s="416"/>
      <c r="W163" s="416"/>
      <c r="X163" s="416"/>
      <c r="Y163" s="416"/>
      <c r="Z163" s="416"/>
      <c r="AA163" s="416"/>
      <c r="AB163" s="416"/>
      <c r="AC163" s="416"/>
      <c r="AD163" s="416"/>
      <c r="AE163" s="416"/>
      <c r="AF163" s="416"/>
      <c r="AG163" s="416"/>
      <c r="AH163" s="416"/>
      <c r="AI163" s="416"/>
      <c r="AJ163" s="416"/>
      <c r="AK163" s="416"/>
      <c r="AL163" s="416"/>
      <c r="AM163" s="416"/>
    </row>
    <row r="164" spans="1:39" hidden="1" outlineLevel="2" x14ac:dyDescent="0.2">
      <c r="A164" s="162"/>
      <c r="B164" s="162"/>
      <c r="C164" s="158" t="s">
        <v>125</v>
      </c>
      <c r="D164" s="171">
        <f t="shared" ref="D164:I164" si="133">IF(INDEX(SANew,$B158,7)&gt;0,ROUND(D162/INDEX(SANew,$B158,2),0),0)</f>
        <v>0</v>
      </c>
      <c r="E164" s="171">
        <f t="shared" si="133"/>
        <v>0</v>
      </c>
      <c r="F164" s="171">
        <f t="shared" si="133"/>
        <v>0</v>
      </c>
      <c r="G164" s="171">
        <f t="shared" si="133"/>
        <v>0</v>
      </c>
      <c r="H164" s="171">
        <f t="shared" si="133"/>
        <v>0</v>
      </c>
      <c r="I164" s="171">
        <f t="shared" si="133"/>
        <v>0</v>
      </c>
      <c r="J164" s="162"/>
      <c r="K164" s="615"/>
      <c r="L164" s="640"/>
      <c r="M164" s="162"/>
      <c r="N164" s="615"/>
      <c r="O164" s="416"/>
      <c r="P164" s="416"/>
      <c r="Q164" s="416"/>
      <c r="R164" s="416"/>
      <c r="S164" s="416"/>
      <c r="T164" s="416"/>
      <c r="U164" s="416"/>
      <c r="V164" s="416"/>
      <c r="W164" s="416"/>
      <c r="X164" s="416"/>
      <c r="Y164" s="416"/>
      <c r="Z164" s="416"/>
      <c r="AA164" s="416"/>
      <c r="AB164" s="416"/>
      <c r="AC164" s="416"/>
      <c r="AD164" s="416"/>
      <c r="AE164" s="416"/>
      <c r="AF164" s="416"/>
      <c r="AG164" s="416"/>
      <c r="AH164" s="416"/>
      <c r="AI164" s="416"/>
      <c r="AJ164" s="416"/>
      <c r="AK164" s="416"/>
      <c r="AL164" s="416"/>
      <c r="AM164" s="416"/>
    </row>
    <row r="165" spans="1:39" hidden="1" outlineLevel="1" collapsed="1" x14ac:dyDescent="0.2">
      <c r="A165" s="162"/>
      <c r="B165" s="162"/>
      <c r="C165" s="695"/>
      <c r="D165" s="690"/>
      <c r="E165" s="694"/>
      <c r="F165" s="694"/>
      <c r="G165" s="694"/>
      <c r="H165" s="694"/>
      <c r="I165" s="694"/>
      <c r="J165" s="694"/>
      <c r="K165" s="694"/>
      <c r="L165" s="162"/>
      <c r="M165" s="162"/>
      <c r="N165" s="162"/>
      <c r="O165" s="416"/>
      <c r="P165" s="416"/>
      <c r="Q165" s="416"/>
      <c r="R165" s="416"/>
      <c r="S165" s="416"/>
      <c r="T165" s="416"/>
      <c r="U165" s="416"/>
      <c r="V165" s="416"/>
      <c r="W165" s="416"/>
      <c r="X165" s="416"/>
      <c r="Y165" s="416"/>
      <c r="Z165" s="416"/>
      <c r="AA165" s="416"/>
      <c r="AB165" s="416"/>
      <c r="AC165" s="416"/>
      <c r="AD165" s="416"/>
      <c r="AE165" s="416"/>
      <c r="AF165" s="416"/>
      <c r="AG165" s="416"/>
      <c r="AH165" s="416"/>
      <c r="AI165" s="416"/>
      <c r="AJ165" s="416"/>
      <c r="AK165" s="416"/>
      <c r="AL165" s="416"/>
      <c r="AM165" s="416"/>
    </row>
    <row r="166" spans="1:39" ht="15" hidden="1" outlineLevel="1" x14ac:dyDescent="0.2">
      <c r="A166" s="162"/>
      <c r="B166" s="298">
        <v>6</v>
      </c>
      <c r="C166" s="147" t="str">
        <f>INDEX(PBSScriptsNew,B166,1)</f>
        <v>** NOT USED **</v>
      </c>
      <c r="D166" s="139"/>
      <c r="E166" s="139"/>
      <c r="F166" s="139"/>
      <c r="G166" s="139"/>
      <c r="H166" s="139"/>
      <c r="I166" s="139"/>
      <c r="J166" s="139"/>
      <c r="K166" s="139"/>
      <c r="L166" s="133"/>
      <c r="M166" s="133"/>
      <c r="N166" s="133"/>
      <c r="O166" s="127"/>
      <c r="P166" s="127"/>
      <c r="Q166" s="127"/>
      <c r="R166" s="127"/>
      <c r="S166" s="127"/>
      <c r="T166" s="127"/>
      <c r="U166" s="127"/>
      <c r="V166" s="127"/>
      <c r="W166" s="127"/>
      <c r="X166" s="127"/>
      <c r="Y166" s="127"/>
      <c r="Z166" s="127"/>
      <c r="AA166" s="127"/>
      <c r="AB166" s="127"/>
      <c r="AC166" s="127"/>
      <c r="AD166" s="127"/>
      <c r="AE166" s="127"/>
      <c r="AF166" s="127"/>
      <c r="AG166" s="127"/>
      <c r="AH166" s="127"/>
      <c r="AI166" s="127"/>
      <c r="AJ166" s="127"/>
      <c r="AK166" s="127"/>
      <c r="AL166" s="127"/>
      <c r="AM166" s="127"/>
    </row>
    <row r="167" spans="1:39" hidden="1" outlineLevel="2" x14ac:dyDescent="0.2">
      <c r="A167" s="162"/>
      <c r="B167" s="162"/>
      <c r="C167" s="615"/>
      <c r="D167" s="397">
        <v>2</v>
      </c>
      <c r="E167" s="397">
        <v>3</v>
      </c>
      <c r="F167" s="397">
        <v>4</v>
      </c>
      <c r="G167" s="397">
        <v>5</v>
      </c>
      <c r="H167" s="397">
        <v>6</v>
      </c>
      <c r="I167" s="397">
        <v>7</v>
      </c>
      <c r="J167" s="624"/>
      <c r="K167" s="615"/>
      <c r="L167" s="615"/>
      <c r="M167" s="615"/>
      <c r="N167" s="615"/>
      <c r="O167" s="416"/>
      <c r="P167" s="416"/>
      <c r="Q167" s="416"/>
      <c r="R167" s="416"/>
      <c r="S167" s="416"/>
      <c r="T167" s="416"/>
      <c r="U167" s="416"/>
      <c r="V167" s="416"/>
      <c r="W167" s="416"/>
      <c r="X167" s="416"/>
      <c r="Y167" s="416"/>
      <c r="Z167" s="416"/>
      <c r="AA167" s="416"/>
      <c r="AB167" s="416"/>
      <c r="AC167" s="416"/>
      <c r="AD167" s="416"/>
      <c r="AE167" s="416"/>
      <c r="AF167" s="416"/>
      <c r="AG167" s="416"/>
      <c r="AH167" s="416"/>
      <c r="AI167" s="416"/>
      <c r="AJ167" s="416"/>
      <c r="AK167" s="416"/>
      <c r="AL167" s="416"/>
      <c r="AM167" s="416"/>
    </row>
    <row r="168" spans="1:39" hidden="1" outlineLevel="2" x14ac:dyDescent="0.2">
      <c r="A168" s="162"/>
      <c r="B168" s="162"/>
      <c r="C168" s="162"/>
      <c r="D168" s="630">
        <f>FirstYear</f>
        <v>2021</v>
      </c>
      <c r="E168" s="630">
        <f>D168+1</f>
        <v>2022</v>
      </c>
      <c r="F168" s="630">
        <f>E168+1</f>
        <v>2023</v>
      </c>
      <c r="G168" s="630">
        <f>F168+1</f>
        <v>2024</v>
      </c>
      <c r="H168" s="630">
        <f>G168+1</f>
        <v>2025</v>
      </c>
      <c r="I168" s="630">
        <f>H168+1</f>
        <v>2026</v>
      </c>
      <c r="J168" s="162"/>
      <c r="K168" s="162"/>
      <c r="L168" s="162"/>
      <c r="M168" s="162"/>
      <c r="N168" s="162"/>
      <c r="O168" s="416"/>
      <c r="P168" s="416"/>
      <c r="Q168" s="416"/>
      <c r="R168" s="416"/>
      <c r="S168" s="416"/>
      <c r="T168" s="416"/>
      <c r="U168" s="416"/>
      <c r="V168" s="416"/>
      <c r="W168" s="416"/>
      <c r="X168" s="416"/>
      <c r="Y168" s="416"/>
      <c r="Z168" s="416"/>
      <c r="AA168" s="416"/>
      <c r="AB168" s="416"/>
      <c r="AC168" s="416"/>
      <c r="AD168" s="416"/>
      <c r="AE168" s="416"/>
      <c r="AF168" s="416"/>
      <c r="AG168" s="416"/>
      <c r="AH168" s="416"/>
      <c r="AI168" s="416"/>
      <c r="AJ168" s="416"/>
      <c r="AK168" s="416"/>
      <c r="AL168" s="416"/>
      <c r="AM168" s="416"/>
    </row>
    <row r="169" spans="1:39" hidden="1" outlineLevel="2" x14ac:dyDescent="0.2">
      <c r="A169" s="162"/>
      <c r="B169" s="162"/>
      <c r="C169" s="170" t="s">
        <v>122</v>
      </c>
      <c r="D169" s="171">
        <f t="shared" ref="D169:I169" si="134">INDEX(PBSScriptsNew,$B166,D167)</f>
        <v>0</v>
      </c>
      <c r="E169" s="171">
        <f t="shared" si="134"/>
        <v>0</v>
      </c>
      <c r="F169" s="171">
        <f t="shared" si="134"/>
        <v>0</v>
      </c>
      <c r="G169" s="171">
        <f t="shared" si="134"/>
        <v>0</v>
      </c>
      <c r="H169" s="171">
        <f t="shared" si="134"/>
        <v>0</v>
      </c>
      <c r="I169" s="171">
        <f t="shared" si="134"/>
        <v>0</v>
      </c>
      <c r="J169" s="162"/>
      <c r="K169" s="162"/>
      <c r="L169" s="162"/>
      <c r="M169" s="162"/>
      <c r="N169" s="693"/>
      <c r="O169" s="416"/>
      <c r="P169" s="416"/>
      <c r="Q169" s="416"/>
      <c r="R169" s="416"/>
      <c r="S169" s="416"/>
      <c r="T169" s="416"/>
      <c r="U169" s="416"/>
      <c r="V169" s="416"/>
      <c r="W169" s="416"/>
      <c r="X169" s="416"/>
      <c r="Y169" s="416"/>
      <c r="Z169" s="416"/>
      <c r="AA169" s="416"/>
      <c r="AB169" s="416"/>
      <c r="AC169" s="416"/>
      <c r="AD169" s="416"/>
      <c r="AE169" s="416"/>
      <c r="AF169" s="416"/>
      <c r="AG169" s="416"/>
      <c r="AH169" s="416"/>
      <c r="AI169" s="416"/>
      <c r="AJ169" s="416"/>
      <c r="AK169" s="416"/>
      <c r="AL169" s="416"/>
      <c r="AM169" s="416"/>
    </row>
    <row r="170" spans="1:39" hidden="1" outlineLevel="2" x14ac:dyDescent="0.2">
      <c r="A170" s="162"/>
      <c r="B170" s="162"/>
      <c r="C170" s="170" t="s">
        <v>123</v>
      </c>
      <c r="D170" s="171">
        <f t="shared" ref="D170:I170" si="135">INDEX(RPBSScriptsNew,$B166,D167)</f>
        <v>0</v>
      </c>
      <c r="E170" s="171">
        <f t="shared" si="135"/>
        <v>0</v>
      </c>
      <c r="F170" s="171">
        <f t="shared" si="135"/>
        <v>0</v>
      </c>
      <c r="G170" s="171">
        <f t="shared" si="135"/>
        <v>0</v>
      </c>
      <c r="H170" s="171">
        <f t="shared" si="135"/>
        <v>0</v>
      </c>
      <c r="I170" s="171">
        <f t="shared" si="135"/>
        <v>0</v>
      </c>
      <c r="J170" s="162"/>
      <c r="K170" s="162"/>
      <c r="L170" s="162"/>
      <c r="M170" s="162"/>
      <c r="N170" s="162"/>
      <c r="O170" s="416"/>
      <c r="P170" s="416"/>
      <c r="Q170" s="416"/>
      <c r="R170" s="416"/>
      <c r="S170" s="416"/>
      <c r="T170" s="416"/>
      <c r="U170" s="416"/>
      <c r="V170" s="416"/>
      <c r="W170" s="416"/>
      <c r="X170" s="416"/>
      <c r="Y170" s="416"/>
      <c r="Z170" s="416"/>
      <c r="AA170" s="416"/>
      <c r="AB170" s="416"/>
      <c r="AC170" s="416"/>
      <c r="AD170" s="416"/>
      <c r="AE170" s="416"/>
      <c r="AF170" s="416"/>
      <c r="AG170" s="416"/>
      <c r="AH170" s="416"/>
      <c r="AI170" s="416"/>
      <c r="AJ170" s="416"/>
      <c r="AK170" s="416"/>
      <c r="AL170" s="416"/>
      <c r="AM170" s="416"/>
    </row>
    <row r="171" spans="1:39" hidden="1" outlineLevel="2" x14ac:dyDescent="0.2">
      <c r="A171" s="162"/>
      <c r="B171" s="162"/>
      <c r="C171" s="158" t="s">
        <v>124</v>
      </c>
      <c r="D171" s="171">
        <f t="shared" ref="D171:I171" si="136">IF(INDEX(SANew,$B166,7)&gt;0,ROUND(D169/INDEX(SANew,$B166,2),0),0)</f>
        <v>0</v>
      </c>
      <c r="E171" s="171">
        <f t="shared" si="136"/>
        <v>0</v>
      </c>
      <c r="F171" s="171">
        <f t="shared" si="136"/>
        <v>0</v>
      </c>
      <c r="G171" s="171">
        <f t="shared" si="136"/>
        <v>0</v>
      </c>
      <c r="H171" s="171">
        <f t="shared" si="136"/>
        <v>0</v>
      </c>
      <c r="I171" s="171">
        <f t="shared" si="136"/>
        <v>0</v>
      </c>
      <c r="J171" s="162"/>
      <c r="K171" s="615"/>
      <c r="L171" s="640"/>
      <c r="M171" s="162"/>
      <c r="N171" s="615"/>
      <c r="O171" s="416"/>
      <c r="P171" s="416"/>
      <c r="Q171" s="416"/>
      <c r="R171" s="416"/>
      <c r="S171" s="416"/>
      <c r="T171" s="416"/>
      <c r="U171" s="416"/>
      <c r="V171" s="416"/>
      <c r="W171" s="416"/>
      <c r="X171" s="416"/>
      <c r="Y171" s="416"/>
      <c r="Z171" s="416"/>
      <c r="AA171" s="416"/>
      <c r="AB171" s="416"/>
      <c r="AC171" s="416"/>
      <c r="AD171" s="416"/>
      <c r="AE171" s="416"/>
      <c r="AF171" s="416"/>
      <c r="AG171" s="416"/>
      <c r="AH171" s="416"/>
      <c r="AI171" s="416"/>
      <c r="AJ171" s="416"/>
      <c r="AK171" s="416"/>
      <c r="AL171" s="416"/>
      <c r="AM171" s="416"/>
    </row>
    <row r="172" spans="1:39" hidden="1" outlineLevel="2" x14ac:dyDescent="0.2">
      <c r="A172" s="162"/>
      <c r="B172" s="162"/>
      <c r="C172" s="158" t="s">
        <v>125</v>
      </c>
      <c r="D172" s="171">
        <f t="shared" ref="D172:I172" si="137">IF(INDEX(SANew,$B166,7)&gt;0,ROUND(D170/INDEX(SANew,$B166,2),0),0)</f>
        <v>0</v>
      </c>
      <c r="E172" s="171">
        <f t="shared" si="137"/>
        <v>0</v>
      </c>
      <c r="F172" s="171">
        <f t="shared" si="137"/>
        <v>0</v>
      </c>
      <c r="G172" s="171">
        <f t="shared" si="137"/>
        <v>0</v>
      </c>
      <c r="H172" s="171">
        <f t="shared" si="137"/>
        <v>0</v>
      </c>
      <c r="I172" s="171">
        <f t="shared" si="137"/>
        <v>0</v>
      </c>
      <c r="J172" s="162"/>
      <c r="K172" s="615"/>
      <c r="L172" s="640"/>
      <c r="M172" s="162"/>
      <c r="N172" s="615"/>
      <c r="O172" s="416"/>
      <c r="P172" s="416"/>
      <c r="Q172" s="416"/>
      <c r="R172" s="416"/>
      <c r="S172" s="416"/>
      <c r="T172" s="416"/>
      <c r="U172" s="416"/>
      <c r="V172" s="416"/>
      <c r="W172" s="416"/>
      <c r="X172" s="416"/>
      <c r="Y172" s="416"/>
      <c r="Z172" s="416"/>
      <c r="AA172" s="416"/>
      <c r="AB172" s="416"/>
      <c r="AC172" s="416"/>
      <c r="AD172" s="416"/>
      <c r="AE172" s="416"/>
      <c r="AF172" s="416"/>
      <c r="AG172" s="416"/>
      <c r="AH172" s="416"/>
      <c r="AI172" s="416"/>
      <c r="AJ172" s="416"/>
      <c r="AK172" s="416"/>
      <c r="AL172" s="416"/>
      <c r="AM172" s="416"/>
    </row>
    <row r="173" spans="1:39" hidden="1" outlineLevel="1" collapsed="1" x14ac:dyDescent="0.2">
      <c r="A173" s="162"/>
      <c r="B173" s="162"/>
      <c r="C173" s="695"/>
      <c r="D173" s="690"/>
      <c r="E173" s="694"/>
      <c r="F173" s="694"/>
      <c r="G173" s="694"/>
      <c r="H173" s="694"/>
      <c r="I173" s="694"/>
      <c r="J173" s="694"/>
      <c r="K173" s="694"/>
      <c r="L173" s="162"/>
      <c r="M173" s="162"/>
      <c r="N173" s="162"/>
      <c r="O173" s="416"/>
      <c r="P173" s="416"/>
      <c r="Q173" s="416"/>
      <c r="R173" s="416"/>
      <c r="S173" s="416"/>
      <c r="T173" s="416"/>
      <c r="U173" s="416"/>
      <c r="V173" s="416"/>
      <c r="W173" s="416"/>
      <c r="X173" s="416"/>
      <c r="Y173" s="416"/>
      <c r="Z173" s="416"/>
      <c r="AA173" s="416"/>
      <c r="AB173" s="416"/>
      <c r="AC173" s="416"/>
      <c r="AD173" s="416"/>
      <c r="AE173" s="416"/>
      <c r="AF173" s="416"/>
      <c r="AG173" s="416"/>
      <c r="AH173" s="416"/>
      <c r="AI173" s="416"/>
      <c r="AJ173" s="416"/>
      <c r="AK173" s="416"/>
      <c r="AL173" s="416"/>
      <c r="AM173" s="416"/>
    </row>
    <row r="174" spans="1:39" ht="15" hidden="1" outlineLevel="1" x14ac:dyDescent="0.2">
      <c r="A174" s="162"/>
      <c r="B174" s="298">
        <v>7</v>
      </c>
      <c r="C174" s="147" t="str">
        <f>INDEX(PBSScriptsNew,B174,1)</f>
        <v>** NOT USED **</v>
      </c>
      <c r="D174" s="139"/>
      <c r="E174" s="139"/>
      <c r="F174" s="139"/>
      <c r="G174" s="139"/>
      <c r="H174" s="139"/>
      <c r="I174" s="139"/>
      <c r="J174" s="139"/>
      <c r="K174" s="139"/>
      <c r="L174" s="133"/>
      <c r="M174" s="133"/>
      <c r="N174" s="133"/>
      <c r="O174" s="127"/>
      <c r="P174" s="127"/>
      <c r="Q174" s="127"/>
      <c r="R174" s="127"/>
      <c r="S174" s="127"/>
      <c r="T174" s="127"/>
      <c r="U174" s="127"/>
      <c r="V174" s="127"/>
      <c r="W174" s="127"/>
      <c r="X174" s="127"/>
      <c r="Y174" s="127"/>
      <c r="Z174" s="127"/>
      <c r="AA174" s="127"/>
      <c r="AB174" s="127"/>
      <c r="AC174" s="127"/>
      <c r="AD174" s="127"/>
      <c r="AE174" s="127"/>
      <c r="AF174" s="127"/>
      <c r="AG174" s="127"/>
      <c r="AH174" s="127"/>
      <c r="AI174" s="127"/>
      <c r="AJ174" s="127"/>
      <c r="AK174" s="127"/>
      <c r="AL174" s="127"/>
      <c r="AM174" s="127"/>
    </row>
    <row r="175" spans="1:39" hidden="1" outlineLevel="2" x14ac:dyDescent="0.2">
      <c r="A175" s="162"/>
      <c r="B175" s="162"/>
      <c r="C175" s="615"/>
      <c r="D175" s="397">
        <v>2</v>
      </c>
      <c r="E175" s="397">
        <v>3</v>
      </c>
      <c r="F175" s="397">
        <v>4</v>
      </c>
      <c r="G175" s="397">
        <v>5</v>
      </c>
      <c r="H175" s="397">
        <v>6</v>
      </c>
      <c r="I175" s="397">
        <v>7</v>
      </c>
      <c r="J175" s="624"/>
      <c r="K175" s="615"/>
      <c r="L175" s="615"/>
      <c r="M175" s="615"/>
      <c r="N175" s="615"/>
      <c r="O175" s="416"/>
      <c r="P175" s="416"/>
      <c r="Q175" s="416"/>
      <c r="R175" s="416"/>
      <c r="S175" s="416"/>
      <c r="T175" s="416"/>
      <c r="U175" s="416"/>
      <c r="V175" s="416"/>
      <c r="W175" s="416"/>
      <c r="X175" s="416"/>
      <c r="Y175" s="416"/>
      <c r="Z175" s="416"/>
      <c r="AA175" s="416"/>
      <c r="AB175" s="416"/>
      <c r="AC175" s="416"/>
      <c r="AD175" s="416"/>
      <c r="AE175" s="416"/>
      <c r="AF175" s="416"/>
      <c r="AG175" s="416"/>
      <c r="AH175" s="416"/>
      <c r="AI175" s="416"/>
      <c r="AJ175" s="416"/>
      <c r="AK175" s="416"/>
      <c r="AL175" s="416"/>
      <c r="AM175" s="416"/>
    </row>
    <row r="176" spans="1:39" hidden="1" outlineLevel="2" x14ac:dyDescent="0.2">
      <c r="A176" s="162"/>
      <c r="B176" s="162"/>
      <c r="C176" s="162"/>
      <c r="D176" s="630">
        <f>FirstYear</f>
        <v>2021</v>
      </c>
      <c r="E176" s="630">
        <f>D176+1</f>
        <v>2022</v>
      </c>
      <c r="F176" s="630">
        <f>E176+1</f>
        <v>2023</v>
      </c>
      <c r="G176" s="630">
        <f>F176+1</f>
        <v>2024</v>
      </c>
      <c r="H176" s="630">
        <f>G176+1</f>
        <v>2025</v>
      </c>
      <c r="I176" s="630">
        <f>H176+1</f>
        <v>2026</v>
      </c>
      <c r="J176" s="162"/>
      <c r="K176" s="162"/>
      <c r="L176" s="162"/>
      <c r="M176" s="162"/>
      <c r="N176" s="162"/>
      <c r="O176" s="416"/>
      <c r="P176" s="416"/>
      <c r="Q176" s="416"/>
      <c r="R176" s="416"/>
      <c r="S176" s="416"/>
      <c r="T176" s="416"/>
      <c r="U176" s="416"/>
      <c r="V176" s="416"/>
      <c r="W176" s="416"/>
      <c r="X176" s="416"/>
      <c r="Y176" s="416"/>
      <c r="Z176" s="416"/>
      <c r="AA176" s="416"/>
      <c r="AB176" s="416"/>
      <c r="AC176" s="416"/>
      <c r="AD176" s="416"/>
      <c r="AE176" s="416"/>
      <c r="AF176" s="416"/>
      <c r="AG176" s="416"/>
      <c r="AH176" s="416"/>
      <c r="AI176" s="416"/>
      <c r="AJ176" s="416"/>
      <c r="AK176" s="416"/>
      <c r="AL176" s="416"/>
      <c r="AM176" s="416"/>
    </row>
    <row r="177" spans="1:39" hidden="1" outlineLevel="2" x14ac:dyDescent="0.2">
      <c r="A177" s="162"/>
      <c r="B177" s="162"/>
      <c r="C177" s="170" t="s">
        <v>122</v>
      </c>
      <c r="D177" s="171">
        <f t="shared" ref="D177:I177" si="138">INDEX(PBSScriptsNew,$B174,D175)</f>
        <v>0</v>
      </c>
      <c r="E177" s="171">
        <f t="shared" si="138"/>
        <v>0</v>
      </c>
      <c r="F177" s="171">
        <f t="shared" si="138"/>
        <v>0</v>
      </c>
      <c r="G177" s="171">
        <f t="shared" si="138"/>
        <v>0</v>
      </c>
      <c r="H177" s="171">
        <f t="shared" si="138"/>
        <v>0</v>
      </c>
      <c r="I177" s="171">
        <f t="shared" si="138"/>
        <v>0</v>
      </c>
      <c r="J177" s="162"/>
      <c r="K177" s="162"/>
      <c r="L177" s="162"/>
      <c r="M177" s="162"/>
      <c r="N177" s="693"/>
      <c r="O177" s="416"/>
      <c r="P177" s="416"/>
      <c r="Q177" s="416"/>
      <c r="R177" s="416"/>
      <c r="S177" s="416"/>
      <c r="T177" s="416"/>
      <c r="U177" s="416"/>
      <c r="V177" s="416"/>
      <c r="W177" s="416"/>
      <c r="X177" s="416"/>
      <c r="Y177" s="416"/>
      <c r="Z177" s="416"/>
      <c r="AA177" s="416"/>
      <c r="AB177" s="416"/>
      <c r="AC177" s="416"/>
      <c r="AD177" s="416"/>
      <c r="AE177" s="416"/>
      <c r="AF177" s="416"/>
      <c r="AG177" s="416"/>
      <c r="AH177" s="416"/>
      <c r="AI177" s="416"/>
      <c r="AJ177" s="416"/>
      <c r="AK177" s="416"/>
      <c r="AL177" s="416"/>
      <c r="AM177" s="416"/>
    </row>
    <row r="178" spans="1:39" hidden="1" outlineLevel="2" x14ac:dyDescent="0.2">
      <c r="A178" s="162"/>
      <c r="B178" s="162"/>
      <c r="C178" s="170" t="s">
        <v>123</v>
      </c>
      <c r="D178" s="171">
        <f t="shared" ref="D178:I178" si="139">INDEX(RPBSScriptsNew,$B174,D175)</f>
        <v>0</v>
      </c>
      <c r="E178" s="171">
        <f t="shared" si="139"/>
        <v>0</v>
      </c>
      <c r="F178" s="171">
        <f t="shared" si="139"/>
        <v>0</v>
      </c>
      <c r="G178" s="171">
        <f t="shared" si="139"/>
        <v>0</v>
      </c>
      <c r="H178" s="171">
        <f t="shared" si="139"/>
        <v>0</v>
      </c>
      <c r="I178" s="171">
        <f t="shared" si="139"/>
        <v>0</v>
      </c>
      <c r="J178" s="162"/>
      <c r="K178" s="162"/>
      <c r="L178" s="162"/>
      <c r="M178" s="162"/>
      <c r="N178" s="162"/>
      <c r="O178" s="416"/>
      <c r="P178" s="416"/>
      <c r="Q178" s="416"/>
      <c r="R178" s="416"/>
      <c r="S178" s="416"/>
      <c r="T178" s="416"/>
      <c r="U178" s="416"/>
      <c r="V178" s="416"/>
      <c r="W178" s="416"/>
      <c r="X178" s="416"/>
      <c r="Y178" s="416"/>
      <c r="Z178" s="416"/>
      <c r="AA178" s="416"/>
      <c r="AB178" s="416"/>
      <c r="AC178" s="416"/>
      <c r="AD178" s="416"/>
      <c r="AE178" s="416"/>
      <c r="AF178" s="416"/>
      <c r="AG178" s="416"/>
      <c r="AH178" s="416"/>
      <c r="AI178" s="416"/>
      <c r="AJ178" s="416"/>
      <c r="AK178" s="416"/>
      <c r="AL178" s="416"/>
      <c r="AM178" s="416"/>
    </row>
    <row r="179" spans="1:39" hidden="1" outlineLevel="2" x14ac:dyDescent="0.2">
      <c r="A179" s="162"/>
      <c r="B179" s="162"/>
      <c r="C179" s="158" t="s">
        <v>124</v>
      </c>
      <c r="D179" s="171">
        <f t="shared" ref="D179:I179" si="140">IF(INDEX(SANew,$B174,7)&gt;0,ROUND(D177/INDEX(SANew,$B174,2),0),0)</f>
        <v>0</v>
      </c>
      <c r="E179" s="171">
        <f t="shared" si="140"/>
        <v>0</v>
      </c>
      <c r="F179" s="171">
        <f t="shared" si="140"/>
        <v>0</v>
      </c>
      <c r="G179" s="171">
        <f t="shared" si="140"/>
        <v>0</v>
      </c>
      <c r="H179" s="171">
        <f t="shared" si="140"/>
        <v>0</v>
      </c>
      <c r="I179" s="171">
        <f t="shared" si="140"/>
        <v>0</v>
      </c>
      <c r="J179" s="162"/>
      <c r="K179" s="615"/>
      <c r="L179" s="640"/>
      <c r="M179" s="162"/>
      <c r="N179" s="615"/>
      <c r="O179" s="416"/>
      <c r="P179" s="416"/>
      <c r="Q179" s="416"/>
      <c r="R179" s="416"/>
      <c r="S179" s="416"/>
      <c r="T179" s="416"/>
      <c r="U179" s="416"/>
      <c r="V179" s="416"/>
      <c r="W179" s="416"/>
      <c r="X179" s="416"/>
      <c r="Y179" s="416"/>
      <c r="Z179" s="416"/>
      <c r="AA179" s="416"/>
      <c r="AB179" s="416"/>
      <c r="AC179" s="416"/>
      <c r="AD179" s="416"/>
      <c r="AE179" s="416"/>
      <c r="AF179" s="416"/>
      <c r="AG179" s="416"/>
      <c r="AH179" s="416"/>
      <c r="AI179" s="416"/>
      <c r="AJ179" s="416"/>
      <c r="AK179" s="416"/>
      <c r="AL179" s="416"/>
      <c r="AM179" s="416"/>
    </row>
    <row r="180" spans="1:39" hidden="1" outlineLevel="2" x14ac:dyDescent="0.2">
      <c r="A180" s="162"/>
      <c r="B180" s="162"/>
      <c r="C180" s="158" t="s">
        <v>125</v>
      </c>
      <c r="D180" s="171">
        <f t="shared" ref="D180:I180" si="141">IF(INDEX(SANew,$B174,7)&gt;0,ROUND(D178/INDEX(SANew,$B174,2),0),0)</f>
        <v>0</v>
      </c>
      <c r="E180" s="171">
        <f t="shared" si="141"/>
        <v>0</v>
      </c>
      <c r="F180" s="171">
        <f t="shared" si="141"/>
        <v>0</v>
      </c>
      <c r="G180" s="171">
        <f t="shared" si="141"/>
        <v>0</v>
      </c>
      <c r="H180" s="171">
        <f t="shared" si="141"/>
        <v>0</v>
      </c>
      <c r="I180" s="171">
        <f t="shared" si="141"/>
        <v>0</v>
      </c>
      <c r="J180" s="162"/>
      <c r="K180" s="615"/>
      <c r="L180" s="640"/>
      <c r="M180" s="162"/>
      <c r="N180" s="615"/>
      <c r="O180" s="416"/>
      <c r="P180" s="416"/>
      <c r="Q180" s="416"/>
      <c r="R180" s="416"/>
      <c r="S180" s="416"/>
      <c r="T180" s="416"/>
      <c r="U180" s="416"/>
      <c r="V180" s="416"/>
      <c r="W180" s="416"/>
      <c r="X180" s="416"/>
      <c r="Y180" s="416"/>
      <c r="Z180" s="416"/>
      <c r="AA180" s="416"/>
      <c r="AB180" s="416"/>
      <c r="AC180" s="416"/>
      <c r="AD180" s="416"/>
      <c r="AE180" s="416"/>
      <c r="AF180" s="416"/>
      <c r="AG180" s="416"/>
      <c r="AH180" s="416"/>
      <c r="AI180" s="416"/>
      <c r="AJ180" s="416"/>
      <c r="AK180" s="416"/>
      <c r="AL180" s="416"/>
      <c r="AM180" s="416"/>
    </row>
    <row r="181" spans="1:39" hidden="1" outlineLevel="1" collapsed="1" x14ac:dyDescent="0.2">
      <c r="A181" s="162"/>
      <c r="B181" s="162"/>
      <c r="C181" s="695"/>
      <c r="D181" s="690"/>
      <c r="E181" s="694"/>
      <c r="F181" s="694"/>
      <c r="G181" s="694"/>
      <c r="H181" s="694"/>
      <c r="I181" s="694"/>
      <c r="J181" s="694"/>
      <c r="K181" s="694"/>
      <c r="L181" s="162"/>
      <c r="M181" s="162"/>
      <c r="N181" s="162"/>
      <c r="O181" s="416"/>
      <c r="P181" s="416"/>
      <c r="Q181" s="416"/>
      <c r="R181" s="416"/>
      <c r="S181" s="416"/>
      <c r="T181" s="416"/>
      <c r="U181" s="416"/>
      <c r="V181" s="416"/>
      <c r="W181" s="416"/>
      <c r="X181" s="416"/>
      <c r="Y181" s="416"/>
      <c r="Z181" s="416"/>
      <c r="AA181" s="416"/>
      <c r="AB181" s="416"/>
      <c r="AC181" s="416"/>
      <c r="AD181" s="416"/>
      <c r="AE181" s="416"/>
      <c r="AF181" s="416"/>
      <c r="AG181" s="416"/>
      <c r="AH181" s="416"/>
      <c r="AI181" s="416"/>
      <c r="AJ181" s="416"/>
      <c r="AK181" s="416"/>
      <c r="AL181" s="416"/>
      <c r="AM181" s="416"/>
    </row>
    <row r="182" spans="1:39" ht="15" hidden="1" outlineLevel="1" x14ac:dyDescent="0.2">
      <c r="A182" s="162"/>
      <c r="B182" s="298">
        <v>8</v>
      </c>
      <c r="C182" s="147" t="str">
        <f>INDEX(PBSScriptsNew,B182,1)</f>
        <v>** NOT USED **</v>
      </c>
      <c r="D182" s="139"/>
      <c r="E182" s="139"/>
      <c r="F182" s="139"/>
      <c r="G182" s="139"/>
      <c r="H182" s="139"/>
      <c r="I182" s="139"/>
      <c r="J182" s="139"/>
      <c r="K182" s="139"/>
      <c r="L182" s="133"/>
      <c r="M182" s="133"/>
      <c r="N182" s="133"/>
      <c r="O182" s="127"/>
      <c r="P182" s="127"/>
      <c r="Q182" s="127"/>
      <c r="R182" s="127"/>
      <c r="S182" s="127"/>
      <c r="T182" s="127"/>
      <c r="U182" s="127"/>
      <c r="V182" s="127"/>
      <c r="W182" s="127"/>
      <c r="X182" s="127"/>
      <c r="Y182" s="127"/>
      <c r="Z182" s="127"/>
      <c r="AA182" s="127"/>
      <c r="AB182" s="127"/>
      <c r="AC182" s="127"/>
      <c r="AD182" s="127"/>
      <c r="AE182" s="127"/>
      <c r="AF182" s="127"/>
      <c r="AG182" s="127"/>
      <c r="AH182" s="127"/>
      <c r="AI182" s="127"/>
      <c r="AJ182" s="127"/>
      <c r="AK182" s="127"/>
      <c r="AL182" s="127"/>
      <c r="AM182" s="127"/>
    </row>
    <row r="183" spans="1:39" hidden="1" outlineLevel="2" x14ac:dyDescent="0.2">
      <c r="A183" s="162"/>
      <c r="B183" s="162"/>
      <c r="C183" s="615"/>
      <c r="D183" s="397">
        <v>2</v>
      </c>
      <c r="E183" s="397">
        <v>3</v>
      </c>
      <c r="F183" s="397">
        <v>4</v>
      </c>
      <c r="G183" s="397">
        <v>5</v>
      </c>
      <c r="H183" s="397">
        <v>6</v>
      </c>
      <c r="I183" s="397">
        <v>7</v>
      </c>
      <c r="J183" s="624"/>
      <c r="K183" s="615"/>
      <c r="L183" s="615"/>
      <c r="M183" s="615"/>
      <c r="N183" s="615"/>
      <c r="O183" s="416"/>
      <c r="P183" s="416"/>
      <c r="Q183" s="416"/>
      <c r="R183" s="416"/>
      <c r="S183" s="416"/>
      <c r="T183" s="416"/>
      <c r="U183" s="416"/>
      <c r="V183" s="416"/>
      <c r="W183" s="416"/>
      <c r="X183" s="416"/>
      <c r="Y183" s="416"/>
      <c r="Z183" s="416"/>
      <c r="AA183" s="416"/>
      <c r="AB183" s="416"/>
      <c r="AC183" s="416"/>
      <c r="AD183" s="416"/>
      <c r="AE183" s="416"/>
      <c r="AF183" s="416"/>
      <c r="AG183" s="416"/>
      <c r="AH183" s="416"/>
      <c r="AI183" s="416"/>
      <c r="AJ183" s="416"/>
      <c r="AK183" s="416"/>
      <c r="AL183" s="416"/>
      <c r="AM183" s="416"/>
    </row>
    <row r="184" spans="1:39" hidden="1" outlineLevel="2" x14ac:dyDescent="0.2">
      <c r="A184" s="162"/>
      <c r="B184" s="162"/>
      <c r="C184" s="162"/>
      <c r="D184" s="630">
        <f>FirstYear</f>
        <v>2021</v>
      </c>
      <c r="E184" s="630">
        <f>D184+1</f>
        <v>2022</v>
      </c>
      <c r="F184" s="630">
        <f>E184+1</f>
        <v>2023</v>
      </c>
      <c r="G184" s="630">
        <f>F184+1</f>
        <v>2024</v>
      </c>
      <c r="H184" s="630">
        <f>G184+1</f>
        <v>2025</v>
      </c>
      <c r="I184" s="630">
        <f>H184+1</f>
        <v>2026</v>
      </c>
      <c r="J184" s="162"/>
      <c r="K184" s="162"/>
      <c r="L184" s="162"/>
      <c r="M184" s="162"/>
      <c r="N184" s="162"/>
      <c r="O184" s="416"/>
      <c r="P184" s="416"/>
      <c r="Q184" s="416"/>
      <c r="R184" s="416"/>
      <c r="S184" s="416"/>
      <c r="T184" s="416"/>
      <c r="U184" s="416"/>
      <c r="V184" s="416"/>
      <c r="W184" s="416"/>
      <c r="X184" s="416"/>
      <c r="Y184" s="416"/>
      <c r="Z184" s="416"/>
      <c r="AA184" s="416"/>
      <c r="AB184" s="416"/>
      <c r="AC184" s="416"/>
      <c r="AD184" s="416"/>
      <c r="AE184" s="416"/>
      <c r="AF184" s="416"/>
      <c r="AG184" s="416"/>
      <c r="AH184" s="416"/>
      <c r="AI184" s="416"/>
      <c r="AJ184" s="416"/>
      <c r="AK184" s="416"/>
      <c r="AL184" s="416"/>
      <c r="AM184" s="416"/>
    </row>
    <row r="185" spans="1:39" hidden="1" outlineLevel="2" x14ac:dyDescent="0.2">
      <c r="A185" s="162"/>
      <c r="B185" s="162"/>
      <c r="C185" s="170" t="s">
        <v>122</v>
      </c>
      <c r="D185" s="171">
        <f t="shared" ref="D185:I185" si="142">INDEX(PBSScriptsNew,$B182,D183)</f>
        <v>0</v>
      </c>
      <c r="E185" s="171">
        <f t="shared" si="142"/>
        <v>0</v>
      </c>
      <c r="F185" s="171">
        <f t="shared" si="142"/>
        <v>0</v>
      </c>
      <c r="G185" s="171">
        <f t="shared" si="142"/>
        <v>0</v>
      </c>
      <c r="H185" s="171">
        <f t="shared" si="142"/>
        <v>0</v>
      </c>
      <c r="I185" s="171">
        <f t="shared" si="142"/>
        <v>0</v>
      </c>
      <c r="J185" s="162"/>
      <c r="K185" s="162"/>
      <c r="L185" s="162"/>
      <c r="M185" s="162"/>
      <c r="N185" s="693"/>
      <c r="O185" s="416"/>
      <c r="P185" s="416"/>
      <c r="Q185" s="416"/>
      <c r="R185" s="416"/>
      <c r="S185" s="416"/>
      <c r="T185" s="416"/>
      <c r="U185" s="416"/>
      <c r="V185" s="416"/>
      <c r="W185" s="416"/>
      <c r="X185" s="416"/>
      <c r="Y185" s="416"/>
      <c r="Z185" s="416"/>
      <c r="AA185" s="416"/>
      <c r="AB185" s="416"/>
      <c r="AC185" s="416"/>
      <c r="AD185" s="416"/>
      <c r="AE185" s="416"/>
      <c r="AF185" s="416"/>
      <c r="AG185" s="416"/>
      <c r="AH185" s="416"/>
      <c r="AI185" s="416"/>
      <c r="AJ185" s="416"/>
      <c r="AK185" s="416"/>
      <c r="AL185" s="416"/>
      <c r="AM185" s="416"/>
    </row>
    <row r="186" spans="1:39" hidden="1" outlineLevel="2" x14ac:dyDescent="0.2">
      <c r="A186" s="162"/>
      <c r="B186" s="162"/>
      <c r="C186" s="170" t="s">
        <v>123</v>
      </c>
      <c r="D186" s="171">
        <f t="shared" ref="D186:I186" si="143">INDEX(RPBSScriptsNew,$B182,D183)</f>
        <v>0</v>
      </c>
      <c r="E186" s="171">
        <f t="shared" si="143"/>
        <v>0</v>
      </c>
      <c r="F186" s="171">
        <f t="shared" si="143"/>
        <v>0</v>
      </c>
      <c r="G186" s="171">
        <f t="shared" si="143"/>
        <v>0</v>
      </c>
      <c r="H186" s="171">
        <f t="shared" si="143"/>
        <v>0</v>
      </c>
      <c r="I186" s="171">
        <f t="shared" si="143"/>
        <v>0</v>
      </c>
      <c r="J186" s="162"/>
      <c r="K186" s="162"/>
      <c r="L186" s="162"/>
      <c r="M186" s="162"/>
      <c r="N186" s="162"/>
      <c r="O186" s="416"/>
      <c r="P186" s="416"/>
      <c r="Q186" s="416"/>
      <c r="R186" s="416"/>
      <c r="S186" s="416"/>
      <c r="T186" s="416"/>
      <c r="U186" s="416"/>
      <c r="V186" s="416"/>
      <c r="W186" s="416"/>
      <c r="X186" s="416"/>
      <c r="Y186" s="416"/>
      <c r="Z186" s="416"/>
      <c r="AA186" s="416"/>
      <c r="AB186" s="416"/>
      <c r="AC186" s="416"/>
      <c r="AD186" s="416"/>
      <c r="AE186" s="416"/>
      <c r="AF186" s="416"/>
      <c r="AG186" s="416"/>
      <c r="AH186" s="416"/>
      <c r="AI186" s="416"/>
      <c r="AJ186" s="416"/>
      <c r="AK186" s="416"/>
      <c r="AL186" s="416"/>
      <c r="AM186" s="416"/>
    </row>
    <row r="187" spans="1:39" hidden="1" outlineLevel="2" x14ac:dyDescent="0.2">
      <c r="A187" s="162"/>
      <c r="B187" s="162"/>
      <c r="C187" s="158" t="s">
        <v>124</v>
      </c>
      <c r="D187" s="171">
        <f t="shared" ref="D187:I187" si="144">IF(INDEX(SANew,$B182,7)&gt;0,ROUND(D185/INDEX(SANew,$B182,2),0),0)</f>
        <v>0</v>
      </c>
      <c r="E187" s="171">
        <f t="shared" si="144"/>
        <v>0</v>
      </c>
      <c r="F187" s="171">
        <f t="shared" si="144"/>
        <v>0</v>
      </c>
      <c r="G187" s="171">
        <f t="shared" si="144"/>
        <v>0</v>
      </c>
      <c r="H187" s="171">
        <f t="shared" si="144"/>
        <v>0</v>
      </c>
      <c r="I187" s="171">
        <f t="shared" si="144"/>
        <v>0</v>
      </c>
      <c r="J187" s="162"/>
      <c r="K187" s="615"/>
      <c r="L187" s="640"/>
      <c r="M187" s="162"/>
      <c r="N187" s="615"/>
      <c r="O187" s="416"/>
      <c r="P187" s="416"/>
      <c r="Q187" s="416"/>
      <c r="R187" s="416"/>
      <c r="S187" s="416"/>
      <c r="T187" s="416"/>
      <c r="U187" s="416"/>
      <c r="V187" s="416"/>
      <c r="W187" s="416"/>
      <c r="X187" s="416"/>
      <c r="Y187" s="416"/>
      <c r="Z187" s="416"/>
      <c r="AA187" s="416"/>
      <c r="AB187" s="416"/>
      <c r="AC187" s="416"/>
      <c r="AD187" s="416"/>
      <c r="AE187" s="416"/>
      <c r="AF187" s="416"/>
      <c r="AG187" s="416"/>
      <c r="AH187" s="416"/>
      <c r="AI187" s="416"/>
      <c r="AJ187" s="416"/>
      <c r="AK187" s="416"/>
      <c r="AL187" s="416"/>
      <c r="AM187" s="416"/>
    </row>
    <row r="188" spans="1:39" hidden="1" outlineLevel="2" x14ac:dyDescent="0.2">
      <c r="A188" s="162"/>
      <c r="B188" s="162"/>
      <c r="C188" s="158" t="s">
        <v>125</v>
      </c>
      <c r="D188" s="171">
        <f t="shared" ref="D188:I188" si="145">IF(INDEX(SANew,$B182,7)&gt;0,ROUND(D186/INDEX(SANew,$B182,2),0),0)</f>
        <v>0</v>
      </c>
      <c r="E188" s="171">
        <f t="shared" si="145"/>
        <v>0</v>
      </c>
      <c r="F188" s="171">
        <f t="shared" si="145"/>
        <v>0</v>
      </c>
      <c r="G188" s="171">
        <f t="shared" si="145"/>
        <v>0</v>
      </c>
      <c r="H188" s="171">
        <f t="shared" si="145"/>
        <v>0</v>
      </c>
      <c r="I188" s="171">
        <f t="shared" si="145"/>
        <v>0</v>
      </c>
      <c r="J188" s="162"/>
      <c r="K188" s="615"/>
      <c r="L188" s="640"/>
      <c r="M188" s="162"/>
      <c r="N188" s="615"/>
      <c r="O188" s="416"/>
      <c r="P188" s="416"/>
      <c r="Q188" s="416"/>
      <c r="R188" s="416"/>
      <c r="S188" s="416"/>
      <c r="T188" s="416"/>
      <c r="U188" s="416"/>
      <c r="V188" s="416"/>
      <c r="W188" s="416"/>
      <c r="X188" s="416"/>
      <c r="Y188" s="416"/>
      <c r="Z188" s="416"/>
      <c r="AA188" s="416"/>
      <c r="AB188" s="416"/>
      <c r="AC188" s="416"/>
      <c r="AD188" s="416"/>
      <c r="AE188" s="416"/>
      <c r="AF188" s="416"/>
      <c r="AG188" s="416"/>
      <c r="AH188" s="416"/>
      <c r="AI188" s="416"/>
      <c r="AJ188" s="416"/>
      <c r="AK188" s="416"/>
      <c r="AL188" s="416"/>
      <c r="AM188" s="416"/>
    </row>
    <row r="189" spans="1:39" hidden="1" outlineLevel="1" collapsed="1" x14ac:dyDescent="0.2">
      <c r="A189" s="162"/>
      <c r="B189" s="162"/>
      <c r="C189" s="695"/>
      <c r="D189" s="690"/>
      <c r="E189" s="694"/>
      <c r="F189" s="694"/>
      <c r="G189" s="694"/>
      <c r="H189" s="694"/>
      <c r="I189" s="694"/>
      <c r="J189" s="694"/>
      <c r="K189" s="694"/>
      <c r="L189" s="162"/>
      <c r="M189" s="162"/>
      <c r="N189" s="162"/>
      <c r="O189" s="416"/>
      <c r="P189" s="416"/>
      <c r="Q189" s="416"/>
      <c r="R189" s="416"/>
      <c r="S189" s="416"/>
      <c r="T189" s="416"/>
      <c r="U189" s="416"/>
      <c r="V189" s="416"/>
      <c r="W189" s="416"/>
      <c r="X189" s="416"/>
      <c r="Y189" s="416"/>
      <c r="Z189" s="416"/>
      <c r="AA189" s="416"/>
      <c r="AB189" s="416"/>
      <c r="AC189" s="416"/>
      <c r="AD189" s="416"/>
      <c r="AE189" s="416"/>
      <c r="AF189" s="416"/>
      <c r="AG189" s="416"/>
      <c r="AH189" s="416"/>
      <c r="AI189" s="416"/>
      <c r="AJ189" s="416"/>
      <c r="AK189" s="416"/>
      <c r="AL189" s="416"/>
      <c r="AM189" s="416"/>
    </row>
    <row r="190" spans="1:39" ht="15" hidden="1" outlineLevel="1" x14ac:dyDescent="0.2">
      <c r="A190" s="162"/>
      <c r="B190" s="298">
        <v>9</v>
      </c>
      <c r="C190" s="147" t="str">
        <f>INDEX(PBSScriptsNew,B190,1)</f>
        <v>** NOT USED **</v>
      </c>
      <c r="D190" s="139"/>
      <c r="E190" s="139"/>
      <c r="F190" s="139"/>
      <c r="G190" s="139"/>
      <c r="H190" s="139"/>
      <c r="I190" s="139"/>
      <c r="J190" s="139"/>
      <c r="K190" s="139"/>
      <c r="L190" s="133"/>
      <c r="M190" s="133"/>
      <c r="N190" s="133"/>
      <c r="O190" s="127"/>
      <c r="P190" s="127"/>
      <c r="Q190" s="127"/>
      <c r="R190" s="127"/>
      <c r="S190" s="127"/>
      <c r="T190" s="127"/>
      <c r="U190" s="127"/>
      <c r="V190" s="127"/>
      <c r="W190" s="127"/>
      <c r="X190" s="127"/>
      <c r="Y190" s="127"/>
      <c r="Z190" s="127"/>
      <c r="AA190" s="127"/>
      <c r="AB190" s="127"/>
      <c r="AC190" s="127"/>
      <c r="AD190" s="127"/>
      <c r="AE190" s="127"/>
      <c r="AF190" s="127"/>
      <c r="AG190" s="127"/>
      <c r="AH190" s="127"/>
      <c r="AI190" s="127"/>
      <c r="AJ190" s="127"/>
      <c r="AK190" s="127"/>
      <c r="AL190" s="127"/>
      <c r="AM190" s="127"/>
    </row>
    <row r="191" spans="1:39" hidden="1" outlineLevel="2" x14ac:dyDescent="0.2">
      <c r="A191" s="162"/>
      <c r="B191" s="162"/>
      <c r="C191" s="615"/>
      <c r="D191" s="397">
        <v>2</v>
      </c>
      <c r="E191" s="397">
        <v>3</v>
      </c>
      <c r="F191" s="397">
        <v>4</v>
      </c>
      <c r="G191" s="397">
        <v>5</v>
      </c>
      <c r="H191" s="397">
        <v>6</v>
      </c>
      <c r="I191" s="397">
        <v>7</v>
      </c>
      <c r="J191" s="624"/>
      <c r="K191" s="615"/>
      <c r="L191" s="615"/>
      <c r="M191" s="615"/>
      <c r="N191" s="615"/>
      <c r="O191" s="416"/>
      <c r="P191" s="416"/>
      <c r="Q191" s="416"/>
      <c r="R191" s="416"/>
      <c r="S191" s="416"/>
      <c r="T191" s="416"/>
      <c r="U191" s="416"/>
      <c r="V191" s="416"/>
      <c r="W191" s="416"/>
      <c r="X191" s="416"/>
      <c r="Y191" s="416"/>
      <c r="Z191" s="416"/>
      <c r="AA191" s="416"/>
      <c r="AB191" s="416"/>
      <c r="AC191" s="416"/>
      <c r="AD191" s="416"/>
      <c r="AE191" s="416"/>
      <c r="AF191" s="416"/>
      <c r="AG191" s="416"/>
      <c r="AH191" s="416"/>
      <c r="AI191" s="416"/>
      <c r="AJ191" s="416"/>
      <c r="AK191" s="416"/>
      <c r="AL191" s="416"/>
      <c r="AM191" s="416"/>
    </row>
    <row r="192" spans="1:39" hidden="1" outlineLevel="2" x14ac:dyDescent="0.2">
      <c r="A192" s="162"/>
      <c r="B192" s="162"/>
      <c r="C192" s="162"/>
      <c r="D192" s="630">
        <f>FirstYear</f>
        <v>2021</v>
      </c>
      <c r="E192" s="630">
        <f>D192+1</f>
        <v>2022</v>
      </c>
      <c r="F192" s="630">
        <f>E192+1</f>
        <v>2023</v>
      </c>
      <c r="G192" s="630">
        <f>F192+1</f>
        <v>2024</v>
      </c>
      <c r="H192" s="630">
        <f>G192+1</f>
        <v>2025</v>
      </c>
      <c r="I192" s="630">
        <f>H192+1</f>
        <v>2026</v>
      </c>
      <c r="J192" s="162"/>
      <c r="K192" s="162"/>
      <c r="L192" s="162"/>
      <c r="M192" s="162"/>
      <c r="N192" s="162"/>
      <c r="O192" s="416"/>
      <c r="P192" s="416"/>
      <c r="Q192" s="416"/>
      <c r="R192" s="416"/>
      <c r="S192" s="416"/>
      <c r="T192" s="416"/>
      <c r="U192" s="416"/>
      <c r="V192" s="416"/>
      <c r="W192" s="416"/>
      <c r="X192" s="416"/>
      <c r="Y192" s="416"/>
      <c r="Z192" s="416"/>
      <c r="AA192" s="416"/>
      <c r="AB192" s="416"/>
      <c r="AC192" s="416"/>
      <c r="AD192" s="416"/>
      <c r="AE192" s="416"/>
      <c r="AF192" s="416"/>
      <c r="AG192" s="416"/>
      <c r="AH192" s="416"/>
      <c r="AI192" s="416"/>
      <c r="AJ192" s="416"/>
      <c r="AK192" s="416"/>
      <c r="AL192" s="416"/>
      <c r="AM192" s="416"/>
    </row>
    <row r="193" spans="1:39" hidden="1" outlineLevel="2" x14ac:dyDescent="0.2">
      <c r="A193" s="162"/>
      <c r="B193" s="162"/>
      <c r="C193" s="170" t="s">
        <v>122</v>
      </c>
      <c r="D193" s="171">
        <f t="shared" ref="D193:I193" si="146">INDEX(PBSScriptsNew,$B190,D191)</f>
        <v>0</v>
      </c>
      <c r="E193" s="171">
        <f t="shared" si="146"/>
        <v>0</v>
      </c>
      <c r="F193" s="171">
        <f t="shared" si="146"/>
        <v>0</v>
      </c>
      <c r="G193" s="171">
        <f t="shared" si="146"/>
        <v>0</v>
      </c>
      <c r="H193" s="171">
        <f t="shared" si="146"/>
        <v>0</v>
      </c>
      <c r="I193" s="171">
        <f t="shared" si="146"/>
        <v>0</v>
      </c>
      <c r="J193" s="162"/>
      <c r="K193" s="162"/>
      <c r="L193" s="162"/>
      <c r="M193" s="162"/>
      <c r="N193" s="693"/>
      <c r="O193" s="416"/>
      <c r="P193" s="416"/>
      <c r="Q193" s="416"/>
      <c r="R193" s="416"/>
      <c r="S193" s="416"/>
      <c r="T193" s="416"/>
      <c r="U193" s="416"/>
      <c r="V193" s="416"/>
      <c r="W193" s="416"/>
      <c r="X193" s="416"/>
      <c r="Y193" s="416"/>
      <c r="Z193" s="416"/>
      <c r="AA193" s="416"/>
      <c r="AB193" s="416"/>
      <c r="AC193" s="416"/>
      <c r="AD193" s="416"/>
      <c r="AE193" s="416"/>
      <c r="AF193" s="416"/>
      <c r="AG193" s="416"/>
      <c r="AH193" s="416"/>
      <c r="AI193" s="416"/>
      <c r="AJ193" s="416"/>
      <c r="AK193" s="416"/>
      <c r="AL193" s="416"/>
      <c r="AM193" s="416"/>
    </row>
    <row r="194" spans="1:39" hidden="1" outlineLevel="2" x14ac:dyDescent="0.2">
      <c r="A194" s="162"/>
      <c r="B194" s="162"/>
      <c r="C194" s="170" t="s">
        <v>123</v>
      </c>
      <c r="D194" s="171">
        <f t="shared" ref="D194:I194" si="147">INDEX(RPBSScriptsNew,$B190,D191)</f>
        <v>0</v>
      </c>
      <c r="E194" s="171">
        <f t="shared" si="147"/>
        <v>0</v>
      </c>
      <c r="F194" s="171">
        <f t="shared" si="147"/>
        <v>0</v>
      </c>
      <c r="G194" s="171">
        <f t="shared" si="147"/>
        <v>0</v>
      </c>
      <c r="H194" s="171">
        <f t="shared" si="147"/>
        <v>0</v>
      </c>
      <c r="I194" s="171">
        <f t="shared" si="147"/>
        <v>0</v>
      </c>
      <c r="J194" s="162"/>
      <c r="K194" s="162"/>
      <c r="L194" s="162"/>
      <c r="M194" s="162"/>
      <c r="N194" s="162"/>
      <c r="O194" s="416"/>
      <c r="P194" s="416"/>
      <c r="Q194" s="416"/>
      <c r="R194" s="416"/>
      <c r="S194" s="416"/>
      <c r="T194" s="416"/>
      <c r="U194" s="416"/>
      <c r="V194" s="416"/>
      <c r="W194" s="416"/>
      <c r="X194" s="416"/>
      <c r="Y194" s="416"/>
      <c r="Z194" s="416"/>
      <c r="AA194" s="416"/>
      <c r="AB194" s="416"/>
      <c r="AC194" s="416"/>
      <c r="AD194" s="416"/>
      <c r="AE194" s="416"/>
      <c r="AF194" s="416"/>
      <c r="AG194" s="416"/>
      <c r="AH194" s="416"/>
      <c r="AI194" s="416"/>
      <c r="AJ194" s="416"/>
      <c r="AK194" s="416"/>
      <c r="AL194" s="416"/>
      <c r="AM194" s="416"/>
    </row>
    <row r="195" spans="1:39" hidden="1" outlineLevel="2" x14ac:dyDescent="0.2">
      <c r="A195" s="162"/>
      <c r="B195" s="162"/>
      <c r="C195" s="158" t="s">
        <v>124</v>
      </c>
      <c r="D195" s="171">
        <f t="shared" ref="D195:I195" si="148">IF(INDEX(SANew,$B190,7)&gt;0,ROUND(D193/INDEX(SANew,$B190,2),0),0)</f>
        <v>0</v>
      </c>
      <c r="E195" s="171">
        <f t="shared" si="148"/>
        <v>0</v>
      </c>
      <c r="F195" s="171">
        <f t="shared" si="148"/>
        <v>0</v>
      </c>
      <c r="G195" s="171">
        <f t="shared" si="148"/>
        <v>0</v>
      </c>
      <c r="H195" s="171">
        <f t="shared" si="148"/>
        <v>0</v>
      </c>
      <c r="I195" s="171">
        <f t="shared" si="148"/>
        <v>0</v>
      </c>
      <c r="J195" s="162"/>
      <c r="K195" s="615"/>
      <c r="L195" s="640"/>
      <c r="M195" s="162"/>
      <c r="N195" s="615"/>
      <c r="O195" s="416"/>
      <c r="P195" s="416"/>
      <c r="Q195" s="416"/>
      <c r="R195" s="416"/>
      <c r="S195" s="416"/>
      <c r="T195" s="416"/>
      <c r="U195" s="416"/>
      <c r="V195" s="416"/>
      <c r="W195" s="416"/>
      <c r="X195" s="416"/>
      <c r="Y195" s="416"/>
      <c r="Z195" s="416"/>
      <c r="AA195" s="416"/>
      <c r="AB195" s="416"/>
      <c r="AC195" s="416"/>
      <c r="AD195" s="416"/>
      <c r="AE195" s="416"/>
      <c r="AF195" s="416"/>
      <c r="AG195" s="416"/>
      <c r="AH195" s="416"/>
      <c r="AI195" s="416"/>
      <c r="AJ195" s="416"/>
      <c r="AK195" s="416"/>
      <c r="AL195" s="416"/>
      <c r="AM195" s="416"/>
    </row>
    <row r="196" spans="1:39" hidden="1" outlineLevel="2" x14ac:dyDescent="0.2">
      <c r="A196" s="162"/>
      <c r="B196" s="162"/>
      <c r="C196" s="158" t="s">
        <v>125</v>
      </c>
      <c r="D196" s="171">
        <f t="shared" ref="D196:I196" si="149">IF(INDEX(SANew,$B190,7)&gt;0,ROUND(D194/INDEX(SANew,$B190,2),0),0)</f>
        <v>0</v>
      </c>
      <c r="E196" s="171">
        <f t="shared" si="149"/>
        <v>0</v>
      </c>
      <c r="F196" s="171">
        <f t="shared" si="149"/>
        <v>0</v>
      </c>
      <c r="G196" s="171">
        <f t="shared" si="149"/>
        <v>0</v>
      </c>
      <c r="H196" s="171">
        <f t="shared" si="149"/>
        <v>0</v>
      </c>
      <c r="I196" s="171">
        <f t="shared" si="149"/>
        <v>0</v>
      </c>
      <c r="J196" s="162"/>
      <c r="K196" s="615"/>
      <c r="L196" s="640"/>
      <c r="M196" s="162"/>
      <c r="N196" s="615"/>
      <c r="O196" s="416"/>
      <c r="P196" s="416"/>
      <c r="Q196" s="416"/>
      <c r="R196" s="416"/>
      <c r="S196" s="416"/>
      <c r="T196" s="416"/>
      <c r="U196" s="416"/>
      <c r="V196" s="416"/>
      <c r="W196" s="416"/>
      <c r="X196" s="416"/>
      <c r="Y196" s="416"/>
      <c r="Z196" s="416"/>
      <c r="AA196" s="416"/>
      <c r="AB196" s="416"/>
      <c r="AC196" s="416"/>
      <c r="AD196" s="416"/>
      <c r="AE196" s="416"/>
      <c r="AF196" s="416"/>
      <c r="AG196" s="416"/>
      <c r="AH196" s="416"/>
      <c r="AI196" s="416"/>
      <c r="AJ196" s="416"/>
      <c r="AK196" s="416"/>
      <c r="AL196" s="416"/>
      <c r="AM196" s="416"/>
    </row>
    <row r="197" spans="1:39" hidden="1" outlineLevel="1" collapsed="1" x14ac:dyDescent="0.2">
      <c r="A197" s="162"/>
      <c r="B197" s="162"/>
      <c r="C197" s="695"/>
      <c r="D197" s="690"/>
      <c r="E197" s="694"/>
      <c r="F197" s="694"/>
      <c r="G197" s="694"/>
      <c r="H197" s="694"/>
      <c r="I197" s="694"/>
      <c r="J197" s="694"/>
      <c r="K197" s="694"/>
      <c r="L197" s="162"/>
      <c r="M197" s="162"/>
      <c r="N197" s="162"/>
      <c r="O197" s="416"/>
      <c r="P197" s="416"/>
      <c r="Q197" s="416"/>
      <c r="R197" s="416"/>
      <c r="S197" s="416"/>
      <c r="T197" s="416"/>
      <c r="U197" s="416"/>
      <c r="V197" s="416"/>
      <c r="W197" s="416"/>
      <c r="X197" s="416"/>
      <c r="Y197" s="416"/>
      <c r="Z197" s="416"/>
      <c r="AA197" s="416"/>
      <c r="AB197" s="416"/>
      <c r="AC197" s="416"/>
      <c r="AD197" s="416"/>
      <c r="AE197" s="416"/>
      <c r="AF197" s="416"/>
      <c r="AG197" s="416"/>
      <c r="AH197" s="416"/>
      <c r="AI197" s="416"/>
      <c r="AJ197" s="416"/>
      <c r="AK197" s="416"/>
      <c r="AL197" s="416"/>
      <c r="AM197" s="416"/>
    </row>
    <row r="198" spans="1:39" ht="15" hidden="1" outlineLevel="1" x14ac:dyDescent="0.2">
      <c r="A198" s="162"/>
      <c r="B198" s="298">
        <v>10</v>
      </c>
      <c r="C198" s="147" t="str">
        <f>INDEX(PBSScriptsNew,B198,1)</f>
        <v>** NOT USED **</v>
      </c>
      <c r="D198" s="139"/>
      <c r="E198" s="139"/>
      <c r="F198" s="139"/>
      <c r="G198" s="139"/>
      <c r="H198" s="139"/>
      <c r="I198" s="139"/>
      <c r="J198" s="139"/>
      <c r="K198" s="139"/>
      <c r="L198" s="133"/>
      <c r="M198" s="133"/>
      <c r="N198" s="133"/>
      <c r="O198" s="127"/>
      <c r="P198" s="127"/>
      <c r="Q198" s="127"/>
      <c r="R198" s="127"/>
      <c r="S198" s="127"/>
      <c r="T198" s="127"/>
      <c r="U198" s="127"/>
      <c r="V198" s="127"/>
      <c r="W198" s="127"/>
      <c r="X198" s="127"/>
      <c r="Y198" s="127"/>
      <c r="Z198" s="127"/>
      <c r="AA198" s="127"/>
      <c r="AB198" s="127"/>
      <c r="AC198" s="127"/>
      <c r="AD198" s="127"/>
      <c r="AE198" s="127"/>
      <c r="AF198" s="127"/>
      <c r="AG198" s="127"/>
      <c r="AH198" s="127"/>
      <c r="AI198" s="127"/>
      <c r="AJ198" s="127"/>
      <c r="AK198" s="127"/>
      <c r="AL198" s="127"/>
      <c r="AM198" s="127"/>
    </row>
    <row r="199" spans="1:39" hidden="1" outlineLevel="2" x14ac:dyDescent="0.2">
      <c r="A199" s="162"/>
      <c r="B199" s="162"/>
      <c r="C199" s="615"/>
      <c r="D199" s="397">
        <v>2</v>
      </c>
      <c r="E199" s="397">
        <v>3</v>
      </c>
      <c r="F199" s="397">
        <v>4</v>
      </c>
      <c r="G199" s="397">
        <v>5</v>
      </c>
      <c r="H199" s="397">
        <v>6</v>
      </c>
      <c r="I199" s="397">
        <v>7</v>
      </c>
      <c r="J199" s="624"/>
      <c r="K199" s="615"/>
      <c r="L199" s="615"/>
      <c r="M199" s="615"/>
      <c r="N199" s="615"/>
      <c r="O199" s="416"/>
      <c r="P199" s="416"/>
      <c r="Q199" s="416"/>
      <c r="R199" s="416"/>
      <c r="S199" s="416"/>
      <c r="T199" s="416"/>
      <c r="U199" s="416"/>
      <c r="V199" s="416"/>
      <c r="W199" s="416"/>
      <c r="X199" s="416"/>
      <c r="Y199" s="416"/>
      <c r="Z199" s="416"/>
      <c r="AA199" s="416"/>
      <c r="AB199" s="416"/>
      <c r="AC199" s="416"/>
      <c r="AD199" s="416"/>
      <c r="AE199" s="416"/>
      <c r="AF199" s="416"/>
      <c r="AG199" s="416"/>
      <c r="AH199" s="416"/>
      <c r="AI199" s="416"/>
      <c r="AJ199" s="416"/>
      <c r="AK199" s="416"/>
      <c r="AL199" s="416"/>
      <c r="AM199" s="416"/>
    </row>
    <row r="200" spans="1:39" hidden="1" outlineLevel="2" x14ac:dyDescent="0.2">
      <c r="A200" s="162"/>
      <c r="B200" s="162"/>
      <c r="C200" s="162"/>
      <c r="D200" s="630">
        <f>FirstYear</f>
        <v>2021</v>
      </c>
      <c r="E200" s="630">
        <f>D200+1</f>
        <v>2022</v>
      </c>
      <c r="F200" s="630">
        <f>E200+1</f>
        <v>2023</v>
      </c>
      <c r="G200" s="630">
        <f>F200+1</f>
        <v>2024</v>
      </c>
      <c r="H200" s="630">
        <f>G200+1</f>
        <v>2025</v>
      </c>
      <c r="I200" s="630">
        <f>H200+1</f>
        <v>2026</v>
      </c>
      <c r="J200" s="162"/>
      <c r="K200" s="162"/>
      <c r="L200" s="162"/>
      <c r="M200" s="162"/>
      <c r="N200" s="162"/>
      <c r="O200" s="416"/>
      <c r="P200" s="416"/>
      <c r="Q200" s="416"/>
      <c r="R200" s="416"/>
      <c r="S200" s="416"/>
      <c r="T200" s="416"/>
      <c r="U200" s="416"/>
      <c r="V200" s="416"/>
      <c r="W200" s="416"/>
      <c r="X200" s="416"/>
      <c r="Y200" s="416"/>
      <c r="Z200" s="416"/>
      <c r="AA200" s="416"/>
      <c r="AB200" s="416"/>
      <c r="AC200" s="416"/>
      <c r="AD200" s="416"/>
      <c r="AE200" s="416"/>
      <c r="AF200" s="416"/>
      <c r="AG200" s="416"/>
      <c r="AH200" s="416"/>
      <c r="AI200" s="416"/>
      <c r="AJ200" s="416"/>
      <c r="AK200" s="416"/>
      <c r="AL200" s="416"/>
      <c r="AM200" s="416"/>
    </row>
    <row r="201" spans="1:39" hidden="1" outlineLevel="2" x14ac:dyDescent="0.2">
      <c r="A201" s="162"/>
      <c r="B201" s="162"/>
      <c r="C201" s="170" t="s">
        <v>122</v>
      </c>
      <c r="D201" s="171">
        <f t="shared" ref="D201:I201" si="150">INDEX(PBSScriptsNew,$B198,D199)</f>
        <v>0</v>
      </c>
      <c r="E201" s="171">
        <f t="shared" si="150"/>
        <v>0</v>
      </c>
      <c r="F201" s="171">
        <f t="shared" si="150"/>
        <v>0</v>
      </c>
      <c r="G201" s="171">
        <f t="shared" si="150"/>
        <v>0</v>
      </c>
      <c r="H201" s="171">
        <f t="shared" si="150"/>
        <v>0</v>
      </c>
      <c r="I201" s="171">
        <f t="shared" si="150"/>
        <v>0</v>
      </c>
      <c r="J201" s="162"/>
      <c r="K201" s="162"/>
      <c r="L201" s="162"/>
      <c r="M201" s="162"/>
      <c r="N201" s="693"/>
      <c r="O201" s="416"/>
      <c r="P201" s="416"/>
      <c r="Q201" s="416"/>
      <c r="R201" s="416"/>
      <c r="S201" s="416"/>
      <c r="T201" s="416"/>
      <c r="U201" s="416"/>
      <c r="V201" s="416"/>
      <c r="W201" s="416"/>
      <c r="X201" s="416"/>
      <c r="Y201" s="416"/>
      <c r="Z201" s="416"/>
      <c r="AA201" s="416"/>
      <c r="AB201" s="416"/>
      <c r="AC201" s="416"/>
      <c r="AD201" s="416"/>
      <c r="AE201" s="416"/>
      <c r="AF201" s="416"/>
      <c r="AG201" s="416"/>
      <c r="AH201" s="416"/>
      <c r="AI201" s="416"/>
      <c r="AJ201" s="416"/>
      <c r="AK201" s="416"/>
      <c r="AL201" s="416"/>
      <c r="AM201" s="416"/>
    </row>
    <row r="202" spans="1:39" hidden="1" outlineLevel="2" x14ac:dyDescent="0.2">
      <c r="A202" s="162"/>
      <c r="B202" s="162"/>
      <c r="C202" s="170" t="s">
        <v>123</v>
      </c>
      <c r="D202" s="171">
        <f t="shared" ref="D202:I202" si="151">INDEX(RPBSScriptsNew,$B198,D199)</f>
        <v>0</v>
      </c>
      <c r="E202" s="171">
        <f t="shared" si="151"/>
        <v>0</v>
      </c>
      <c r="F202" s="171">
        <f t="shared" si="151"/>
        <v>0</v>
      </c>
      <c r="G202" s="171">
        <f t="shared" si="151"/>
        <v>0</v>
      </c>
      <c r="H202" s="171">
        <f t="shared" si="151"/>
        <v>0</v>
      </c>
      <c r="I202" s="171">
        <f t="shared" si="151"/>
        <v>0</v>
      </c>
      <c r="J202" s="162"/>
      <c r="K202" s="162"/>
      <c r="L202" s="162"/>
      <c r="M202" s="162"/>
      <c r="N202" s="162"/>
      <c r="O202" s="416"/>
      <c r="P202" s="416"/>
      <c r="Q202" s="416"/>
      <c r="R202" s="416"/>
      <c r="S202" s="416"/>
      <c r="T202" s="416"/>
      <c r="U202" s="416"/>
      <c r="V202" s="416"/>
      <c r="W202" s="416"/>
      <c r="X202" s="416"/>
      <c r="Y202" s="416"/>
      <c r="Z202" s="416"/>
      <c r="AA202" s="416"/>
      <c r="AB202" s="416"/>
      <c r="AC202" s="416"/>
      <c r="AD202" s="416"/>
      <c r="AE202" s="416"/>
      <c r="AF202" s="416"/>
      <c r="AG202" s="416"/>
      <c r="AH202" s="416"/>
      <c r="AI202" s="416"/>
      <c r="AJ202" s="416"/>
      <c r="AK202" s="416"/>
      <c r="AL202" s="416"/>
      <c r="AM202" s="416"/>
    </row>
    <row r="203" spans="1:39" hidden="1" outlineLevel="2" x14ac:dyDescent="0.2">
      <c r="A203" s="162"/>
      <c r="B203" s="162"/>
      <c r="C203" s="158" t="s">
        <v>124</v>
      </c>
      <c r="D203" s="171">
        <f t="shared" ref="D203:I203" si="152">IF(INDEX(SANew,$B198,7)&gt;0,ROUND(D201/INDEX(SANew,$B198,2),0),0)</f>
        <v>0</v>
      </c>
      <c r="E203" s="171">
        <f t="shared" si="152"/>
        <v>0</v>
      </c>
      <c r="F203" s="171">
        <f t="shared" si="152"/>
        <v>0</v>
      </c>
      <c r="G203" s="171">
        <f t="shared" si="152"/>
        <v>0</v>
      </c>
      <c r="H203" s="171">
        <f t="shared" si="152"/>
        <v>0</v>
      </c>
      <c r="I203" s="171">
        <f t="shared" si="152"/>
        <v>0</v>
      </c>
      <c r="J203" s="162"/>
      <c r="K203" s="615"/>
      <c r="L203" s="640"/>
      <c r="M203" s="162"/>
      <c r="N203" s="615"/>
      <c r="O203" s="416"/>
      <c r="P203" s="416"/>
      <c r="Q203" s="416"/>
      <c r="R203" s="416"/>
      <c r="S203" s="416"/>
      <c r="T203" s="416"/>
      <c r="U203" s="416"/>
      <c r="V203" s="416"/>
      <c r="W203" s="416"/>
      <c r="X203" s="416"/>
      <c r="Y203" s="416"/>
      <c r="Z203" s="416"/>
      <c r="AA203" s="416"/>
      <c r="AB203" s="416"/>
      <c r="AC203" s="416"/>
      <c r="AD203" s="416"/>
      <c r="AE203" s="416"/>
      <c r="AF203" s="416"/>
      <c r="AG203" s="416"/>
      <c r="AH203" s="416"/>
      <c r="AI203" s="416"/>
      <c r="AJ203" s="416"/>
      <c r="AK203" s="416"/>
      <c r="AL203" s="416"/>
      <c r="AM203" s="416"/>
    </row>
    <row r="204" spans="1:39" hidden="1" outlineLevel="2" x14ac:dyDescent="0.2">
      <c r="A204" s="162"/>
      <c r="B204" s="162"/>
      <c r="C204" s="158" t="s">
        <v>125</v>
      </c>
      <c r="D204" s="171">
        <f t="shared" ref="D204:I204" si="153">IF(INDEX(SANew,$B198,7)&gt;0,ROUND(D202/INDEX(SANew,$B198,2),0),0)</f>
        <v>0</v>
      </c>
      <c r="E204" s="171">
        <f t="shared" si="153"/>
        <v>0</v>
      </c>
      <c r="F204" s="171">
        <f t="shared" si="153"/>
        <v>0</v>
      </c>
      <c r="G204" s="171">
        <f t="shared" si="153"/>
        <v>0</v>
      </c>
      <c r="H204" s="171">
        <f t="shared" si="153"/>
        <v>0</v>
      </c>
      <c r="I204" s="171">
        <f t="shared" si="153"/>
        <v>0</v>
      </c>
      <c r="J204" s="162"/>
      <c r="K204" s="615"/>
      <c r="L204" s="640"/>
      <c r="M204" s="162"/>
      <c r="N204" s="615"/>
      <c r="O204" s="416"/>
      <c r="P204" s="416"/>
      <c r="Q204" s="416"/>
      <c r="R204" s="416"/>
      <c r="S204" s="416"/>
      <c r="T204" s="416"/>
      <c r="U204" s="416"/>
      <c r="V204" s="416"/>
      <c r="W204" s="416"/>
      <c r="X204" s="416"/>
      <c r="Y204" s="416"/>
      <c r="Z204" s="416"/>
      <c r="AA204" s="416"/>
      <c r="AB204" s="416"/>
      <c r="AC204" s="416"/>
      <c r="AD204" s="416"/>
      <c r="AE204" s="416"/>
      <c r="AF204" s="416"/>
      <c r="AG204" s="416"/>
      <c r="AH204" s="416"/>
      <c r="AI204" s="416"/>
      <c r="AJ204" s="416"/>
      <c r="AK204" s="416"/>
      <c r="AL204" s="416"/>
      <c r="AM204" s="416"/>
    </row>
    <row r="205" spans="1:39" hidden="1" outlineLevel="1" collapsed="1" x14ac:dyDescent="0.2">
      <c r="A205" s="162"/>
      <c r="B205" s="162"/>
      <c r="C205" s="695"/>
      <c r="D205" s="690"/>
      <c r="E205" s="694"/>
      <c r="F205" s="694"/>
      <c r="G205" s="694"/>
      <c r="H205" s="694"/>
      <c r="I205" s="694"/>
      <c r="J205" s="694"/>
      <c r="K205" s="694"/>
      <c r="L205" s="162"/>
      <c r="M205" s="162"/>
      <c r="N205" s="162"/>
      <c r="O205" s="416"/>
      <c r="P205" s="416"/>
      <c r="Q205" s="416"/>
      <c r="R205" s="416"/>
      <c r="S205" s="416"/>
      <c r="T205" s="416"/>
      <c r="U205" s="416"/>
      <c r="V205" s="416"/>
      <c r="W205" s="416"/>
      <c r="X205" s="416"/>
      <c r="Y205" s="416"/>
      <c r="Z205" s="416"/>
      <c r="AA205" s="416"/>
      <c r="AB205" s="416"/>
      <c r="AC205" s="416"/>
      <c r="AD205" s="416"/>
      <c r="AE205" s="416"/>
      <c r="AF205" s="416"/>
      <c r="AG205" s="416"/>
      <c r="AH205" s="416"/>
      <c r="AI205" s="416"/>
      <c r="AJ205" s="416"/>
      <c r="AK205" s="416"/>
      <c r="AL205" s="416"/>
      <c r="AM205" s="416"/>
    </row>
    <row r="206" spans="1:39" ht="15" hidden="1" outlineLevel="1" x14ac:dyDescent="0.2">
      <c r="A206" s="162"/>
      <c r="B206" s="298">
        <v>11</v>
      </c>
      <c r="C206" s="147" t="str">
        <f>INDEX(PBSScriptsNew,B206,1)</f>
        <v>** NOT USED **</v>
      </c>
      <c r="D206" s="139"/>
      <c r="E206" s="139"/>
      <c r="F206" s="139"/>
      <c r="G206" s="139"/>
      <c r="H206" s="139"/>
      <c r="I206" s="139"/>
      <c r="J206" s="139"/>
      <c r="K206" s="139"/>
      <c r="L206" s="133"/>
      <c r="M206" s="133"/>
      <c r="N206" s="133"/>
      <c r="O206" s="127"/>
      <c r="P206" s="127"/>
      <c r="Q206" s="127"/>
      <c r="R206" s="127"/>
      <c r="S206" s="127"/>
      <c r="T206" s="127"/>
      <c r="U206" s="127"/>
      <c r="V206" s="127"/>
      <c r="W206" s="127"/>
      <c r="X206" s="127"/>
      <c r="Y206" s="127"/>
      <c r="Z206" s="127"/>
      <c r="AA206" s="127"/>
      <c r="AB206" s="127"/>
      <c r="AC206" s="127"/>
      <c r="AD206" s="127"/>
      <c r="AE206" s="127"/>
      <c r="AF206" s="127"/>
      <c r="AG206" s="127"/>
      <c r="AH206" s="127"/>
      <c r="AI206" s="127"/>
      <c r="AJ206" s="127"/>
      <c r="AK206" s="127"/>
      <c r="AL206" s="127"/>
      <c r="AM206" s="127"/>
    </row>
    <row r="207" spans="1:39" hidden="1" outlineLevel="2" x14ac:dyDescent="0.2">
      <c r="A207" s="162"/>
      <c r="B207" s="162"/>
      <c r="C207" s="615"/>
      <c r="D207" s="397">
        <v>2</v>
      </c>
      <c r="E207" s="397">
        <v>3</v>
      </c>
      <c r="F207" s="397">
        <v>4</v>
      </c>
      <c r="G207" s="397">
        <v>5</v>
      </c>
      <c r="H207" s="397">
        <v>6</v>
      </c>
      <c r="I207" s="397">
        <v>7</v>
      </c>
      <c r="J207" s="624"/>
      <c r="K207" s="615"/>
      <c r="L207" s="615"/>
      <c r="M207" s="615"/>
      <c r="N207" s="615"/>
      <c r="O207" s="416"/>
      <c r="P207" s="416"/>
      <c r="Q207" s="416"/>
      <c r="R207" s="416"/>
      <c r="S207" s="416"/>
      <c r="T207" s="416"/>
      <c r="U207" s="416"/>
      <c r="V207" s="416"/>
      <c r="W207" s="416"/>
      <c r="X207" s="416"/>
      <c r="Y207" s="416"/>
      <c r="Z207" s="416"/>
      <c r="AA207" s="416"/>
      <c r="AB207" s="416"/>
      <c r="AC207" s="416"/>
      <c r="AD207" s="416"/>
      <c r="AE207" s="416"/>
      <c r="AF207" s="416"/>
      <c r="AG207" s="416"/>
      <c r="AH207" s="416"/>
      <c r="AI207" s="416"/>
      <c r="AJ207" s="416"/>
      <c r="AK207" s="416"/>
      <c r="AL207" s="416"/>
      <c r="AM207" s="416"/>
    </row>
    <row r="208" spans="1:39" hidden="1" outlineLevel="2" x14ac:dyDescent="0.2">
      <c r="A208" s="162"/>
      <c r="B208" s="162"/>
      <c r="C208" s="162"/>
      <c r="D208" s="630">
        <f>FirstYear</f>
        <v>2021</v>
      </c>
      <c r="E208" s="630">
        <f>D208+1</f>
        <v>2022</v>
      </c>
      <c r="F208" s="630">
        <f>E208+1</f>
        <v>2023</v>
      </c>
      <c r="G208" s="630">
        <f>F208+1</f>
        <v>2024</v>
      </c>
      <c r="H208" s="630">
        <f>G208+1</f>
        <v>2025</v>
      </c>
      <c r="I208" s="630">
        <f>H208+1</f>
        <v>2026</v>
      </c>
      <c r="J208" s="162"/>
      <c r="K208" s="162"/>
      <c r="L208" s="162"/>
      <c r="M208" s="162"/>
      <c r="N208" s="162"/>
      <c r="O208" s="416"/>
      <c r="P208" s="416"/>
      <c r="Q208" s="416"/>
      <c r="R208" s="416"/>
      <c r="S208" s="416"/>
      <c r="T208" s="416"/>
      <c r="U208" s="416"/>
      <c r="V208" s="416"/>
      <c r="W208" s="416"/>
      <c r="X208" s="416"/>
      <c r="Y208" s="416"/>
      <c r="Z208" s="416"/>
      <c r="AA208" s="416"/>
      <c r="AB208" s="416"/>
      <c r="AC208" s="416"/>
      <c r="AD208" s="416"/>
      <c r="AE208" s="416"/>
      <c r="AF208" s="416"/>
      <c r="AG208" s="416"/>
      <c r="AH208" s="416"/>
      <c r="AI208" s="416"/>
      <c r="AJ208" s="416"/>
      <c r="AK208" s="416"/>
      <c r="AL208" s="416"/>
      <c r="AM208" s="416"/>
    </row>
    <row r="209" spans="1:39" hidden="1" outlineLevel="2" x14ac:dyDescent="0.2">
      <c r="A209" s="162"/>
      <c r="B209" s="162"/>
      <c r="C209" s="170" t="s">
        <v>122</v>
      </c>
      <c r="D209" s="171">
        <f t="shared" ref="D209:I209" si="154">INDEX(PBSScriptsNew,$B206,D207)</f>
        <v>0</v>
      </c>
      <c r="E209" s="171">
        <f t="shared" si="154"/>
        <v>0</v>
      </c>
      <c r="F209" s="171">
        <f t="shared" si="154"/>
        <v>0</v>
      </c>
      <c r="G209" s="171">
        <f t="shared" si="154"/>
        <v>0</v>
      </c>
      <c r="H209" s="171">
        <f t="shared" si="154"/>
        <v>0</v>
      </c>
      <c r="I209" s="171">
        <f t="shared" si="154"/>
        <v>0</v>
      </c>
      <c r="J209" s="162"/>
      <c r="K209" s="162"/>
      <c r="L209" s="162"/>
      <c r="M209" s="162"/>
      <c r="N209" s="693"/>
      <c r="O209" s="416"/>
      <c r="P209" s="416"/>
      <c r="Q209" s="416"/>
      <c r="R209" s="416"/>
      <c r="S209" s="416"/>
      <c r="T209" s="416"/>
      <c r="U209" s="416"/>
      <c r="V209" s="416"/>
      <c r="W209" s="416"/>
      <c r="X209" s="416"/>
      <c r="Y209" s="416"/>
      <c r="Z209" s="416"/>
      <c r="AA209" s="416"/>
      <c r="AB209" s="416"/>
      <c r="AC209" s="416"/>
      <c r="AD209" s="416"/>
      <c r="AE209" s="416"/>
      <c r="AF209" s="416"/>
      <c r="AG209" s="416"/>
      <c r="AH209" s="416"/>
      <c r="AI209" s="416"/>
      <c r="AJ209" s="416"/>
      <c r="AK209" s="416"/>
      <c r="AL209" s="416"/>
      <c r="AM209" s="416"/>
    </row>
    <row r="210" spans="1:39" hidden="1" outlineLevel="2" x14ac:dyDescent="0.2">
      <c r="A210" s="162"/>
      <c r="B210" s="162"/>
      <c r="C210" s="170" t="s">
        <v>123</v>
      </c>
      <c r="D210" s="171">
        <f t="shared" ref="D210:I210" si="155">INDEX(RPBSScriptsNew,$B206,D207)</f>
        <v>0</v>
      </c>
      <c r="E210" s="171">
        <f t="shared" si="155"/>
        <v>0</v>
      </c>
      <c r="F210" s="171">
        <f t="shared" si="155"/>
        <v>0</v>
      </c>
      <c r="G210" s="171">
        <f t="shared" si="155"/>
        <v>0</v>
      </c>
      <c r="H210" s="171">
        <f t="shared" si="155"/>
        <v>0</v>
      </c>
      <c r="I210" s="171">
        <f t="shared" si="155"/>
        <v>0</v>
      </c>
      <c r="J210" s="162"/>
      <c r="K210" s="162"/>
      <c r="L210" s="162"/>
      <c r="M210" s="162"/>
      <c r="N210" s="162"/>
      <c r="O210" s="416"/>
      <c r="P210" s="416"/>
      <c r="Q210" s="416"/>
      <c r="R210" s="416"/>
      <c r="S210" s="416"/>
      <c r="T210" s="416"/>
      <c r="U210" s="416"/>
      <c r="V210" s="416"/>
      <c r="W210" s="416"/>
      <c r="X210" s="416"/>
      <c r="Y210" s="416"/>
      <c r="Z210" s="416"/>
      <c r="AA210" s="416"/>
      <c r="AB210" s="416"/>
      <c r="AC210" s="416"/>
      <c r="AD210" s="416"/>
      <c r="AE210" s="416"/>
      <c r="AF210" s="416"/>
      <c r="AG210" s="416"/>
      <c r="AH210" s="416"/>
      <c r="AI210" s="416"/>
      <c r="AJ210" s="416"/>
      <c r="AK210" s="416"/>
      <c r="AL210" s="416"/>
      <c r="AM210" s="416"/>
    </row>
    <row r="211" spans="1:39" hidden="1" outlineLevel="2" x14ac:dyDescent="0.2">
      <c r="A211" s="162"/>
      <c r="B211" s="162"/>
      <c r="C211" s="158" t="s">
        <v>124</v>
      </c>
      <c r="D211" s="171">
        <f t="shared" ref="D211:I211" si="156">IF(INDEX(SANew,$B206,7)&gt;0,ROUND(D209/INDEX(SANew,$B206,2),0),0)</f>
        <v>0</v>
      </c>
      <c r="E211" s="171">
        <f t="shared" si="156"/>
        <v>0</v>
      </c>
      <c r="F211" s="171">
        <f t="shared" si="156"/>
        <v>0</v>
      </c>
      <c r="G211" s="171">
        <f t="shared" si="156"/>
        <v>0</v>
      </c>
      <c r="H211" s="171">
        <f t="shared" si="156"/>
        <v>0</v>
      </c>
      <c r="I211" s="171">
        <f t="shared" si="156"/>
        <v>0</v>
      </c>
      <c r="J211" s="162"/>
      <c r="K211" s="615"/>
      <c r="L211" s="640"/>
      <c r="M211" s="162"/>
      <c r="N211" s="615"/>
      <c r="O211" s="416"/>
      <c r="P211" s="416"/>
      <c r="Q211" s="416"/>
      <c r="R211" s="416"/>
      <c r="S211" s="416"/>
      <c r="T211" s="416"/>
      <c r="U211" s="416"/>
      <c r="V211" s="416"/>
      <c r="W211" s="416"/>
      <c r="X211" s="416"/>
      <c r="Y211" s="416"/>
      <c r="Z211" s="416"/>
      <c r="AA211" s="416"/>
      <c r="AB211" s="416"/>
      <c r="AC211" s="416"/>
      <c r="AD211" s="416"/>
      <c r="AE211" s="416"/>
      <c r="AF211" s="416"/>
      <c r="AG211" s="416"/>
      <c r="AH211" s="416"/>
      <c r="AI211" s="416"/>
      <c r="AJ211" s="416"/>
      <c r="AK211" s="416"/>
      <c r="AL211" s="416"/>
      <c r="AM211" s="416"/>
    </row>
    <row r="212" spans="1:39" hidden="1" outlineLevel="2" x14ac:dyDescent="0.2">
      <c r="A212" s="162"/>
      <c r="B212" s="162"/>
      <c r="C212" s="158" t="s">
        <v>125</v>
      </c>
      <c r="D212" s="171">
        <f t="shared" ref="D212:I212" si="157">IF(INDEX(SANew,$B206,7)&gt;0,ROUND(D210/INDEX(SANew,$B206,2),0),0)</f>
        <v>0</v>
      </c>
      <c r="E212" s="171">
        <f t="shared" si="157"/>
        <v>0</v>
      </c>
      <c r="F212" s="171">
        <f t="shared" si="157"/>
        <v>0</v>
      </c>
      <c r="G212" s="171">
        <f t="shared" si="157"/>
        <v>0</v>
      </c>
      <c r="H212" s="171">
        <f t="shared" si="157"/>
        <v>0</v>
      </c>
      <c r="I212" s="171">
        <f t="shared" si="157"/>
        <v>0</v>
      </c>
      <c r="J212" s="162"/>
      <c r="K212" s="615"/>
      <c r="L212" s="640"/>
      <c r="M212" s="162"/>
      <c r="N212" s="615"/>
      <c r="O212" s="416"/>
      <c r="P212" s="416"/>
      <c r="Q212" s="416"/>
      <c r="R212" s="416"/>
      <c r="S212" s="416"/>
      <c r="T212" s="416"/>
      <c r="U212" s="416"/>
      <c r="V212" s="416"/>
      <c r="W212" s="416"/>
      <c r="X212" s="416"/>
      <c r="Y212" s="416"/>
      <c r="Z212" s="416"/>
      <c r="AA212" s="416"/>
      <c r="AB212" s="416"/>
      <c r="AC212" s="416"/>
      <c r="AD212" s="416"/>
      <c r="AE212" s="416"/>
      <c r="AF212" s="416"/>
      <c r="AG212" s="416"/>
      <c r="AH212" s="416"/>
      <c r="AI212" s="416"/>
      <c r="AJ212" s="416"/>
      <c r="AK212" s="416"/>
      <c r="AL212" s="416"/>
      <c r="AM212" s="416"/>
    </row>
    <row r="213" spans="1:39" hidden="1" outlineLevel="1" collapsed="1" x14ac:dyDescent="0.2">
      <c r="A213" s="162"/>
      <c r="B213" s="162"/>
      <c r="C213" s="695"/>
      <c r="D213" s="690"/>
      <c r="E213" s="694"/>
      <c r="F213" s="694"/>
      <c r="G213" s="694"/>
      <c r="H213" s="694"/>
      <c r="I213" s="694"/>
      <c r="J213" s="694"/>
      <c r="K213" s="694"/>
      <c r="L213" s="162"/>
      <c r="M213" s="162"/>
      <c r="N213" s="162"/>
      <c r="O213" s="416"/>
      <c r="P213" s="416"/>
      <c r="Q213" s="416"/>
      <c r="R213" s="416"/>
      <c r="S213" s="416"/>
      <c r="T213" s="416"/>
      <c r="U213" s="416"/>
      <c r="V213" s="416"/>
      <c r="W213" s="416"/>
      <c r="X213" s="416"/>
      <c r="Y213" s="416"/>
      <c r="Z213" s="416"/>
      <c r="AA213" s="416"/>
      <c r="AB213" s="416"/>
      <c r="AC213" s="416"/>
      <c r="AD213" s="416"/>
      <c r="AE213" s="416"/>
      <c r="AF213" s="416"/>
      <c r="AG213" s="416"/>
      <c r="AH213" s="416"/>
      <c r="AI213" s="416"/>
      <c r="AJ213" s="416"/>
      <c r="AK213" s="416"/>
      <c r="AL213" s="416"/>
      <c r="AM213" s="416"/>
    </row>
    <row r="214" spans="1:39" ht="15" hidden="1" outlineLevel="1" x14ac:dyDescent="0.2">
      <c r="A214" s="162"/>
      <c r="B214" s="298">
        <v>12</v>
      </c>
      <c r="C214" s="147" t="str">
        <f>INDEX(PBSScriptsNew,B214,1)</f>
        <v>** NOT USED **</v>
      </c>
      <c r="D214" s="139"/>
      <c r="E214" s="139"/>
      <c r="F214" s="139"/>
      <c r="G214" s="139"/>
      <c r="H214" s="139"/>
      <c r="I214" s="139"/>
      <c r="J214" s="139"/>
      <c r="K214" s="139"/>
      <c r="L214" s="133"/>
      <c r="M214" s="133"/>
      <c r="N214" s="133"/>
      <c r="O214" s="127"/>
      <c r="P214" s="127"/>
      <c r="Q214" s="127"/>
      <c r="R214" s="127"/>
      <c r="S214" s="127"/>
      <c r="T214" s="127"/>
      <c r="U214" s="127"/>
      <c r="V214" s="127"/>
      <c r="W214" s="127"/>
      <c r="X214" s="127"/>
      <c r="Y214" s="127"/>
      <c r="Z214" s="127"/>
      <c r="AA214" s="127"/>
      <c r="AB214" s="127"/>
      <c r="AC214" s="127"/>
      <c r="AD214" s="127"/>
      <c r="AE214" s="127"/>
      <c r="AF214" s="127"/>
      <c r="AG214" s="127"/>
      <c r="AH214" s="127"/>
      <c r="AI214" s="127"/>
      <c r="AJ214" s="127"/>
      <c r="AK214" s="127"/>
      <c r="AL214" s="127"/>
      <c r="AM214" s="127"/>
    </row>
    <row r="215" spans="1:39" hidden="1" outlineLevel="2" x14ac:dyDescent="0.2">
      <c r="A215" s="162"/>
      <c r="B215" s="162"/>
      <c r="C215" s="615"/>
      <c r="D215" s="397">
        <v>2</v>
      </c>
      <c r="E215" s="397">
        <v>3</v>
      </c>
      <c r="F215" s="397">
        <v>4</v>
      </c>
      <c r="G215" s="397">
        <v>5</v>
      </c>
      <c r="H215" s="397">
        <v>6</v>
      </c>
      <c r="I215" s="397">
        <v>7</v>
      </c>
      <c r="J215" s="624"/>
      <c r="K215" s="615"/>
      <c r="L215" s="615"/>
      <c r="M215" s="615"/>
      <c r="N215" s="615"/>
      <c r="O215" s="416"/>
      <c r="P215" s="416"/>
      <c r="Q215" s="416"/>
      <c r="R215" s="416"/>
      <c r="S215" s="416"/>
      <c r="T215" s="416"/>
      <c r="U215" s="416"/>
      <c r="V215" s="416"/>
      <c r="W215" s="416"/>
      <c r="X215" s="416"/>
      <c r="Y215" s="416"/>
      <c r="Z215" s="416"/>
      <c r="AA215" s="416"/>
      <c r="AB215" s="416"/>
      <c r="AC215" s="416"/>
      <c r="AD215" s="416"/>
      <c r="AE215" s="416"/>
      <c r="AF215" s="416"/>
      <c r="AG215" s="416"/>
      <c r="AH215" s="416"/>
      <c r="AI215" s="416"/>
      <c r="AJ215" s="416"/>
      <c r="AK215" s="416"/>
      <c r="AL215" s="416"/>
      <c r="AM215" s="416"/>
    </row>
    <row r="216" spans="1:39" hidden="1" outlineLevel="2" x14ac:dyDescent="0.2">
      <c r="A216" s="162"/>
      <c r="B216" s="162"/>
      <c r="C216" s="162"/>
      <c r="D216" s="630">
        <f>FirstYear</f>
        <v>2021</v>
      </c>
      <c r="E216" s="630">
        <f>D216+1</f>
        <v>2022</v>
      </c>
      <c r="F216" s="630">
        <f>E216+1</f>
        <v>2023</v>
      </c>
      <c r="G216" s="630">
        <f>F216+1</f>
        <v>2024</v>
      </c>
      <c r="H216" s="630">
        <f>G216+1</f>
        <v>2025</v>
      </c>
      <c r="I216" s="630">
        <f>H216+1</f>
        <v>2026</v>
      </c>
      <c r="J216" s="162"/>
      <c r="K216" s="162"/>
      <c r="L216" s="162"/>
      <c r="M216" s="162"/>
      <c r="N216" s="162"/>
      <c r="O216" s="416"/>
      <c r="P216" s="416"/>
      <c r="Q216" s="416"/>
      <c r="R216" s="416"/>
      <c r="S216" s="416"/>
      <c r="T216" s="416"/>
      <c r="U216" s="416"/>
      <c r="V216" s="416"/>
      <c r="W216" s="416"/>
      <c r="X216" s="416"/>
      <c r="Y216" s="416"/>
      <c r="Z216" s="416"/>
      <c r="AA216" s="416"/>
      <c r="AB216" s="416"/>
      <c r="AC216" s="416"/>
      <c r="AD216" s="416"/>
      <c r="AE216" s="416"/>
      <c r="AF216" s="416"/>
      <c r="AG216" s="416"/>
      <c r="AH216" s="416"/>
      <c r="AI216" s="416"/>
      <c r="AJ216" s="416"/>
      <c r="AK216" s="416"/>
      <c r="AL216" s="416"/>
      <c r="AM216" s="416"/>
    </row>
    <row r="217" spans="1:39" hidden="1" outlineLevel="2" x14ac:dyDescent="0.2">
      <c r="A217" s="162"/>
      <c r="B217" s="162"/>
      <c r="C217" s="170" t="s">
        <v>122</v>
      </c>
      <c r="D217" s="171">
        <f t="shared" ref="D217:I217" si="158">INDEX(PBSScriptsNew,$B214,D215)</f>
        <v>0</v>
      </c>
      <c r="E217" s="171">
        <f t="shared" si="158"/>
        <v>0</v>
      </c>
      <c r="F217" s="171">
        <f t="shared" si="158"/>
        <v>0</v>
      </c>
      <c r="G217" s="171">
        <f t="shared" si="158"/>
        <v>0</v>
      </c>
      <c r="H217" s="171">
        <f t="shared" si="158"/>
        <v>0</v>
      </c>
      <c r="I217" s="171">
        <f t="shared" si="158"/>
        <v>0</v>
      </c>
      <c r="J217" s="162"/>
      <c r="K217" s="162"/>
      <c r="L217" s="162"/>
      <c r="M217" s="162"/>
      <c r="N217" s="693"/>
      <c r="O217" s="416"/>
      <c r="P217" s="416"/>
      <c r="Q217" s="416"/>
      <c r="R217" s="416"/>
      <c r="S217" s="416"/>
      <c r="T217" s="416"/>
      <c r="U217" s="416"/>
      <c r="V217" s="416"/>
      <c r="W217" s="416"/>
      <c r="X217" s="416"/>
      <c r="Y217" s="416"/>
      <c r="Z217" s="416"/>
      <c r="AA217" s="416"/>
      <c r="AB217" s="416"/>
      <c r="AC217" s="416"/>
      <c r="AD217" s="416"/>
      <c r="AE217" s="416"/>
      <c r="AF217" s="416"/>
      <c r="AG217" s="416"/>
      <c r="AH217" s="416"/>
      <c r="AI217" s="416"/>
      <c r="AJ217" s="416"/>
      <c r="AK217" s="416"/>
      <c r="AL217" s="416"/>
      <c r="AM217" s="416"/>
    </row>
    <row r="218" spans="1:39" hidden="1" outlineLevel="2" x14ac:dyDescent="0.2">
      <c r="A218" s="162"/>
      <c r="B218" s="162"/>
      <c r="C218" s="170" t="s">
        <v>123</v>
      </c>
      <c r="D218" s="171">
        <f t="shared" ref="D218:I218" si="159">INDEX(RPBSScriptsNew,$B214,D215)</f>
        <v>0</v>
      </c>
      <c r="E218" s="171">
        <f t="shared" si="159"/>
        <v>0</v>
      </c>
      <c r="F218" s="171">
        <f t="shared" si="159"/>
        <v>0</v>
      </c>
      <c r="G218" s="171">
        <f t="shared" si="159"/>
        <v>0</v>
      </c>
      <c r="H218" s="171">
        <f t="shared" si="159"/>
        <v>0</v>
      </c>
      <c r="I218" s="171">
        <f t="shared" si="159"/>
        <v>0</v>
      </c>
      <c r="J218" s="162"/>
      <c r="K218" s="162"/>
      <c r="L218" s="162"/>
      <c r="M218" s="162"/>
      <c r="N218" s="162"/>
      <c r="O218" s="416"/>
      <c r="P218" s="416"/>
      <c r="Q218" s="416"/>
      <c r="R218" s="416"/>
      <c r="S218" s="416"/>
      <c r="T218" s="416"/>
      <c r="U218" s="416"/>
      <c r="V218" s="416"/>
      <c r="W218" s="416"/>
      <c r="X218" s="416"/>
      <c r="Y218" s="416"/>
      <c r="Z218" s="416"/>
      <c r="AA218" s="416"/>
      <c r="AB218" s="416"/>
      <c r="AC218" s="416"/>
      <c r="AD218" s="416"/>
      <c r="AE218" s="416"/>
      <c r="AF218" s="416"/>
      <c r="AG218" s="416"/>
      <c r="AH218" s="416"/>
      <c r="AI218" s="416"/>
      <c r="AJ218" s="416"/>
      <c r="AK218" s="416"/>
      <c r="AL218" s="416"/>
      <c r="AM218" s="416"/>
    </row>
    <row r="219" spans="1:39" hidden="1" outlineLevel="2" x14ac:dyDescent="0.2">
      <c r="A219" s="162"/>
      <c r="B219" s="162"/>
      <c r="C219" s="158" t="s">
        <v>124</v>
      </c>
      <c r="D219" s="171">
        <f t="shared" ref="D219:I219" si="160">IF(INDEX(SANew,$B214,7)&gt;0,ROUND(D217/INDEX(SANew,$B214,2),0),0)</f>
        <v>0</v>
      </c>
      <c r="E219" s="171">
        <f t="shared" si="160"/>
        <v>0</v>
      </c>
      <c r="F219" s="171">
        <f t="shared" si="160"/>
        <v>0</v>
      </c>
      <c r="G219" s="171">
        <f t="shared" si="160"/>
        <v>0</v>
      </c>
      <c r="H219" s="171">
        <f t="shared" si="160"/>
        <v>0</v>
      </c>
      <c r="I219" s="171">
        <f t="shared" si="160"/>
        <v>0</v>
      </c>
      <c r="J219" s="162"/>
      <c r="K219" s="615"/>
      <c r="L219" s="640"/>
      <c r="M219" s="162"/>
      <c r="N219" s="615"/>
      <c r="O219" s="416"/>
      <c r="P219" s="416"/>
      <c r="Q219" s="416"/>
      <c r="R219" s="416"/>
      <c r="S219" s="416"/>
      <c r="T219" s="416"/>
      <c r="U219" s="416"/>
      <c r="V219" s="416"/>
      <c r="W219" s="416"/>
      <c r="X219" s="416"/>
      <c r="Y219" s="416"/>
      <c r="Z219" s="416"/>
      <c r="AA219" s="416"/>
      <c r="AB219" s="416"/>
      <c r="AC219" s="416"/>
      <c r="AD219" s="416"/>
      <c r="AE219" s="416"/>
      <c r="AF219" s="416"/>
      <c r="AG219" s="416"/>
      <c r="AH219" s="416"/>
      <c r="AI219" s="416"/>
      <c r="AJ219" s="416"/>
      <c r="AK219" s="416"/>
      <c r="AL219" s="416"/>
      <c r="AM219" s="416"/>
    </row>
    <row r="220" spans="1:39" hidden="1" outlineLevel="2" x14ac:dyDescent="0.2">
      <c r="A220" s="162"/>
      <c r="B220" s="162"/>
      <c r="C220" s="158" t="s">
        <v>125</v>
      </c>
      <c r="D220" s="171">
        <f t="shared" ref="D220:I220" si="161">IF(INDEX(SANew,$B214,7)&gt;0,ROUND(D218/INDEX(SANew,$B214,2),0),0)</f>
        <v>0</v>
      </c>
      <c r="E220" s="171">
        <f t="shared" si="161"/>
        <v>0</v>
      </c>
      <c r="F220" s="171">
        <f t="shared" si="161"/>
        <v>0</v>
      </c>
      <c r="G220" s="171">
        <f t="shared" si="161"/>
        <v>0</v>
      </c>
      <c r="H220" s="171">
        <f t="shared" si="161"/>
        <v>0</v>
      </c>
      <c r="I220" s="171">
        <f t="shared" si="161"/>
        <v>0</v>
      </c>
      <c r="J220" s="162"/>
      <c r="K220" s="615"/>
      <c r="L220" s="640"/>
      <c r="M220" s="162"/>
      <c r="N220" s="615"/>
      <c r="O220" s="416"/>
      <c r="P220" s="416"/>
      <c r="Q220" s="416"/>
      <c r="R220" s="416"/>
      <c r="S220" s="416"/>
      <c r="T220" s="416"/>
      <c r="U220" s="416"/>
      <c r="V220" s="416"/>
      <c r="W220" s="416"/>
      <c r="X220" s="416"/>
      <c r="Y220" s="416"/>
      <c r="Z220" s="416"/>
      <c r="AA220" s="416"/>
      <c r="AB220" s="416"/>
      <c r="AC220" s="416"/>
      <c r="AD220" s="416"/>
      <c r="AE220" s="416"/>
      <c r="AF220" s="416"/>
      <c r="AG220" s="416"/>
      <c r="AH220" s="416"/>
      <c r="AI220" s="416"/>
      <c r="AJ220" s="416"/>
      <c r="AK220" s="416"/>
      <c r="AL220" s="416"/>
      <c r="AM220" s="416"/>
    </row>
    <row r="221" spans="1:39" hidden="1" outlineLevel="1" collapsed="1" x14ac:dyDescent="0.2">
      <c r="A221" s="162"/>
      <c r="B221" s="162"/>
      <c r="C221" s="695"/>
      <c r="D221" s="690"/>
      <c r="E221" s="694"/>
      <c r="F221" s="694"/>
      <c r="G221" s="694"/>
      <c r="H221" s="694"/>
      <c r="I221" s="694"/>
      <c r="J221" s="694"/>
      <c r="K221" s="694"/>
      <c r="L221" s="162"/>
      <c r="M221" s="162"/>
      <c r="N221" s="162"/>
      <c r="O221" s="416"/>
      <c r="P221" s="416"/>
      <c r="Q221" s="416"/>
      <c r="R221" s="416"/>
      <c r="S221" s="416"/>
      <c r="T221" s="416"/>
      <c r="U221" s="416"/>
      <c r="V221" s="416"/>
      <c r="W221" s="416"/>
      <c r="X221" s="416"/>
      <c r="Y221" s="416"/>
      <c r="Z221" s="416"/>
      <c r="AA221" s="416"/>
      <c r="AB221" s="416"/>
      <c r="AC221" s="416"/>
      <c r="AD221" s="416"/>
      <c r="AE221" s="416"/>
      <c r="AF221" s="416"/>
      <c r="AG221" s="416"/>
      <c r="AH221" s="416"/>
      <c r="AI221" s="416"/>
      <c r="AJ221" s="416"/>
      <c r="AK221" s="416"/>
      <c r="AL221" s="416"/>
      <c r="AM221" s="416"/>
    </row>
    <row r="222" spans="1:39" ht="15" hidden="1" outlineLevel="1" x14ac:dyDescent="0.2">
      <c r="A222" s="162"/>
      <c r="B222" s="298">
        <v>13</v>
      </c>
      <c r="C222" s="147" t="str">
        <f>INDEX(PBSScriptsNew,B222,1)</f>
        <v>** NOT USED **</v>
      </c>
      <c r="D222" s="139"/>
      <c r="E222" s="139"/>
      <c r="F222" s="139"/>
      <c r="G222" s="139"/>
      <c r="H222" s="139"/>
      <c r="I222" s="139"/>
      <c r="J222" s="139"/>
      <c r="K222" s="139"/>
      <c r="L222" s="133"/>
      <c r="M222" s="133"/>
      <c r="N222" s="133"/>
      <c r="O222" s="127"/>
      <c r="P222" s="127"/>
      <c r="Q222" s="127"/>
      <c r="R222" s="127"/>
      <c r="S222" s="127"/>
      <c r="T222" s="127"/>
      <c r="U222" s="127"/>
      <c r="V222" s="127"/>
      <c r="W222" s="127"/>
      <c r="X222" s="127"/>
      <c r="Y222" s="127"/>
      <c r="Z222" s="127"/>
      <c r="AA222" s="127"/>
      <c r="AB222" s="127"/>
      <c r="AC222" s="127"/>
      <c r="AD222" s="127"/>
      <c r="AE222" s="127"/>
      <c r="AF222" s="127"/>
      <c r="AG222" s="127"/>
      <c r="AH222" s="127"/>
      <c r="AI222" s="127"/>
      <c r="AJ222" s="127"/>
      <c r="AK222" s="127"/>
      <c r="AL222" s="127"/>
      <c r="AM222" s="127"/>
    </row>
    <row r="223" spans="1:39" hidden="1" outlineLevel="2" x14ac:dyDescent="0.2">
      <c r="A223" s="162"/>
      <c r="B223" s="162"/>
      <c r="C223" s="615"/>
      <c r="D223" s="397">
        <v>2</v>
      </c>
      <c r="E223" s="397">
        <v>3</v>
      </c>
      <c r="F223" s="397">
        <v>4</v>
      </c>
      <c r="G223" s="397">
        <v>5</v>
      </c>
      <c r="H223" s="397">
        <v>6</v>
      </c>
      <c r="I223" s="397">
        <v>7</v>
      </c>
      <c r="J223" s="624"/>
      <c r="K223" s="615"/>
      <c r="L223" s="615"/>
      <c r="M223" s="615"/>
      <c r="N223" s="615"/>
      <c r="O223" s="416"/>
      <c r="P223" s="416"/>
      <c r="Q223" s="416"/>
      <c r="R223" s="416"/>
      <c r="S223" s="416"/>
      <c r="T223" s="416"/>
      <c r="U223" s="416"/>
      <c r="V223" s="416"/>
      <c r="W223" s="416"/>
      <c r="X223" s="416"/>
      <c r="Y223" s="416"/>
      <c r="Z223" s="416"/>
      <c r="AA223" s="416"/>
      <c r="AB223" s="416"/>
      <c r="AC223" s="416"/>
      <c r="AD223" s="416"/>
      <c r="AE223" s="416"/>
      <c r="AF223" s="416"/>
      <c r="AG223" s="416"/>
      <c r="AH223" s="416"/>
      <c r="AI223" s="416"/>
      <c r="AJ223" s="416"/>
      <c r="AK223" s="416"/>
      <c r="AL223" s="416"/>
      <c r="AM223" s="416"/>
    </row>
    <row r="224" spans="1:39" hidden="1" outlineLevel="2" x14ac:dyDescent="0.2">
      <c r="A224" s="162"/>
      <c r="B224" s="162"/>
      <c r="C224" s="162"/>
      <c r="D224" s="630">
        <f>FirstYear</f>
        <v>2021</v>
      </c>
      <c r="E224" s="630">
        <f>D224+1</f>
        <v>2022</v>
      </c>
      <c r="F224" s="630">
        <f>E224+1</f>
        <v>2023</v>
      </c>
      <c r="G224" s="630">
        <f>F224+1</f>
        <v>2024</v>
      </c>
      <c r="H224" s="630">
        <f>G224+1</f>
        <v>2025</v>
      </c>
      <c r="I224" s="630">
        <f>H224+1</f>
        <v>2026</v>
      </c>
      <c r="J224" s="162"/>
      <c r="K224" s="162"/>
      <c r="L224" s="162"/>
      <c r="M224" s="162"/>
      <c r="N224" s="162"/>
      <c r="O224" s="416"/>
      <c r="P224" s="416"/>
      <c r="Q224" s="416"/>
      <c r="R224" s="416"/>
      <c r="S224" s="416"/>
      <c r="T224" s="416"/>
      <c r="U224" s="416"/>
      <c r="V224" s="416"/>
      <c r="W224" s="416"/>
      <c r="X224" s="416"/>
      <c r="Y224" s="416"/>
      <c r="Z224" s="416"/>
      <c r="AA224" s="416"/>
      <c r="AB224" s="416"/>
      <c r="AC224" s="416"/>
      <c r="AD224" s="416"/>
      <c r="AE224" s="416"/>
      <c r="AF224" s="416"/>
      <c r="AG224" s="416"/>
      <c r="AH224" s="416"/>
      <c r="AI224" s="416"/>
      <c r="AJ224" s="416"/>
      <c r="AK224" s="416"/>
      <c r="AL224" s="416"/>
      <c r="AM224" s="416"/>
    </row>
    <row r="225" spans="1:39" hidden="1" outlineLevel="2" x14ac:dyDescent="0.2">
      <c r="A225" s="162"/>
      <c r="B225" s="162"/>
      <c r="C225" s="170" t="s">
        <v>122</v>
      </c>
      <c r="D225" s="171">
        <f t="shared" ref="D225:I225" si="162">INDEX(PBSScriptsNew,$B222,D223)</f>
        <v>0</v>
      </c>
      <c r="E225" s="171">
        <f t="shared" si="162"/>
        <v>0</v>
      </c>
      <c r="F225" s="171">
        <f t="shared" si="162"/>
        <v>0</v>
      </c>
      <c r="G225" s="171">
        <f t="shared" si="162"/>
        <v>0</v>
      </c>
      <c r="H225" s="171">
        <f t="shared" si="162"/>
        <v>0</v>
      </c>
      <c r="I225" s="171">
        <f t="shared" si="162"/>
        <v>0</v>
      </c>
      <c r="J225" s="162"/>
      <c r="K225" s="162"/>
      <c r="L225" s="162"/>
      <c r="M225" s="162"/>
      <c r="N225" s="693"/>
      <c r="O225" s="416"/>
      <c r="P225" s="416"/>
      <c r="Q225" s="416"/>
      <c r="R225" s="416"/>
      <c r="S225" s="416"/>
      <c r="T225" s="416"/>
      <c r="U225" s="416"/>
      <c r="V225" s="416"/>
      <c r="W225" s="416"/>
      <c r="X225" s="416"/>
      <c r="Y225" s="416"/>
      <c r="Z225" s="416"/>
      <c r="AA225" s="416"/>
      <c r="AB225" s="416"/>
      <c r="AC225" s="416"/>
      <c r="AD225" s="416"/>
      <c r="AE225" s="416"/>
      <c r="AF225" s="416"/>
      <c r="AG225" s="416"/>
      <c r="AH225" s="416"/>
      <c r="AI225" s="416"/>
      <c r="AJ225" s="416"/>
      <c r="AK225" s="416"/>
      <c r="AL225" s="416"/>
      <c r="AM225" s="416"/>
    </row>
    <row r="226" spans="1:39" hidden="1" outlineLevel="2" x14ac:dyDescent="0.2">
      <c r="A226" s="162"/>
      <c r="B226" s="162"/>
      <c r="C226" s="170" t="s">
        <v>123</v>
      </c>
      <c r="D226" s="171">
        <f t="shared" ref="D226:I226" si="163">INDEX(RPBSScriptsNew,$B222,D223)</f>
        <v>0</v>
      </c>
      <c r="E226" s="171">
        <f t="shared" si="163"/>
        <v>0</v>
      </c>
      <c r="F226" s="171">
        <f t="shared" si="163"/>
        <v>0</v>
      </c>
      <c r="G226" s="171">
        <f t="shared" si="163"/>
        <v>0</v>
      </c>
      <c r="H226" s="171">
        <f t="shared" si="163"/>
        <v>0</v>
      </c>
      <c r="I226" s="171">
        <f t="shared" si="163"/>
        <v>0</v>
      </c>
      <c r="J226" s="162"/>
      <c r="K226" s="162"/>
      <c r="L226" s="162"/>
      <c r="M226" s="162"/>
      <c r="N226" s="162"/>
      <c r="O226" s="416"/>
      <c r="P226" s="416"/>
      <c r="Q226" s="416"/>
      <c r="R226" s="416"/>
      <c r="S226" s="416"/>
      <c r="T226" s="416"/>
      <c r="U226" s="416"/>
      <c r="V226" s="416"/>
      <c r="W226" s="416"/>
      <c r="X226" s="416"/>
      <c r="Y226" s="416"/>
      <c r="Z226" s="416"/>
      <c r="AA226" s="416"/>
      <c r="AB226" s="416"/>
      <c r="AC226" s="416"/>
      <c r="AD226" s="416"/>
      <c r="AE226" s="416"/>
      <c r="AF226" s="416"/>
      <c r="AG226" s="416"/>
      <c r="AH226" s="416"/>
      <c r="AI226" s="416"/>
      <c r="AJ226" s="416"/>
      <c r="AK226" s="416"/>
      <c r="AL226" s="416"/>
      <c r="AM226" s="416"/>
    </row>
    <row r="227" spans="1:39" hidden="1" outlineLevel="2" x14ac:dyDescent="0.2">
      <c r="A227" s="162"/>
      <c r="B227" s="162"/>
      <c r="C227" s="158" t="s">
        <v>124</v>
      </c>
      <c r="D227" s="171">
        <f t="shared" ref="D227:I227" si="164">IF(INDEX(SANew,$B222,7)&gt;0,ROUND(D225/INDEX(SANew,$B222,2),0),0)</f>
        <v>0</v>
      </c>
      <c r="E227" s="171">
        <f t="shared" si="164"/>
        <v>0</v>
      </c>
      <c r="F227" s="171">
        <f t="shared" si="164"/>
        <v>0</v>
      </c>
      <c r="G227" s="171">
        <f t="shared" si="164"/>
        <v>0</v>
      </c>
      <c r="H227" s="171">
        <f t="shared" si="164"/>
        <v>0</v>
      </c>
      <c r="I227" s="171">
        <f t="shared" si="164"/>
        <v>0</v>
      </c>
      <c r="J227" s="162"/>
      <c r="K227" s="615"/>
      <c r="L227" s="640"/>
      <c r="M227" s="162"/>
      <c r="N227" s="615"/>
      <c r="O227" s="416"/>
      <c r="P227" s="416"/>
      <c r="Q227" s="416"/>
      <c r="R227" s="416"/>
      <c r="S227" s="416"/>
      <c r="T227" s="416"/>
      <c r="U227" s="416"/>
      <c r="V227" s="416"/>
      <c r="W227" s="416"/>
      <c r="X227" s="416"/>
      <c r="Y227" s="416"/>
      <c r="Z227" s="416"/>
      <c r="AA227" s="416"/>
      <c r="AB227" s="416"/>
      <c r="AC227" s="416"/>
      <c r="AD227" s="416"/>
      <c r="AE227" s="416"/>
      <c r="AF227" s="416"/>
      <c r="AG227" s="416"/>
      <c r="AH227" s="416"/>
      <c r="AI227" s="416"/>
      <c r="AJ227" s="416"/>
      <c r="AK227" s="416"/>
      <c r="AL227" s="416"/>
      <c r="AM227" s="416"/>
    </row>
    <row r="228" spans="1:39" hidden="1" outlineLevel="2" x14ac:dyDescent="0.2">
      <c r="A228" s="162"/>
      <c r="B228" s="162"/>
      <c r="C228" s="158" t="s">
        <v>125</v>
      </c>
      <c r="D228" s="171">
        <f t="shared" ref="D228:I228" si="165">IF(INDEX(SANew,$B222,7)&gt;0,ROUND(D226/INDEX(SANew,$B222,2),0),0)</f>
        <v>0</v>
      </c>
      <c r="E228" s="171">
        <f t="shared" si="165"/>
        <v>0</v>
      </c>
      <c r="F228" s="171">
        <f t="shared" si="165"/>
        <v>0</v>
      </c>
      <c r="G228" s="171">
        <f t="shared" si="165"/>
        <v>0</v>
      </c>
      <c r="H228" s="171">
        <f t="shared" si="165"/>
        <v>0</v>
      </c>
      <c r="I228" s="171">
        <f t="shared" si="165"/>
        <v>0</v>
      </c>
      <c r="J228" s="162"/>
      <c r="K228" s="615"/>
      <c r="L228" s="640"/>
      <c r="M228" s="162"/>
      <c r="N228" s="615"/>
      <c r="O228" s="416"/>
      <c r="P228" s="416"/>
      <c r="Q228" s="416"/>
      <c r="R228" s="416"/>
      <c r="S228" s="416"/>
      <c r="T228" s="416"/>
      <c r="U228" s="416"/>
      <c r="V228" s="416"/>
      <c r="W228" s="416"/>
      <c r="X228" s="416"/>
      <c r="Y228" s="416"/>
      <c r="Z228" s="416"/>
      <c r="AA228" s="416"/>
      <c r="AB228" s="416"/>
      <c r="AC228" s="416"/>
      <c r="AD228" s="416"/>
      <c r="AE228" s="416"/>
      <c r="AF228" s="416"/>
      <c r="AG228" s="416"/>
      <c r="AH228" s="416"/>
      <c r="AI228" s="416"/>
      <c r="AJ228" s="416"/>
      <c r="AK228" s="416"/>
      <c r="AL228" s="416"/>
      <c r="AM228" s="416"/>
    </row>
    <row r="229" spans="1:39" hidden="1" outlineLevel="1" collapsed="1" x14ac:dyDescent="0.2">
      <c r="A229" s="162"/>
      <c r="B229" s="162"/>
      <c r="C229" s="695"/>
      <c r="D229" s="690"/>
      <c r="E229" s="694"/>
      <c r="F229" s="694"/>
      <c r="G229" s="694"/>
      <c r="H229" s="694"/>
      <c r="I229" s="694"/>
      <c r="J229" s="694"/>
      <c r="K229" s="694"/>
      <c r="L229" s="162"/>
      <c r="M229" s="162"/>
      <c r="N229" s="162"/>
      <c r="O229" s="416"/>
      <c r="P229" s="416"/>
      <c r="Q229" s="416"/>
      <c r="R229" s="416"/>
      <c r="S229" s="416"/>
      <c r="T229" s="416"/>
      <c r="U229" s="416"/>
      <c r="V229" s="416"/>
      <c r="W229" s="416"/>
      <c r="X229" s="416"/>
      <c r="Y229" s="416"/>
      <c r="Z229" s="416"/>
      <c r="AA229" s="416"/>
      <c r="AB229" s="416"/>
      <c r="AC229" s="416"/>
      <c r="AD229" s="416"/>
      <c r="AE229" s="416"/>
      <c r="AF229" s="416"/>
      <c r="AG229" s="416"/>
      <c r="AH229" s="416"/>
      <c r="AI229" s="416"/>
      <c r="AJ229" s="416"/>
      <c r="AK229" s="416"/>
      <c r="AL229" s="416"/>
      <c r="AM229" s="416"/>
    </row>
    <row r="230" spans="1:39" ht="15" hidden="1" outlineLevel="1" x14ac:dyDescent="0.2">
      <c r="A230" s="162"/>
      <c r="B230" s="298">
        <v>14</v>
      </c>
      <c r="C230" s="147" t="str">
        <f>INDEX(PBSScriptsNew,B230,1)</f>
        <v>** NOT USED **</v>
      </c>
      <c r="D230" s="139"/>
      <c r="E230" s="139"/>
      <c r="F230" s="139"/>
      <c r="G230" s="139"/>
      <c r="H230" s="139"/>
      <c r="I230" s="139"/>
      <c r="J230" s="139"/>
      <c r="K230" s="139"/>
      <c r="L230" s="133"/>
      <c r="M230" s="133"/>
      <c r="N230" s="133"/>
      <c r="O230" s="127"/>
      <c r="P230" s="127"/>
      <c r="Q230" s="127"/>
      <c r="R230" s="127"/>
      <c r="S230" s="127"/>
      <c r="T230" s="127"/>
      <c r="U230" s="127"/>
      <c r="V230" s="127"/>
      <c r="W230" s="127"/>
      <c r="X230" s="127"/>
      <c r="Y230" s="127"/>
      <c r="Z230" s="127"/>
      <c r="AA230" s="127"/>
      <c r="AB230" s="127"/>
      <c r="AC230" s="127"/>
      <c r="AD230" s="127"/>
      <c r="AE230" s="127"/>
      <c r="AF230" s="127"/>
      <c r="AG230" s="127"/>
      <c r="AH230" s="127"/>
      <c r="AI230" s="127"/>
      <c r="AJ230" s="127"/>
      <c r="AK230" s="127"/>
      <c r="AL230" s="127"/>
      <c r="AM230" s="127"/>
    </row>
    <row r="231" spans="1:39" hidden="1" outlineLevel="2" x14ac:dyDescent="0.2">
      <c r="A231" s="162"/>
      <c r="B231" s="162"/>
      <c r="C231" s="615"/>
      <c r="D231" s="397">
        <v>2</v>
      </c>
      <c r="E231" s="397">
        <v>3</v>
      </c>
      <c r="F231" s="397">
        <v>4</v>
      </c>
      <c r="G231" s="397">
        <v>5</v>
      </c>
      <c r="H231" s="397">
        <v>6</v>
      </c>
      <c r="I231" s="397">
        <v>7</v>
      </c>
      <c r="J231" s="624"/>
      <c r="K231" s="615"/>
      <c r="L231" s="615"/>
      <c r="M231" s="615"/>
      <c r="N231" s="615"/>
      <c r="O231" s="416"/>
      <c r="P231" s="416"/>
      <c r="Q231" s="416"/>
      <c r="R231" s="416"/>
      <c r="S231" s="416"/>
      <c r="T231" s="416"/>
      <c r="U231" s="416"/>
      <c r="V231" s="416"/>
      <c r="W231" s="416"/>
      <c r="X231" s="416"/>
      <c r="Y231" s="416"/>
      <c r="Z231" s="416"/>
      <c r="AA231" s="416"/>
      <c r="AB231" s="416"/>
      <c r="AC231" s="416"/>
      <c r="AD231" s="416"/>
      <c r="AE231" s="416"/>
      <c r="AF231" s="416"/>
      <c r="AG231" s="416"/>
      <c r="AH231" s="416"/>
      <c r="AI231" s="416"/>
      <c r="AJ231" s="416"/>
      <c r="AK231" s="416"/>
      <c r="AL231" s="416"/>
      <c r="AM231" s="416"/>
    </row>
    <row r="232" spans="1:39" hidden="1" outlineLevel="2" x14ac:dyDescent="0.2">
      <c r="A232" s="162"/>
      <c r="B232" s="162"/>
      <c r="C232" s="162"/>
      <c r="D232" s="630">
        <f>FirstYear</f>
        <v>2021</v>
      </c>
      <c r="E232" s="630">
        <f>D232+1</f>
        <v>2022</v>
      </c>
      <c r="F232" s="630">
        <f>E232+1</f>
        <v>2023</v>
      </c>
      <c r="G232" s="630">
        <f>F232+1</f>
        <v>2024</v>
      </c>
      <c r="H232" s="630">
        <f>G232+1</f>
        <v>2025</v>
      </c>
      <c r="I232" s="630">
        <f>H232+1</f>
        <v>2026</v>
      </c>
      <c r="J232" s="162"/>
      <c r="K232" s="162"/>
      <c r="L232" s="162"/>
      <c r="M232" s="162"/>
      <c r="N232" s="162"/>
      <c r="O232" s="416"/>
      <c r="P232" s="416"/>
      <c r="Q232" s="416"/>
      <c r="R232" s="416"/>
      <c r="S232" s="416"/>
      <c r="T232" s="416"/>
      <c r="U232" s="416"/>
      <c r="V232" s="416"/>
      <c r="W232" s="416"/>
      <c r="X232" s="416"/>
      <c r="Y232" s="416"/>
      <c r="Z232" s="416"/>
      <c r="AA232" s="416"/>
      <c r="AB232" s="416"/>
      <c r="AC232" s="416"/>
      <c r="AD232" s="416"/>
      <c r="AE232" s="416"/>
      <c r="AF232" s="416"/>
      <c r="AG232" s="416"/>
      <c r="AH232" s="416"/>
      <c r="AI232" s="416"/>
      <c r="AJ232" s="416"/>
      <c r="AK232" s="416"/>
      <c r="AL232" s="416"/>
      <c r="AM232" s="416"/>
    </row>
    <row r="233" spans="1:39" hidden="1" outlineLevel="2" x14ac:dyDescent="0.2">
      <c r="A233" s="162"/>
      <c r="B233" s="162"/>
      <c r="C233" s="170" t="s">
        <v>122</v>
      </c>
      <c r="D233" s="171">
        <f t="shared" ref="D233:I233" si="166">INDEX(PBSScriptsNew,$B230,D231)</f>
        <v>0</v>
      </c>
      <c r="E233" s="171">
        <f t="shared" si="166"/>
        <v>0</v>
      </c>
      <c r="F233" s="171">
        <f t="shared" si="166"/>
        <v>0</v>
      </c>
      <c r="G233" s="171">
        <f t="shared" si="166"/>
        <v>0</v>
      </c>
      <c r="H233" s="171">
        <f t="shared" si="166"/>
        <v>0</v>
      </c>
      <c r="I233" s="171">
        <f t="shared" si="166"/>
        <v>0</v>
      </c>
      <c r="J233" s="162"/>
      <c r="K233" s="162"/>
      <c r="L233" s="162"/>
      <c r="M233" s="162"/>
      <c r="N233" s="693"/>
      <c r="O233" s="416"/>
      <c r="P233" s="416"/>
      <c r="Q233" s="416"/>
      <c r="R233" s="416"/>
      <c r="S233" s="416"/>
      <c r="T233" s="416"/>
      <c r="U233" s="416"/>
      <c r="V233" s="416"/>
      <c r="W233" s="416"/>
      <c r="X233" s="416"/>
      <c r="Y233" s="416"/>
      <c r="Z233" s="416"/>
      <c r="AA233" s="416"/>
      <c r="AB233" s="416"/>
      <c r="AC233" s="416"/>
      <c r="AD233" s="416"/>
      <c r="AE233" s="416"/>
      <c r="AF233" s="416"/>
      <c r="AG233" s="416"/>
      <c r="AH233" s="416"/>
      <c r="AI233" s="416"/>
      <c r="AJ233" s="416"/>
      <c r="AK233" s="416"/>
      <c r="AL233" s="416"/>
      <c r="AM233" s="416"/>
    </row>
    <row r="234" spans="1:39" hidden="1" outlineLevel="2" x14ac:dyDescent="0.2">
      <c r="A234" s="162"/>
      <c r="B234" s="162"/>
      <c r="C234" s="170" t="s">
        <v>123</v>
      </c>
      <c r="D234" s="171">
        <f t="shared" ref="D234:I234" si="167">INDEX(RPBSScriptsNew,$B230,D231)</f>
        <v>0</v>
      </c>
      <c r="E234" s="171">
        <f t="shared" si="167"/>
        <v>0</v>
      </c>
      <c r="F234" s="171">
        <f t="shared" si="167"/>
        <v>0</v>
      </c>
      <c r="G234" s="171">
        <f t="shared" si="167"/>
        <v>0</v>
      </c>
      <c r="H234" s="171">
        <f t="shared" si="167"/>
        <v>0</v>
      </c>
      <c r="I234" s="171">
        <f t="shared" si="167"/>
        <v>0</v>
      </c>
      <c r="J234" s="162"/>
      <c r="K234" s="162"/>
      <c r="L234" s="162"/>
      <c r="M234" s="162"/>
      <c r="N234" s="162"/>
      <c r="O234" s="416"/>
      <c r="P234" s="416"/>
      <c r="Q234" s="416"/>
      <c r="R234" s="416"/>
      <c r="S234" s="416"/>
      <c r="T234" s="416"/>
      <c r="U234" s="416"/>
      <c r="V234" s="416"/>
      <c r="W234" s="416"/>
      <c r="X234" s="416"/>
      <c r="Y234" s="416"/>
      <c r="Z234" s="416"/>
      <c r="AA234" s="416"/>
      <c r="AB234" s="416"/>
      <c r="AC234" s="416"/>
      <c r="AD234" s="416"/>
      <c r="AE234" s="416"/>
      <c r="AF234" s="416"/>
      <c r="AG234" s="416"/>
      <c r="AH234" s="416"/>
      <c r="AI234" s="416"/>
      <c r="AJ234" s="416"/>
      <c r="AK234" s="416"/>
      <c r="AL234" s="416"/>
      <c r="AM234" s="416"/>
    </row>
    <row r="235" spans="1:39" hidden="1" outlineLevel="2" x14ac:dyDescent="0.2">
      <c r="A235" s="162"/>
      <c r="B235" s="162"/>
      <c r="C235" s="158" t="s">
        <v>124</v>
      </c>
      <c r="D235" s="171">
        <f t="shared" ref="D235:I235" si="168">IF(INDEX(SANew,$B230,7)&gt;0,ROUND(D233/INDEX(SANew,$B230,2),0),0)</f>
        <v>0</v>
      </c>
      <c r="E235" s="171">
        <f t="shared" si="168"/>
        <v>0</v>
      </c>
      <c r="F235" s="171">
        <f t="shared" si="168"/>
        <v>0</v>
      </c>
      <c r="G235" s="171">
        <f t="shared" si="168"/>
        <v>0</v>
      </c>
      <c r="H235" s="171">
        <f t="shared" si="168"/>
        <v>0</v>
      </c>
      <c r="I235" s="171">
        <f t="shared" si="168"/>
        <v>0</v>
      </c>
      <c r="J235" s="162"/>
      <c r="K235" s="615"/>
      <c r="L235" s="640"/>
      <c r="M235" s="162"/>
      <c r="N235" s="615"/>
      <c r="O235" s="416"/>
      <c r="P235" s="416"/>
      <c r="Q235" s="416"/>
      <c r="R235" s="416"/>
      <c r="S235" s="416"/>
      <c r="T235" s="416"/>
      <c r="U235" s="416"/>
      <c r="V235" s="416"/>
      <c r="W235" s="416"/>
      <c r="X235" s="416"/>
      <c r="Y235" s="416"/>
      <c r="Z235" s="416"/>
      <c r="AA235" s="416"/>
      <c r="AB235" s="416"/>
      <c r="AC235" s="416"/>
      <c r="AD235" s="416"/>
      <c r="AE235" s="416"/>
      <c r="AF235" s="416"/>
      <c r="AG235" s="416"/>
      <c r="AH235" s="416"/>
      <c r="AI235" s="416"/>
      <c r="AJ235" s="416"/>
      <c r="AK235" s="416"/>
      <c r="AL235" s="416"/>
      <c r="AM235" s="416"/>
    </row>
    <row r="236" spans="1:39" hidden="1" outlineLevel="2" x14ac:dyDescent="0.2">
      <c r="A236" s="162"/>
      <c r="B236" s="162"/>
      <c r="C236" s="158" t="s">
        <v>125</v>
      </c>
      <c r="D236" s="171">
        <f t="shared" ref="D236:I236" si="169">IF(INDEX(SANew,$B230,7)&gt;0,ROUND(D234/INDEX(SANew,$B230,2),0),0)</f>
        <v>0</v>
      </c>
      <c r="E236" s="171">
        <f t="shared" si="169"/>
        <v>0</v>
      </c>
      <c r="F236" s="171">
        <f t="shared" si="169"/>
        <v>0</v>
      </c>
      <c r="G236" s="171">
        <f t="shared" si="169"/>
        <v>0</v>
      </c>
      <c r="H236" s="171">
        <f t="shared" si="169"/>
        <v>0</v>
      </c>
      <c r="I236" s="171">
        <f t="shared" si="169"/>
        <v>0</v>
      </c>
      <c r="J236" s="162"/>
      <c r="K236" s="615"/>
      <c r="L236" s="640"/>
      <c r="M236" s="162"/>
      <c r="N236" s="615"/>
      <c r="O236" s="416"/>
      <c r="P236" s="416"/>
      <c r="Q236" s="416"/>
      <c r="R236" s="416"/>
      <c r="S236" s="416"/>
      <c r="T236" s="416"/>
      <c r="U236" s="416"/>
      <c r="V236" s="416"/>
      <c r="W236" s="416"/>
      <c r="X236" s="416"/>
      <c r="Y236" s="416"/>
      <c r="Z236" s="416"/>
      <c r="AA236" s="416"/>
      <c r="AB236" s="416"/>
      <c r="AC236" s="416"/>
      <c r="AD236" s="416"/>
      <c r="AE236" s="416"/>
      <c r="AF236" s="416"/>
      <c r="AG236" s="416"/>
      <c r="AH236" s="416"/>
      <c r="AI236" s="416"/>
      <c r="AJ236" s="416"/>
      <c r="AK236" s="416"/>
      <c r="AL236" s="416"/>
      <c r="AM236" s="416"/>
    </row>
    <row r="237" spans="1:39" hidden="1" outlineLevel="1" collapsed="1" x14ac:dyDescent="0.2">
      <c r="A237" s="162"/>
      <c r="B237" s="162"/>
      <c r="C237" s="695"/>
      <c r="D237" s="690"/>
      <c r="E237" s="694"/>
      <c r="F237" s="694"/>
      <c r="G237" s="694"/>
      <c r="H237" s="694"/>
      <c r="I237" s="694"/>
      <c r="J237" s="694"/>
      <c r="K237" s="694"/>
      <c r="L237" s="162"/>
      <c r="M237" s="162"/>
      <c r="N237" s="162"/>
      <c r="O237" s="416"/>
      <c r="P237" s="416"/>
      <c r="Q237" s="416"/>
      <c r="R237" s="416"/>
      <c r="S237" s="416"/>
      <c r="T237" s="416"/>
      <c r="U237" s="416"/>
      <c r="V237" s="416"/>
      <c r="W237" s="416"/>
      <c r="X237" s="416"/>
      <c r="Y237" s="416"/>
      <c r="Z237" s="416"/>
      <c r="AA237" s="416"/>
      <c r="AB237" s="416"/>
      <c r="AC237" s="416"/>
      <c r="AD237" s="416"/>
      <c r="AE237" s="416"/>
      <c r="AF237" s="416"/>
      <c r="AG237" s="416"/>
      <c r="AH237" s="416"/>
      <c r="AI237" s="416"/>
      <c r="AJ237" s="416"/>
      <c r="AK237" s="416"/>
      <c r="AL237" s="416"/>
      <c r="AM237" s="416"/>
    </row>
    <row r="238" spans="1:39" ht="15" hidden="1" outlineLevel="1" x14ac:dyDescent="0.2">
      <c r="A238" s="162"/>
      <c r="B238" s="298">
        <v>15</v>
      </c>
      <c r="C238" s="147" t="str">
        <f>INDEX(PBSScriptsNew,B238,1)</f>
        <v>** NOT USED **</v>
      </c>
      <c r="D238" s="139"/>
      <c r="E238" s="139"/>
      <c r="F238" s="139"/>
      <c r="G238" s="139"/>
      <c r="H238" s="139"/>
      <c r="I238" s="139"/>
      <c r="J238" s="139"/>
      <c r="K238" s="139"/>
      <c r="L238" s="133"/>
      <c r="M238" s="133"/>
      <c r="N238" s="133"/>
      <c r="O238" s="127"/>
      <c r="P238" s="127"/>
      <c r="Q238" s="127"/>
      <c r="R238" s="127"/>
      <c r="S238" s="127"/>
      <c r="T238" s="127"/>
      <c r="U238" s="127"/>
      <c r="V238" s="127"/>
      <c r="W238" s="127"/>
      <c r="X238" s="127"/>
      <c r="Y238" s="127"/>
      <c r="Z238" s="127"/>
      <c r="AA238" s="127"/>
      <c r="AB238" s="127"/>
      <c r="AC238" s="127"/>
      <c r="AD238" s="127"/>
      <c r="AE238" s="127"/>
      <c r="AF238" s="127"/>
      <c r="AG238" s="127"/>
      <c r="AH238" s="127"/>
      <c r="AI238" s="127"/>
      <c r="AJ238" s="127"/>
      <c r="AK238" s="127"/>
      <c r="AL238" s="127"/>
      <c r="AM238" s="127"/>
    </row>
    <row r="239" spans="1:39" hidden="1" outlineLevel="2" x14ac:dyDescent="0.2">
      <c r="A239" s="162"/>
      <c r="B239" s="162"/>
      <c r="C239" s="615"/>
      <c r="D239" s="397">
        <v>2</v>
      </c>
      <c r="E239" s="397">
        <v>3</v>
      </c>
      <c r="F239" s="397">
        <v>4</v>
      </c>
      <c r="G239" s="397">
        <v>5</v>
      </c>
      <c r="H239" s="397">
        <v>6</v>
      </c>
      <c r="I239" s="397">
        <v>7</v>
      </c>
      <c r="J239" s="624"/>
      <c r="K239" s="615"/>
      <c r="L239" s="615"/>
      <c r="M239" s="615"/>
      <c r="N239" s="615"/>
      <c r="O239" s="416"/>
      <c r="P239" s="416"/>
      <c r="Q239" s="416"/>
      <c r="R239" s="416"/>
      <c r="S239" s="416"/>
      <c r="T239" s="416"/>
      <c r="U239" s="416"/>
      <c r="V239" s="416"/>
      <c r="W239" s="416"/>
      <c r="X239" s="416"/>
      <c r="Y239" s="416"/>
      <c r="Z239" s="416"/>
      <c r="AA239" s="416"/>
      <c r="AB239" s="416"/>
      <c r="AC239" s="416"/>
      <c r="AD239" s="416"/>
      <c r="AE239" s="416"/>
      <c r="AF239" s="416"/>
      <c r="AG239" s="416"/>
      <c r="AH239" s="416"/>
      <c r="AI239" s="416"/>
      <c r="AJ239" s="416"/>
      <c r="AK239" s="416"/>
      <c r="AL239" s="416"/>
      <c r="AM239" s="416"/>
    </row>
    <row r="240" spans="1:39" hidden="1" outlineLevel="2" x14ac:dyDescent="0.2">
      <c r="A240" s="162"/>
      <c r="B240" s="162"/>
      <c r="C240" s="162"/>
      <c r="D240" s="630">
        <f>FirstYear</f>
        <v>2021</v>
      </c>
      <c r="E240" s="630">
        <f>D240+1</f>
        <v>2022</v>
      </c>
      <c r="F240" s="630">
        <f>E240+1</f>
        <v>2023</v>
      </c>
      <c r="G240" s="630">
        <f>F240+1</f>
        <v>2024</v>
      </c>
      <c r="H240" s="630">
        <f>G240+1</f>
        <v>2025</v>
      </c>
      <c r="I240" s="630">
        <f>H240+1</f>
        <v>2026</v>
      </c>
      <c r="J240" s="162"/>
      <c r="K240" s="162"/>
      <c r="L240" s="162"/>
      <c r="M240" s="162"/>
      <c r="N240" s="162"/>
      <c r="O240" s="416"/>
      <c r="P240" s="416"/>
      <c r="Q240" s="416"/>
      <c r="R240" s="416"/>
      <c r="S240" s="416"/>
      <c r="T240" s="416"/>
      <c r="U240" s="416"/>
      <c r="V240" s="416"/>
      <c r="W240" s="416"/>
      <c r="X240" s="416"/>
      <c r="Y240" s="416"/>
      <c r="Z240" s="416"/>
      <c r="AA240" s="416"/>
      <c r="AB240" s="416"/>
      <c r="AC240" s="416"/>
      <c r="AD240" s="416"/>
      <c r="AE240" s="416"/>
      <c r="AF240" s="416"/>
      <c r="AG240" s="416"/>
      <c r="AH240" s="416"/>
      <c r="AI240" s="416"/>
      <c r="AJ240" s="416"/>
      <c r="AK240" s="416"/>
      <c r="AL240" s="416"/>
      <c r="AM240" s="416"/>
    </row>
    <row r="241" spans="1:39" hidden="1" outlineLevel="2" x14ac:dyDescent="0.2">
      <c r="A241" s="162"/>
      <c r="B241" s="162"/>
      <c r="C241" s="170" t="s">
        <v>122</v>
      </c>
      <c r="D241" s="171">
        <f t="shared" ref="D241:I241" si="170">INDEX(PBSScriptsNew,$B238,D239)</f>
        <v>0</v>
      </c>
      <c r="E241" s="171">
        <f t="shared" si="170"/>
        <v>0</v>
      </c>
      <c r="F241" s="171">
        <f t="shared" si="170"/>
        <v>0</v>
      </c>
      <c r="G241" s="171">
        <f t="shared" si="170"/>
        <v>0</v>
      </c>
      <c r="H241" s="171">
        <f t="shared" si="170"/>
        <v>0</v>
      </c>
      <c r="I241" s="171">
        <f t="shared" si="170"/>
        <v>0</v>
      </c>
      <c r="J241" s="162"/>
      <c r="K241" s="162"/>
      <c r="L241" s="162"/>
      <c r="M241" s="162"/>
      <c r="N241" s="693"/>
      <c r="O241" s="416"/>
      <c r="P241" s="416"/>
      <c r="Q241" s="416"/>
      <c r="R241" s="416"/>
      <c r="S241" s="416"/>
      <c r="T241" s="416"/>
      <c r="U241" s="416"/>
      <c r="V241" s="416"/>
      <c r="W241" s="416"/>
      <c r="X241" s="416"/>
      <c r="Y241" s="416"/>
      <c r="Z241" s="416"/>
      <c r="AA241" s="416"/>
      <c r="AB241" s="416"/>
      <c r="AC241" s="416"/>
      <c r="AD241" s="416"/>
      <c r="AE241" s="416"/>
      <c r="AF241" s="416"/>
      <c r="AG241" s="416"/>
      <c r="AH241" s="416"/>
      <c r="AI241" s="416"/>
      <c r="AJ241" s="416"/>
      <c r="AK241" s="416"/>
      <c r="AL241" s="416"/>
      <c r="AM241" s="416"/>
    </row>
    <row r="242" spans="1:39" hidden="1" outlineLevel="2" x14ac:dyDescent="0.2">
      <c r="A242" s="162"/>
      <c r="B242" s="162"/>
      <c r="C242" s="170" t="s">
        <v>123</v>
      </c>
      <c r="D242" s="171">
        <f t="shared" ref="D242:I242" si="171">INDEX(RPBSScriptsNew,$B238,D239)</f>
        <v>0</v>
      </c>
      <c r="E242" s="171">
        <f t="shared" si="171"/>
        <v>0</v>
      </c>
      <c r="F242" s="171">
        <f t="shared" si="171"/>
        <v>0</v>
      </c>
      <c r="G242" s="171">
        <f t="shared" si="171"/>
        <v>0</v>
      </c>
      <c r="H242" s="171">
        <f t="shared" si="171"/>
        <v>0</v>
      </c>
      <c r="I242" s="171">
        <f t="shared" si="171"/>
        <v>0</v>
      </c>
      <c r="J242" s="162"/>
      <c r="K242" s="162"/>
      <c r="L242" s="162"/>
      <c r="M242" s="162"/>
      <c r="N242" s="162"/>
      <c r="O242" s="416"/>
      <c r="P242" s="416"/>
      <c r="Q242" s="416"/>
      <c r="R242" s="416"/>
      <c r="S242" s="416"/>
      <c r="T242" s="416"/>
      <c r="U242" s="416"/>
      <c r="V242" s="416"/>
      <c r="W242" s="416"/>
      <c r="X242" s="416"/>
      <c r="Y242" s="416"/>
      <c r="Z242" s="416"/>
      <c r="AA242" s="416"/>
      <c r="AB242" s="416"/>
      <c r="AC242" s="416"/>
      <c r="AD242" s="416"/>
      <c r="AE242" s="416"/>
      <c r="AF242" s="416"/>
      <c r="AG242" s="416"/>
      <c r="AH242" s="416"/>
      <c r="AI242" s="416"/>
      <c r="AJ242" s="416"/>
      <c r="AK242" s="416"/>
      <c r="AL242" s="416"/>
      <c r="AM242" s="416"/>
    </row>
    <row r="243" spans="1:39" hidden="1" outlineLevel="2" x14ac:dyDescent="0.2">
      <c r="A243" s="162"/>
      <c r="B243" s="162"/>
      <c r="C243" s="158" t="s">
        <v>124</v>
      </c>
      <c r="D243" s="171">
        <f t="shared" ref="D243:I243" si="172">IF(INDEX(SANew,$B238,7)&gt;0,ROUND(D241/INDEX(SANew,$B238,2),0),0)</f>
        <v>0</v>
      </c>
      <c r="E243" s="171">
        <f t="shared" si="172"/>
        <v>0</v>
      </c>
      <c r="F243" s="171">
        <f t="shared" si="172"/>
        <v>0</v>
      </c>
      <c r="G243" s="171">
        <f t="shared" si="172"/>
        <v>0</v>
      </c>
      <c r="H243" s="171">
        <f t="shared" si="172"/>
        <v>0</v>
      </c>
      <c r="I243" s="171">
        <f t="shared" si="172"/>
        <v>0</v>
      </c>
      <c r="J243" s="162"/>
      <c r="K243" s="615"/>
      <c r="L243" s="640"/>
      <c r="M243" s="162"/>
      <c r="N243" s="615"/>
      <c r="O243" s="416"/>
      <c r="P243" s="416"/>
      <c r="Q243" s="416"/>
      <c r="R243" s="416"/>
      <c r="S243" s="416"/>
      <c r="T243" s="416"/>
      <c r="U243" s="416"/>
      <c r="V243" s="416"/>
      <c r="W243" s="416"/>
      <c r="X243" s="416"/>
      <c r="Y243" s="416"/>
      <c r="Z243" s="416"/>
      <c r="AA243" s="416"/>
      <c r="AB243" s="416"/>
      <c r="AC243" s="416"/>
      <c r="AD243" s="416"/>
      <c r="AE243" s="416"/>
      <c r="AF243" s="416"/>
      <c r="AG243" s="416"/>
      <c r="AH243" s="416"/>
      <c r="AI243" s="416"/>
      <c r="AJ243" s="416"/>
      <c r="AK243" s="416"/>
      <c r="AL243" s="416"/>
      <c r="AM243" s="416"/>
    </row>
    <row r="244" spans="1:39" hidden="1" outlineLevel="2" x14ac:dyDescent="0.2">
      <c r="A244" s="162"/>
      <c r="B244" s="162"/>
      <c r="C244" s="158" t="s">
        <v>125</v>
      </c>
      <c r="D244" s="171">
        <f t="shared" ref="D244:I244" si="173">IF(INDEX(SANew,$B238,7)&gt;0,ROUND(D242/INDEX(SANew,$B238,2),0),0)</f>
        <v>0</v>
      </c>
      <c r="E244" s="171">
        <f t="shared" si="173"/>
        <v>0</v>
      </c>
      <c r="F244" s="171">
        <f t="shared" si="173"/>
        <v>0</v>
      </c>
      <c r="G244" s="171">
        <f t="shared" si="173"/>
        <v>0</v>
      </c>
      <c r="H244" s="171">
        <f t="shared" si="173"/>
        <v>0</v>
      </c>
      <c r="I244" s="171">
        <f t="shared" si="173"/>
        <v>0</v>
      </c>
      <c r="J244" s="162"/>
      <c r="K244" s="615"/>
      <c r="L244" s="640"/>
      <c r="M244" s="162"/>
      <c r="N244" s="615"/>
      <c r="O244" s="416"/>
      <c r="P244" s="416"/>
      <c r="Q244" s="416"/>
      <c r="R244" s="416"/>
      <c r="S244" s="416"/>
      <c r="T244" s="416"/>
      <c r="U244" s="416"/>
      <c r="V244" s="416"/>
      <c r="W244" s="416"/>
      <c r="X244" s="416"/>
      <c r="Y244" s="416"/>
      <c r="Z244" s="416"/>
      <c r="AA244" s="416"/>
      <c r="AB244" s="416"/>
      <c r="AC244" s="416"/>
      <c r="AD244" s="416"/>
      <c r="AE244" s="416"/>
      <c r="AF244" s="416"/>
      <c r="AG244" s="416"/>
      <c r="AH244" s="416"/>
      <c r="AI244" s="416"/>
      <c r="AJ244" s="416"/>
      <c r="AK244" s="416"/>
      <c r="AL244" s="416"/>
      <c r="AM244" s="416"/>
    </row>
    <row r="245" spans="1:39" hidden="1" outlineLevel="1" collapsed="1" x14ac:dyDescent="0.2">
      <c r="A245" s="162"/>
      <c r="B245" s="162"/>
      <c r="C245" s="695"/>
      <c r="D245" s="690"/>
      <c r="E245" s="694"/>
      <c r="F245" s="694"/>
      <c r="G245" s="694"/>
      <c r="H245" s="694"/>
      <c r="I245" s="694"/>
      <c r="J245" s="694"/>
      <c r="K245" s="694"/>
      <c r="L245" s="162"/>
      <c r="M245" s="162"/>
      <c r="N245" s="162"/>
      <c r="O245" s="416"/>
      <c r="P245" s="416"/>
      <c r="Q245" s="416"/>
      <c r="R245" s="416"/>
      <c r="S245" s="416"/>
      <c r="T245" s="416"/>
      <c r="U245" s="416"/>
      <c r="V245" s="416"/>
      <c r="W245" s="416"/>
      <c r="X245" s="416"/>
      <c r="Y245" s="416"/>
      <c r="Z245" s="416"/>
      <c r="AA245" s="416"/>
      <c r="AB245" s="416"/>
      <c r="AC245" s="416"/>
      <c r="AD245" s="416"/>
      <c r="AE245" s="416"/>
      <c r="AF245" s="416"/>
      <c r="AG245" s="416"/>
      <c r="AH245" s="416"/>
      <c r="AI245" s="416"/>
      <c r="AJ245" s="416"/>
      <c r="AK245" s="416"/>
      <c r="AL245" s="416"/>
      <c r="AM245" s="416"/>
    </row>
    <row r="246" spans="1:39" ht="15" hidden="1" outlineLevel="1" x14ac:dyDescent="0.2">
      <c r="A246" s="162"/>
      <c r="B246" s="298">
        <v>16</v>
      </c>
      <c r="C246" s="147" t="str">
        <f>INDEX(PBSScriptsNew,B246,1)</f>
        <v>** NOT USED **</v>
      </c>
      <c r="D246" s="139"/>
      <c r="E246" s="139"/>
      <c r="F246" s="139"/>
      <c r="G246" s="139"/>
      <c r="H246" s="139"/>
      <c r="I246" s="139"/>
      <c r="J246" s="139"/>
      <c r="K246" s="139"/>
      <c r="L246" s="133"/>
      <c r="M246" s="133"/>
      <c r="N246" s="133"/>
      <c r="O246" s="127"/>
      <c r="P246" s="127"/>
      <c r="Q246" s="127"/>
      <c r="R246" s="127"/>
      <c r="S246" s="127"/>
      <c r="T246" s="127"/>
      <c r="U246" s="127"/>
      <c r="V246" s="127"/>
      <c r="W246" s="127"/>
      <c r="X246" s="127"/>
      <c r="Y246" s="127"/>
      <c r="Z246" s="127"/>
      <c r="AA246" s="127"/>
      <c r="AB246" s="127"/>
      <c r="AC246" s="127"/>
      <c r="AD246" s="127"/>
      <c r="AE246" s="127"/>
      <c r="AF246" s="127"/>
      <c r="AG246" s="127"/>
      <c r="AH246" s="127"/>
      <c r="AI246" s="127"/>
      <c r="AJ246" s="127"/>
      <c r="AK246" s="127"/>
      <c r="AL246" s="127"/>
      <c r="AM246" s="127"/>
    </row>
    <row r="247" spans="1:39" hidden="1" outlineLevel="2" x14ac:dyDescent="0.2">
      <c r="A247" s="162"/>
      <c r="B247" s="162"/>
      <c r="C247" s="615"/>
      <c r="D247" s="397">
        <v>2</v>
      </c>
      <c r="E247" s="397">
        <v>3</v>
      </c>
      <c r="F247" s="397">
        <v>4</v>
      </c>
      <c r="G247" s="397">
        <v>5</v>
      </c>
      <c r="H247" s="397">
        <v>6</v>
      </c>
      <c r="I247" s="397">
        <v>7</v>
      </c>
      <c r="J247" s="624"/>
      <c r="K247" s="615"/>
      <c r="L247" s="615"/>
      <c r="M247" s="615"/>
      <c r="N247" s="615"/>
      <c r="O247" s="416"/>
      <c r="P247" s="416"/>
      <c r="Q247" s="416"/>
      <c r="R247" s="416"/>
      <c r="S247" s="416"/>
      <c r="T247" s="416"/>
      <c r="U247" s="416"/>
      <c r="V247" s="416"/>
      <c r="W247" s="416"/>
      <c r="X247" s="416"/>
      <c r="Y247" s="416"/>
      <c r="Z247" s="416"/>
      <c r="AA247" s="416"/>
      <c r="AB247" s="416"/>
      <c r="AC247" s="416"/>
      <c r="AD247" s="416"/>
      <c r="AE247" s="416"/>
      <c r="AF247" s="416"/>
      <c r="AG247" s="416"/>
      <c r="AH247" s="416"/>
      <c r="AI247" s="416"/>
      <c r="AJ247" s="416"/>
      <c r="AK247" s="416"/>
      <c r="AL247" s="416"/>
      <c r="AM247" s="416"/>
    </row>
    <row r="248" spans="1:39" hidden="1" outlineLevel="2" x14ac:dyDescent="0.2">
      <c r="A248" s="162"/>
      <c r="B248" s="162"/>
      <c r="C248" s="162"/>
      <c r="D248" s="630">
        <f>FirstYear</f>
        <v>2021</v>
      </c>
      <c r="E248" s="630">
        <f>D248+1</f>
        <v>2022</v>
      </c>
      <c r="F248" s="630">
        <f>E248+1</f>
        <v>2023</v>
      </c>
      <c r="G248" s="630">
        <f>F248+1</f>
        <v>2024</v>
      </c>
      <c r="H248" s="630">
        <f>G248+1</f>
        <v>2025</v>
      </c>
      <c r="I248" s="630">
        <f>H248+1</f>
        <v>2026</v>
      </c>
      <c r="J248" s="162"/>
      <c r="K248" s="162"/>
      <c r="L248" s="162"/>
      <c r="M248" s="162"/>
      <c r="N248" s="162"/>
      <c r="O248" s="416"/>
      <c r="P248" s="416"/>
      <c r="Q248" s="416"/>
      <c r="R248" s="416"/>
      <c r="S248" s="416"/>
      <c r="T248" s="416"/>
      <c r="U248" s="416"/>
      <c r="V248" s="416"/>
      <c r="W248" s="416"/>
      <c r="X248" s="416"/>
      <c r="Y248" s="416"/>
      <c r="Z248" s="416"/>
      <c r="AA248" s="416"/>
      <c r="AB248" s="416"/>
      <c r="AC248" s="416"/>
      <c r="AD248" s="416"/>
      <c r="AE248" s="416"/>
      <c r="AF248" s="416"/>
      <c r="AG248" s="416"/>
      <c r="AH248" s="416"/>
      <c r="AI248" s="416"/>
      <c r="AJ248" s="416"/>
      <c r="AK248" s="416"/>
      <c r="AL248" s="416"/>
      <c r="AM248" s="416"/>
    </row>
    <row r="249" spans="1:39" hidden="1" outlineLevel="2" x14ac:dyDescent="0.2">
      <c r="A249" s="162"/>
      <c r="B249" s="162"/>
      <c r="C249" s="170" t="s">
        <v>122</v>
      </c>
      <c r="D249" s="171">
        <f t="shared" ref="D249:I249" si="174">INDEX(PBSScriptsNew,$B246,D247)</f>
        <v>0</v>
      </c>
      <c r="E249" s="171">
        <f t="shared" si="174"/>
        <v>0</v>
      </c>
      <c r="F249" s="171">
        <f t="shared" si="174"/>
        <v>0</v>
      </c>
      <c r="G249" s="171">
        <f t="shared" si="174"/>
        <v>0</v>
      </c>
      <c r="H249" s="171">
        <f t="shared" si="174"/>
        <v>0</v>
      </c>
      <c r="I249" s="171">
        <f t="shared" si="174"/>
        <v>0</v>
      </c>
      <c r="J249" s="162"/>
      <c r="K249" s="162"/>
      <c r="L249" s="162"/>
      <c r="M249" s="162"/>
      <c r="N249" s="693"/>
      <c r="O249" s="416"/>
      <c r="P249" s="416"/>
      <c r="Q249" s="416"/>
      <c r="R249" s="416"/>
      <c r="S249" s="416"/>
      <c r="T249" s="416"/>
      <c r="U249" s="416"/>
      <c r="V249" s="416"/>
      <c r="W249" s="416"/>
      <c r="X249" s="416"/>
      <c r="Y249" s="416"/>
      <c r="Z249" s="416"/>
      <c r="AA249" s="416"/>
      <c r="AB249" s="416"/>
      <c r="AC249" s="416"/>
      <c r="AD249" s="416"/>
      <c r="AE249" s="416"/>
      <c r="AF249" s="416"/>
      <c r="AG249" s="416"/>
      <c r="AH249" s="416"/>
      <c r="AI249" s="416"/>
      <c r="AJ249" s="416"/>
      <c r="AK249" s="416"/>
      <c r="AL249" s="416"/>
      <c r="AM249" s="416"/>
    </row>
    <row r="250" spans="1:39" hidden="1" outlineLevel="2" x14ac:dyDescent="0.2">
      <c r="A250" s="162"/>
      <c r="B250" s="162"/>
      <c r="C250" s="170" t="s">
        <v>123</v>
      </c>
      <c r="D250" s="171">
        <f t="shared" ref="D250:I250" si="175">INDEX(RPBSScriptsNew,$B246,D247)</f>
        <v>0</v>
      </c>
      <c r="E250" s="171">
        <f t="shared" si="175"/>
        <v>0</v>
      </c>
      <c r="F250" s="171">
        <f t="shared" si="175"/>
        <v>0</v>
      </c>
      <c r="G250" s="171">
        <f t="shared" si="175"/>
        <v>0</v>
      </c>
      <c r="H250" s="171">
        <f t="shared" si="175"/>
        <v>0</v>
      </c>
      <c r="I250" s="171">
        <f t="shared" si="175"/>
        <v>0</v>
      </c>
      <c r="J250" s="162"/>
      <c r="K250" s="162"/>
      <c r="L250" s="162"/>
      <c r="M250" s="162"/>
      <c r="N250" s="162"/>
      <c r="O250" s="416"/>
      <c r="P250" s="416"/>
      <c r="Q250" s="416"/>
      <c r="R250" s="416"/>
      <c r="S250" s="416"/>
      <c r="T250" s="416"/>
      <c r="U250" s="416"/>
      <c r="V250" s="416"/>
      <c r="W250" s="416"/>
      <c r="X250" s="416"/>
      <c r="Y250" s="416"/>
      <c r="Z250" s="416"/>
      <c r="AA250" s="416"/>
      <c r="AB250" s="416"/>
      <c r="AC250" s="416"/>
      <c r="AD250" s="416"/>
      <c r="AE250" s="416"/>
      <c r="AF250" s="416"/>
      <c r="AG250" s="416"/>
      <c r="AH250" s="416"/>
      <c r="AI250" s="416"/>
      <c r="AJ250" s="416"/>
      <c r="AK250" s="416"/>
      <c r="AL250" s="416"/>
      <c r="AM250" s="416"/>
    </row>
    <row r="251" spans="1:39" hidden="1" outlineLevel="2" x14ac:dyDescent="0.2">
      <c r="A251" s="162"/>
      <c r="B251" s="162"/>
      <c r="C251" s="158" t="s">
        <v>124</v>
      </c>
      <c r="D251" s="171">
        <f t="shared" ref="D251:I251" si="176">IF(INDEX(SANew,$B246,7)&gt;0,ROUND(D249/INDEX(SANew,$B246,2),0),0)</f>
        <v>0</v>
      </c>
      <c r="E251" s="171">
        <f t="shared" si="176"/>
        <v>0</v>
      </c>
      <c r="F251" s="171">
        <f t="shared" si="176"/>
        <v>0</v>
      </c>
      <c r="G251" s="171">
        <f t="shared" si="176"/>
        <v>0</v>
      </c>
      <c r="H251" s="171">
        <f t="shared" si="176"/>
        <v>0</v>
      </c>
      <c r="I251" s="171">
        <f t="shared" si="176"/>
        <v>0</v>
      </c>
      <c r="J251" s="162"/>
      <c r="K251" s="615"/>
      <c r="L251" s="640"/>
      <c r="M251" s="162"/>
      <c r="N251" s="615"/>
      <c r="O251" s="416"/>
      <c r="P251" s="416"/>
      <c r="Q251" s="416"/>
      <c r="R251" s="416"/>
      <c r="S251" s="416"/>
      <c r="T251" s="416"/>
      <c r="U251" s="416"/>
      <c r="V251" s="416"/>
      <c r="W251" s="416"/>
      <c r="X251" s="416"/>
      <c r="Y251" s="416"/>
      <c r="Z251" s="416"/>
      <c r="AA251" s="416"/>
      <c r="AB251" s="416"/>
      <c r="AC251" s="416"/>
      <c r="AD251" s="416"/>
      <c r="AE251" s="416"/>
      <c r="AF251" s="416"/>
      <c r="AG251" s="416"/>
      <c r="AH251" s="416"/>
      <c r="AI251" s="416"/>
      <c r="AJ251" s="416"/>
      <c r="AK251" s="416"/>
      <c r="AL251" s="416"/>
      <c r="AM251" s="416"/>
    </row>
    <row r="252" spans="1:39" hidden="1" outlineLevel="2" x14ac:dyDescent="0.2">
      <c r="A252" s="162"/>
      <c r="B252" s="162"/>
      <c r="C252" s="158" t="s">
        <v>125</v>
      </c>
      <c r="D252" s="171">
        <f t="shared" ref="D252:I252" si="177">IF(INDEX(SANew,$B246,7)&gt;0,ROUND(D250/INDEX(SANew,$B246,2),0),0)</f>
        <v>0</v>
      </c>
      <c r="E252" s="171">
        <f t="shared" si="177"/>
        <v>0</v>
      </c>
      <c r="F252" s="171">
        <f t="shared" si="177"/>
        <v>0</v>
      </c>
      <c r="G252" s="171">
        <f t="shared" si="177"/>
        <v>0</v>
      </c>
      <c r="H252" s="171">
        <f t="shared" si="177"/>
        <v>0</v>
      </c>
      <c r="I252" s="171">
        <f t="shared" si="177"/>
        <v>0</v>
      </c>
      <c r="J252" s="162"/>
      <c r="K252" s="615"/>
      <c r="L252" s="640"/>
      <c r="M252" s="162"/>
      <c r="N252" s="615"/>
      <c r="O252" s="416"/>
      <c r="P252" s="416"/>
      <c r="Q252" s="416"/>
      <c r="R252" s="416"/>
      <c r="S252" s="416"/>
      <c r="T252" s="416"/>
      <c r="U252" s="416"/>
      <c r="V252" s="416"/>
      <c r="W252" s="416"/>
      <c r="X252" s="416"/>
      <c r="Y252" s="416"/>
      <c r="Z252" s="416"/>
      <c r="AA252" s="416"/>
      <c r="AB252" s="416"/>
      <c r="AC252" s="416"/>
      <c r="AD252" s="416"/>
      <c r="AE252" s="416"/>
      <c r="AF252" s="416"/>
      <c r="AG252" s="416"/>
      <c r="AH252" s="416"/>
      <c r="AI252" s="416"/>
      <c r="AJ252" s="416"/>
      <c r="AK252" s="416"/>
      <c r="AL252" s="416"/>
      <c r="AM252" s="416"/>
    </row>
    <row r="253" spans="1:39" hidden="1" outlineLevel="1" collapsed="1" x14ac:dyDescent="0.2">
      <c r="A253" s="162"/>
      <c r="B253" s="162"/>
      <c r="C253" s="695"/>
      <c r="D253" s="690"/>
      <c r="E253" s="694"/>
      <c r="F253" s="694"/>
      <c r="G253" s="694"/>
      <c r="H253" s="694"/>
      <c r="I253" s="694"/>
      <c r="J253" s="694"/>
      <c r="K253" s="694"/>
      <c r="L253" s="162"/>
      <c r="M253" s="162"/>
      <c r="N253" s="162"/>
      <c r="O253" s="416"/>
      <c r="P253" s="416"/>
      <c r="Q253" s="416"/>
      <c r="R253" s="416"/>
      <c r="S253" s="416"/>
      <c r="T253" s="416"/>
      <c r="U253" s="416"/>
      <c r="V253" s="416"/>
      <c r="W253" s="416"/>
      <c r="X253" s="416"/>
      <c r="Y253" s="416"/>
      <c r="Z253" s="416"/>
      <c r="AA253" s="416"/>
      <c r="AB253" s="416"/>
      <c r="AC253" s="416"/>
      <c r="AD253" s="416"/>
      <c r="AE253" s="416"/>
      <c r="AF253" s="416"/>
      <c r="AG253" s="416"/>
      <c r="AH253" s="416"/>
      <c r="AI253" s="416"/>
      <c r="AJ253" s="416"/>
      <c r="AK253" s="416"/>
      <c r="AL253" s="416"/>
      <c r="AM253" s="416"/>
    </row>
    <row r="254" spans="1:39" ht="15" hidden="1" outlineLevel="1" x14ac:dyDescent="0.2">
      <c r="A254" s="162"/>
      <c r="B254" s="298">
        <v>17</v>
      </c>
      <c r="C254" s="147" t="str">
        <f>INDEX(PBSScriptsNew,B254,1)</f>
        <v>** NOT USED **</v>
      </c>
      <c r="D254" s="139"/>
      <c r="E254" s="139"/>
      <c r="F254" s="139"/>
      <c r="G254" s="139"/>
      <c r="H254" s="139"/>
      <c r="I254" s="139"/>
      <c r="J254" s="139"/>
      <c r="K254" s="139"/>
      <c r="L254" s="133"/>
      <c r="M254" s="133"/>
      <c r="N254" s="133"/>
      <c r="O254" s="127"/>
      <c r="P254" s="127"/>
      <c r="Q254" s="127"/>
      <c r="R254" s="127"/>
      <c r="S254" s="127"/>
      <c r="T254" s="127"/>
      <c r="U254" s="127"/>
      <c r="V254" s="127"/>
      <c r="W254" s="127"/>
      <c r="X254" s="127"/>
      <c r="Y254" s="127"/>
      <c r="Z254" s="127"/>
      <c r="AA254" s="127"/>
      <c r="AB254" s="127"/>
      <c r="AC254" s="127"/>
      <c r="AD254" s="127"/>
      <c r="AE254" s="127"/>
      <c r="AF254" s="127"/>
      <c r="AG254" s="127"/>
      <c r="AH254" s="127"/>
      <c r="AI254" s="127"/>
      <c r="AJ254" s="127"/>
      <c r="AK254" s="127"/>
      <c r="AL254" s="127"/>
      <c r="AM254" s="127"/>
    </row>
    <row r="255" spans="1:39" hidden="1" outlineLevel="2" x14ac:dyDescent="0.2">
      <c r="A255" s="162"/>
      <c r="B255" s="162"/>
      <c r="C255" s="615"/>
      <c r="D255" s="397">
        <v>2</v>
      </c>
      <c r="E255" s="397">
        <v>3</v>
      </c>
      <c r="F255" s="397">
        <v>4</v>
      </c>
      <c r="G255" s="397">
        <v>5</v>
      </c>
      <c r="H255" s="397">
        <v>6</v>
      </c>
      <c r="I255" s="397">
        <v>7</v>
      </c>
      <c r="J255" s="624"/>
      <c r="K255" s="615"/>
      <c r="L255" s="615"/>
      <c r="M255" s="615"/>
      <c r="N255" s="615"/>
      <c r="O255" s="416"/>
      <c r="P255" s="416"/>
      <c r="Q255" s="416"/>
      <c r="R255" s="416"/>
      <c r="S255" s="416"/>
      <c r="T255" s="416"/>
      <c r="U255" s="416"/>
      <c r="V255" s="416"/>
      <c r="W255" s="416"/>
      <c r="X255" s="416"/>
      <c r="Y255" s="416"/>
      <c r="Z255" s="416"/>
      <c r="AA255" s="416"/>
      <c r="AB255" s="416"/>
      <c r="AC255" s="416"/>
      <c r="AD255" s="416"/>
      <c r="AE255" s="416"/>
      <c r="AF255" s="416"/>
      <c r="AG255" s="416"/>
      <c r="AH255" s="416"/>
      <c r="AI255" s="416"/>
      <c r="AJ255" s="416"/>
      <c r="AK255" s="416"/>
      <c r="AL255" s="416"/>
      <c r="AM255" s="416"/>
    </row>
    <row r="256" spans="1:39" hidden="1" outlineLevel="2" x14ac:dyDescent="0.2">
      <c r="A256" s="162"/>
      <c r="B256" s="162"/>
      <c r="C256" s="162"/>
      <c r="D256" s="630">
        <f>FirstYear</f>
        <v>2021</v>
      </c>
      <c r="E256" s="630">
        <f>D256+1</f>
        <v>2022</v>
      </c>
      <c r="F256" s="630">
        <f>E256+1</f>
        <v>2023</v>
      </c>
      <c r="G256" s="630">
        <f>F256+1</f>
        <v>2024</v>
      </c>
      <c r="H256" s="630">
        <f>G256+1</f>
        <v>2025</v>
      </c>
      <c r="I256" s="630">
        <f>H256+1</f>
        <v>2026</v>
      </c>
      <c r="J256" s="162"/>
      <c r="K256" s="162"/>
      <c r="L256" s="162"/>
      <c r="M256" s="162"/>
      <c r="N256" s="162"/>
      <c r="O256" s="416"/>
      <c r="P256" s="416"/>
      <c r="Q256" s="416"/>
      <c r="R256" s="416"/>
      <c r="S256" s="416"/>
      <c r="T256" s="416"/>
      <c r="U256" s="416"/>
      <c r="V256" s="416"/>
      <c r="W256" s="416"/>
      <c r="X256" s="416"/>
      <c r="Y256" s="416"/>
      <c r="Z256" s="416"/>
      <c r="AA256" s="416"/>
      <c r="AB256" s="416"/>
      <c r="AC256" s="416"/>
      <c r="AD256" s="416"/>
      <c r="AE256" s="416"/>
      <c r="AF256" s="416"/>
      <c r="AG256" s="416"/>
      <c r="AH256" s="416"/>
      <c r="AI256" s="416"/>
      <c r="AJ256" s="416"/>
      <c r="AK256" s="416"/>
      <c r="AL256" s="416"/>
      <c r="AM256" s="416"/>
    </row>
    <row r="257" spans="1:39" hidden="1" outlineLevel="2" x14ac:dyDescent="0.2">
      <c r="A257" s="162"/>
      <c r="B257" s="162"/>
      <c r="C257" s="170" t="s">
        <v>122</v>
      </c>
      <c r="D257" s="171">
        <f t="shared" ref="D257:I257" si="178">INDEX(PBSScriptsNew,$B254,D255)</f>
        <v>0</v>
      </c>
      <c r="E257" s="171">
        <f t="shared" si="178"/>
        <v>0</v>
      </c>
      <c r="F257" s="171">
        <f t="shared" si="178"/>
        <v>0</v>
      </c>
      <c r="G257" s="171">
        <f t="shared" si="178"/>
        <v>0</v>
      </c>
      <c r="H257" s="171">
        <f t="shared" si="178"/>
        <v>0</v>
      </c>
      <c r="I257" s="171">
        <f t="shared" si="178"/>
        <v>0</v>
      </c>
      <c r="J257" s="162"/>
      <c r="K257" s="162"/>
      <c r="L257" s="162"/>
      <c r="M257" s="162"/>
      <c r="N257" s="693"/>
      <c r="O257" s="416"/>
      <c r="P257" s="416"/>
      <c r="Q257" s="416"/>
      <c r="R257" s="416"/>
      <c r="S257" s="416"/>
      <c r="T257" s="416"/>
      <c r="U257" s="416"/>
      <c r="V257" s="416"/>
      <c r="W257" s="416"/>
      <c r="X257" s="416"/>
      <c r="Y257" s="416"/>
      <c r="Z257" s="416"/>
      <c r="AA257" s="416"/>
      <c r="AB257" s="416"/>
      <c r="AC257" s="416"/>
      <c r="AD257" s="416"/>
      <c r="AE257" s="416"/>
      <c r="AF257" s="416"/>
      <c r="AG257" s="416"/>
      <c r="AH257" s="416"/>
      <c r="AI257" s="416"/>
      <c r="AJ257" s="416"/>
      <c r="AK257" s="416"/>
      <c r="AL257" s="416"/>
      <c r="AM257" s="416"/>
    </row>
    <row r="258" spans="1:39" hidden="1" outlineLevel="2" x14ac:dyDescent="0.2">
      <c r="A258" s="162"/>
      <c r="B258" s="162"/>
      <c r="C258" s="170" t="s">
        <v>123</v>
      </c>
      <c r="D258" s="171">
        <f t="shared" ref="D258:I258" si="179">INDEX(RPBSScriptsNew,$B254,D255)</f>
        <v>0</v>
      </c>
      <c r="E258" s="171">
        <f t="shared" si="179"/>
        <v>0</v>
      </c>
      <c r="F258" s="171">
        <f t="shared" si="179"/>
        <v>0</v>
      </c>
      <c r="G258" s="171">
        <f t="shared" si="179"/>
        <v>0</v>
      </c>
      <c r="H258" s="171">
        <f t="shared" si="179"/>
        <v>0</v>
      </c>
      <c r="I258" s="171">
        <f t="shared" si="179"/>
        <v>0</v>
      </c>
      <c r="J258" s="162"/>
      <c r="K258" s="162"/>
      <c r="L258" s="162"/>
      <c r="M258" s="162"/>
      <c r="N258" s="162"/>
      <c r="O258" s="416"/>
      <c r="P258" s="416"/>
      <c r="Q258" s="416"/>
      <c r="R258" s="416"/>
      <c r="S258" s="416"/>
      <c r="T258" s="416"/>
      <c r="U258" s="416"/>
      <c r="V258" s="416"/>
      <c r="W258" s="416"/>
      <c r="X258" s="416"/>
      <c r="Y258" s="416"/>
      <c r="Z258" s="416"/>
      <c r="AA258" s="416"/>
      <c r="AB258" s="416"/>
      <c r="AC258" s="416"/>
      <c r="AD258" s="416"/>
      <c r="AE258" s="416"/>
      <c r="AF258" s="416"/>
      <c r="AG258" s="416"/>
      <c r="AH258" s="416"/>
      <c r="AI258" s="416"/>
      <c r="AJ258" s="416"/>
      <c r="AK258" s="416"/>
      <c r="AL258" s="416"/>
      <c r="AM258" s="416"/>
    </row>
    <row r="259" spans="1:39" hidden="1" outlineLevel="2" x14ac:dyDescent="0.2">
      <c r="A259" s="162"/>
      <c r="B259" s="162"/>
      <c r="C259" s="158" t="s">
        <v>124</v>
      </c>
      <c r="D259" s="171">
        <f t="shared" ref="D259:I259" si="180">IF(INDEX(SANew,$B254,7)&gt;0,ROUND(D257/INDEX(SANew,$B254,2),0),0)</f>
        <v>0</v>
      </c>
      <c r="E259" s="171">
        <f t="shared" si="180"/>
        <v>0</v>
      </c>
      <c r="F259" s="171">
        <f t="shared" si="180"/>
        <v>0</v>
      </c>
      <c r="G259" s="171">
        <f t="shared" si="180"/>
        <v>0</v>
      </c>
      <c r="H259" s="171">
        <f t="shared" si="180"/>
        <v>0</v>
      </c>
      <c r="I259" s="171">
        <f t="shared" si="180"/>
        <v>0</v>
      </c>
      <c r="J259" s="162"/>
      <c r="K259" s="615"/>
      <c r="L259" s="640"/>
      <c r="M259" s="162"/>
      <c r="N259" s="615"/>
      <c r="O259" s="416"/>
      <c r="P259" s="416"/>
      <c r="Q259" s="416"/>
      <c r="R259" s="416"/>
      <c r="S259" s="416"/>
      <c r="T259" s="416"/>
      <c r="U259" s="416"/>
      <c r="V259" s="416"/>
      <c r="W259" s="416"/>
      <c r="X259" s="416"/>
      <c r="Y259" s="416"/>
      <c r="Z259" s="416"/>
      <c r="AA259" s="416"/>
      <c r="AB259" s="416"/>
      <c r="AC259" s="416"/>
      <c r="AD259" s="416"/>
      <c r="AE259" s="416"/>
      <c r="AF259" s="416"/>
      <c r="AG259" s="416"/>
      <c r="AH259" s="416"/>
      <c r="AI259" s="416"/>
      <c r="AJ259" s="416"/>
      <c r="AK259" s="416"/>
      <c r="AL259" s="416"/>
      <c r="AM259" s="416"/>
    </row>
    <row r="260" spans="1:39" hidden="1" outlineLevel="2" x14ac:dyDescent="0.2">
      <c r="A260" s="162"/>
      <c r="B260" s="162"/>
      <c r="C260" s="158" t="s">
        <v>125</v>
      </c>
      <c r="D260" s="171">
        <f t="shared" ref="D260:I260" si="181">IF(INDEX(SANew,$B254,7)&gt;0,ROUND(D258/INDEX(SANew,$B254,2),0),0)</f>
        <v>0</v>
      </c>
      <c r="E260" s="171">
        <f t="shared" si="181"/>
        <v>0</v>
      </c>
      <c r="F260" s="171">
        <f t="shared" si="181"/>
        <v>0</v>
      </c>
      <c r="G260" s="171">
        <f t="shared" si="181"/>
        <v>0</v>
      </c>
      <c r="H260" s="171">
        <f t="shared" si="181"/>
        <v>0</v>
      </c>
      <c r="I260" s="171">
        <f t="shared" si="181"/>
        <v>0</v>
      </c>
      <c r="J260" s="162"/>
      <c r="K260" s="615"/>
      <c r="L260" s="640"/>
      <c r="M260" s="162"/>
      <c r="N260" s="615"/>
      <c r="O260" s="416"/>
      <c r="P260" s="416"/>
      <c r="Q260" s="416"/>
      <c r="R260" s="416"/>
      <c r="S260" s="416"/>
      <c r="T260" s="416"/>
      <c r="U260" s="416"/>
      <c r="V260" s="416"/>
      <c r="W260" s="416"/>
      <c r="X260" s="416"/>
      <c r="Y260" s="416"/>
      <c r="Z260" s="416"/>
      <c r="AA260" s="416"/>
      <c r="AB260" s="416"/>
      <c r="AC260" s="416"/>
      <c r="AD260" s="416"/>
      <c r="AE260" s="416"/>
      <c r="AF260" s="416"/>
      <c r="AG260" s="416"/>
      <c r="AH260" s="416"/>
      <c r="AI260" s="416"/>
      <c r="AJ260" s="416"/>
      <c r="AK260" s="416"/>
      <c r="AL260" s="416"/>
      <c r="AM260" s="416"/>
    </row>
    <row r="261" spans="1:39" hidden="1" outlineLevel="1" collapsed="1" x14ac:dyDescent="0.2">
      <c r="A261" s="162"/>
      <c r="B261" s="162"/>
      <c r="C261" s="695"/>
      <c r="D261" s="690"/>
      <c r="E261" s="694"/>
      <c r="F261" s="694"/>
      <c r="G261" s="694"/>
      <c r="H261" s="694"/>
      <c r="I261" s="694"/>
      <c r="J261" s="694"/>
      <c r="K261" s="694"/>
      <c r="L261" s="162"/>
      <c r="M261" s="162"/>
      <c r="N261" s="162"/>
      <c r="O261" s="416"/>
      <c r="P261" s="416"/>
      <c r="Q261" s="416"/>
      <c r="R261" s="416"/>
      <c r="S261" s="416"/>
      <c r="T261" s="416"/>
      <c r="U261" s="416"/>
      <c r="V261" s="416"/>
      <c r="W261" s="416"/>
      <c r="X261" s="416"/>
      <c r="Y261" s="416"/>
      <c r="Z261" s="416"/>
      <c r="AA261" s="416"/>
      <c r="AB261" s="416"/>
      <c r="AC261" s="416"/>
      <c r="AD261" s="416"/>
      <c r="AE261" s="416"/>
      <c r="AF261" s="416"/>
      <c r="AG261" s="416"/>
      <c r="AH261" s="416"/>
      <c r="AI261" s="416"/>
      <c r="AJ261" s="416"/>
      <c r="AK261" s="416"/>
      <c r="AL261" s="416"/>
      <c r="AM261" s="416"/>
    </row>
    <row r="262" spans="1:39" ht="15" hidden="1" outlineLevel="1" x14ac:dyDescent="0.2">
      <c r="A262" s="162"/>
      <c r="B262" s="298">
        <v>18</v>
      </c>
      <c r="C262" s="147" t="str">
        <f>INDEX(PBSScriptsNew,B262,1)</f>
        <v>** NOT USED **</v>
      </c>
      <c r="D262" s="139"/>
      <c r="E262" s="139"/>
      <c r="F262" s="139"/>
      <c r="G262" s="139"/>
      <c r="H262" s="139"/>
      <c r="I262" s="139"/>
      <c r="J262" s="139"/>
      <c r="K262" s="139"/>
      <c r="L262" s="133"/>
      <c r="M262" s="133"/>
      <c r="N262" s="133"/>
      <c r="O262" s="127"/>
      <c r="P262" s="127"/>
      <c r="Q262" s="127"/>
      <c r="R262" s="127"/>
      <c r="S262" s="127"/>
      <c r="T262" s="127"/>
      <c r="U262" s="127"/>
      <c r="V262" s="127"/>
      <c r="W262" s="127"/>
      <c r="X262" s="127"/>
      <c r="Y262" s="127"/>
      <c r="Z262" s="127"/>
      <c r="AA262" s="127"/>
      <c r="AB262" s="127"/>
      <c r="AC262" s="127"/>
      <c r="AD262" s="127"/>
      <c r="AE262" s="127"/>
      <c r="AF262" s="127"/>
      <c r="AG262" s="127"/>
      <c r="AH262" s="127"/>
      <c r="AI262" s="127"/>
      <c r="AJ262" s="127"/>
      <c r="AK262" s="127"/>
      <c r="AL262" s="127"/>
      <c r="AM262" s="127"/>
    </row>
    <row r="263" spans="1:39" hidden="1" outlineLevel="2" x14ac:dyDescent="0.2">
      <c r="A263" s="162"/>
      <c r="B263" s="162"/>
      <c r="C263" s="615"/>
      <c r="D263" s="397">
        <v>2</v>
      </c>
      <c r="E263" s="397">
        <v>3</v>
      </c>
      <c r="F263" s="397">
        <v>4</v>
      </c>
      <c r="G263" s="397">
        <v>5</v>
      </c>
      <c r="H263" s="397">
        <v>6</v>
      </c>
      <c r="I263" s="397">
        <v>7</v>
      </c>
      <c r="J263" s="624"/>
      <c r="K263" s="615"/>
      <c r="L263" s="615"/>
      <c r="M263" s="615"/>
      <c r="N263" s="615"/>
      <c r="O263" s="416"/>
      <c r="P263" s="416"/>
      <c r="Q263" s="416"/>
      <c r="R263" s="416"/>
      <c r="S263" s="416"/>
      <c r="T263" s="416"/>
      <c r="U263" s="416"/>
      <c r="V263" s="416"/>
      <c r="W263" s="416"/>
      <c r="X263" s="416"/>
      <c r="Y263" s="416"/>
      <c r="Z263" s="416"/>
      <c r="AA263" s="416"/>
      <c r="AB263" s="416"/>
      <c r="AC263" s="416"/>
      <c r="AD263" s="416"/>
      <c r="AE263" s="416"/>
      <c r="AF263" s="416"/>
      <c r="AG263" s="416"/>
      <c r="AH263" s="416"/>
      <c r="AI263" s="416"/>
      <c r="AJ263" s="416"/>
      <c r="AK263" s="416"/>
      <c r="AL263" s="416"/>
      <c r="AM263" s="416"/>
    </row>
    <row r="264" spans="1:39" hidden="1" outlineLevel="2" x14ac:dyDescent="0.2">
      <c r="A264" s="162"/>
      <c r="B264" s="162"/>
      <c r="C264" s="162"/>
      <c r="D264" s="630">
        <f>FirstYear</f>
        <v>2021</v>
      </c>
      <c r="E264" s="630">
        <f>D264+1</f>
        <v>2022</v>
      </c>
      <c r="F264" s="630">
        <f>E264+1</f>
        <v>2023</v>
      </c>
      <c r="G264" s="630">
        <f>F264+1</f>
        <v>2024</v>
      </c>
      <c r="H264" s="630">
        <f>G264+1</f>
        <v>2025</v>
      </c>
      <c r="I264" s="630">
        <f>H264+1</f>
        <v>2026</v>
      </c>
      <c r="J264" s="162"/>
      <c r="K264" s="162"/>
      <c r="L264" s="162"/>
      <c r="M264" s="162"/>
      <c r="N264" s="162"/>
      <c r="O264" s="416"/>
      <c r="P264" s="416"/>
      <c r="Q264" s="416"/>
      <c r="R264" s="416"/>
      <c r="S264" s="416"/>
      <c r="T264" s="416"/>
      <c r="U264" s="416"/>
      <c r="V264" s="416"/>
      <c r="W264" s="416"/>
      <c r="X264" s="416"/>
      <c r="Y264" s="416"/>
      <c r="Z264" s="416"/>
      <c r="AA264" s="416"/>
      <c r="AB264" s="416"/>
      <c r="AC264" s="416"/>
      <c r="AD264" s="416"/>
      <c r="AE264" s="416"/>
      <c r="AF264" s="416"/>
      <c r="AG264" s="416"/>
      <c r="AH264" s="416"/>
      <c r="AI264" s="416"/>
      <c r="AJ264" s="416"/>
      <c r="AK264" s="416"/>
      <c r="AL264" s="416"/>
      <c r="AM264" s="416"/>
    </row>
    <row r="265" spans="1:39" hidden="1" outlineLevel="2" x14ac:dyDescent="0.2">
      <c r="A265" s="162"/>
      <c r="B265" s="162"/>
      <c r="C265" s="170" t="s">
        <v>122</v>
      </c>
      <c r="D265" s="171">
        <f t="shared" ref="D265:I265" si="182">INDEX(PBSScriptsNew,$B262,D263)</f>
        <v>0</v>
      </c>
      <c r="E265" s="171">
        <f t="shared" si="182"/>
        <v>0</v>
      </c>
      <c r="F265" s="171">
        <f t="shared" si="182"/>
        <v>0</v>
      </c>
      <c r="G265" s="171">
        <f t="shared" si="182"/>
        <v>0</v>
      </c>
      <c r="H265" s="171">
        <f t="shared" si="182"/>
        <v>0</v>
      </c>
      <c r="I265" s="171">
        <f t="shared" si="182"/>
        <v>0</v>
      </c>
      <c r="J265" s="162"/>
      <c r="K265" s="162"/>
      <c r="L265" s="162"/>
      <c r="M265" s="162"/>
      <c r="N265" s="693"/>
      <c r="O265" s="416"/>
      <c r="P265" s="416"/>
      <c r="Q265" s="416"/>
      <c r="R265" s="416"/>
      <c r="S265" s="416"/>
      <c r="T265" s="416"/>
      <c r="U265" s="416"/>
      <c r="V265" s="416"/>
      <c r="W265" s="416"/>
      <c r="X265" s="416"/>
      <c r="Y265" s="416"/>
      <c r="Z265" s="416"/>
      <c r="AA265" s="416"/>
      <c r="AB265" s="416"/>
      <c r="AC265" s="416"/>
      <c r="AD265" s="416"/>
      <c r="AE265" s="416"/>
      <c r="AF265" s="416"/>
      <c r="AG265" s="416"/>
      <c r="AH265" s="416"/>
      <c r="AI265" s="416"/>
      <c r="AJ265" s="416"/>
      <c r="AK265" s="416"/>
      <c r="AL265" s="416"/>
      <c r="AM265" s="416"/>
    </row>
    <row r="266" spans="1:39" hidden="1" outlineLevel="2" x14ac:dyDescent="0.2">
      <c r="A266" s="162"/>
      <c r="B266" s="162"/>
      <c r="C266" s="170" t="s">
        <v>123</v>
      </c>
      <c r="D266" s="171">
        <f t="shared" ref="D266:I266" si="183">INDEX(RPBSScriptsNew,$B262,D263)</f>
        <v>0</v>
      </c>
      <c r="E266" s="171">
        <f t="shared" si="183"/>
        <v>0</v>
      </c>
      <c r="F266" s="171">
        <f t="shared" si="183"/>
        <v>0</v>
      </c>
      <c r="G266" s="171">
        <f t="shared" si="183"/>
        <v>0</v>
      </c>
      <c r="H266" s="171">
        <f t="shared" si="183"/>
        <v>0</v>
      </c>
      <c r="I266" s="171">
        <f t="shared" si="183"/>
        <v>0</v>
      </c>
      <c r="J266" s="162"/>
      <c r="K266" s="162"/>
      <c r="L266" s="162"/>
      <c r="M266" s="162"/>
      <c r="N266" s="162"/>
      <c r="O266" s="416"/>
      <c r="P266" s="416"/>
      <c r="Q266" s="416"/>
      <c r="R266" s="416"/>
      <c r="S266" s="416"/>
      <c r="T266" s="416"/>
      <c r="U266" s="416"/>
      <c r="V266" s="416"/>
      <c r="W266" s="416"/>
      <c r="X266" s="416"/>
      <c r="Y266" s="416"/>
      <c r="Z266" s="416"/>
      <c r="AA266" s="416"/>
      <c r="AB266" s="416"/>
      <c r="AC266" s="416"/>
      <c r="AD266" s="416"/>
      <c r="AE266" s="416"/>
      <c r="AF266" s="416"/>
      <c r="AG266" s="416"/>
      <c r="AH266" s="416"/>
      <c r="AI266" s="416"/>
      <c r="AJ266" s="416"/>
      <c r="AK266" s="416"/>
      <c r="AL266" s="416"/>
      <c r="AM266" s="416"/>
    </row>
    <row r="267" spans="1:39" hidden="1" outlineLevel="2" x14ac:dyDescent="0.2">
      <c r="A267" s="162"/>
      <c r="B267" s="162"/>
      <c r="C267" s="158" t="s">
        <v>124</v>
      </c>
      <c r="D267" s="171">
        <f t="shared" ref="D267:I267" si="184">IF(INDEX(SANew,$B262,7)&gt;0,ROUND(D265/INDEX(SANew,$B262,2),0),0)</f>
        <v>0</v>
      </c>
      <c r="E267" s="171">
        <f t="shared" si="184"/>
        <v>0</v>
      </c>
      <c r="F267" s="171">
        <f t="shared" si="184"/>
        <v>0</v>
      </c>
      <c r="G267" s="171">
        <f t="shared" si="184"/>
        <v>0</v>
      </c>
      <c r="H267" s="171">
        <f t="shared" si="184"/>
        <v>0</v>
      </c>
      <c r="I267" s="171">
        <f t="shared" si="184"/>
        <v>0</v>
      </c>
      <c r="J267" s="162"/>
      <c r="K267" s="615"/>
      <c r="L267" s="640"/>
      <c r="M267" s="162"/>
      <c r="N267" s="615"/>
      <c r="O267" s="416"/>
      <c r="P267" s="416"/>
      <c r="Q267" s="416"/>
      <c r="R267" s="416"/>
      <c r="S267" s="416"/>
      <c r="T267" s="416"/>
      <c r="U267" s="416"/>
      <c r="V267" s="416"/>
      <c r="W267" s="416"/>
      <c r="X267" s="416"/>
      <c r="Y267" s="416"/>
      <c r="Z267" s="416"/>
      <c r="AA267" s="416"/>
      <c r="AB267" s="416"/>
      <c r="AC267" s="416"/>
      <c r="AD267" s="416"/>
      <c r="AE267" s="416"/>
      <c r="AF267" s="416"/>
      <c r="AG267" s="416"/>
      <c r="AH267" s="416"/>
      <c r="AI267" s="416"/>
      <c r="AJ267" s="416"/>
      <c r="AK267" s="416"/>
      <c r="AL267" s="416"/>
      <c r="AM267" s="416"/>
    </row>
    <row r="268" spans="1:39" hidden="1" outlineLevel="2" x14ac:dyDescent="0.2">
      <c r="A268" s="162"/>
      <c r="B268" s="162"/>
      <c r="C268" s="158" t="s">
        <v>125</v>
      </c>
      <c r="D268" s="171">
        <f t="shared" ref="D268:I268" si="185">IF(INDEX(SANew,$B262,7)&gt;0,ROUND(D266/INDEX(SANew,$B262,2),0),0)</f>
        <v>0</v>
      </c>
      <c r="E268" s="171">
        <f t="shared" si="185"/>
        <v>0</v>
      </c>
      <c r="F268" s="171">
        <f t="shared" si="185"/>
        <v>0</v>
      </c>
      <c r="G268" s="171">
        <f t="shared" si="185"/>
        <v>0</v>
      </c>
      <c r="H268" s="171">
        <f t="shared" si="185"/>
        <v>0</v>
      </c>
      <c r="I268" s="171">
        <f t="shared" si="185"/>
        <v>0</v>
      </c>
      <c r="J268" s="162"/>
      <c r="K268" s="615"/>
      <c r="L268" s="640"/>
      <c r="M268" s="162"/>
      <c r="N268" s="615"/>
      <c r="O268" s="416"/>
      <c r="P268" s="416"/>
      <c r="Q268" s="416"/>
      <c r="R268" s="416"/>
      <c r="S268" s="416"/>
      <c r="T268" s="416"/>
      <c r="U268" s="416"/>
      <c r="V268" s="416"/>
      <c r="W268" s="416"/>
      <c r="X268" s="416"/>
      <c r="Y268" s="416"/>
      <c r="Z268" s="416"/>
      <c r="AA268" s="416"/>
      <c r="AB268" s="416"/>
      <c r="AC268" s="416"/>
      <c r="AD268" s="416"/>
      <c r="AE268" s="416"/>
      <c r="AF268" s="416"/>
      <c r="AG268" s="416"/>
      <c r="AH268" s="416"/>
      <c r="AI268" s="416"/>
      <c r="AJ268" s="416"/>
      <c r="AK268" s="416"/>
      <c r="AL268" s="416"/>
      <c r="AM268" s="416"/>
    </row>
    <row r="269" spans="1:39" hidden="1" outlineLevel="1" collapsed="1" x14ac:dyDescent="0.2">
      <c r="A269" s="162"/>
      <c r="B269" s="162"/>
      <c r="C269" s="695"/>
      <c r="D269" s="690"/>
      <c r="E269" s="694"/>
      <c r="F269" s="694"/>
      <c r="G269" s="694"/>
      <c r="H269" s="694"/>
      <c r="I269" s="694"/>
      <c r="J269" s="694"/>
      <c r="K269" s="694"/>
      <c r="L269" s="162"/>
      <c r="M269" s="162"/>
      <c r="N269" s="162"/>
      <c r="O269" s="416"/>
      <c r="P269" s="416"/>
      <c r="Q269" s="416"/>
      <c r="R269" s="416"/>
      <c r="S269" s="416"/>
      <c r="T269" s="416"/>
      <c r="U269" s="416"/>
      <c r="V269" s="416"/>
      <c r="W269" s="416"/>
      <c r="X269" s="416"/>
      <c r="Y269" s="416"/>
      <c r="Z269" s="416"/>
      <c r="AA269" s="416"/>
      <c r="AB269" s="416"/>
      <c r="AC269" s="416"/>
      <c r="AD269" s="416"/>
      <c r="AE269" s="416"/>
      <c r="AF269" s="416"/>
      <c r="AG269" s="416"/>
      <c r="AH269" s="416"/>
      <c r="AI269" s="416"/>
      <c r="AJ269" s="416"/>
      <c r="AK269" s="416"/>
      <c r="AL269" s="416"/>
      <c r="AM269" s="416"/>
    </row>
    <row r="270" spans="1:39" ht="15" hidden="1" outlineLevel="1" x14ac:dyDescent="0.2">
      <c r="A270" s="162"/>
      <c r="B270" s="298">
        <v>19</v>
      </c>
      <c r="C270" s="147" t="str">
        <f>INDEX(PBSScriptsNew,B270,1)</f>
        <v>** NOT USED **</v>
      </c>
      <c r="D270" s="139"/>
      <c r="E270" s="139"/>
      <c r="F270" s="139"/>
      <c r="G270" s="139"/>
      <c r="H270" s="139"/>
      <c r="I270" s="139"/>
      <c r="J270" s="139"/>
      <c r="K270" s="139"/>
      <c r="L270" s="133"/>
      <c r="M270" s="133"/>
      <c r="N270" s="133"/>
      <c r="O270" s="127"/>
      <c r="P270" s="127"/>
      <c r="Q270" s="127"/>
      <c r="R270" s="127"/>
      <c r="S270" s="127"/>
      <c r="T270" s="127"/>
      <c r="U270" s="127"/>
      <c r="V270" s="127"/>
      <c r="W270" s="127"/>
      <c r="X270" s="127"/>
      <c r="Y270" s="127"/>
      <c r="Z270" s="127"/>
      <c r="AA270" s="127"/>
      <c r="AB270" s="127"/>
      <c r="AC270" s="127"/>
      <c r="AD270" s="127"/>
      <c r="AE270" s="127"/>
      <c r="AF270" s="127"/>
      <c r="AG270" s="127"/>
      <c r="AH270" s="127"/>
      <c r="AI270" s="127"/>
      <c r="AJ270" s="127"/>
      <c r="AK270" s="127"/>
      <c r="AL270" s="127"/>
      <c r="AM270" s="127"/>
    </row>
    <row r="271" spans="1:39" hidden="1" outlineLevel="2" x14ac:dyDescent="0.2">
      <c r="A271" s="162"/>
      <c r="B271" s="162"/>
      <c r="C271" s="615"/>
      <c r="D271" s="397">
        <v>2</v>
      </c>
      <c r="E271" s="397">
        <v>3</v>
      </c>
      <c r="F271" s="397">
        <v>4</v>
      </c>
      <c r="G271" s="397">
        <v>5</v>
      </c>
      <c r="H271" s="397">
        <v>6</v>
      </c>
      <c r="I271" s="397">
        <v>7</v>
      </c>
      <c r="J271" s="624"/>
      <c r="K271" s="615"/>
      <c r="L271" s="615"/>
      <c r="M271" s="615"/>
      <c r="N271" s="615"/>
      <c r="O271" s="416"/>
      <c r="P271" s="416"/>
      <c r="Q271" s="416"/>
      <c r="R271" s="416"/>
      <c r="S271" s="416"/>
      <c r="T271" s="416"/>
      <c r="U271" s="416"/>
      <c r="V271" s="416"/>
      <c r="W271" s="416"/>
      <c r="X271" s="416"/>
      <c r="Y271" s="416"/>
      <c r="Z271" s="416"/>
      <c r="AA271" s="416"/>
      <c r="AB271" s="416"/>
      <c r="AC271" s="416"/>
      <c r="AD271" s="416"/>
      <c r="AE271" s="416"/>
      <c r="AF271" s="416"/>
      <c r="AG271" s="416"/>
      <c r="AH271" s="416"/>
      <c r="AI271" s="416"/>
      <c r="AJ271" s="416"/>
      <c r="AK271" s="416"/>
      <c r="AL271" s="416"/>
      <c r="AM271" s="416"/>
    </row>
    <row r="272" spans="1:39" hidden="1" outlineLevel="2" x14ac:dyDescent="0.2">
      <c r="A272" s="162"/>
      <c r="B272" s="162"/>
      <c r="C272" s="162"/>
      <c r="D272" s="630">
        <f>FirstYear</f>
        <v>2021</v>
      </c>
      <c r="E272" s="630">
        <f>D272+1</f>
        <v>2022</v>
      </c>
      <c r="F272" s="630">
        <f>E272+1</f>
        <v>2023</v>
      </c>
      <c r="G272" s="630">
        <f>F272+1</f>
        <v>2024</v>
      </c>
      <c r="H272" s="630">
        <f>G272+1</f>
        <v>2025</v>
      </c>
      <c r="I272" s="630">
        <f>H272+1</f>
        <v>2026</v>
      </c>
      <c r="J272" s="162"/>
      <c r="K272" s="162"/>
      <c r="L272" s="162"/>
      <c r="M272" s="162"/>
      <c r="N272" s="162"/>
      <c r="O272" s="416"/>
      <c r="P272" s="416"/>
      <c r="Q272" s="416"/>
      <c r="R272" s="416"/>
      <c r="S272" s="416"/>
      <c r="T272" s="416"/>
      <c r="U272" s="416"/>
      <c r="V272" s="416"/>
      <c r="W272" s="416"/>
      <c r="X272" s="416"/>
      <c r="Y272" s="416"/>
      <c r="Z272" s="416"/>
      <c r="AA272" s="416"/>
      <c r="AB272" s="416"/>
      <c r="AC272" s="416"/>
      <c r="AD272" s="416"/>
      <c r="AE272" s="416"/>
      <c r="AF272" s="416"/>
      <c r="AG272" s="416"/>
      <c r="AH272" s="416"/>
      <c r="AI272" s="416"/>
      <c r="AJ272" s="416"/>
      <c r="AK272" s="416"/>
      <c r="AL272" s="416"/>
      <c r="AM272" s="416"/>
    </row>
    <row r="273" spans="1:39" hidden="1" outlineLevel="2" x14ac:dyDescent="0.2">
      <c r="A273" s="162"/>
      <c r="B273" s="162"/>
      <c r="C273" s="170" t="s">
        <v>122</v>
      </c>
      <c r="D273" s="171">
        <f t="shared" ref="D273:I273" si="186">INDEX(PBSScriptsNew,$B270,D271)</f>
        <v>0</v>
      </c>
      <c r="E273" s="171">
        <f t="shared" si="186"/>
        <v>0</v>
      </c>
      <c r="F273" s="171">
        <f t="shared" si="186"/>
        <v>0</v>
      </c>
      <c r="G273" s="171">
        <f t="shared" si="186"/>
        <v>0</v>
      </c>
      <c r="H273" s="171">
        <f t="shared" si="186"/>
        <v>0</v>
      </c>
      <c r="I273" s="171">
        <f t="shared" si="186"/>
        <v>0</v>
      </c>
      <c r="J273" s="162"/>
      <c r="K273" s="162"/>
      <c r="L273" s="162"/>
      <c r="M273" s="162"/>
      <c r="N273" s="693"/>
      <c r="O273" s="416"/>
      <c r="P273" s="416"/>
      <c r="Q273" s="416"/>
      <c r="R273" s="416"/>
      <c r="S273" s="416"/>
      <c r="T273" s="416"/>
      <c r="U273" s="416"/>
      <c r="V273" s="416"/>
      <c r="W273" s="416"/>
      <c r="X273" s="416"/>
      <c r="Y273" s="416"/>
      <c r="Z273" s="416"/>
      <c r="AA273" s="416"/>
      <c r="AB273" s="416"/>
      <c r="AC273" s="416"/>
      <c r="AD273" s="416"/>
      <c r="AE273" s="416"/>
      <c r="AF273" s="416"/>
      <c r="AG273" s="416"/>
      <c r="AH273" s="416"/>
      <c r="AI273" s="416"/>
      <c r="AJ273" s="416"/>
      <c r="AK273" s="416"/>
      <c r="AL273" s="416"/>
      <c r="AM273" s="416"/>
    </row>
    <row r="274" spans="1:39" hidden="1" outlineLevel="2" x14ac:dyDescent="0.2">
      <c r="A274" s="162"/>
      <c r="B274" s="162"/>
      <c r="C274" s="170" t="s">
        <v>123</v>
      </c>
      <c r="D274" s="171">
        <f t="shared" ref="D274:I274" si="187">INDEX(RPBSScriptsNew,$B270,D271)</f>
        <v>0</v>
      </c>
      <c r="E274" s="171">
        <f t="shared" si="187"/>
        <v>0</v>
      </c>
      <c r="F274" s="171">
        <f t="shared" si="187"/>
        <v>0</v>
      </c>
      <c r="G274" s="171">
        <f t="shared" si="187"/>
        <v>0</v>
      </c>
      <c r="H274" s="171">
        <f t="shared" si="187"/>
        <v>0</v>
      </c>
      <c r="I274" s="171">
        <f t="shared" si="187"/>
        <v>0</v>
      </c>
      <c r="J274" s="162"/>
      <c r="K274" s="162"/>
      <c r="L274" s="162"/>
      <c r="M274" s="162"/>
      <c r="N274" s="162"/>
      <c r="O274" s="416"/>
      <c r="P274" s="416"/>
      <c r="Q274" s="416"/>
      <c r="R274" s="416"/>
      <c r="S274" s="416"/>
      <c r="T274" s="416"/>
      <c r="U274" s="416"/>
      <c r="V274" s="416"/>
      <c r="W274" s="416"/>
      <c r="X274" s="416"/>
      <c r="Y274" s="416"/>
      <c r="Z274" s="416"/>
      <c r="AA274" s="416"/>
      <c r="AB274" s="416"/>
      <c r="AC274" s="416"/>
      <c r="AD274" s="416"/>
      <c r="AE274" s="416"/>
      <c r="AF274" s="416"/>
      <c r="AG274" s="416"/>
      <c r="AH274" s="416"/>
      <c r="AI274" s="416"/>
      <c r="AJ274" s="416"/>
      <c r="AK274" s="416"/>
      <c r="AL274" s="416"/>
      <c r="AM274" s="416"/>
    </row>
    <row r="275" spans="1:39" hidden="1" outlineLevel="2" x14ac:dyDescent="0.2">
      <c r="A275" s="162"/>
      <c r="B275" s="162"/>
      <c r="C275" s="158" t="s">
        <v>124</v>
      </c>
      <c r="D275" s="171">
        <f t="shared" ref="D275:I275" si="188">IF(INDEX(SANew,$B270,7)&gt;0,ROUND(D273/INDEX(SANew,$B270,2),0),0)</f>
        <v>0</v>
      </c>
      <c r="E275" s="171">
        <f t="shared" si="188"/>
        <v>0</v>
      </c>
      <c r="F275" s="171">
        <f t="shared" si="188"/>
        <v>0</v>
      </c>
      <c r="G275" s="171">
        <f t="shared" si="188"/>
        <v>0</v>
      </c>
      <c r="H275" s="171">
        <f t="shared" si="188"/>
        <v>0</v>
      </c>
      <c r="I275" s="171">
        <f t="shared" si="188"/>
        <v>0</v>
      </c>
      <c r="J275" s="162"/>
      <c r="K275" s="615"/>
      <c r="L275" s="640"/>
      <c r="M275" s="162"/>
      <c r="N275" s="615"/>
      <c r="O275" s="416"/>
      <c r="P275" s="416"/>
      <c r="Q275" s="416"/>
      <c r="R275" s="416"/>
      <c r="S275" s="416"/>
      <c r="T275" s="416"/>
      <c r="U275" s="416"/>
      <c r="V275" s="416"/>
      <c r="W275" s="416"/>
      <c r="X275" s="416"/>
      <c r="Y275" s="416"/>
      <c r="Z275" s="416"/>
      <c r="AA275" s="416"/>
      <c r="AB275" s="416"/>
      <c r="AC275" s="416"/>
      <c r="AD275" s="416"/>
      <c r="AE275" s="416"/>
      <c r="AF275" s="416"/>
      <c r="AG275" s="416"/>
      <c r="AH275" s="416"/>
      <c r="AI275" s="416"/>
      <c r="AJ275" s="416"/>
      <c r="AK275" s="416"/>
      <c r="AL275" s="416"/>
      <c r="AM275" s="416"/>
    </row>
    <row r="276" spans="1:39" hidden="1" outlineLevel="2" x14ac:dyDescent="0.2">
      <c r="A276" s="162"/>
      <c r="B276" s="162"/>
      <c r="C276" s="158" t="s">
        <v>125</v>
      </c>
      <c r="D276" s="171">
        <f t="shared" ref="D276:I276" si="189">IF(INDEX(SANew,$B270,7)&gt;0,ROUND(D274/INDEX(SANew,$B270,2),0),0)</f>
        <v>0</v>
      </c>
      <c r="E276" s="171">
        <f t="shared" si="189"/>
        <v>0</v>
      </c>
      <c r="F276" s="171">
        <f t="shared" si="189"/>
        <v>0</v>
      </c>
      <c r="G276" s="171">
        <f t="shared" si="189"/>
        <v>0</v>
      </c>
      <c r="H276" s="171">
        <f t="shared" si="189"/>
        <v>0</v>
      </c>
      <c r="I276" s="171">
        <f t="shared" si="189"/>
        <v>0</v>
      </c>
      <c r="J276" s="162"/>
      <c r="K276" s="615"/>
      <c r="L276" s="640"/>
      <c r="M276" s="162"/>
      <c r="N276" s="615"/>
      <c r="O276" s="416"/>
      <c r="P276" s="416"/>
      <c r="Q276" s="416"/>
      <c r="R276" s="416"/>
      <c r="S276" s="416"/>
      <c r="T276" s="416"/>
      <c r="U276" s="416"/>
      <c r="V276" s="416"/>
      <c r="W276" s="416"/>
      <c r="X276" s="416"/>
      <c r="Y276" s="416"/>
      <c r="Z276" s="416"/>
      <c r="AA276" s="416"/>
      <c r="AB276" s="416"/>
      <c r="AC276" s="416"/>
      <c r="AD276" s="416"/>
      <c r="AE276" s="416"/>
      <c r="AF276" s="416"/>
      <c r="AG276" s="416"/>
      <c r="AH276" s="416"/>
      <c r="AI276" s="416"/>
      <c r="AJ276" s="416"/>
      <c r="AK276" s="416"/>
      <c r="AL276" s="416"/>
      <c r="AM276" s="416"/>
    </row>
    <row r="277" spans="1:39" hidden="1" outlineLevel="1" collapsed="1" x14ac:dyDescent="0.2">
      <c r="A277" s="162"/>
      <c r="B277" s="162"/>
      <c r="C277" s="695"/>
      <c r="D277" s="690"/>
      <c r="E277" s="694"/>
      <c r="F277" s="694"/>
      <c r="G277" s="694"/>
      <c r="H277" s="694"/>
      <c r="I277" s="694"/>
      <c r="J277" s="694"/>
      <c r="K277" s="694"/>
      <c r="L277" s="162"/>
      <c r="M277" s="162"/>
      <c r="N277" s="162"/>
      <c r="O277" s="416"/>
      <c r="P277" s="416"/>
      <c r="Q277" s="416"/>
      <c r="R277" s="416"/>
      <c r="S277" s="416"/>
      <c r="T277" s="416"/>
      <c r="U277" s="416"/>
      <c r="V277" s="416"/>
      <c r="W277" s="416"/>
      <c r="X277" s="416"/>
      <c r="Y277" s="416"/>
      <c r="Z277" s="416"/>
      <c r="AA277" s="416"/>
      <c r="AB277" s="416"/>
      <c r="AC277" s="416"/>
      <c r="AD277" s="416"/>
      <c r="AE277" s="416"/>
      <c r="AF277" s="416"/>
      <c r="AG277" s="416"/>
      <c r="AH277" s="416"/>
      <c r="AI277" s="416"/>
      <c r="AJ277" s="416"/>
      <c r="AK277" s="416"/>
      <c r="AL277" s="416"/>
      <c r="AM277" s="416"/>
    </row>
    <row r="278" spans="1:39" ht="15" hidden="1" outlineLevel="1" x14ac:dyDescent="0.2">
      <c r="A278" s="162"/>
      <c r="B278" s="298">
        <v>20</v>
      </c>
      <c r="C278" s="147" t="str">
        <f>INDEX(PBSScriptsNew,B278,1)</f>
        <v>** NOT USED **</v>
      </c>
      <c r="D278" s="139"/>
      <c r="E278" s="139"/>
      <c r="F278" s="139"/>
      <c r="G278" s="139"/>
      <c r="H278" s="139"/>
      <c r="I278" s="139"/>
      <c r="J278" s="139"/>
      <c r="K278" s="139"/>
      <c r="L278" s="133"/>
      <c r="M278" s="133"/>
      <c r="N278" s="133"/>
      <c r="O278" s="127"/>
      <c r="P278" s="127"/>
      <c r="Q278" s="127"/>
      <c r="R278" s="127"/>
      <c r="S278" s="127"/>
      <c r="T278" s="127"/>
      <c r="U278" s="127"/>
      <c r="V278" s="127"/>
      <c r="W278" s="127"/>
      <c r="X278" s="127"/>
      <c r="Y278" s="127"/>
      <c r="Z278" s="127"/>
      <c r="AA278" s="127"/>
      <c r="AB278" s="127"/>
      <c r="AC278" s="127"/>
      <c r="AD278" s="127"/>
      <c r="AE278" s="127"/>
      <c r="AF278" s="127"/>
      <c r="AG278" s="127"/>
      <c r="AH278" s="127"/>
      <c r="AI278" s="127"/>
      <c r="AJ278" s="127"/>
      <c r="AK278" s="127"/>
      <c r="AL278" s="127"/>
      <c r="AM278" s="127"/>
    </row>
    <row r="279" spans="1:39" hidden="1" outlineLevel="2" x14ac:dyDescent="0.2">
      <c r="A279" s="162"/>
      <c r="B279" s="162"/>
      <c r="C279" s="615"/>
      <c r="D279" s="397">
        <v>2</v>
      </c>
      <c r="E279" s="397">
        <v>3</v>
      </c>
      <c r="F279" s="397">
        <v>4</v>
      </c>
      <c r="G279" s="397">
        <v>5</v>
      </c>
      <c r="H279" s="397">
        <v>6</v>
      </c>
      <c r="I279" s="397">
        <v>7</v>
      </c>
      <c r="J279" s="624"/>
      <c r="K279" s="615"/>
      <c r="L279" s="615"/>
      <c r="M279" s="615"/>
      <c r="N279" s="615"/>
      <c r="O279" s="416"/>
      <c r="P279" s="416"/>
      <c r="Q279" s="416"/>
      <c r="R279" s="416"/>
      <c r="S279" s="416"/>
      <c r="T279" s="416"/>
      <c r="U279" s="416"/>
      <c r="V279" s="416"/>
      <c r="W279" s="416"/>
      <c r="X279" s="416"/>
      <c r="Y279" s="416"/>
      <c r="Z279" s="416"/>
      <c r="AA279" s="416"/>
      <c r="AB279" s="416"/>
      <c r="AC279" s="416"/>
      <c r="AD279" s="416"/>
      <c r="AE279" s="416"/>
      <c r="AF279" s="416"/>
      <c r="AG279" s="416"/>
      <c r="AH279" s="416"/>
      <c r="AI279" s="416"/>
      <c r="AJ279" s="416"/>
      <c r="AK279" s="416"/>
      <c r="AL279" s="416"/>
      <c r="AM279" s="416"/>
    </row>
    <row r="280" spans="1:39" hidden="1" outlineLevel="2" x14ac:dyDescent="0.2">
      <c r="A280" s="162"/>
      <c r="B280" s="162"/>
      <c r="C280" s="162"/>
      <c r="D280" s="630">
        <f>FirstYear</f>
        <v>2021</v>
      </c>
      <c r="E280" s="630">
        <f>D280+1</f>
        <v>2022</v>
      </c>
      <c r="F280" s="630">
        <f>E280+1</f>
        <v>2023</v>
      </c>
      <c r="G280" s="630">
        <f>F280+1</f>
        <v>2024</v>
      </c>
      <c r="H280" s="630">
        <f>G280+1</f>
        <v>2025</v>
      </c>
      <c r="I280" s="630">
        <f>H280+1</f>
        <v>2026</v>
      </c>
      <c r="J280" s="162"/>
      <c r="K280" s="162"/>
      <c r="L280" s="162"/>
      <c r="M280" s="162"/>
      <c r="N280" s="162"/>
      <c r="O280" s="416"/>
      <c r="P280" s="416"/>
      <c r="Q280" s="416"/>
      <c r="R280" s="416"/>
      <c r="S280" s="416"/>
      <c r="T280" s="416"/>
      <c r="U280" s="416"/>
      <c r="V280" s="416"/>
      <c r="W280" s="416"/>
      <c r="X280" s="416"/>
      <c r="Y280" s="416"/>
      <c r="Z280" s="416"/>
      <c r="AA280" s="416"/>
      <c r="AB280" s="416"/>
      <c r="AC280" s="416"/>
      <c r="AD280" s="416"/>
      <c r="AE280" s="416"/>
      <c r="AF280" s="416"/>
      <c r="AG280" s="416"/>
      <c r="AH280" s="416"/>
      <c r="AI280" s="416"/>
      <c r="AJ280" s="416"/>
      <c r="AK280" s="416"/>
      <c r="AL280" s="416"/>
      <c r="AM280" s="416"/>
    </row>
    <row r="281" spans="1:39" hidden="1" outlineLevel="2" x14ac:dyDescent="0.2">
      <c r="A281" s="162"/>
      <c r="B281" s="162"/>
      <c r="C281" s="170" t="s">
        <v>122</v>
      </c>
      <c r="D281" s="171">
        <f t="shared" ref="D281:I281" si="190">INDEX(PBSScriptsNew,$B278,D279)</f>
        <v>0</v>
      </c>
      <c r="E281" s="171">
        <f t="shared" si="190"/>
        <v>0</v>
      </c>
      <c r="F281" s="171">
        <f t="shared" si="190"/>
        <v>0</v>
      </c>
      <c r="G281" s="171">
        <f t="shared" si="190"/>
        <v>0</v>
      </c>
      <c r="H281" s="171">
        <f t="shared" si="190"/>
        <v>0</v>
      </c>
      <c r="I281" s="171">
        <f t="shared" si="190"/>
        <v>0</v>
      </c>
      <c r="J281" s="162"/>
      <c r="K281" s="162"/>
      <c r="L281" s="162"/>
      <c r="M281" s="162"/>
      <c r="N281" s="693"/>
      <c r="O281" s="416"/>
      <c r="P281" s="416"/>
      <c r="Q281" s="416"/>
      <c r="R281" s="416"/>
      <c r="S281" s="416"/>
      <c r="T281" s="416"/>
      <c r="U281" s="416"/>
      <c r="V281" s="416"/>
      <c r="W281" s="416"/>
      <c r="X281" s="416"/>
      <c r="Y281" s="416"/>
      <c r="Z281" s="416"/>
      <c r="AA281" s="416"/>
      <c r="AB281" s="416"/>
      <c r="AC281" s="416"/>
      <c r="AD281" s="416"/>
      <c r="AE281" s="416"/>
      <c r="AF281" s="416"/>
      <c r="AG281" s="416"/>
      <c r="AH281" s="416"/>
      <c r="AI281" s="416"/>
      <c r="AJ281" s="416"/>
      <c r="AK281" s="416"/>
      <c r="AL281" s="416"/>
      <c r="AM281" s="416"/>
    </row>
    <row r="282" spans="1:39" hidden="1" outlineLevel="2" x14ac:dyDescent="0.2">
      <c r="A282" s="162"/>
      <c r="B282" s="162"/>
      <c r="C282" s="170" t="s">
        <v>123</v>
      </c>
      <c r="D282" s="171">
        <f t="shared" ref="D282:I282" si="191">INDEX(RPBSScriptsNew,$B278,D279)</f>
        <v>0</v>
      </c>
      <c r="E282" s="171">
        <f t="shared" si="191"/>
        <v>0</v>
      </c>
      <c r="F282" s="171">
        <f t="shared" si="191"/>
        <v>0</v>
      </c>
      <c r="G282" s="171">
        <f t="shared" si="191"/>
        <v>0</v>
      </c>
      <c r="H282" s="171">
        <f t="shared" si="191"/>
        <v>0</v>
      </c>
      <c r="I282" s="171">
        <f t="shared" si="191"/>
        <v>0</v>
      </c>
      <c r="J282" s="162"/>
      <c r="K282" s="162"/>
      <c r="L282" s="162"/>
      <c r="M282" s="162"/>
      <c r="N282" s="162"/>
      <c r="O282" s="416"/>
      <c r="P282" s="416"/>
      <c r="Q282" s="416"/>
      <c r="R282" s="416"/>
      <c r="S282" s="416"/>
      <c r="T282" s="416"/>
      <c r="U282" s="416"/>
      <c r="V282" s="416"/>
      <c r="W282" s="416"/>
      <c r="X282" s="416"/>
      <c r="Y282" s="416"/>
      <c r="Z282" s="416"/>
      <c r="AA282" s="416"/>
      <c r="AB282" s="416"/>
      <c r="AC282" s="416"/>
      <c r="AD282" s="416"/>
      <c r="AE282" s="416"/>
      <c r="AF282" s="416"/>
      <c r="AG282" s="416"/>
      <c r="AH282" s="416"/>
      <c r="AI282" s="416"/>
      <c r="AJ282" s="416"/>
      <c r="AK282" s="416"/>
      <c r="AL282" s="416"/>
      <c r="AM282" s="416"/>
    </row>
    <row r="283" spans="1:39" hidden="1" outlineLevel="2" x14ac:dyDescent="0.2">
      <c r="A283" s="162"/>
      <c r="B283" s="162"/>
      <c r="C283" s="158" t="s">
        <v>124</v>
      </c>
      <c r="D283" s="171">
        <f t="shared" ref="D283:I283" si="192">IF(INDEX(SANew,$B278,7)&gt;0,ROUND(D281/INDEX(SANew,$B278,2),0),0)</f>
        <v>0</v>
      </c>
      <c r="E283" s="171">
        <f t="shared" si="192"/>
        <v>0</v>
      </c>
      <c r="F283" s="171">
        <f t="shared" si="192"/>
        <v>0</v>
      </c>
      <c r="G283" s="171">
        <f t="shared" si="192"/>
        <v>0</v>
      </c>
      <c r="H283" s="171">
        <f t="shared" si="192"/>
        <v>0</v>
      </c>
      <c r="I283" s="171">
        <f t="shared" si="192"/>
        <v>0</v>
      </c>
      <c r="J283" s="162"/>
      <c r="K283" s="615"/>
      <c r="L283" s="640"/>
      <c r="M283" s="162"/>
      <c r="N283" s="615"/>
      <c r="O283" s="416"/>
      <c r="P283" s="416"/>
      <c r="Q283" s="416"/>
      <c r="R283" s="416"/>
      <c r="S283" s="416"/>
      <c r="T283" s="416"/>
      <c r="U283" s="416"/>
      <c r="V283" s="416"/>
      <c r="W283" s="416"/>
      <c r="X283" s="416"/>
      <c r="Y283" s="416"/>
      <c r="Z283" s="416"/>
      <c r="AA283" s="416"/>
      <c r="AB283" s="416"/>
      <c r="AC283" s="416"/>
      <c r="AD283" s="416"/>
      <c r="AE283" s="416"/>
      <c r="AF283" s="416"/>
      <c r="AG283" s="416"/>
      <c r="AH283" s="416"/>
      <c r="AI283" s="416"/>
      <c r="AJ283" s="416"/>
      <c r="AK283" s="416"/>
      <c r="AL283" s="416"/>
      <c r="AM283" s="416"/>
    </row>
    <row r="284" spans="1:39" hidden="1" outlineLevel="2" x14ac:dyDescent="0.2">
      <c r="A284" s="162"/>
      <c r="B284" s="162"/>
      <c r="C284" s="158" t="s">
        <v>125</v>
      </c>
      <c r="D284" s="171">
        <f t="shared" ref="D284:I284" si="193">IF(INDEX(SANew,$B278,7)&gt;0,ROUND(D282/INDEX(SANew,$B278,2),0),0)</f>
        <v>0</v>
      </c>
      <c r="E284" s="171">
        <f t="shared" si="193"/>
        <v>0</v>
      </c>
      <c r="F284" s="171">
        <f t="shared" si="193"/>
        <v>0</v>
      </c>
      <c r="G284" s="171">
        <f t="shared" si="193"/>
        <v>0</v>
      </c>
      <c r="H284" s="171">
        <f t="shared" si="193"/>
        <v>0</v>
      </c>
      <c r="I284" s="171">
        <f t="shared" si="193"/>
        <v>0</v>
      </c>
      <c r="J284" s="162"/>
      <c r="K284" s="615"/>
      <c r="L284" s="640"/>
      <c r="M284" s="162"/>
      <c r="N284" s="615"/>
      <c r="O284" s="416"/>
      <c r="P284" s="416"/>
      <c r="Q284" s="416"/>
      <c r="R284" s="416"/>
      <c r="S284" s="416"/>
      <c r="T284" s="416"/>
      <c r="U284" s="416"/>
      <c r="V284" s="416"/>
      <c r="W284" s="416"/>
      <c r="X284" s="416"/>
      <c r="Y284" s="416"/>
      <c r="Z284" s="416"/>
      <c r="AA284" s="416"/>
      <c r="AB284" s="416"/>
      <c r="AC284" s="416"/>
      <c r="AD284" s="416"/>
      <c r="AE284" s="416"/>
      <c r="AF284" s="416"/>
      <c r="AG284" s="416"/>
      <c r="AH284" s="416"/>
      <c r="AI284" s="416"/>
      <c r="AJ284" s="416"/>
      <c r="AK284" s="416"/>
      <c r="AL284" s="416"/>
      <c r="AM284" s="416"/>
    </row>
    <row r="285" spans="1:39" hidden="1" outlineLevel="2" x14ac:dyDescent="0.2">
      <c r="A285" s="162"/>
      <c r="B285" s="162"/>
      <c r="C285" s="695"/>
      <c r="D285" s="690"/>
      <c r="E285" s="694"/>
      <c r="F285" s="694"/>
      <c r="G285" s="694"/>
      <c r="H285" s="694"/>
      <c r="I285" s="694"/>
      <c r="J285" s="694"/>
      <c r="K285" s="694"/>
      <c r="L285" s="162"/>
      <c r="M285" s="162"/>
      <c r="N285" s="162"/>
      <c r="O285" s="615"/>
      <c r="P285" s="615"/>
      <c r="Q285" s="615"/>
      <c r="R285" s="615"/>
      <c r="S285" s="615"/>
      <c r="T285" s="615"/>
      <c r="U285" s="615"/>
      <c r="V285" s="615"/>
      <c r="W285" s="615"/>
      <c r="X285" s="615"/>
      <c r="Y285" s="615"/>
      <c r="Z285" s="615"/>
      <c r="AA285" s="615"/>
      <c r="AB285" s="615"/>
      <c r="AC285" s="615"/>
      <c r="AD285" s="615"/>
      <c r="AE285" s="615"/>
      <c r="AF285" s="615"/>
      <c r="AG285" s="615"/>
      <c r="AH285" s="615"/>
      <c r="AI285" s="615"/>
      <c r="AJ285" s="615"/>
      <c r="AK285" s="615"/>
      <c r="AL285" s="615"/>
      <c r="AM285" s="615"/>
    </row>
    <row r="286" spans="1:39" hidden="1" outlineLevel="1" collapsed="1" x14ac:dyDescent="0.2">
      <c r="A286" s="162"/>
      <c r="B286" s="162"/>
      <c r="C286" s="615"/>
      <c r="D286" s="615"/>
      <c r="E286" s="615"/>
      <c r="F286" s="615"/>
      <c r="G286" s="615"/>
      <c r="H286" s="615"/>
      <c r="I286" s="615"/>
      <c r="J286" s="615"/>
      <c r="K286" s="615"/>
      <c r="L286" s="615"/>
      <c r="M286" s="615"/>
      <c r="N286" s="615"/>
      <c r="O286" s="615"/>
      <c r="P286" s="615"/>
      <c r="Q286" s="615"/>
      <c r="R286" s="615"/>
      <c r="S286" s="615"/>
      <c r="T286" s="615"/>
      <c r="U286" s="615"/>
      <c r="V286" s="615"/>
      <c r="W286" s="615"/>
      <c r="X286" s="615"/>
      <c r="Y286" s="615"/>
      <c r="Z286" s="615"/>
      <c r="AA286" s="615"/>
      <c r="AB286" s="615"/>
      <c r="AC286" s="615"/>
      <c r="AD286" s="615"/>
      <c r="AE286" s="615"/>
      <c r="AF286" s="615"/>
      <c r="AG286" s="615"/>
      <c r="AH286" s="615"/>
      <c r="AI286" s="615"/>
      <c r="AJ286" s="615"/>
      <c r="AK286" s="615"/>
      <c r="AL286" s="615"/>
      <c r="AM286" s="615"/>
    </row>
    <row r="287" spans="1:39" collapsed="1" x14ac:dyDescent="0.2">
      <c r="A287" s="162"/>
      <c r="B287" s="162"/>
      <c r="C287" s="638"/>
      <c r="D287" s="695"/>
      <c r="E287" s="162"/>
      <c r="F287" s="162"/>
      <c r="G287" s="162"/>
      <c r="H287" s="162"/>
      <c r="I287" s="162"/>
      <c r="J287" s="162"/>
      <c r="K287" s="162"/>
      <c r="L287" s="162"/>
      <c r="M287" s="162"/>
      <c r="N287" s="162"/>
      <c r="O287" s="162"/>
      <c r="P287" s="162"/>
      <c r="Q287" s="691"/>
      <c r="R287" s="691"/>
      <c r="S287" s="691"/>
      <c r="T287" s="691"/>
      <c r="U287" s="691"/>
      <c r="V287" s="691"/>
      <c r="W287" s="691"/>
      <c r="X287" s="691"/>
      <c r="Y287" s="691"/>
      <c r="Z287" s="691"/>
      <c r="AA287" s="691"/>
      <c r="AB287" s="691"/>
      <c r="AC287" s="691"/>
      <c r="AD287" s="691"/>
      <c r="AE287" s="691"/>
      <c r="AF287" s="691"/>
      <c r="AG287" s="691"/>
      <c r="AH287" s="691"/>
      <c r="AI287" s="691"/>
      <c r="AJ287" s="691"/>
      <c r="AK287" s="691"/>
      <c r="AL287" s="691"/>
      <c r="AM287" s="691"/>
    </row>
    <row r="288" spans="1:39" s="416" customFormat="1" ht="15.75" x14ac:dyDescent="0.2">
      <c r="A288" s="162"/>
      <c r="B288" s="162"/>
      <c r="C288" s="123" t="s">
        <v>1129</v>
      </c>
      <c r="D288" s="127"/>
      <c r="E288" s="127"/>
      <c r="F288" s="127"/>
      <c r="G288" s="127"/>
      <c r="H288" s="127"/>
      <c r="I288" s="127"/>
      <c r="J288" s="127"/>
      <c r="K288" s="127"/>
      <c r="L288" s="127"/>
      <c r="M288" s="127"/>
      <c r="N288" s="127"/>
      <c r="O288" s="127"/>
      <c r="P288" s="127"/>
      <c r="Q288" s="127"/>
      <c r="R288" s="127"/>
      <c r="S288" s="127"/>
      <c r="T288" s="127"/>
      <c r="U288" s="127"/>
      <c r="V288" s="127"/>
      <c r="W288" s="127"/>
      <c r="X288" s="127"/>
      <c r="Y288" s="127"/>
      <c r="Z288" s="127"/>
      <c r="AA288" s="127"/>
      <c r="AB288" s="127"/>
      <c r="AC288" s="127"/>
      <c r="AD288" s="127"/>
      <c r="AE288" s="127"/>
      <c r="AF288" s="127"/>
      <c r="AG288" s="127"/>
      <c r="AH288" s="127"/>
      <c r="AI288" s="127"/>
      <c r="AJ288" s="127"/>
      <c r="AK288" s="127"/>
      <c r="AL288" s="127"/>
      <c r="AM288" s="127"/>
    </row>
    <row r="289" spans="1:14" s="416" customFormat="1" hidden="1" outlineLevel="1" x14ac:dyDescent="0.2">
      <c r="A289" s="162"/>
      <c r="B289" s="162"/>
      <c r="C289" s="615"/>
    </row>
    <row r="290" spans="1:14" s="416" customFormat="1" hidden="1" outlineLevel="1" x14ac:dyDescent="0.2">
      <c r="A290" s="162"/>
      <c r="B290" s="162"/>
      <c r="C290" s="638" t="s">
        <v>1121</v>
      </c>
    </row>
    <row r="291" spans="1:14" s="416" customFormat="1" hidden="1" outlineLevel="1" x14ac:dyDescent="0.2">
      <c r="A291" s="162"/>
      <c r="B291" s="162"/>
      <c r="C291" s="615"/>
      <c r="L291" s="615"/>
      <c r="M291" s="615"/>
      <c r="N291" s="615"/>
    </row>
    <row r="292" spans="1:14" s="416" customFormat="1" hidden="1" outlineLevel="1" x14ac:dyDescent="0.2">
      <c r="A292" s="162"/>
      <c r="B292" s="162"/>
      <c r="C292" s="643" t="s">
        <v>122</v>
      </c>
      <c r="D292" s="571">
        <f>FirstYear</f>
        <v>2021</v>
      </c>
      <c r="E292" s="571">
        <f>D292+1</f>
        <v>2022</v>
      </c>
      <c r="F292" s="571">
        <f>E292+1</f>
        <v>2023</v>
      </c>
      <c r="G292" s="571">
        <f>F292+1</f>
        <v>2024</v>
      </c>
      <c r="H292" s="571">
        <f>G292+1</f>
        <v>2025</v>
      </c>
      <c r="I292" s="571">
        <f>H292+1</f>
        <v>2026</v>
      </c>
      <c r="J292" s="361"/>
      <c r="K292" s="687" t="s">
        <v>883</v>
      </c>
      <c r="L292" s="162"/>
      <c r="M292" s="162"/>
      <c r="N292" s="162"/>
    </row>
    <row r="293" spans="1:14" s="416" customFormat="1" hidden="1" outlineLevel="1" x14ac:dyDescent="0.2">
      <c r="A293" s="162"/>
      <c r="B293" s="162"/>
      <c r="C293" s="89" t="s">
        <v>1097</v>
      </c>
      <c r="D293" s="164">
        <f>SUMIFS(AB$338:AB$357,$L$338:$L$357,$K293)</f>
        <v>0</v>
      </c>
      <c r="E293" s="164">
        <f t="shared" ref="E293:I296" si="194">SUMIFS(AC$338:AC$357,$L$338:$L$357,$K293)</f>
        <v>0</v>
      </c>
      <c r="F293" s="164">
        <f t="shared" si="194"/>
        <v>0</v>
      </c>
      <c r="G293" s="164">
        <f t="shared" si="194"/>
        <v>0</v>
      </c>
      <c r="H293" s="164">
        <f t="shared" si="194"/>
        <v>0</v>
      </c>
      <c r="I293" s="164">
        <f t="shared" si="194"/>
        <v>0</v>
      </c>
      <c r="J293" s="361"/>
      <c r="K293" s="689">
        <f>K14</f>
        <v>0</v>
      </c>
      <c r="L293" s="162"/>
      <c r="M293" s="162"/>
      <c r="N293" s="162"/>
    </row>
    <row r="294" spans="1:14" s="416" customFormat="1" hidden="1" outlineLevel="1" x14ac:dyDescent="0.2">
      <c r="A294" s="162"/>
      <c r="B294" s="162"/>
      <c r="C294" s="163" t="s">
        <v>1098</v>
      </c>
      <c r="D294" s="164">
        <f t="shared" ref="D294:D296" si="195">SUMIFS(AB$338:AB$357,$L$338:$L$357,$K294)</f>
        <v>0</v>
      </c>
      <c r="E294" s="164">
        <f t="shared" si="194"/>
        <v>0</v>
      </c>
      <c r="F294" s="164">
        <f t="shared" si="194"/>
        <v>0</v>
      </c>
      <c r="G294" s="164">
        <f t="shared" si="194"/>
        <v>0</v>
      </c>
      <c r="H294" s="164">
        <f t="shared" si="194"/>
        <v>0</v>
      </c>
      <c r="I294" s="164">
        <f t="shared" si="194"/>
        <v>0</v>
      </c>
      <c r="J294" s="361"/>
      <c r="K294" s="689">
        <f>K15</f>
        <v>1</v>
      </c>
      <c r="L294" s="162"/>
      <c r="M294" s="162"/>
      <c r="N294" s="162"/>
    </row>
    <row r="295" spans="1:14" s="416" customFormat="1" hidden="1" outlineLevel="1" x14ac:dyDescent="0.2">
      <c r="A295" s="162"/>
      <c r="B295" s="162"/>
      <c r="C295" s="165" t="s">
        <v>1099</v>
      </c>
      <c r="D295" s="164">
        <f t="shared" si="195"/>
        <v>0</v>
      </c>
      <c r="E295" s="164">
        <f t="shared" si="194"/>
        <v>0</v>
      </c>
      <c r="F295" s="164">
        <f t="shared" si="194"/>
        <v>0</v>
      </c>
      <c r="G295" s="164">
        <f t="shared" si="194"/>
        <v>0</v>
      </c>
      <c r="H295" s="164">
        <f t="shared" si="194"/>
        <v>0</v>
      </c>
      <c r="I295" s="164">
        <f t="shared" si="194"/>
        <v>0</v>
      </c>
      <c r="J295" s="361"/>
      <c r="K295" s="689">
        <f>K16</f>
        <v>2</v>
      </c>
      <c r="L295" s="162"/>
      <c r="M295" s="162"/>
      <c r="N295" s="162"/>
    </row>
    <row r="296" spans="1:14" s="416" customFormat="1" hidden="1" outlineLevel="1" x14ac:dyDescent="0.2">
      <c r="A296" s="162"/>
      <c r="B296" s="162"/>
      <c r="C296" s="165" t="s">
        <v>1100</v>
      </c>
      <c r="D296" s="164">
        <f t="shared" si="195"/>
        <v>0</v>
      </c>
      <c r="E296" s="164">
        <f t="shared" si="194"/>
        <v>0</v>
      </c>
      <c r="F296" s="164">
        <f t="shared" si="194"/>
        <v>0</v>
      </c>
      <c r="G296" s="164">
        <f t="shared" si="194"/>
        <v>0</v>
      </c>
      <c r="H296" s="164">
        <f t="shared" si="194"/>
        <v>0</v>
      </c>
      <c r="I296" s="164">
        <f t="shared" si="194"/>
        <v>0</v>
      </c>
      <c r="J296" s="361"/>
      <c r="K296" s="689">
        <f>K17</f>
        <v>3</v>
      </c>
      <c r="L296" s="162"/>
      <c r="M296" s="162"/>
      <c r="N296" s="162"/>
    </row>
    <row r="297" spans="1:14" s="416" customFormat="1" hidden="1" outlineLevel="1" x14ac:dyDescent="0.2">
      <c r="A297" s="162"/>
      <c r="B297" s="162"/>
      <c r="C297" s="294" t="s">
        <v>133</v>
      </c>
      <c r="D297" s="166">
        <f t="shared" ref="D297:I297" si="196">SUM(D293:D296)</f>
        <v>0</v>
      </c>
      <c r="E297" s="166">
        <f t="shared" si="196"/>
        <v>0</v>
      </c>
      <c r="F297" s="166">
        <f t="shared" si="196"/>
        <v>0</v>
      </c>
      <c r="G297" s="166">
        <f t="shared" si="196"/>
        <v>0</v>
      </c>
      <c r="H297" s="166">
        <f t="shared" si="196"/>
        <v>0</v>
      </c>
      <c r="I297" s="166">
        <f t="shared" si="196"/>
        <v>0</v>
      </c>
      <c r="J297" s="361"/>
      <c r="K297" s="137"/>
      <c r="L297" s="162"/>
      <c r="M297" s="162"/>
      <c r="N297" s="162"/>
    </row>
    <row r="298" spans="1:14" s="416" customFormat="1" hidden="1" outlineLevel="1" x14ac:dyDescent="0.2">
      <c r="A298" s="162"/>
      <c r="B298" s="162"/>
      <c r="C298" s="615"/>
      <c r="J298" s="361"/>
      <c r="K298" s="137"/>
      <c r="L298" s="162"/>
      <c r="M298" s="162"/>
      <c r="N298" s="162"/>
    </row>
    <row r="299" spans="1:14" s="416" customFormat="1" hidden="1" outlineLevel="1" x14ac:dyDescent="0.2">
      <c r="A299" s="162"/>
      <c r="B299" s="162"/>
      <c r="C299" s="643" t="s">
        <v>123</v>
      </c>
      <c r="J299" s="361"/>
      <c r="K299" s="687" t="s">
        <v>883</v>
      </c>
      <c r="L299" s="162"/>
      <c r="M299" s="162"/>
      <c r="N299" s="162"/>
    </row>
    <row r="300" spans="1:14" s="416" customFormat="1" hidden="1" outlineLevel="1" x14ac:dyDescent="0.2">
      <c r="A300" s="162"/>
      <c r="B300" s="162"/>
      <c r="C300" s="89" t="s">
        <v>1097</v>
      </c>
      <c r="D300" s="164">
        <f>SUMIFS(AH$338:AH$357,$L$338:$L$357,$K300)</f>
        <v>0</v>
      </c>
      <c r="E300" s="164">
        <f t="shared" ref="E300:I303" si="197">SUMIFS(AI$338:AI$357,$L$338:$L$357,$K300)</f>
        <v>0</v>
      </c>
      <c r="F300" s="164">
        <f t="shared" si="197"/>
        <v>0</v>
      </c>
      <c r="G300" s="164">
        <f t="shared" si="197"/>
        <v>0</v>
      </c>
      <c r="H300" s="164">
        <f t="shared" si="197"/>
        <v>0</v>
      </c>
      <c r="I300" s="164">
        <f t="shared" si="197"/>
        <v>0</v>
      </c>
      <c r="J300" s="361"/>
      <c r="K300" s="689">
        <f>K21</f>
        <v>0</v>
      </c>
      <c r="L300" s="162"/>
      <c r="M300" s="162"/>
      <c r="N300" s="162"/>
    </row>
    <row r="301" spans="1:14" s="416" customFormat="1" hidden="1" outlineLevel="1" x14ac:dyDescent="0.2">
      <c r="A301" s="162"/>
      <c r="B301" s="162"/>
      <c r="C301" s="163" t="s">
        <v>1098</v>
      </c>
      <c r="D301" s="164">
        <f t="shared" ref="D301:D303" si="198">SUMIFS(AH$338:AH$357,$L$338:$L$357,$K301)</f>
        <v>0</v>
      </c>
      <c r="E301" s="164">
        <f t="shared" si="197"/>
        <v>0</v>
      </c>
      <c r="F301" s="164">
        <f t="shared" si="197"/>
        <v>0</v>
      </c>
      <c r="G301" s="164">
        <f t="shared" si="197"/>
        <v>0</v>
      </c>
      <c r="H301" s="164">
        <f t="shared" si="197"/>
        <v>0</v>
      </c>
      <c r="I301" s="164">
        <f t="shared" si="197"/>
        <v>0</v>
      </c>
      <c r="J301" s="361"/>
      <c r="K301" s="689">
        <f>K22</f>
        <v>1</v>
      </c>
      <c r="L301" s="162"/>
      <c r="M301" s="162"/>
      <c r="N301" s="162"/>
    </row>
    <row r="302" spans="1:14" s="416" customFormat="1" hidden="1" outlineLevel="1" x14ac:dyDescent="0.2">
      <c r="A302" s="162"/>
      <c r="B302" s="162"/>
      <c r="C302" s="165" t="s">
        <v>1099</v>
      </c>
      <c r="D302" s="164">
        <f t="shared" si="198"/>
        <v>0</v>
      </c>
      <c r="E302" s="164">
        <f t="shared" si="197"/>
        <v>0</v>
      </c>
      <c r="F302" s="164">
        <f t="shared" si="197"/>
        <v>0</v>
      </c>
      <c r="G302" s="164">
        <f t="shared" si="197"/>
        <v>0</v>
      </c>
      <c r="H302" s="164">
        <f t="shared" si="197"/>
        <v>0</v>
      </c>
      <c r="I302" s="164">
        <f t="shared" si="197"/>
        <v>0</v>
      </c>
      <c r="J302" s="361"/>
      <c r="K302" s="689">
        <f>K23</f>
        <v>2</v>
      </c>
      <c r="L302" s="162"/>
      <c r="M302" s="162"/>
      <c r="N302" s="162"/>
    </row>
    <row r="303" spans="1:14" s="416" customFormat="1" hidden="1" outlineLevel="1" x14ac:dyDescent="0.2">
      <c r="A303" s="162"/>
      <c r="B303" s="162"/>
      <c r="C303" s="165" t="s">
        <v>1100</v>
      </c>
      <c r="D303" s="164">
        <f t="shared" si="198"/>
        <v>0</v>
      </c>
      <c r="E303" s="164">
        <f t="shared" si="197"/>
        <v>0</v>
      </c>
      <c r="F303" s="164">
        <f t="shared" si="197"/>
        <v>0</v>
      </c>
      <c r="G303" s="164">
        <f t="shared" si="197"/>
        <v>0</v>
      </c>
      <c r="H303" s="164">
        <f t="shared" si="197"/>
        <v>0</v>
      </c>
      <c r="I303" s="164">
        <f t="shared" si="197"/>
        <v>0</v>
      </c>
      <c r="J303" s="361"/>
      <c r="K303" s="689">
        <f>K24</f>
        <v>3</v>
      </c>
      <c r="L303" s="162"/>
      <c r="M303" s="162"/>
      <c r="N303" s="162"/>
    </row>
    <row r="304" spans="1:14" s="416" customFormat="1" hidden="1" outlineLevel="1" x14ac:dyDescent="0.2">
      <c r="A304" s="162"/>
      <c r="B304" s="162"/>
      <c r="C304" s="167" t="s">
        <v>134</v>
      </c>
      <c r="D304" s="166">
        <f t="shared" ref="D304:I304" si="199">SUM(D300:D303)</f>
        <v>0</v>
      </c>
      <c r="E304" s="166">
        <f t="shared" si="199"/>
        <v>0</v>
      </c>
      <c r="F304" s="166">
        <f t="shared" si="199"/>
        <v>0</v>
      </c>
      <c r="G304" s="166">
        <f t="shared" si="199"/>
        <v>0</v>
      </c>
      <c r="H304" s="166">
        <f t="shared" si="199"/>
        <v>0</v>
      </c>
      <c r="I304" s="166">
        <f t="shared" si="199"/>
        <v>0</v>
      </c>
      <c r="J304" s="361"/>
      <c r="L304" s="615"/>
      <c r="M304" s="162"/>
      <c r="N304" s="162"/>
    </row>
    <row r="305" spans="1:39" s="416" customFormat="1" ht="12.75" hidden="1" customHeight="1" outlineLevel="1" x14ac:dyDescent="0.2">
      <c r="A305" s="615"/>
      <c r="B305" s="615"/>
      <c r="L305" s="615"/>
      <c r="M305" s="615"/>
      <c r="N305" s="615"/>
    </row>
    <row r="306" spans="1:39" s="416" customFormat="1" hidden="1" outlineLevel="1" x14ac:dyDescent="0.2">
      <c r="A306" s="162"/>
      <c r="B306" s="162"/>
      <c r="C306" s="294" t="s">
        <v>248</v>
      </c>
      <c r="D306" s="166">
        <f t="shared" ref="D306:I306" si="200">D297+D304</f>
        <v>0</v>
      </c>
      <c r="E306" s="166">
        <f t="shared" si="200"/>
        <v>0</v>
      </c>
      <c r="F306" s="166">
        <f t="shared" si="200"/>
        <v>0</v>
      </c>
      <c r="G306" s="166">
        <f t="shared" si="200"/>
        <v>0</v>
      </c>
      <c r="H306" s="166">
        <f t="shared" si="200"/>
        <v>0</v>
      </c>
      <c r="I306" s="166">
        <f t="shared" si="200"/>
        <v>0</v>
      </c>
      <c r="J306" s="361"/>
      <c r="K306" s="361"/>
      <c r="L306" s="615"/>
      <c r="M306" s="686"/>
      <c r="N306" s="162"/>
    </row>
    <row r="307" spans="1:39" s="416" customFormat="1" hidden="1" outlineLevel="1" x14ac:dyDescent="0.2">
      <c r="A307" s="125"/>
      <c r="B307" s="125"/>
      <c r="C307" s="361"/>
      <c r="D307" s="361"/>
      <c r="E307" s="361"/>
      <c r="F307" s="361"/>
      <c r="G307" s="361"/>
      <c r="H307" s="361"/>
      <c r="I307" s="361"/>
      <c r="J307" s="361"/>
      <c r="K307" s="361"/>
      <c r="L307" s="125"/>
      <c r="M307" s="125"/>
      <c r="N307" s="125"/>
    </row>
    <row r="308" spans="1:39" s="416" customFormat="1" ht="15.75" hidden="1" outlineLevel="1" x14ac:dyDescent="0.2">
      <c r="A308" s="125"/>
      <c r="B308" s="125"/>
      <c r="C308" s="123" t="s">
        <v>1130</v>
      </c>
      <c r="D308" s="127"/>
      <c r="E308" s="127"/>
      <c r="F308" s="127"/>
      <c r="G308" s="127"/>
      <c r="H308" s="127"/>
      <c r="I308" s="127"/>
      <c r="J308" s="127"/>
      <c r="K308" s="127"/>
      <c r="L308" s="127"/>
      <c r="M308" s="127"/>
      <c r="N308" s="127"/>
      <c r="O308" s="127"/>
      <c r="P308" s="127"/>
      <c r="Q308" s="127"/>
      <c r="R308" s="127"/>
      <c r="S308" s="127"/>
      <c r="T308" s="127"/>
      <c r="U308" s="127"/>
      <c r="V308" s="127"/>
      <c r="W308" s="127"/>
      <c r="X308" s="127"/>
      <c r="Y308" s="127"/>
      <c r="Z308" s="127"/>
      <c r="AA308" s="127"/>
      <c r="AB308" s="127"/>
      <c r="AC308" s="127"/>
      <c r="AD308" s="127"/>
      <c r="AE308" s="127"/>
      <c r="AF308" s="127"/>
      <c r="AG308" s="127"/>
      <c r="AH308" s="127"/>
      <c r="AI308" s="127"/>
      <c r="AJ308" s="127"/>
      <c r="AK308" s="127"/>
      <c r="AL308" s="127"/>
      <c r="AM308" s="127"/>
    </row>
    <row r="309" spans="1:39" s="416" customFormat="1" hidden="1" outlineLevel="1" x14ac:dyDescent="0.2">
      <c r="A309" s="125"/>
      <c r="B309" s="125"/>
      <c r="C309" s="125"/>
      <c r="D309" s="361"/>
      <c r="E309" s="361"/>
      <c r="F309" s="361"/>
      <c r="G309" s="361"/>
      <c r="H309" s="361"/>
      <c r="I309" s="361"/>
      <c r="J309" s="361"/>
      <c r="K309" s="361"/>
      <c r="L309" s="361"/>
      <c r="M309" s="361"/>
      <c r="N309" s="361"/>
    </row>
    <row r="310" spans="1:39" s="416" customFormat="1" hidden="1" outlineLevel="1" x14ac:dyDescent="0.2">
      <c r="A310" s="125"/>
      <c r="B310" s="125"/>
      <c r="C310" s="638" t="s">
        <v>1122</v>
      </c>
      <c r="D310" s="361"/>
      <c r="E310" s="361"/>
      <c r="F310" s="361"/>
      <c r="G310" s="361"/>
      <c r="H310" s="361"/>
      <c r="I310" s="361"/>
      <c r="J310" s="361"/>
      <c r="K310" s="361"/>
      <c r="L310" s="361"/>
      <c r="M310" s="361"/>
      <c r="N310" s="361"/>
    </row>
    <row r="311" spans="1:39" s="416" customFormat="1" hidden="1" outlineLevel="1" x14ac:dyDescent="0.2">
      <c r="A311" s="125"/>
      <c r="B311" s="125"/>
      <c r="C311" s="125"/>
      <c r="D311" s="361"/>
      <c r="E311" s="361"/>
      <c r="F311" s="361"/>
      <c r="G311" s="361"/>
      <c r="H311" s="361"/>
      <c r="I311" s="361"/>
      <c r="J311" s="361"/>
      <c r="K311" s="361"/>
      <c r="L311" s="125"/>
      <c r="M311" s="125"/>
      <c r="N311" s="125"/>
    </row>
    <row r="312" spans="1:39" s="416" customFormat="1" hidden="1" outlineLevel="1" x14ac:dyDescent="0.2">
      <c r="A312" s="125"/>
      <c r="B312" s="125"/>
      <c r="C312" s="643" t="s">
        <v>124</v>
      </c>
      <c r="D312" s="571">
        <f>FirstYear</f>
        <v>2021</v>
      </c>
      <c r="E312" s="571">
        <f>D312+1</f>
        <v>2022</v>
      </c>
      <c r="F312" s="571">
        <f>E312+1</f>
        <v>2023</v>
      </c>
      <c r="G312" s="571">
        <f>F312+1</f>
        <v>2024</v>
      </c>
      <c r="H312" s="571">
        <f>G312+1</f>
        <v>2025</v>
      </c>
      <c r="I312" s="571">
        <f>H312+1</f>
        <v>2026</v>
      </c>
      <c r="J312" s="361"/>
      <c r="K312" s="687" t="s">
        <v>883</v>
      </c>
      <c r="L312" s="615"/>
      <c r="M312" s="690"/>
      <c r="N312" s="125"/>
    </row>
    <row r="313" spans="1:39" s="416" customFormat="1" hidden="1" outlineLevel="1" x14ac:dyDescent="0.2">
      <c r="A313" s="162"/>
      <c r="B313" s="162"/>
      <c r="C313" s="163" t="s">
        <v>1098</v>
      </c>
      <c r="D313" s="164">
        <f t="shared" ref="D313:I313" si="201">SUMIFS(N$338:N$357,$L$338:$L$357,$K313)</f>
        <v>0</v>
      </c>
      <c r="E313" s="164">
        <f t="shared" si="201"/>
        <v>0</v>
      </c>
      <c r="F313" s="164">
        <f t="shared" si="201"/>
        <v>0</v>
      </c>
      <c r="G313" s="164">
        <f t="shared" si="201"/>
        <v>0</v>
      </c>
      <c r="H313" s="164">
        <f t="shared" si="201"/>
        <v>0</v>
      </c>
      <c r="I313" s="164">
        <f t="shared" si="201"/>
        <v>0</v>
      </c>
      <c r="J313" s="361"/>
      <c r="K313" s="689">
        <f>K34</f>
        <v>1</v>
      </c>
      <c r="L313" s="615"/>
      <c r="M313" s="640"/>
      <c r="N313" s="162"/>
    </row>
    <row r="314" spans="1:39" s="416" customFormat="1" ht="12.75" hidden="1" customHeight="1" outlineLevel="1" x14ac:dyDescent="0.2">
      <c r="A314" s="615"/>
      <c r="B314" s="615"/>
      <c r="K314" s="552"/>
      <c r="L314" s="615"/>
      <c r="M314" s="615"/>
      <c r="N314" s="615"/>
    </row>
    <row r="315" spans="1:39" s="416" customFormat="1" hidden="1" outlineLevel="1" x14ac:dyDescent="0.2">
      <c r="A315" s="162"/>
      <c r="B315" s="162"/>
      <c r="C315" s="89" t="s">
        <v>1099</v>
      </c>
      <c r="D315" s="164">
        <f>SUMIFS(N$338:N$357,$L$338:$L$357,$K315)</f>
        <v>0</v>
      </c>
      <c r="E315" s="164">
        <f t="shared" ref="E315:I316" si="202">SUMIFS(O$338:O$357,$L$338:$L$357,$K315)</f>
        <v>0</v>
      </c>
      <c r="F315" s="164">
        <f t="shared" si="202"/>
        <v>0</v>
      </c>
      <c r="G315" s="164">
        <f t="shared" si="202"/>
        <v>0</v>
      </c>
      <c r="H315" s="164">
        <f t="shared" si="202"/>
        <v>0</v>
      </c>
      <c r="I315" s="164">
        <f t="shared" si="202"/>
        <v>0</v>
      </c>
      <c r="J315" s="361"/>
      <c r="K315" s="689">
        <f>K36</f>
        <v>2</v>
      </c>
      <c r="L315" s="615"/>
      <c r="M315" s="640"/>
      <c r="N315" s="162"/>
    </row>
    <row r="316" spans="1:39" s="416" customFormat="1" hidden="1" outlineLevel="1" x14ac:dyDescent="0.2">
      <c r="A316" s="162"/>
      <c r="B316" s="162"/>
      <c r="C316" s="165" t="s">
        <v>1100</v>
      </c>
      <c r="D316" s="164">
        <f>SUMIFS(N$338:N$357,$L$338:$L$357,$K316)</f>
        <v>0</v>
      </c>
      <c r="E316" s="164">
        <f t="shared" si="202"/>
        <v>0</v>
      </c>
      <c r="F316" s="164">
        <f t="shared" si="202"/>
        <v>0</v>
      </c>
      <c r="G316" s="164">
        <f t="shared" si="202"/>
        <v>0</v>
      </c>
      <c r="H316" s="164">
        <f t="shared" si="202"/>
        <v>0</v>
      </c>
      <c r="I316" s="164">
        <f t="shared" si="202"/>
        <v>0</v>
      </c>
      <c r="J316" s="361"/>
      <c r="K316" s="689">
        <f>K37</f>
        <v>3</v>
      </c>
      <c r="L316" s="615"/>
      <c r="M316" s="640"/>
      <c r="N316" s="162"/>
    </row>
    <row r="317" spans="1:39" s="416" customFormat="1" hidden="1" outlineLevel="1" x14ac:dyDescent="0.2">
      <c r="A317" s="615"/>
      <c r="B317" s="615"/>
      <c r="C317" s="167" t="s">
        <v>124</v>
      </c>
      <c r="D317" s="166">
        <f t="shared" ref="D317:I317" si="203">SUM(D315:D316)</f>
        <v>0</v>
      </c>
      <c r="E317" s="166">
        <f t="shared" si="203"/>
        <v>0</v>
      </c>
      <c r="F317" s="166">
        <f t="shared" si="203"/>
        <v>0</v>
      </c>
      <c r="G317" s="166">
        <f t="shared" si="203"/>
        <v>0</v>
      </c>
      <c r="H317" s="166">
        <f t="shared" si="203"/>
        <v>0</v>
      </c>
      <c r="I317" s="166">
        <f t="shared" si="203"/>
        <v>0</v>
      </c>
      <c r="K317" s="552"/>
      <c r="L317" s="615"/>
      <c r="M317" s="615"/>
      <c r="N317" s="615"/>
    </row>
    <row r="318" spans="1:39" s="416" customFormat="1" ht="12.75" hidden="1" customHeight="1" outlineLevel="1" x14ac:dyDescent="0.2">
      <c r="A318" s="615"/>
      <c r="B318" s="615"/>
      <c r="K318" s="552"/>
      <c r="L318" s="615"/>
      <c r="M318" s="615"/>
      <c r="N318" s="615"/>
    </row>
    <row r="319" spans="1:39" s="416" customFormat="1" hidden="1" outlineLevel="1" x14ac:dyDescent="0.2">
      <c r="A319" s="162"/>
      <c r="B319" s="162"/>
      <c r="C319" s="89" t="s">
        <v>1101</v>
      </c>
      <c r="D319" s="164">
        <f>SUMIFS(N$338:N$357,$M$338:$M$357,$K319)</f>
        <v>0</v>
      </c>
      <c r="E319" s="164">
        <f t="shared" ref="E319:I320" si="204">SUMIFS(O$338:O$357,$M$338:$M$357,$K319)</f>
        <v>0</v>
      </c>
      <c r="F319" s="164">
        <f t="shared" si="204"/>
        <v>0</v>
      </c>
      <c r="G319" s="164">
        <f t="shared" si="204"/>
        <v>0</v>
      </c>
      <c r="H319" s="164">
        <f t="shared" si="204"/>
        <v>0</v>
      </c>
      <c r="I319" s="164">
        <f t="shared" si="204"/>
        <v>0</v>
      </c>
      <c r="J319" s="361"/>
      <c r="K319" s="689">
        <f>K40</f>
        <v>2</v>
      </c>
      <c r="L319" s="615"/>
      <c r="M319" s="640"/>
      <c r="N319" s="162"/>
    </row>
    <row r="320" spans="1:39" s="416" customFormat="1" hidden="1" outlineLevel="1" x14ac:dyDescent="0.2">
      <c r="A320" s="162"/>
      <c r="B320" s="162"/>
      <c r="C320" s="89" t="s">
        <v>1102</v>
      </c>
      <c r="D320" s="164">
        <f>SUMIFS(N$338:N$357,$M$338:$M$357,$K320)</f>
        <v>0</v>
      </c>
      <c r="E320" s="164">
        <f t="shared" si="204"/>
        <v>0</v>
      </c>
      <c r="F320" s="164">
        <f t="shared" si="204"/>
        <v>0</v>
      </c>
      <c r="G320" s="164">
        <f t="shared" si="204"/>
        <v>0</v>
      </c>
      <c r="H320" s="164">
        <f t="shared" si="204"/>
        <v>0</v>
      </c>
      <c r="I320" s="164">
        <f t="shared" si="204"/>
        <v>0</v>
      </c>
      <c r="J320" s="361"/>
      <c r="K320" s="689">
        <f>K41</f>
        <v>3</v>
      </c>
      <c r="L320" s="615"/>
      <c r="M320" s="686"/>
      <c r="N320" s="162"/>
    </row>
    <row r="321" spans="1:39" s="416" customFormat="1" hidden="1" outlineLevel="1" x14ac:dyDescent="0.2">
      <c r="A321" s="125"/>
      <c r="B321" s="125"/>
      <c r="C321" s="125"/>
      <c r="D321" s="125"/>
      <c r="E321" s="125"/>
      <c r="F321" s="125"/>
      <c r="G321" s="125"/>
      <c r="H321" s="125"/>
      <c r="I321" s="125"/>
      <c r="J321" s="361"/>
      <c r="K321" s="137"/>
      <c r="L321" s="615"/>
      <c r="M321" s="125"/>
      <c r="N321" s="125"/>
    </row>
    <row r="322" spans="1:39" s="416" customFormat="1" hidden="1" outlineLevel="1" x14ac:dyDescent="0.2">
      <c r="A322" s="125"/>
      <c r="B322" s="125"/>
      <c r="C322" s="643" t="s">
        <v>125</v>
      </c>
      <c r="D322" s="125"/>
      <c r="E322" s="125"/>
      <c r="F322" s="125"/>
      <c r="G322" s="125"/>
      <c r="H322" s="125"/>
      <c r="I322" s="125"/>
      <c r="J322" s="361"/>
      <c r="K322" s="687" t="s">
        <v>883</v>
      </c>
      <c r="L322" s="615"/>
      <c r="M322" s="125"/>
      <c r="N322" s="125"/>
    </row>
    <row r="323" spans="1:39" s="416" customFormat="1" hidden="1" outlineLevel="1" x14ac:dyDescent="0.2">
      <c r="A323" s="162"/>
      <c r="B323" s="162"/>
      <c r="C323" s="163" t="s">
        <v>1098</v>
      </c>
      <c r="D323" s="164">
        <f t="shared" ref="D323:I323" si="205">SUMIFS(T$338:T$357,$L$338:$L$357,$K323)</f>
        <v>0</v>
      </c>
      <c r="E323" s="164">
        <f t="shared" si="205"/>
        <v>0</v>
      </c>
      <c r="F323" s="164">
        <f t="shared" si="205"/>
        <v>0</v>
      </c>
      <c r="G323" s="164">
        <f t="shared" si="205"/>
        <v>0</v>
      </c>
      <c r="H323" s="164">
        <f t="shared" si="205"/>
        <v>0</v>
      </c>
      <c r="I323" s="164">
        <f t="shared" si="205"/>
        <v>0</v>
      </c>
      <c r="J323" s="361"/>
      <c r="K323" s="689">
        <f>K44</f>
        <v>1</v>
      </c>
      <c r="L323" s="615"/>
      <c r="M323" s="640"/>
      <c r="N323" s="162"/>
    </row>
    <row r="324" spans="1:39" s="416" customFormat="1" ht="12.75" hidden="1" customHeight="1" outlineLevel="1" x14ac:dyDescent="0.2">
      <c r="A324" s="615"/>
      <c r="B324" s="615"/>
      <c r="K324" s="552"/>
      <c r="L324" s="615"/>
      <c r="M324" s="615"/>
      <c r="N324" s="615"/>
    </row>
    <row r="325" spans="1:39" s="416" customFormat="1" hidden="1" outlineLevel="1" x14ac:dyDescent="0.2">
      <c r="A325" s="162"/>
      <c r="B325" s="162"/>
      <c r="C325" s="89" t="s">
        <v>1099</v>
      </c>
      <c r="D325" s="164">
        <f>SUMIFS(T$338:T$357,$L$338:$L$357,$K325)</f>
        <v>0</v>
      </c>
      <c r="E325" s="164">
        <f t="shared" ref="E325:I326" si="206">SUMIFS(U$338:U$357,$L$338:$L$357,$K325)</f>
        <v>0</v>
      </c>
      <c r="F325" s="164">
        <f t="shared" si="206"/>
        <v>0</v>
      </c>
      <c r="G325" s="164">
        <f t="shared" si="206"/>
        <v>0</v>
      </c>
      <c r="H325" s="164">
        <f t="shared" si="206"/>
        <v>0</v>
      </c>
      <c r="I325" s="164">
        <f t="shared" si="206"/>
        <v>0</v>
      </c>
      <c r="J325" s="361"/>
      <c r="K325" s="689">
        <f>K46</f>
        <v>2</v>
      </c>
      <c r="L325" s="615"/>
      <c r="M325" s="640"/>
      <c r="N325" s="162"/>
    </row>
    <row r="326" spans="1:39" s="416" customFormat="1" hidden="1" outlineLevel="1" x14ac:dyDescent="0.2">
      <c r="A326" s="162"/>
      <c r="B326" s="162"/>
      <c r="C326" s="165" t="s">
        <v>1100</v>
      </c>
      <c r="D326" s="164">
        <f>SUMIFS(T$338:T$357,$L$338:$L$357,$K326)</f>
        <v>0</v>
      </c>
      <c r="E326" s="164">
        <f t="shared" si="206"/>
        <v>0</v>
      </c>
      <c r="F326" s="164">
        <f t="shared" si="206"/>
        <v>0</v>
      </c>
      <c r="G326" s="164">
        <f t="shared" si="206"/>
        <v>0</v>
      </c>
      <c r="H326" s="164">
        <f t="shared" si="206"/>
        <v>0</v>
      </c>
      <c r="I326" s="164">
        <f t="shared" si="206"/>
        <v>0</v>
      </c>
      <c r="J326" s="361"/>
      <c r="K326" s="689">
        <f>K47</f>
        <v>3</v>
      </c>
      <c r="L326" s="615"/>
      <c r="M326" s="640"/>
      <c r="N326" s="162"/>
    </row>
    <row r="327" spans="1:39" s="416" customFormat="1" hidden="1" outlineLevel="1" x14ac:dyDescent="0.2">
      <c r="A327" s="615"/>
      <c r="B327" s="615"/>
      <c r="C327" s="167" t="s">
        <v>125</v>
      </c>
      <c r="D327" s="166">
        <f t="shared" ref="D327:I327" si="207">SUM(D325:D326)</f>
        <v>0</v>
      </c>
      <c r="E327" s="166">
        <f t="shared" si="207"/>
        <v>0</v>
      </c>
      <c r="F327" s="166">
        <f t="shared" si="207"/>
        <v>0</v>
      </c>
      <c r="G327" s="166">
        <f t="shared" si="207"/>
        <v>0</v>
      </c>
      <c r="H327" s="166">
        <f t="shared" si="207"/>
        <v>0</v>
      </c>
      <c r="I327" s="166">
        <f t="shared" si="207"/>
        <v>0</v>
      </c>
      <c r="K327" s="552"/>
      <c r="L327" s="615"/>
      <c r="M327" s="615"/>
      <c r="N327" s="615"/>
    </row>
    <row r="328" spans="1:39" s="416" customFormat="1" hidden="1" outlineLevel="1" x14ac:dyDescent="0.2">
      <c r="A328" s="615"/>
      <c r="B328" s="615"/>
      <c r="K328" s="552"/>
      <c r="L328" s="615"/>
      <c r="M328" s="615"/>
      <c r="N328" s="615"/>
    </row>
    <row r="329" spans="1:39" s="416" customFormat="1" hidden="1" outlineLevel="1" x14ac:dyDescent="0.2">
      <c r="A329" s="162"/>
      <c r="B329" s="162"/>
      <c r="C329" s="89" t="s">
        <v>1101</v>
      </c>
      <c r="D329" s="164">
        <f>SUMIFS(T$338:T$357,$M$338:$M$357,$K329)</f>
        <v>0</v>
      </c>
      <c r="E329" s="164">
        <f t="shared" ref="E329:I330" si="208">SUMIFS(U$338:U$357,$M$338:$M$357,$K329)</f>
        <v>0</v>
      </c>
      <c r="F329" s="164">
        <f t="shared" si="208"/>
        <v>0</v>
      </c>
      <c r="G329" s="164">
        <f t="shared" si="208"/>
        <v>0</v>
      </c>
      <c r="H329" s="164">
        <f t="shared" si="208"/>
        <v>0</v>
      </c>
      <c r="I329" s="164">
        <f t="shared" si="208"/>
        <v>0</v>
      </c>
      <c r="J329" s="361"/>
      <c r="K329" s="689">
        <f>K50</f>
        <v>2</v>
      </c>
      <c r="L329" s="615"/>
      <c r="M329" s="640"/>
      <c r="N329" s="162"/>
    </row>
    <row r="330" spans="1:39" s="416" customFormat="1" hidden="1" outlineLevel="1" x14ac:dyDescent="0.2">
      <c r="A330" s="162"/>
      <c r="B330" s="162"/>
      <c r="C330" s="89" t="s">
        <v>1102</v>
      </c>
      <c r="D330" s="164">
        <f>SUMIFS(T$338:T$357,$M$338:$M$357,$K330)</f>
        <v>0</v>
      </c>
      <c r="E330" s="164">
        <f t="shared" si="208"/>
        <v>0</v>
      </c>
      <c r="F330" s="164">
        <f t="shared" si="208"/>
        <v>0</v>
      </c>
      <c r="G330" s="164">
        <f t="shared" si="208"/>
        <v>0</v>
      </c>
      <c r="H330" s="164">
        <f t="shared" si="208"/>
        <v>0</v>
      </c>
      <c r="I330" s="164">
        <f t="shared" si="208"/>
        <v>0</v>
      </c>
      <c r="J330" s="361"/>
      <c r="K330" s="689">
        <f>K51</f>
        <v>3</v>
      </c>
      <c r="L330" s="615"/>
      <c r="M330" s="640"/>
      <c r="N330" s="162"/>
    </row>
    <row r="331" spans="1:39" s="416" customFormat="1" hidden="1" outlineLevel="1" x14ac:dyDescent="0.2">
      <c r="A331" s="162"/>
      <c r="B331" s="162"/>
      <c r="C331" s="615"/>
      <c r="D331" s="615"/>
      <c r="E331" s="615"/>
      <c r="F331" s="615"/>
      <c r="G331" s="615"/>
      <c r="H331" s="615"/>
      <c r="I331" s="615"/>
      <c r="J331" s="125"/>
      <c r="L331" s="615"/>
      <c r="M331" s="686"/>
      <c r="N331" s="162"/>
    </row>
    <row r="332" spans="1:39" s="416" customFormat="1" collapsed="1" x14ac:dyDescent="0.2">
      <c r="A332" s="162"/>
      <c r="B332" s="162"/>
      <c r="C332" s="648"/>
      <c r="D332" s="691"/>
      <c r="E332" s="691"/>
      <c r="F332" s="691"/>
      <c r="G332" s="691"/>
      <c r="H332" s="691"/>
      <c r="I332" s="691"/>
      <c r="J332" s="691"/>
      <c r="K332" s="420"/>
      <c r="L332" s="615"/>
      <c r="M332" s="686"/>
      <c r="N332" s="162"/>
      <c r="O332" s="420"/>
      <c r="P332" s="420"/>
      <c r="Q332" s="420"/>
      <c r="R332" s="420"/>
      <c r="S332" s="420"/>
      <c r="T332" s="420"/>
      <c r="U332" s="420"/>
      <c r="V332" s="420"/>
      <c r="W332" s="420"/>
      <c r="X332" s="420"/>
      <c r="Y332" s="420"/>
      <c r="Z332" s="420"/>
      <c r="AA332" s="420"/>
    </row>
    <row r="333" spans="1:39" ht="15.75" x14ac:dyDescent="0.2">
      <c r="A333" s="162"/>
      <c r="B333" s="162"/>
      <c r="C333" s="123" t="s">
        <v>1131</v>
      </c>
      <c r="D333" s="127"/>
      <c r="E333" s="127"/>
      <c r="F333" s="127"/>
      <c r="G333" s="127"/>
      <c r="H333" s="127"/>
      <c r="I333" s="127"/>
      <c r="J333" s="127"/>
      <c r="K333" s="127"/>
      <c r="L333" s="127"/>
      <c r="M333" s="127"/>
      <c r="N333" s="127"/>
      <c r="O333" s="127"/>
      <c r="P333" s="127"/>
      <c r="Q333" s="127"/>
      <c r="R333" s="127"/>
      <c r="S333" s="127"/>
      <c r="T333" s="127"/>
      <c r="U333" s="127"/>
      <c r="V333" s="127"/>
      <c r="W333" s="127"/>
      <c r="X333" s="127"/>
      <c r="Y333" s="127"/>
      <c r="Z333" s="127"/>
      <c r="AA333" s="127"/>
      <c r="AB333" s="127"/>
      <c r="AC333" s="127"/>
      <c r="AD333" s="127"/>
      <c r="AE333" s="127"/>
      <c r="AF333" s="127"/>
      <c r="AG333" s="127"/>
      <c r="AH333" s="127"/>
      <c r="AI333" s="127"/>
      <c r="AJ333" s="127"/>
      <c r="AK333" s="127"/>
      <c r="AL333" s="127"/>
      <c r="AM333" s="127"/>
    </row>
    <row r="334" spans="1:39" hidden="1" outlineLevel="2" x14ac:dyDescent="0.2">
      <c r="A334" s="162"/>
      <c r="B334" s="162"/>
      <c r="C334" s="615"/>
      <c r="D334" s="615"/>
      <c r="E334" s="615"/>
      <c r="F334" s="615"/>
      <c r="G334" s="615"/>
      <c r="H334" s="615"/>
      <c r="I334" s="615"/>
      <c r="J334" s="615"/>
      <c r="K334" s="615"/>
      <c r="L334" s="615"/>
      <c r="M334" s="615"/>
      <c r="N334" s="615"/>
      <c r="O334" s="615"/>
      <c r="P334" s="615"/>
      <c r="Q334" s="615"/>
      <c r="R334" s="615"/>
      <c r="S334" s="615"/>
      <c r="T334" s="615"/>
      <c r="U334" s="615"/>
      <c r="V334" s="615"/>
      <c r="W334" s="615"/>
      <c r="X334" s="615"/>
      <c r="Y334" s="615"/>
      <c r="Z334" s="615"/>
      <c r="AA334" s="615"/>
      <c r="AB334" s="615"/>
      <c r="AC334" s="615"/>
      <c r="AD334" s="615"/>
      <c r="AE334" s="615"/>
      <c r="AF334" s="615"/>
      <c r="AG334" s="615"/>
      <c r="AH334" s="615"/>
      <c r="AI334" s="615"/>
      <c r="AJ334" s="615"/>
      <c r="AK334" s="615"/>
      <c r="AL334" s="615"/>
      <c r="AM334" s="615"/>
    </row>
    <row r="335" spans="1:39" hidden="1" outlineLevel="2" x14ac:dyDescent="0.2">
      <c r="A335" s="162"/>
      <c r="B335" s="162"/>
      <c r="C335" s="162" t="s">
        <v>620</v>
      </c>
      <c r="D335" s="162"/>
      <c r="E335" s="162"/>
      <c r="F335" s="162"/>
      <c r="G335" s="162"/>
      <c r="H335" s="162"/>
      <c r="I335" s="162"/>
      <c r="J335" s="162"/>
      <c r="K335" s="162"/>
      <c r="L335" s="162"/>
      <c r="M335" s="162"/>
      <c r="N335" s="836" t="s">
        <v>135</v>
      </c>
      <c r="O335" s="836"/>
      <c r="P335" s="836"/>
      <c r="Q335" s="836"/>
      <c r="R335" s="836"/>
      <c r="S335" s="836"/>
      <c r="T335" s="836"/>
      <c r="U335" s="836"/>
      <c r="V335" s="836"/>
      <c r="W335" s="836"/>
      <c r="X335" s="836"/>
      <c r="Y335" s="836"/>
      <c r="AB335" s="836" t="s">
        <v>247</v>
      </c>
      <c r="AC335" s="836"/>
      <c r="AD335" s="836"/>
      <c r="AE335" s="836"/>
      <c r="AF335" s="836"/>
      <c r="AG335" s="836"/>
      <c r="AH335" s="836"/>
      <c r="AI335" s="836"/>
      <c r="AJ335" s="836"/>
      <c r="AK335" s="836"/>
      <c r="AL335" s="836"/>
      <c r="AM335" s="836"/>
    </row>
    <row r="336" spans="1:39" hidden="1" outlineLevel="2" x14ac:dyDescent="0.2">
      <c r="A336" s="162"/>
      <c r="B336" s="162"/>
      <c r="C336" s="616"/>
      <c r="D336" s="162"/>
      <c r="E336" s="162"/>
      <c r="F336" s="162"/>
      <c r="G336" s="162"/>
      <c r="H336" s="162"/>
      <c r="I336" s="162"/>
      <c r="J336" s="162"/>
      <c r="K336" s="162"/>
      <c r="L336" s="162"/>
      <c r="M336" s="162"/>
      <c r="N336" s="836" t="s">
        <v>0</v>
      </c>
      <c r="O336" s="836"/>
      <c r="P336" s="836"/>
      <c r="Q336" s="836"/>
      <c r="R336" s="836"/>
      <c r="S336" s="836"/>
      <c r="T336" s="877" t="s">
        <v>1</v>
      </c>
      <c r="U336" s="877"/>
      <c r="V336" s="877"/>
      <c r="W336" s="877"/>
      <c r="X336" s="877"/>
      <c r="Y336" s="877"/>
      <c r="Z336" s="7"/>
      <c r="AB336" s="836" t="s">
        <v>0</v>
      </c>
      <c r="AC336" s="836"/>
      <c r="AD336" s="836"/>
      <c r="AE336" s="836"/>
      <c r="AF336" s="836"/>
      <c r="AG336" s="836"/>
      <c r="AH336" s="877" t="s">
        <v>1</v>
      </c>
      <c r="AI336" s="877"/>
      <c r="AJ336" s="877"/>
      <c r="AK336" s="877"/>
      <c r="AL336" s="877"/>
      <c r="AM336" s="877"/>
    </row>
    <row r="337" spans="1:39" ht="25.5" hidden="1" outlineLevel="2" x14ac:dyDescent="0.2">
      <c r="A337" s="162"/>
      <c r="B337" s="162"/>
      <c r="C337" s="880" t="s">
        <v>82</v>
      </c>
      <c r="D337" s="881" t="s">
        <v>110</v>
      </c>
      <c r="E337" s="882"/>
      <c r="F337" s="82" t="s">
        <v>430</v>
      </c>
      <c r="G337" s="82" t="s">
        <v>126</v>
      </c>
      <c r="H337" s="82" t="s">
        <v>121</v>
      </c>
      <c r="I337" s="403" t="s">
        <v>700</v>
      </c>
      <c r="J337" s="82" t="s">
        <v>250</v>
      </c>
      <c r="K337" s="82" t="s">
        <v>278</v>
      </c>
      <c r="L337" s="82" t="s">
        <v>277</v>
      </c>
      <c r="M337" s="403" t="s">
        <v>700</v>
      </c>
      <c r="N337" s="301">
        <f>FirstYear</f>
        <v>2021</v>
      </c>
      <c r="O337" s="301">
        <f>N337+1</f>
        <v>2022</v>
      </c>
      <c r="P337" s="301">
        <f>O337+1</f>
        <v>2023</v>
      </c>
      <c r="Q337" s="301">
        <f>P337+1</f>
        <v>2024</v>
      </c>
      <c r="R337" s="301">
        <f>Q337+1</f>
        <v>2025</v>
      </c>
      <c r="S337" s="301">
        <f>R337+1</f>
        <v>2026</v>
      </c>
      <c r="T337" s="301">
        <f>FirstYear</f>
        <v>2021</v>
      </c>
      <c r="U337" s="301">
        <f>T337+1</f>
        <v>2022</v>
      </c>
      <c r="V337" s="301">
        <f>U337+1</f>
        <v>2023</v>
      </c>
      <c r="W337" s="301">
        <f>V337+1</f>
        <v>2024</v>
      </c>
      <c r="X337" s="301">
        <f>W337+1</f>
        <v>2025</v>
      </c>
      <c r="Y337" s="301">
        <f>X337+1</f>
        <v>2026</v>
      </c>
      <c r="AB337" s="566">
        <f>FirstYear</f>
        <v>2021</v>
      </c>
      <c r="AC337" s="566">
        <f>AB337+1</f>
        <v>2022</v>
      </c>
      <c r="AD337" s="566">
        <f>AC337+1</f>
        <v>2023</v>
      </c>
      <c r="AE337" s="566">
        <f>AD337+1</f>
        <v>2024</v>
      </c>
      <c r="AF337" s="566">
        <f>AE337+1</f>
        <v>2025</v>
      </c>
      <c r="AG337" s="566">
        <f>AF337+1</f>
        <v>2026</v>
      </c>
      <c r="AH337" s="566">
        <f>FirstYear</f>
        <v>2021</v>
      </c>
      <c r="AI337" s="566">
        <f>AH337+1</f>
        <v>2022</v>
      </c>
      <c r="AJ337" s="566">
        <f>AI337+1</f>
        <v>2023</v>
      </c>
      <c r="AK337" s="566">
        <f>AJ337+1</f>
        <v>2024</v>
      </c>
      <c r="AL337" s="566">
        <f>AK337+1</f>
        <v>2025</v>
      </c>
      <c r="AM337" s="566">
        <f>AL337+1</f>
        <v>2026</v>
      </c>
    </row>
    <row r="338" spans="1:39" hidden="1" outlineLevel="2" x14ac:dyDescent="0.2">
      <c r="A338" s="125"/>
      <c r="B338" s="298">
        <v>1</v>
      </c>
      <c r="C338" s="883" t="str">
        <f t="shared" ref="C338:C357" si="209">INDEX(PBSScriptsChanged,B338,1)</f>
        <v>** NOT USED **</v>
      </c>
      <c r="D338" s="884" t="e">
        <f>IF(C338&lt;&gt;"",#REF!,"")</f>
        <v>#REF!</v>
      </c>
      <c r="E338" s="885"/>
      <c r="F338" s="151"/>
      <c r="G338" s="63" t="str">
        <f>IF(F338&lt;&gt;"",F338+1,"")</f>
        <v/>
      </c>
      <c r="H338" s="157"/>
      <c r="I338" s="157"/>
      <c r="J338" s="157"/>
      <c r="K338" s="238">
        <f t="shared" ref="K338:K357" si="210">IF(J338="Yes",G338,1)</f>
        <v>1</v>
      </c>
      <c r="L338" s="238">
        <f t="shared" ref="L338:L357" si="211">IF(AND(G338&lt;&gt;"",H338&lt;&gt;""),VLOOKUP(H338,AuthorityCode,2,FALSE),0)</f>
        <v>0</v>
      </c>
      <c r="M338" s="238">
        <f t="shared" ref="M338:M357" si="212">IF(I338="Yes",L338,0)</f>
        <v>0</v>
      </c>
      <c r="N338" s="248">
        <f t="shared" ref="N338:S338" si="213">D365</f>
        <v>0</v>
      </c>
      <c r="O338" s="248">
        <f t="shared" si="213"/>
        <v>0</v>
      </c>
      <c r="P338" s="248">
        <f t="shared" si="213"/>
        <v>0</v>
      </c>
      <c r="Q338" s="248">
        <f t="shared" si="213"/>
        <v>0</v>
      </c>
      <c r="R338" s="248">
        <f t="shared" si="213"/>
        <v>0</v>
      </c>
      <c r="S338" s="248">
        <f t="shared" si="213"/>
        <v>0</v>
      </c>
      <c r="T338" s="317">
        <f t="shared" ref="T338:Y338" si="214">D366</f>
        <v>0</v>
      </c>
      <c r="U338" s="317">
        <f t="shared" si="214"/>
        <v>0</v>
      </c>
      <c r="V338" s="317">
        <f t="shared" si="214"/>
        <v>0</v>
      </c>
      <c r="W338" s="317">
        <f t="shared" si="214"/>
        <v>0</v>
      </c>
      <c r="X338" s="317">
        <f t="shared" si="214"/>
        <v>0</v>
      </c>
      <c r="Y338" s="317">
        <f t="shared" si="214"/>
        <v>0</v>
      </c>
      <c r="AB338" s="248">
        <f t="shared" ref="AB338:AG338" si="215">D363</f>
        <v>0</v>
      </c>
      <c r="AC338" s="248">
        <f t="shared" si="215"/>
        <v>0</v>
      </c>
      <c r="AD338" s="248">
        <f t="shared" si="215"/>
        <v>0</v>
      </c>
      <c r="AE338" s="248">
        <f t="shared" si="215"/>
        <v>0</v>
      </c>
      <c r="AF338" s="248">
        <f t="shared" si="215"/>
        <v>0</v>
      </c>
      <c r="AG338" s="248">
        <f t="shared" si="215"/>
        <v>0</v>
      </c>
      <c r="AH338" s="317">
        <f t="shared" ref="AH338:AM338" si="216">D364</f>
        <v>0</v>
      </c>
      <c r="AI338" s="317">
        <f t="shared" si="216"/>
        <v>0</v>
      </c>
      <c r="AJ338" s="317">
        <f t="shared" si="216"/>
        <v>0</v>
      </c>
      <c r="AK338" s="317">
        <f t="shared" si="216"/>
        <v>0</v>
      </c>
      <c r="AL338" s="317">
        <f t="shared" si="216"/>
        <v>0</v>
      </c>
      <c r="AM338" s="317">
        <f t="shared" si="216"/>
        <v>0</v>
      </c>
    </row>
    <row r="339" spans="1:39" hidden="1" outlineLevel="2" x14ac:dyDescent="0.2">
      <c r="A339" s="125"/>
      <c r="B339" s="298">
        <v>2</v>
      </c>
      <c r="C339" s="883" t="str">
        <f t="shared" si="209"/>
        <v>** NOT USED **</v>
      </c>
      <c r="D339" s="884" t="e">
        <f>IF(C339&lt;&gt;"",#REF!,"")</f>
        <v>#REF!</v>
      </c>
      <c r="E339" s="885"/>
      <c r="F339" s="151"/>
      <c r="G339" s="63" t="str">
        <f t="shared" ref="G339:G347" si="217">IF(F339&lt;&gt;"",F339+1,"")</f>
        <v/>
      </c>
      <c r="H339" s="157"/>
      <c r="I339" s="157"/>
      <c r="J339" s="157"/>
      <c r="K339" s="238">
        <f t="shared" si="210"/>
        <v>1</v>
      </c>
      <c r="L339" s="238">
        <f t="shared" si="211"/>
        <v>0</v>
      </c>
      <c r="M339" s="238">
        <f t="shared" si="212"/>
        <v>0</v>
      </c>
      <c r="N339" s="248">
        <f t="shared" ref="N339:S339" si="218">D373</f>
        <v>0</v>
      </c>
      <c r="O339" s="248">
        <f t="shared" si="218"/>
        <v>0</v>
      </c>
      <c r="P339" s="248">
        <f t="shared" si="218"/>
        <v>0</v>
      </c>
      <c r="Q339" s="248">
        <f t="shared" si="218"/>
        <v>0</v>
      </c>
      <c r="R339" s="248">
        <f t="shared" si="218"/>
        <v>0</v>
      </c>
      <c r="S339" s="248">
        <f t="shared" si="218"/>
        <v>0</v>
      </c>
      <c r="T339" s="317">
        <f t="shared" ref="T339:Y339" si="219">D374</f>
        <v>0</v>
      </c>
      <c r="U339" s="317">
        <f t="shared" si="219"/>
        <v>0</v>
      </c>
      <c r="V339" s="317">
        <f t="shared" si="219"/>
        <v>0</v>
      </c>
      <c r="W339" s="317">
        <f t="shared" si="219"/>
        <v>0</v>
      </c>
      <c r="X339" s="317">
        <f t="shared" si="219"/>
        <v>0</v>
      </c>
      <c r="Y339" s="317">
        <f t="shared" si="219"/>
        <v>0</v>
      </c>
      <c r="AB339" s="248">
        <f t="shared" ref="AB339:AG339" si="220">D371</f>
        <v>0</v>
      </c>
      <c r="AC339" s="248">
        <f t="shared" si="220"/>
        <v>0</v>
      </c>
      <c r="AD339" s="248">
        <f t="shared" si="220"/>
        <v>0</v>
      </c>
      <c r="AE339" s="248">
        <f t="shared" si="220"/>
        <v>0</v>
      </c>
      <c r="AF339" s="248">
        <f t="shared" si="220"/>
        <v>0</v>
      </c>
      <c r="AG339" s="248">
        <f t="shared" si="220"/>
        <v>0</v>
      </c>
      <c r="AH339" s="317">
        <f t="shared" ref="AH339:AM339" si="221">D372</f>
        <v>0</v>
      </c>
      <c r="AI339" s="317">
        <f t="shared" si="221"/>
        <v>0</v>
      </c>
      <c r="AJ339" s="317">
        <f t="shared" si="221"/>
        <v>0</v>
      </c>
      <c r="AK339" s="317">
        <f t="shared" si="221"/>
        <v>0</v>
      </c>
      <c r="AL339" s="317">
        <f t="shared" si="221"/>
        <v>0</v>
      </c>
      <c r="AM339" s="317">
        <f t="shared" si="221"/>
        <v>0</v>
      </c>
    </row>
    <row r="340" spans="1:39" hidden="1" outlineLevel="2" x14ac:dyDescent="0.2">
      <c r="A340" s="125"/>
      <c r="B340" s="298">
        <v>3</v>
      </c>
      <c r="C340" s="883" t="str">
        <f t="shared" si="209"/>
        <v>** NOT USED **</v>
      </c>
      <c r="D340" s="884" t="e">
        <f>IF(C340&lt;&gt;"",#REF!,"")</f>
        <v>#REF!</v>
      </c>
      <c r="E340" s="885"/>
      <c r="F340" s="151"/>
      <c r="G340" s="63" t="str">
        <f t="shared" si="217"/>
        <v/>
      </c>
      <c r="H340" s="157"/>
      <c r="I340" s="157"/>
      <c r="J340" s="157"/>
      <c r="K340" s="238">
        <f t="shared" si="210"/>
        <v>1</v>
      </c>
      <c r="L340" s="238">
        <f t="shared" si="211"/>
        <v>0</v>
      </c>
      <c r="M340" s="238">
        <f t="shared" si="212"/>
        <v>0</v>
      </c>
      <c r="N340" s="248">
        <f t="shared" ref="N340:S340" si="222">D381</f>
        <v>0</v>
      </c>
      <c r="O340" s="248">
        <f t="shared" si="222"/>
        <v>0</v>
      </c>
      <c r="P340" s="248">
        <f t="shared" si="222"/>
        <v>0</v>
      </c>
      <c r="Q340" s="248">
        <f t="shared" si="222"/>
        <v>0</v>
      </c>
      <c r="R340" s="248">
        <f t="shared" si="222"/>
        <v>0</v>
      </c>
      <c r="S340" s="248">
        <f t="shared" si="222"/>
        <v>0</v>
      </c>
      <c r="T340" s="317">
        <f t="shared" ref="T340:Y340" si="223">D382</f>
        <v>0</v>
      </c>
      <c r="U340" s="317">
        <f t="shared" si="223"/>
        <v>0</v>
      </c>
      <c r="V340" s="317">
        <f t="shared" si="223"/>
        <v>0</v>
      </c>
      <c r="W340" s="317">
        <f t="shared" si="223"/>
        <v>0</v>
      </c>
      <c r="X340" s="317">
        <f t="shared" si="223"/>
        <v>0</v>
      </c>
      <c r="Y340" s="317">
        <f t="shared" si="223"/>
        <v>0</v>
      </c>
      <c r="AB340" s="248">
        <f t="shared" ref="AB340:AG340" si="224">D379</f>
        <v>0</v>
      </c>
      <c r="AC340" s="248">
        <f t="shared" si="224"/>
        <v>0</v>
      </c>
      <c r="AD340" s="248">
        <f t="shared" si="224"/>
        <v>0</v>
      </c>
      <c r="AE340" s="248">
        <f t="shared" si="224"/>
        <v>0</v>
      </c>
      <c r="AF340" s="248">
        <f t="shared" si="224"/>
        <v>0</v>
      </c>
      <c r="AG340" s="248">
        <f t="shared" si="224"/>
        <v>0</v>
      </c>
      <c r="AH340" s="317">
        <f t="shared" ref="AH340:AM340" si="225">D380</f>
        <v>0</v>
      </c>
      <c r="AI340" s="317">
        <f t="shared" si="225"/>
        <v>0</v>
      </c>
      <c r="AJ340" s="317">
        <f t="shared" si="225"/>
        <v>0</v>
      </c>
      <c r="AK340" s="317">
        <f t="shared" si="225"/>
        <v>0</v>
      </c>
      <c r="AL340" s="317">
        <f t="shared" si="225"/>
        <v>0</v>
      </c>
      <c r="AM340" s="317">
        <f t="shared" si="225"/>
        <v>0</v>
      </c>
    </row>
    <row r="341" spans="1:39" hidden="1" outlineLevel="2" x14ac:dyDescent="0.2">
      <c r="A341" s="125"/>
      <c r="B341" s="298">
        <v>4</v>
      </c>
      <c r="C341" s="883" t="str">
        <f t="shared" si="209"/>
        <v>** NOT USED **</v>
      </c>
      <c r="D341" s="884" t="e">
        <f>IF(C341&lt;&gt;"",#REF!,"")</f>
        <v>#REF!</v>
      </c>
      <c r="E341" s="885"/>
      <c r="F341" s="151"/>
      <c r="G341" s="63" t="str">
        <f t="shared" si="217"/>
        <v/>
      </c>
      <c r="H341" s="157"/>
      <c r="I341" s="157"/>
      <c r="J341" s="157"/>
      <c r="K341" s="238">
        <f t="shared" si="210"/>
        <v>1</v>
      </c>
      <c r="L341" s="238">
        <f t="shared" si="211"/>
        <v>0</v>
      </c>
      <c r="M341" s="238">
        <f t="shared" si="212"/>
        <v>0</v>
      </c>
      <c r="N341" s="248">
        <f t="shared" ref="N341:S341" si="226">D389</f>
        <v>0</v>
      </c>
      <c r="O341" s="248">
        <f t="shared" si="226"/>
        <v>0</v>
      </c>
      <c r="P341" s="248">
        <f t="shared" si="226"/>
        <v>0</v>
      </c>
      <c r="Q341" s="248">
        <f t="shared" si="226"/>
        <v>0</v>
      </c>
      <c r="R341" s="248">
        <f t="shared" si="226"/>
        <v>0</v>
      </c>
      <c r="S341" s="248">
        <f t="shared" si="226"/>
        <v>0</v>
      </c>
      <c r="T341" s="317">
        <f t="shared" ref="T341:Y341" si="227">D390</f>
        <v>0</v>
      </c>
      <c r="U341" s="317">
        <f t="shared" si="227"/>
        <v>0</v>
      </c>
      <c r="V341" s="317">
        <f t="shared" si="227"/>
        <v>0</v>
      </c>
      <c r="W341" s="317">
        <f t="shared" si="227"/>
        <v>0</v>
      </c>
      <c r="X341" s="317">
        <f t="shared" si="227"/>
        <v>0</v>
      </c>
      <c r="Y341" s="317">
        <f t="shared" si="227"/>
        <v>0</v>
      </c>
      <c r="AB341" s="248">
        <f t="shared" ref="AB341:AG341" si="228">D387</f>
        <v>0</v>
      </c>
      <c r="AC341" s="248">
        <f t="shared" si="228"/>
        <v>0</v>
      </c>
      <c r="AD341" s="248">
        <f t="shared" si="228"/>
        <v>0</v>
      </c>
      <c r="AE341" s="248">
        <f t="shared" si="228"/>
        <v>0</v>
      </c>
      <c r="AF341" s="248">
        <f t="shared" si="228"/>
        <v>0</v>
      </c>
      <c r="AG341" s="248">
        <f t="shared" si="228"/>
        <v>0</v>
      </c>
      <c r="AH341" s="317">
        <f t="shared" ref="AH341:AM341" si="229">D388</f>
        <v>0</v>
      </c>
      <c r="AI341" s="317">
        <f t="shared" si="229"/>
        <v>0</v>
      </c>
      <c r="AJ341" s="317">
        <f t="shared" si="229"/>
        <v>0</v>
      </c>
      <c r="AK341" s="317">
        <f t="shared" si="229"/>
        <v>0</v>
      </c>
      <c r="AL341" s="317">
        <f t="shared" si="229"/>
        <v>0</v>
      </c>
      <c r="AM341" s="317">
        <f t="shared" si="229"/>
        <v>0</v>
      </c>
    </row>
    <row r="342" spans="1:39" hidden="1" outlineLevel="2" x14ac:dyDescent="0.2">
      <c r="A342" s="125"/>
      <c r="B342" s="298">
        <v>5</v>
      </c>
      <c r="C342" s="883" t="str">
        <f t="shared" si="209"/>
        <v>** NOT USED **</v>
      </c>
      <c r="D342" s="884" t="e">
        <f>IF(C342&lt;&gt;"",#REF!,"")</f>
        <v>#REF!</v>
      </c>
      <c r="E342" s="885"/>
      <c r="F342" s="151"/>
      <c r="G342" s="63" t="str">
        <f t="shared" si="217"/>
        <v/>
      </c>
      <c r="H342" s="157"/>
      <c r="I342" s="157"/>
      <c r="J342" s="157"/>
      <c r="K342" s="238">
        <f t="shared" si="210"/>
        <v>1</v>
      </c>
      <c r="L342" s="238">
        <f t="shared" si="211"/>
        <v>0</v>
      </c>
      <c r="M342" s="238">
        <f t="shared" si="212"/>
        <v>0</v>
      </c>
      <c r="N342" s="248">
        <f t="shared" ref="N342:S342" si="230">D397</f>
        <v>0</v>
      </c>
      <c r="O342" s="248">
        <f t="shared" si="230"/>
        <v>0</v>
      </c>
      <c r="P342" s="248">
        <f t="shared" si="230"/>
        <v>0</v>
      </c>
      <c r="Q342" s="248">
        <f t="shared" si="230"/>
        <v>0</v>
      </c>
      <c r="R342" s="248">
        <f t="shared" si="230"/>
        <v>0</v>
      </c>
      <c r="S342" s="248">
        <f t="shared" si="230"/>
        <v>0</v>
      </c>
      <c r="T342" s="317">
        <f t="shared" ref="T342:Y342" si="231">D398</f>
        <v>0</v>
      </c>
      <c r="U342" s="317">
        <f t="shared" si="231"/>
        <v>0</v>
      </c>
      <c r="V342" s="317">
        <f t="shared" si="231"/>
        <v>0</v>
      </c>
      <c r="W342" s="317">
        <f t="shared" si="231"/>
        <v>0</v>
      </c>
      <c r="X342" s="317">
        <f t="shared" si="231"/>
        <v>0</v>
      </c>
      <c r="Y342" s="317">
        <f t="shared" si="231"/>
        <v>0</v>
      </c>
      <c r="AB342" s="248">
        <f t="shared" ref="AB342:AG342" si="232">D395</f>
        <v>0</v>
      </c>
      <c r="AC342" s="248">
        <f t="shared" si="232"/>
        <v>0</v>
      </c>
      <c r="AD342" s="248">
        <f t="shared" si="232"/>
        <v>0</v>
      </c>
      <c r="AE342" s="248">
        <f t="shared" si="232"/>
        <v>0</v>
      </c>
      <c r="AF342" s="248">
        <f t="shared" si="232"/>
        <v>0</v>
      </c>
      <c r="AG342" s="248">
        <f t="shared" si="232"/>
        <v>0</v>
      </c>
      <c r="AH342" s="317">
        <f t="shared" ref="AH342:AM342" si="233">D396</f>
        <v>0</v>
      </c>
      <c r="AI342" s="317">
        <f t="shared" si="233"/>
        <v>0</v>
      </c>
      <c r="AJ342" s="317">
        <f t="shared" si="233"/>
        <v>0</v>
      </c>
      <c r="AK342" s="317">
        <f t="shared" si="233"/>
        <v>0</v>
      </c>
      <c r="AL342" s="317">
        <f t="shared" si="233"/>
        <v>0</v>
      </c>
      <c r="AM342" s="317">
        <f t="shared" si="233"/>
        <v>0</v>
      </c>
    </row>
    <row r="343" spans="1:39" hidden="1" outlineLevel="2" x14ac:dyDescent="0.2">
      <c r="A343" s="125"/>
      <c r="B343" s="298">
        <v>6</v>
      </c>
      <c r="C343" s="883" t="str">
        <f t="shared" si="209"/>
        <v>** NOT USED **</v>
      </c>
      <c r="D343" s="884" t="e">
        <f>IF(C343&lt;&gt;"",#REF!,"")</f>
        <v>#REF!</v>
      </c>
      <c r="E343" s="885"/>
      <c r="F343" s="151"/>
      <c r="G343" s="63" t="str">
        <f t="shared" si="217"/>
        <v/>
      </c>
      <c r="H343" s="157"/>
      <c r="I343" s="157"/>
      <c r="J343" s="157"/>
      <c r="K343" s="238">
        <f t="shared" si="210"/>
        <v>1</v>
      </c>
      <c r="L343" s="238">
        <f t="shared" si="211"/>
        <v>0</v>
      </c>
      <c r="M343" s="238">
        <f t="shared" si="212"/>
        <v>0</v>
      </c>
      <c r="N343" s="248">
        <f t="shared" ref="N343:S343" si="234">D405</f>
        <v>0</v>
      </c>
      <c r="O343" s="248">
        <f t="shared" si="234"/>
        <v>0</v>
      </c>
      <c r="P343" s="248">
        <f t="shared" si="234"/>
        <v>0</v>
      </c>
      <c r="Q343" s="248">
        <f t="shared" si="234"/>
        <v>0</v>
      </c>
      <c r="R343" s="248">
        <f t="shared" si="234"/>
        <v>0</v>
      </c>
      <c r="S343" s="248">
        <f t="shared" si="234"/>
        <v>0</v>
      </c>
      <c r="T343" s="317">
        <f t="shared" ref="T343:Y343" si="235">D406</f>
        <v>0</v>
      </c>
      <c r="U343" s="317">
        <f t="shared" si="235"/>
        <v>0</v>
      </c>
      <c r="V343" s="317">
        <f t="shared" si="235"/>
        <v>0</v>
      </c>
      <c r="W343" s="317">
        <f t="shared" si="235"/>
        <v>0</v>
      </c>
      <c r="X343" s="317">
        <f t="shared" si="235"/>
        <v>0</v>
      </c>
      <c r="Y343" s="317">
        <f t="shared" si="235"/>
        <v>0</v>
      </c>
      <c r="AB343" s="248">
        <f t="shared" ref="AB343:AG343" si="236">D403</f>
        <v>0</v>
      </c>
      <c r="AC343" s="248">
        <f t="shared" si="236"/>
        <v>0</v>
      </c>
      <c r="AD343" s="248">
        <f t="shared" si="236"/>
        <v>0</v>
      </c>
      <c r="AE343" s="248">
        <f t="shared" si="236"/>
        <v>0</v>
      </c>
      <c r="AF343" s="248">
        <f t="shared" si="236"/>
        <v>0</v>
      </c>
      <c r="AG343" s="248">
        <f t="shared" si="236"/>
        <v>0</v>
      </c>
      <c r="AH343" s="317">
        <f t="shared" ref="AH343:AM343" si="237">D404</f>
        <v>0</v>
      </c>
      <c r="AI343" s="317">
        <f t="shared" si="237"/>
        <v>0</v>
      </c>
      <c r="AJ343" s="317">
        <f t="shared" si="237"/>
        <v>0</v>
      </c>
      <c r="AK343" s="317">
        <f t="shared" si="237"/>
        <v>0</v>
      </c>
      <c r="AL343" s="317">
        <f t="shared" si="237"/>
        <v>0</v>
      </c>
      <c r="AM343" s="317">
        <f t="shared" si="237"/>
        <v>0</v>
      </c>
    </row>
    <row r="344" spans="1:39" hidden="1" outlineLevel="2" x14ac:dyDescent="0.2">
      <c r="A344" s="125"/>
      <c r="B344" s="298">
        <v>7</v>
      </c>
      <c r="C344" s="883" t="str">
        <f t="shared" si="209"/>
        <v>** NOT USED **</v>
      </c>
      <c r="D344" s="884" t="e">
        <f>IF(C344&lt;&gt;"",#REF!,"")</f>
        <v>#REF!</v>
      </c>
      <c r="E344" s="885"/>
      <c r="F344" s="151"/>
      <c r="G344" s="63" t="str">
        <f t="shared" si="217"/>
        <v/>
      </c>
      <c r="H344" s="157"/>
      <c r="I344" s="157"/>
      <c r="J344" s="157"/>
      <c r="K344" s="238">
        <f t="shared" si="210"/>
        <v>1</v>
      </c>
      <c r="L344" s="238">
        <f t="shared" si="211"/>
        <v>0</v>
      </c>
      <c r="M344" s="238">
        <f t="shared" si="212"/>
        <v>0</v>
      </c>
      <c r="N344" s="248">
        <f t="shared" ref="N344:S344" si="238">D413</f>
        <v>0</v>
      </c>
      <c r="O344" s="248">
        <f t="shared" si="238"/>
        <v>0</v>
      </c>
      <c r="P344" s="248">
        <f t="shared" si="238"/>
        <v>0</v>
      </c>
      <c r="Q344" s="248">
        <f t="shared" si="238"/>
        <v>0</v>
      </c>
      <c r="R344" s="248">
        <f t="shared" si="238"/>
        <v>0</v>
      </c>
      <c r="S344" s="248">
        <f t="shared" si="238"/>
        <v>0</v>
      </c>
      <c r="T344" s="317">
        <f t="shared" ref="T344:Y344" si="239">D414</f>
        <v>0</v>
      </c>
      <c r="U344" s="317">
        <f t="shared" si="239"/>
        <v>0</v>
      </c>
      <c r="V344" s="317">
        <f t="shared" si="239"/>
        <v>0</v>
      </c>
      <c r="W344" s="317">
        <f t="shared" si="239"/>
        <v>0</v>
      </c>
      <c r="X344" s="317">
        <f t="shared" si="239"/>
        <v>0</v>
      </c>
      <c r="Y344" s="317">
        <f t="shared" si="239"/>
        <v>0</v>
      </c>
      <c r="AB344" s="248">
        <f t="shared" ref="AB344:AG344" si="240">D411</f>
        <v>0</v>
      </c>
      <c r="AC344" s="248">
        <f t="shared" si="240"/>
        <v>0</v>
      </c>
      <c r="AD344" s="248">
        <f t="shared" si="240"/>
        <v>0</v>
      </c>
      <c r="AE344" s="248">
        <f t="shared" si="240"/>
        <v>0</v>
      </c>
      <c r="AF344" s="248">
        <f t="shared" si="240"/>
        <v>0</v>
      </c>
      <c r="AG344" s="248">
        <f t="shared" si="240"/>
        <v>0</v>
      </c>
      <c r="AH344" s="317">
        <f t="shared" ref="AH344:AM344" si="241">D412</f>
        <v>0</v>
      </c>
      <c r="AI344" s="317">
        <f t="shared" si="241"/>
        <v>0</v>
      </c>
      <c r="AJ344" s="317">
        <f t="shared" si="241"/>
        <v>0</v>
      </c>
      <c r="AK344" s="317">
        <f t="shared" si="241"/>
        <v>0</v>
      </c>
      <c r="AL344" s="317">
        <f t="shared" si="241"/>
        <v>0</v>
      </c>
      <c r="AM344" s="317">
        <f t="shared" si="241"/>
        <v>0</v>
      </c>
    </row>
    <row r="345" spans="1:39" hidden="1" outlineLevel="2" x14ac:dyDescent="0.2">
      <c r="A345" s="125"/>
      <c r="B345" s="298">
        <v>8</v>
      </c>
      <c r="C345" s="883" t="str">
        <f t="shared" si="209"/>
        <v>** NOT USED **</v>
      </c>
      <c r="D345" s="884" t="e">
        <f>IF(C345&lt;&gt;"",#REF!,"")</f>
        <v>#REF!</v>
      </c>
      <c r="E345" s="885"/>
      <c r="F345" s="151"/>
      <c r="G345" s="63" t="str">
        <f t="shared" si="217"/>
        <v/>
      </c>
      <c r="H345" s="157"/>
      <c r="I345" s="157"/>
      <c r="J345" s="157"/>
      <c r="K345" s="238">
        <f t="shared" si="210"/>
        <v>1</v>
      </c>
      <c r="L345" s="238">
        <f t="shared" si="211"/>
        <v>0</v>
      </c>
      <c r="M345" s="238">
        <f t="shared" si="212"/>
        <v>0</v>
      </c>
      <c r="N345" s="248">
        <f t="shared" ref="N345:S345" si="242">D421</f>
        <v>0</v>
      </c>
      <c r="O345" s="248">
        <f t="shared" si="242"/>
        <v>0</v>
      </c>
      <c r="P345" s="248">
        <f t="shared" si="242"/>
        <v>0</v>
      </c>
      <c r="Q345" s="248">
        <f t="shared" si="242"/>
        <v>0</v>
      </c>
      <c r="R345" s="248">
        <f t="shared" si="242"/>
        <v>0</v>
      </c>
      <c r="S345" s="248">
        <f t="shared" si="242"/>
        <v>0</v>
      </c>
      <c r="T345" s="317">
        <f t="shared" ref="T345:Y345" si="243">D422</f>
        <v>0</v>
      </c>
      <c r="U345" s="317">
        <f t="shared" si="243"/>
        <v>0</v>
      </c>
      <c r="V345" s="317">
        <f t="shared" si="243"/>
        <v>0</v>
      </c>
      <c r="W345" s="317">
        <f t="shared" si="243"/>
        <v>0</v>
      </c>
      <c r="X345" s="317">
        <f t="shared" si="243"/>
        <v>0</v>
      </c>
      <c r="Y345" s="317">
        <f t="shared" si="243"/>
        <v>0</v>
      </c>
      <c r="AB345" s="248">
        <f t="shared" ref="AB345:AG345" si="244">D419</f>
        <v>0</v>
      </c>
      <c r="AC345" s="248">
        <f t="shared" si="244"/>
        <v>0</v>
      </c>
      <c r="AD345" s="248">
        <f t="shared" si="244"/>
        <v>0</v>
      </c>
      <c r="AE345" s="248">
        <f t="shared" si="244"/>
        <v>0</v>
      </c>
      <c r="AF345" s="248">
        <f t="shared" si="244"/>
        <v>0</v>
      </c>
      <c r="AG345" s="248">
        <f t="shared" si="244"/>
        <v>0</v>
      </c>
      <c r="AH345" s="317">
        <f t="shared" ref="AH345:AM345" si="245">D420</f>
        <v>0</v>
      </c>
      <c r="AI345" s="317">
        <f t="shared" si="245"/>
        <v>0</v>
      </c>
      <c r="AJ345" s="317">
        <f t="shared" si="245"/>
        <v>0</v>
      </c>
      <c r="AK345" s="317">
        <f t="shared" si="245"/>
        <v>0</v>
      </c>
      <c r="AL345" s="317">
        <f t="shared" si="245"/>
        <v>0</v>
      </c>
      <c r="AM345" s="317">
        <f t="shared" si="245"/>
        <v>0</v>
      </c>
    </row>
    <row r="346" spans="1:39" hidden="1" outlineLevel="2" x14ac:dyDescent="0.2">
      <c r="A346" s="125"/>
      <c r="B346" s="298">
        <v>9</v>
      </c>
      <c r="C346" s="883" t="str">
        <f t="shared" si="209"/>
        <v>** NOT USED **</v>
      </c>
      <c r="D346" s="884" t="e">
        <f>IF(C346&lt;&gt;"",#REF!,"")</f>
        <v>#REF!</v>
      </c>
      <c r="E346" s="885"/>
      <c r="F346" s="151"/>
      <c r="G346" s="63" t="str">
        <f t="shared" si="217"/>
        <v/>
      </c>
      <c r="H346" s="157"/>
      <c r="I346" s="157"/>
      <c r="J346" s="157"/>
      <c r="K346" s="238">
        <f t="shared" si="210"/>
        <v>1</v>
      </c>
      <c r="L346" s="238">
        <f t="shared" si="211"/>
        <v>0</v>
      </c>
      <c r="M346" s="238">
        <f t="shared" si="212"/>
        <v>0</v>
      </c>
      <c r="N346" s="248">
        <f t="shared" ref="N346:S346" si="246">D429</f>
        <v>0</v>
      </c>
      <c r="O346" s="248">
        <f t="shared" si="246"/>
        <v>0</v>
      </c>
      <c r="P346" s="248">
        <f t="shared" si="246"/>
        <v>0</v>
      </c>
      <c r="Q346" s="248">
        <f t="shared" si="246"/>
        <v>0</v>
      </c>
      <c r="R346" s="248">
        <f t="shared" si="246"/>
        <v>0</v>
      </c>
      <c r="S346" s="248">
        <f t="shared" si="246"/>
        <v>0</v>
      </c>
      <c r="T346" s="317">
        <f t="shared" ref="T346:Y346" si="247">D430</f>
        <v>0</v>
      </c>
      <c r="U346" s="317">
        <f t="shared" si="247"/>
        <v>0</v>
      </c>
      <c r="V346" s="317">
        <f t="shared" si="247"/>
        <v>0</v>
      </c>
      <c r="W346" s="317">
        <f t="shared" si="247"/>
        <v>0</v>
      </c>
      <c r="X346" s="317">
        <f t="shared" si="247"/>
        <v>0</v>
      </c>
      <c r="Y346" s="317">
        <f t="shared" si="247"/>
        <v>0</v>
      </c>
      <c r="AB346" s="248">
        <f t="shared" ref="AB346:AG346" si="248">D427</f>
        <v>0</v>
      </c>
      <c r="AC346" s="248">
        <f t="shared" si="248"/>
        <v>0</v>
      </c>
      <c r="AD346" s="248">
        <f t="shared" si="248"/>
        <v>0</v>
      </c>
      <c r="AE346" s="248">
        <f t="shared" si="248"/>
        <v>0</v>
      </c>
      <c r="AF346" s="248">
        <f t="shared" si="248"/>
        <v>0</v>
      </c>
      <c r="AG346" s="248">
        <f t="shared" si="248"/>
        <v>0</v>
      </c>
      <c r="AH346" s="317">
        <f t="shared" ref="AH346:AM346" si="249">D428</f>
        <v>0</v>
      </c>
      <c r="AI346" s="317">
        <f t="shared" si="249"/>
        <v>0</v>
      </c>
      <c r="AJ346" s="317">
        <f t="shared" si="249"/>
        <v>0</v>
      </c>
      <c r="AK346" s="317">
        <f t="shared" si="249"/>
        <v>0</v>
      </c>
      <c r="AL346" s="317">
        <f t="shared" si="249"/>
        <v>0</v>
      </c>
      <c r="AM346" s="317">
        <f t="shared" si="249"/>
        <v>0</v>
      </c>
    </row>
    <row r="347" spans="1:39" hidden="1" outlineLevel="2" x14ac:dyDescent="0.2">
      <c r="A347" s="125"/>
      <c r="B347" s="298">
        <v>10</v>
      </c>
      <c r="C347" s="883" t="str">
        <f t="shared" si="209"/>
        <v>** NOT USED **</v>
      </c>
      <c r="D347" s="884" t="e">
        <f>IF(C347&lt;&gt;"",#REF!,"")</f>
        <v>#REF!</v>
      </c>
      <c r="E347" s="885"/>
      <c r="F347" s="151"/>
      <c r="G347" s="63" t="str">
        <f t="shared" si="217"/>
        <v/>
      </c>
      <c r="H347" s="157"/>
      <c r="I347" s="157"/>
      <c r="J347" s="157"/>
      <c r="K347" s="238">
        <f t="shared" si="210"/>
        <v>1</v>
      </c>
      <c r="L347" s="238">
        <f t="shared" si="211"/>
        <v>0</v>
      </c>
      <c r="M347" s="238">
        <f t="shared" si="212"/>
        <v>0</v>
      </c>
      <c r="N347" s="248">
        <f t="shared" ref="N347:S347" si="250">D437</f>
        <v>0</v>
      </c>
      <c r="O347" s="248">
        <f t="shared" si="250"/>
        <v>0</v>
      </c>
      <c r="P347" s="248">
        <f t="shared" si="250"/>
        <v>0</v>
      </c>
      <c r="Q347" s="248">
        <f t="shared" si="250"/>
        <v>0</v>
      </c>
      <c r="R347" s="248">
        <f t="shared" si="250"/>
        <v>0</v>
      </c>
      <c r="S347" s="248">
        <f t="shared" si="250"/>
        <v>0</v>
      </c>
      <c r="T347" s="317">
        <f t="shared" ref="T347:Y347" si="251">D438</f>
        <v>0</v>
      </c>
      <c r="U347" s="317">
        <f t="shared" si="251"/>
        <v>0</v>
      </c>
      <c r="V347" s="317">
        <f t="shared" si="251"/>
        <v>0</v>
      </c>
      <c r="W347" s="317">
        <f t="shared" si="251"/>
        <v>0</v>
      </c>
      <c r="X347" s="317">
        <f t="shared" si="251"/>
        <v>0</v>
      </c>
      <c r="Y347" s="317">
        <f t="shared" si="251"/>
        <v>0</v>
      </c>
      <c r="AB347" s="248">
        <f t="shared" ref="AB347:AG347" si="252">D435</f>
        <v>0</v>
      </c>
      <c r="AC347" s="248">
        <f t="shared" si="252"/>
        <v>0</v>
      </c>
      <c r="AD347" s="248">
        <f t="shared" si="252"/>
        <v>0</v>
      </c>
      <c r="AE347" s="248">
        <f t="shared" si="252"/>
        <v>0</v>
      </c>
      <c r="AF347" s="248">
        <f t="shared" si="252"/>
        <v>0</v>
      </c>
      <c r="AG347" s="248">
        <f t="shared" si="252"/>
        <v>0</v>
      </c>
      <c r="AH347" s="317">
        <f t="shared" ref="AH347:AM347" si="253">D436</f>
        <v>0</v>
      </c>
      <c r="AI347" s="317">
        <f t="shared" si="253"/>
        <v>0</v>
      </c>
      <c r="AJ347" s="317">
        <f t="shared" si="253"/>
        <v>0</v>
      </c>
      <c r="AK347" s="317">
        <f t="shared" si="253"/>
        <v>0</v>
      </c>
      <c r="AL347" s="317">
        <f t="shared" si="253"/>
        <v>0</v>
      </c>
      <c r="AM347" s="317">
        <f t="shared" si="253"/>
        <v>0</v>
      </c>
    </row>
    <row r="348" spans="1:39" hidden="1" outlineLevel="2" x14ac:dyDescent="0.2">
      <c r="A348" s="125"/>
      <c r="B348" s="298">
        <v>11</v>
      </c>
      <c r="C348" s="883" t="str">
        <f t="shared" si="209"/>
        <v>** NOT USED **</v>
      </c>
      <c r="D348" s="884" t="e">
        <f>IF(C348&lt;&gt;"",#REF!,"")</f>
        <v>#REF!</v>
      </c>
      <c r="E348" s="885"/>
      <c r="F348" s="151"/>
      <c r="G348" s="63" t="str">
        <f t="shared" ref="G348:G357" si="254">IF(F348&lt;&gt;"",F348+1,"")</f>
        <v/>
      </c>
      <c r="H348" s="157"/>
      <c r="I348" s="157"/>
      <c r="J348" s="157"/>
      <c r="K348" s="238">
        <f t="shared" si="210"/>
        <v>1</v>
      </c>
      <c r="L348" s="238">
        <f t="shared" si="211"/>
        <v>0</v>
      </c>
      <c r="M348" s="238">
        <f t="shared" si="212"/>
        <v>0</v>
      </c>
      <c r="N348" s="248">
        <f t="shared" ref="N348:S348" si="255">D445</f>
        <v>0</v>
      </c>
      <c r="O348" s="248">
        <f t="shared" si="255"/>
        <v>0</v>
      </c>
      <c r="P348" s="248">
        <f t="shared" si="255"/>
        <v>0</v>
      </c>
      <c r="Q348" s="248">
        <f t="shared" si="255"/>
        <v>0</v>
      </c>
      <c r="R348" s="248">
        <f t="shared" si="255"/>
        <v>0</v>
      </c>
      <c r="S348" s="248">
        <f t="shared" si="255"/>
        <v>0</v>
      </c>
      <c r="T348" s="317">
        <f t="shared" ref="T348:Y348" si="256">D446</f>
        <v>0</v>
      </c>
      <c r="U348" s="317">
        <f t="shared" si="256"/>
        <v>0</v>
      </c>
      <c r="V348" s="317">
        <f t="shared" si="256"/>
        <v>0</v>
      </c>
      <c r="W348" s="317">
        <f t="shared" si="256"/>
        <v>0</v>
      </c>
      <c r="X348" s="317">
        <f t="shared" si="256"/>
        <v>0</v>
      </c>
      <c r="Y348" s="317">
        <f t="shared" si="256"/>
        <v>0</v>
      </c>
      <c r="AB348" s="248">
        <f t="shared" ref="AB348:AG348" si="257">D443</f>
        <v>0</v>
      </c>
      <c r="AC348" s="248">
        <f t="shared" si="257"/>
        <v>0</v>
      </c>
      <c r="AD348" s="248">
        <f t="shared" si="257"/>
        <v>0</v>
      </c>
      <c r="AE348" s="248">
        <f t="shared" si="257"/>
        <v>0</v>
      </c>
      <c r="AF348" s="248">
        <f t="shared" si="257"/>
        <v>0</v>
      </c>
      <c r="AG348" s="248">
        <f t="shared" si="257"/>
        <v>0</v>
      </c>
      <c r="AH348" s="317">
        <f t="shared" ref="AH348:AM348" si="258">D444</f>
        <v>0</v>
      </c>
      <c r="AI348" s="317">
        <f t="shared" si="258"/>
        <v>0</v>
      </c>
      <c r="AJ348" s="317">
        <f t="shared" si="258"/>
        <v>0</v>
      </c>
      <c r="AK348" s="317">
        <f t="shared" si="258"/>
        <v>0</v>
      </c>
      <c r="AL348" s="317">
        <f t="shared" si="258"/>
        <v>0</v>
      </c>
      <c r="AM348" s="317">
        <f t="shared" si="258"/>
        <v>0</v>
      </c>
    </row>
    <row r="349" spans="1:39" hidden="1" outlineLevel="2" x14ac:dyDescent="0.2">
      <c r="A349" s="125"/>
      <c r="B349" s="298">
        <v>12</v>
      </c>
      <c r="C349" s="883" t="str">
        <f t="shared" si="209"/>
        <v>** NOT USED **</v>
      </c>
      <c r="D349" s="884" t="e">
        <f>IF(C349&lt;&gt;"",#REF!,"")</f>
        <v>#REF!</v>
      </c>
      <c r="E349" s="885"/>
      <c r="F349" s="151"/>
      <c r="G349" s="63" t="str">
        <f t="shared" si="254"/>
        <v/>
      </c>
      <c r="H349" s="157"/>
      <c r="I349" s="157"/>
      <c r="J349" s="157"/>
      <c r="K349" s="238">
        <f t="shared" si="210"/>
        <v>1</v>
      </c>
      <c r="L349" s="238">
        <f t="shared" si="211"/>
        <v>0</v>
      </c>
      <c r="M349" s="238">
        <f t="shared" si="212"/>
        <v>0</v>
      </c>
      <c r="N349" s="248">
        <f t="shared" ref="N349:S349" si="259">D453</f>
        <v>0</v>
      </c>
      <c r="O349" s="248">
        <f t="shared" si="259"/>
        <v>0</v>
      </c>
      <c r="P349" s="248">
        <f t="shared" si="259"/>
        <v>0</v>
      </c>
      <c r="Q349" s="248">
        <f t="shared" si="259"/>
        <v>0</v>
      </c>
      <c r="R349" s="248">
        <f t="shared" si="259"/>
        <v>0</v>
      </c>
      <c r="S349" s="248">
        <f t="shared" si="259"/>
        <v>0</v>
      </c>
      <c r="T349" s="317">
        <f t="shared" ref="T349:Y349" si="260">D454</f>
        <v>0</v>
      </c>
      <c r="U349" s="317">
        <f t="shared" si="260"/>
        <v>0</v>
      </c>
      <c r="V349" s="317">
        <f t="shared" si="260"/>
        <v>0</v>
      </c>
      <c r="W349" s="317">
        <f t="shared" si="260"/>
        <v>0</v>
      </c>
      <c r="X349" s="317">
        <f t="shared" si="260"/>
        <v>0</v>
      </c>
      <c r="Y349" s="317">
        <f t="shared" si="260"/>
        <v>0</v>
      </c>
      <c r="AB349" s="248">
        <f t="shared" ref="AB349:AG349" si="261">D451</f>
        <v>0</v>
      </c>
      <c r="AC349" s="248">
        <f t="shared" si="261"/>
        <v>0</v>
      </c>
      <c r="AD349" s="248">
        <f t="shared" si="261"/>
        <v>0</v>
      </c>
      <c r="AE349" s="248">
        <f t="shared" si="261"/>
        <v>0</v>
      </c>
      <c r="AF349" s="248">
        <f t="shared" si="261"/>
        <v>0</v>
      </c>
      <c r="AG349" s="248">
        <f t="shared" si="261"/>
        <v>0</v>
      </c>
      <c r="AH349" s="317">
        <f t="shared" ref="AH349:AM349" si="262">D452</f>
        <v>0</v>
      </c>
      <c r="AI349" s="317">
        <f t="shared" si="262"/>
        <v>0</v>
      </c>
      <c r="AJ349" s="317">
        <f t="shared" si="262"/>
        <v>0</v>
      </c>
      <c r="AK349" s="317">
        <f t="shared" si="262"/>
        <v>0</v>
      </c>
      <c r="AL349" s="317">
        <f t="shared" si="262"/>
        <v>0</v>
      </c>
      <c r="AM349" s="317">
        <f t="shared" si="262"/>
        <v>0</v>
      </c>
    </row>
    <row r="350" spans="1:39" hidden="1" outlineLevel="2" x14ac:dyDescent="0.2">
      <c r="A350" s="125"/>
      <c r="B350" s="298">
        <v>13</v>
      </c>
      <c r="C350" s="883" t="str">
        <f t="shared" si="209"/>
        <v>** NOT USED **</v>
      </c>
      <c r="D350" s="884" t="e">
        <f>IF(C350&lt;&gt;"",#REF!,"")</f>
        <v>#REF!</v>
      </c>
      <c r="E350" s="885"/>
      <c r="F350" s="151"/>
      <c r="G350" s="63" t="str">
        <f t="shared" si="254"/>
        <v/>
      </c>
      <c r="H350" s="157"/>
      <c r="I350" s="157"/>
      <c r="J350" s="157"/>
      <c r="K350" s="238">
        <f t="shared" si="210"/>
        <v>1</v>
      </c>
      <c r="L350" s="238">
        <f t="shared" si="211"/>
        <v>0</v>
      </c>
      <c r="M350" s="238">
        <f t="shared" si="212"/>
        <v>0</v>
      </c>
      <c r="N350" s="248">
        <f t="shared" ref="N350:S350" si="263">D461</f>
        <v>0</v>
      </c>
      <c r="O350" s="248">
        <f t="shared" si="263"/>
        <v>0</v>
      </c>
      <c r="P350" s="248">
        <f t="shared" si="263"/>
        <v>0</v>
      </c>
      <c r="Q350" s="248">
        <f t="shared" si="263"/>
        <v>0</v>
      </c>
      <c r="R350" s="248">
        <f t="shared" si="263"/>
        <v>0</v>
      </c>
      <c r="S350" s="248">
        <f t="shared" si="263"/>
        <v>0</v>
      </c>
      <c r="T350" s="317">
        <f t="shared" ref="T350:Y350" si="264">D462</f>
        <v>0</v>
      </c>
      <c r="U350" s="317">
        <f t="shared" si="264"/>
        <v>0</v>
      </c>
      <c r="V350" s="317">
        <f t="shared" si="264"/>
        <v>0</v>
      </c>
      <c r="W350" s="317">
        <f t="shared" si="264"/>
        <v>0</v>
      </c>
      <c r="X350" s="317">
        <f t="shared" si="264"/>
        <v>0</v>
      </c>
      <c r="Y350" s="317">
        <f t="shared" si="264"/>
        <v>0</v>
      </c>
      <c r="AB350" s="248">
        <f t="shared" ref="AB350:AG350" si="265">D459</f>
        <v>0</v>
      </c>
      <c r="AC350" s="248">
        <f t="shared" si="265"/>
        <v>0</v>
      </c>
      <c r="AD350" s="248">
        <f t="shared" si="265"/>
        <v>0</v>
      </c>
      <c r="AE350" s="248">
        <f t="shared" si="265"/>
        <v>0</v>
      </c>
      <c r="AF350" s="248">
        <f t="shared" si="265"/>
        <v>0</v>
      </c>
      <c r="AG350" s="248">
        <f t="shared" si="265"/>
        <v>0</v>
      </c>
      <c r="AH350" s="317">
        <f t="shared" ref="AH350:AM350" si="266">D460</f>
        <v>0</v>
      </c>
      <c r="AI350" s="317">
        <f t="shared" si="266"/>
        <v>0</v>
      </c>
      <c r="AJ350" s="317">
        <f t="shared" si="266"/>
        <v>0</v>
      </c>
      <c r="AK350" s="317">
        <f t="shared" si="266"/>
        <v>0</v>
      </c>
      <c r="AL350" s="317">
        <f t="shared" si="266"/>
        <v>0</v>
      </c>
      <c r="AM350" s="317">
        <f t="shared" si="266"/>
        <v>0</v>
      </c>
    </row>
    <row r="351" spans="1:39" hidden="1" outlineLevel="2" x14ac:dyDescent="0.2">
      <c r="A351" s="125"/>
      <c r="B351" s="298">
        <v>14</v>
      </c>
      <c r="C351" s="883" t="str">
        <f t="shared" si="209"/>
        <v>** NOT USED **</v>
      </c>
      <c r="D351" s="884" t="e">
        <f>IF(C351&lt;&gt;"",#REF!,"")</f>
        <v>#REF!</v>
      </c>
      <c r="E351" s="885"/>
      <c r="F351" s="151"/>
      <c r="G351" s="63" t="str">
        <f t="shared" si="254"/>
        <v/>
      </c>
      <c r="H351" s="157"/>
      <c r="I351" s="157"/>
      <c r="J351" s="157"/>
      <c r="K351" s="238">
        <f t="shared" si="210"/>
        <v>1</v>
      </c>
      <c r="L351" s="238">
        <f t="shared" si="211"/>
        <v>0</v>
      </c>
      <c r="M351" s="238">
        <f t="shared" si="212"/>
        <v>0</v>
      </c>
      <c r="N351" s="248">
        <f t="shared" ref="N351:S351" si="267">D469</f>
        <v>0</v>
      </c>
      <c r="O351" s="248">
        <f t="shared" si="267"/>
        <v>0</v>
      </c>
      <c r="P351" s="248">
        <f t="shared" si="267"/>
        <v>0</v>
      </c>
      <c r="Q351" s="248">
        <f t="shared" si="267"/>
        <v>0</v>
      </c>
      <c r="R351" s="248">
        <f t="shared" si="267"/>
        <v>0</v>
      </c>
      <c r="S351" s="248">
        <f t="shared" si="267"/>
        <v>0</v>
      </c>
      <c r="T351" s="317">
        <f t="shared" ref="T351:Y351" si="268">D470</f>
        <v>0</v>
      </c>
      <c r="U351" s="317">
        <f t="shared" si="268"/>
        <v>0</v>
      </c>
      <c r="V351" s="317">
        <f t="shared" si="268"/>
        <v>0</v>
      </c>
      <c r="W351" s="317">
        <f t="shared" si="268"/>
        <v>0</v>
      </c>
      <c r="X351" s="317">
        <f t="shared" si="268"/>
        <v>0</v>
      </c>
      <c r="Y351" s="317">
        <f t="shared" si="268"/>
        <v>0</v>
      </c>
      <c r="AB351" s="248">
        <f t="shared" ref="AB351:AG351" si="269">D467</f>
        <v>0</v>
      </c>
      <c r="AC351" s="248">
        <f t="shared" si="269"/>
        <v>0</v>
      </c>
      <c r="AD351" s="248">
        <f t="shared" si="269"/>
        <v>0</v>
      </c>
      <c r="AE351" s="248">
        <f t="shared" si="269"/>
        <v>0</v>
      </c>
      <c r="AF351" s="248">
        <f t="shared" si="269"/>
        <v>0</v>
      </c>
      <c r="AG351" s="248">
        <f t="shared" si="269"/>
        <v>0</v>
      </c>
      <c r="AH351" s="317">
        <f t="shared" ref="AH351:AM351" si="270">D468</f>
        <v>0</v>
      </c>
      <c r="AI351" s="317">
        <f t="shared" si="270"/>
        <v>0</v>
      </c>
      <c r="AJ351" s="317">
        <f t="shared" si="270"/>
        <v>0</v>
      </c>
      <c r="AK351" s="317">
        <f t="shared" si="270"/>
        <v>0</v>
      </c>
      <c r="AL351" s="317">
        <f t="shared" si="270"/>
        <v>0</v>
      </c>
      <c r="AM351" s="317">
        <f t="shared" si="270"/>
        <v>0</v>
      </c>
    </row>
    <row r="352" spans="1:39" hidden="1" outlineLevel="2" x14ac:dyDescent="0.2">
      <c r="A352" s="125"/>
      <c r="B352" s="298">
        <v>15</v>
      </c>
      <c r="C352" s="883" t="str">
        <f t="shared" si="209"/>
        <v>** NOT USED **</v>
      </c>
      <c r="D352" s="884" t="e">
        <f>IF(C352&lt;&gt;"",#REF!,"")</f>
        <v>#REF!</v>
      </c>
      <c r="E352" s="885"/>
      <c r="F352" s="151"/>
      <c r="G352" s="63" t="str">
        <f t="shared" si="254"/>
        <v/>
      </c>
      <c r="H352" s="157"/>
      <c r="I352" s="157"/>
      <c r="J352" s="157"/>
      <c r="K352" s="238">
        <f t="shared" si="210"/>
        <v>1</v>
      </c>
      <c r="L352" s="238">
        <f t="shared" si="211"/>
        <v>0</v>
      </c>
      <c r="M352" s="238">
        <f t="shared" si="212"/>
        <v>0</v>
      </c>
      <c r="N352" s="248">
        <f t="shared" ref="N352:S352" si="271">D477</f>
        <v>0</v>
      </c>
      <c r="O352" s="248">
        <f t="shared" si="271"/>
        <v>0</v>
      </c>
      <c r="P352" s="248">
        <f t="shared" si="271"/>
        <v>0</v>
      </c>
      <c r="Q352" s="248">
        <f t="shared" si="271"/>
        <v>0</v>
      </c>
      <c r="R352" s="248">
        <f t="shared" si="271"/>
        <v>0</v>
      </c>
      <c r="S352" s="248">
        <f t="shared" si="271"/>
        <v>0</v>
      </c>
      <c r="T352" s="317">
        <f t="shared" ref="T352:Y352" si="272">D478</f>
        <v>0</v>
      </c>
      <c r="U352" s="317">
        <f t="shared" si="272"/>
        <v>0</v>
      </c>
      <c r="V352" s="317">
        <f t="shared" si="272"/>
        <v>0</v>
      </c>
      <c r="W352" s="317">
        <f t="shared" si="272"/>
        <v>0</v>
      </c>
      <c r="X352" s="317">
        <f t="shared" si="272"/>
        <v>0</v>
      </c>
      <c r="Y352" s="317">
        <f t="shared" si="272"/>
        <v>0</v>
      </c>
      <c r="AB352" s="248">
        <f t="shared" ref="AB352:AG352" si="273">D475</f>
        <v>0</v>
      </c>
      <c r="AC352" s="248">
        <f t="shared" si="273"/>
        <v>0</v>
      </c>
      <c r="AD352" s="248">
        <f t="shared" si="273"/>
        <v>0</v>
      </c>
      <c r="AE352" s="248">
        <f t="shared" si="273"/>
        <v>0</v>
      </c>
      <c r="AF352" s="248">
        <f t="shared" si="273"/>
        <v>0</v>
      </c>
      <c r="AG352" s="248">
        <f t="shared" si="273"/>
        <v>0</v>
      </c>
      <c r="AH352" s="317">
        <f t="shared" ref="AH352:AM352" si="274">D476</f>
        <v>0</v>
      </c>
      <c r="AI352" s="317">
        <f t="shared" si="274"/>
        <v>0</v>
      </c>
      <c r="AJ352" s="317">
        <f t="shared" si="274"/>
        <v>0</v>
      </c>
      <c r="AK352" s="317">
        <f t="shared" si="274"/>
        <v>0</v>
      </c>
      <c r="AL352" s="317">
        <f t="shared" si="274"/>
        <v>0</v>
      </c>
      <c r="AM352" s="317">
        <f t="shared" si="274"/>
        <v>0</v>
      </c>
    </row>
    <row r="353" spans="1:39" hidden="1" outlineLevel="2" x14ac:dyDescent="0.2">
      <c r="A353" s="125"/>
      <c r="B353" s="298">
        <v>16</v>
      </c>
      <c r="C353" s="883" t="str">
        <f t="shared" si="209"/>
        <v>** NOT USED **</v>
      </c>
      <c r="D353" s="884" t="e">
        <f>IF(C353&lt;&gt;"",#REF!,"")</f>
        <v>#REF!</v>
      </c>
      <c r="E353" s="885"/>
      <c r="F353" s="151"/>
      <c r="G353" s="63" t="str">
        <f t="shared" si="254"/>
        <v/>
      </c>
      <c r="H353" s="157"/>
      <c r="I353" s="157"/>
      <c r="J353" s="157"/>
      <c r="K353" s="238">
        <f t="shared" si="210"/>
        <v>1</v>
      </c>
      <c r="L353" s="238">
        <f t="shared" si="211"/>
        <v>0</v>
      </c>
      <c r="M353" s="238">
        <f t="shared" si="212"/>
        <v>0</v>
      </c>
      <c r="N353" s="248">
        <f t="shared" ref="N353:S353" si="275">D485</f>
        <v>0</v>
      </c>
      <c r="O353" s="248">
        <f t="shared" si="275"/>
        <v>0</v>
      </c>
      <c r="P353" s="248">
        <f t="shared" si="275"/>
        <v>0</v>
      </c>
      <c r="Q353" s="248">
        <f t="shared" si="275"/>
        <v>0</v>
      </c>
      <c r="R353" s="248">
        <f t="shared" si="275"/>
        <v>0</v>
      </c>
      <c r="S353" s="248">
        <f t="shared" si="275"/>
        <v>0</v>
      </c>
      <c r="T353" s="317">
        <f t="shared" ref="T353:Y353" si="276">D486</f>
        <v>0</v>
      </c>
      <c r="U353" s="317">
        <f t="shared" si="276"/>
        <v>0</v>
      </c>
      <c r="V353" s="317">
        <f t="shared" si="276"/>
        <v>0</v>
      </c>
      <c r="W353" s="317">
        <f t="shared" si="276"/>
        <v>0</v>
      </c>
      <c r="X353" s="317">
        <f t="shared" si="276"/>
        <v>0</v>
      </c>
      <c r="Y353" s="317">
        <f t="shared" si="276"/>
        <v>0</v>
      </c>
      <c r="AB353" s="248">
        <f t="shared" ref="AB353:AG353" si="277">D483</f>
        <v>0</v>
      </c>
      <c r="AC353" s="248">
        <f t="shared" si="277"/>
        <v>0</v>
      </c>
      <c r="AD353" s="248">
        <f t="shared" si="277"/>
        <v>0</v>
      </c>
      <c r="AE353" s="248">
        <f t="shared" si="277"/>
        <v>0</v>
      </c>
      <c r="AF353" s="248">
        <f t="shared" si="277"/>
        <v>0</v>
      </c>
      <c r="AG353" s="248">
        <f t="shared" si="277"/>
        <v>0</v>
      </c>
      <c r="AH353" s="317">
        <f t="shared" ref="AH353:AM353" si="278">D484</f>
        <v>0</v>
      </c>
      <c r="AI353" s="317">
        <f t="shared" si="278"/>
        <v>0</v>
      </c>
      <c r="AJ353" s="317">
        <f t="shared" si="278"/>
        <v>0</v>
      </c>
      <c r="AK353" s="317">
        <f t="shared" si="278"/>
        <v>0</v>
      </c>
      <c r="AL353" s="317">
        <f t="shared" si="278"/>
        <v>0</v>
      </c>
      <c r="AM353" s="317">
        <f t="shared" si="278"/>
        <v>0</v>
      </c>
    </row>
    <row r="354" spans="1:39" hidden="1" outlineLevel="2" x14ac:dyDescent="0.2">
      <c r="A354" s="125"/>
      <c r="B354" s="298">
        <v>17</v>
      </c>
      <c r="C354" s="883" t="str">
        <f t="shared" si="209"/>
        <v>** NOT USED **</v>
      </c>
      <c r="D354" s="884" t="e">
        <f>IF(C354&lt;&gt;"",#REF!,"")</f>
        <v>#REF!</v>
      </c>
      <c r="E354" s="885"/>
      <c r="F354" s="151"/>
      <c r="G354" s="63" t="str">
        <f t="shared" si="254"/>
        <v/>
      </c>
      <c r="H354" s="157"/>
      <c r="I354" s="157"/>
      <c r="J354" s="157"/>
      <c r="K354" s="238">
        <f t="shared" si="210"/>
        <v>1</v>
      </c>
      <c r="L354" s="238">
        <f t="shared" si="211"/>
        <v>0</v>
      </c>
      <c r="M354" s="238">
        <f t="shared" si="212"/>
        <v>0</v>
      </c>
      <c r="N354" s="248">
        <f t="shared" ref="N354:S354" si="279">D493</f>
        <v>0</v>
      </c>
      <c r="O354" s="248">
        <f t="shared" si="279"/>
        <v>0</v>
      </c>
      <c r="P354" s="248">
        <f t="shared" si="279"/>
        <v>0</v>
      </c>
      <c r="Q354" s="248">
        <f t="shared" si="279"/>
        <v>0</v>
      </c>
      <c r="R354" s="248">
        <f t="shared" si="279"/>
        <v>0</v>
      </c>
      <c r="S354" s="248">
        <f t="shared" si="279"/>
        <v>0</v>
      </c>
      <c r="T354" s="317">
        <f t="shared" ref="T354:Y354" si="280">D494</f>
        <v>0</v>
      </c>
      <c r="U354" s="317">
        <f t="shared" si="280"/>
        <v>0</v>
      </c>
      <c r="V354" s="317">
        <f t="shared" si="280"/>
        <v>0</v>
      </c>
      <c r="W354" s="317">
        <f t="shared" si="280"/>
        <v>0</v>
      </c>
      <c r="X354" s="317">
        <f t="shared" si="280"/>
        <v>0</v>
      </c>
      <c r="Y354" s="317">
        <f t="shared" si="280"/>
        <v>0</v>
      </c>
      <c r="AB354" s="248">
        <f t="shared" ref="AB354:AG354" si="281">D491</f>
        <v>0</v>
      </c>
      <c r="AC354" s="248">
        <f t="shared" si="281"/>
        <v>0</v>
      </c>
      <c r="AD354" s="248">
        <f t="shared" si="281"/>
        <v>0</v>
      </c>
      <c r="AE354" s="248">
        <f t="shared" si="281"/>
        <v>0</v>
      </c>
      <c r="AF354" s="248">
        <f t="shared" si="281"/>
        <v>0</v>
      </c>
      <c r="AG354" s="248">
        <f t="shared" si="281"/>
        <v>0</v>
      </c>
      <c r="AH354" s="317">
        <f t="shared" ref="AH354:AM354" si="282">D492</f>
        <v>0</v>
      </c>
      <c r="AI354" s="317">
        <f t="shared" si="282"/>
        <v>0</v>
      </c>
      <c r="AJ354" s="317">
        <f t="shared" si="282"/>
        <v>0</v>
      </c>
      <c r="AK354" s="317">
        <f t="shared" si="282"/>
        <v>0</v>
      </c>
      <c r="AL354" s="317">
        <f t="shared" si="282"/>
        <v>0</v>
      </c>
      <c r="AM354" s="317">
        <f t="shared" si="282"/>
        <v>0</v>
      </c>
    </row>
    <row r="355" spans="1:39" hidden="1" outlineLevel="2" x14ac:dyDescent="0.2">
      <c r="A355" s="125"/>
      <c r="B355" s="298">
        <v>18</v>
      </c>
      <c r="C355" s="883" t="str">
        <f t="shared" si="209"/>
        <v>** NOT USED **</v>
      </c>
      <c r="D355" s="884" t="e">
        <f>IF(C355&lt;&gt;"",#REF!,"")</f>
        <v>#REF!</v>
      </c>
      <c r="E355" s="885"/>
      <c r="F355" s="151"/>
      <c r="G355" s="63" t="str">
        <f t="shared" si="254"/>
        <v/>
      </c>
      <c r="H355" s="157"/>
      <c r="I355" s="157"/>
      <c r="J355" s="157"/>
      <c r="K355" s="238">
        <f t="shared" si="210"/>
        <v>1</v>
      </c>
      <c r="L355" s="238">
        <f t="shared" si="211"/>
        <v>0</v>
      </c>
      <c r="M355" s="238">
        <f t="shared" si="212"/>
        <v>0</v>
      </c>
      <c r="N355" s="248">
        <f t="shared" ref="N355:S355" si="283">D501</f>
        <v>0</v>
      </c>
      <c r="O355" s="248">
        <f t="shared" si="283"/>
        <v>0</v>
      </c>
      <c r="P355" s="248">
        <f t="shared" si="283"/>
        <v>0</v>
      </c>
      <c r="Q355" s="248">
        <f t="shared" si="283"/>
        <v>0</v>
      </c>
      <c r="R355" s="248">
        <f t="shared" si="283"/>
        <v>0</v>
      </c>
      <c r="S355" s="248">
        <f t="shared" si="283"/>
        <v>0</v>
      </c>
      <c r="T355" s="317">
        <f t="shared" ref="T355:Y355" si="284">D502</f>
        <v>0</v>
      </c>
      <c r="U355" s="317">
        <f t="shared" si="284"/>
        <v>0</v>
      </c>
      <c r="V355" s="317">
        <f t="shared" si="284"/>
        <v>0</v>
      </c>
      <c r="W355" s="317">
        <f t="shared" si="284"/>
        <v>0</v>
      </c>
      <c r="X355" s="317">
        <f t="shared" si="284"/>
        <v>0</v>
      </c>
      <c r="Y355" s="317">
        <f t="shared" si="284"/>
        <v>0</v>
      </c>
      <c r="AB355" s="248">
        <f t="shared" ref="AB355:AG355" si="285">D499</f>
        <v>0</v>
      </c>
      <c r="AC355" s="248">
        <f t="shared" si="285"/>
        <v>0</v>
      </c>
      <c r="AD355" s="248">
        <f t="shared" si="285"/>
        <v>0</v>
      </c>
      <c r="AE355" s="248">
        <f t="shared" si="285"/>
        <v>0</v>
      </c>
      <c r="AF355" s="248">
        <f t="shared" si="285"/>
        <v>0</v>
      </c>
      <c r="AG355" s="248">
        <f t="shared" si="285"/>
        <v>0</v>
      </c>
      <c r="AH355" s="317">
        <f t="shared" ref="AH355:AM355" si="286">D500</f>
        <v>0</v>
      </c>
      <c r="AI355" s="317">
        <f t="shared" si="286"/>
        <v>0</v>
      </c>
      <c r="AJ355" s="317">
        <f t="shared" si="286"/>
        <v>0</v>
      </c>
      <c r="AK355" s="317">
        <f t="shared" si="286"/>
        <v>0</v>
      </c>
      <c r="AL355" s="317">
        <f t="shared" si="286"/>
        <v>0</v>
      </c>
      <c r="AM355" s="317">
        <f t="shared" si="286"/>
        <v>0</v>
      </c>
    </row>
    <row r="356" spans="1:39" hidden="1" outlineLevel="2" x14ac:dyDescent="0.2">
      <c r="A356" s="125"/>
      <c r="B356" s="298">
        <v>19</v>
      </c>
      <c r="C356" s="883" t="str">
        <f t="shared" si="209"/>
        <v>** NOT USED **</v>
      </c>
      <c r="D356" s="884" t="e">
        <f>IF(C356&lt;&gt;"",#REF!,"")</f>
        <v>#REF!</v>
      </c>
      <c r="E356" s="885"/>
      <c r="F356" s="151"/>
      <c r="G356" s="63" t="str">
        <f t="shared" si="254"/>
        <v/>
      </c>
      <c r="H356" s="157"/>
      <c r="I356" s="157"/>
      <c r="J356" s="157"/>
      <c r="K356" s="238">
        <f t="shared" si="210"/>
        <v>1</v>
      </c>
      <c r="L356" s="238">
        <f t="shared" si="211"/>
        <v>0</v>
      </c>
      <c r="M356" s="238">
        <f t="shared" si="212"/>
        <v>0</v>
      </c>
      <c r="N356" s="248">
        <f t="shared" ref="N356:S356" si="287">D509</f>
        <v>0</v>
      </c>
      <c r="O356" s="248">
        <f t="shared" si="287"/>
        <v>0</v>
      </c>
      <c r="P356" s="248">
        <f t="shared" si="287"/>
        <v>0</v>
      </c>
      <c r="Q356" s="248">
        <f t="shared" si="287"/>
        <v>0</v>
      </c>
      <c r="R356" s="248">
        <f t="shared" si="287"/>
        <v>0</v>
      </c>
      <c r="S356" s="248">
        <f t="shared" si="287"/>
        <v>0</v>
      </c>
      <c r="T356" s="317">
        <f t="shared" ref="T356:Y356" si="288">D510</f>
        <v>0</v>
      </c>
      <c r="U356" s="317">
        <f t="shared" si="288"/>
        <v>0</v>
      </c>
      <c r="V356" s="317">
        <f t="shared" si="288"/>
        <v>0</v>
      </c>
      <c r="W356" s="317">
        <f t="shared" si="288"/>
        <v>0</v>
      </c>
      <c r="X356" s="317">
        <f t="shared" si="288"/>
        <v>0</v>
      </c>
      <c r="Y356" s="317">
        <f t="shared" si="288"/>
        <v>0</v>
      </c>
      <c r="AB356" s="248">
        <f t="shared" ref="AB356:AG356" si="289">D507</f>
        <v>0</v>
      </c>
      <c r="AC356" s="248">
        <f t="shared" si="289"/>
        <v>0</v>
      </c>
      <c r="AD356" s="248">
        <f t="shared" si="289"/>
        <v>0</v>
      </c>
      <c r="AE356" s="248">
        <f t="shared" si="289"/>
        <v>0</v>
      </c>
      <c r="AF356" s="248">
        <f t="shared" si="289"/>
        <v>0</v>
      </c>
      <c r="AG356" s="248">
        <f t="shared" si="289"/>
        <v>0</v>
      </c>
      <c r="AH356" s="317">
        <f t="shared" ref="AH356:AM356" si="290">D508</f>
        <v>0</v>
      </c>
      <c r="AI356" s="317">
        <f t="shared" si="290"/>
        <v>0</v>
      </c>
      <c r="AJ356" s="317">
        <f t="shared" si="290"/>
        <v>0</v>
      </c>
      <c r="AK356" s="317">
        <f t="shared" si="290"/>
        <v>0</v>
      </c>
      <c r="AL356" s="317">
        <f t="shared" si="290"/>
        <v>0</v>
      </c>
      <c r="AM356" s="317">
        <f t="shared" si="290"/>
        <v>0</v>
      </c>
    </row>
    <row r="357" spans="1:39" hidden="1" outlineLevel="2" x14ac:dyDescent="0.2">
      <c r="A357" s="125"/>
      <c r="B357" s="298">
        <v>20</v>
      </c>
      <c r="C357" s="883" t="str">
        <f t="shared" si="209"/>
        <v>** NOT USED **</v>
      </c>
      <c r="D357" s="884" t="e">
        <f>IF(C357&lt;&gt;"",#REF!,"")</f>
        <v>#REF!</v>
      </c>
      <c r="E357" s="885"/>
      <c r="F357" s="151"/>
      <c r="G357" s="63" t="str">
        <f t="shared" si="254"/>
        <v/>
      </c>
      <c r="H357" s="157"/>
      <c r="I357" s="157"/>
      <c r="J357" s="157"/>
      <c r="K357" s="238">
        <f t="shared" si="210"/>
        <v>1</v>
      </c>
      <c r="L357" s="238">
        <f t="shared" si="211"/>
        <v>0</v>
      </c>
      <c r="M357" s="238">
        <f t="shared" si="212"/>
        <v>0</v>
      </c>
      <c r="N357" s="248">
        <f t="shared" ref="N357:S357" si="291">D517</f>
        <v>0</v>
      </c>
      <c r="O357" s="248">
        <f t="shared" si="291"/>
        <v>0</v>
      </c>
      <c r="P357" s="248">
        <f t="shared" si="291"/>
        <v>0</v>
      </c>
      <c r="Q357" s="248">
        <f t="shared" si="291"/>
        <v>0</v>
      </c>
      <c r="R357" s="248">
        <f t="shared" si="291"/>
        <v>0</v>
      </c>
      <c r="S357" s="248">
        <f t="shared" si="291"/>
        <v>0</v>
      </c>
      <c r="T357" s="317">
        <f t="shared" ref="T357:Y357" si="292">D518</f>
        <v>0</v>
      </c>
      <c r="U357" s="317">
        <f t="shared" si="292"/>
        <v>0</v>
      </c>
      <c r="V357" s="317">
        <f t="shared" si="292"/>
        <v>0</v>
      </c>
      <c r="W357" s="317">
        <f t="shared" si="292"/>
        <v>0</v>
      </c>
      <c r="X357" s="317">
        <f t="shared" si="292"/>
        <v>0</v>
      </c>
      <c r="Y357" s="317">
        <f t="shared" si="292"/>
        <v>0</v>
      </c>
      <c r="AB357" s="248">
        <f t="shared" ref="AB357:AG357" si="293">D515</f>
        <v>0</v>
      </c>
      <c r="AC357" s="248">
        <f t="shared" si="293"/>
        <v>0</v>
      </c>
      <c r="AD357" s="248">
        <f t="shared" si="293"/>
        <v>0</v>
      </c>
      <c r="AE357" s="248">
        <f t="shared" si="293"/>
        <v>0</v>
      </c>
      <c r="AF357" s="248">
        <f t="shared" si="293"/>
        <v>0</v>
      </c>
      <c r="AG357" s="248">
        <f t="shared" si="293"/>
        <v>0</v>
      </c>
      <c r="AH357" s="317">
        <f t="shared" ref="AH357:AM357" si="294">D516</f>
        <v>0</v>
      </c>
      <c r="AI357" s="317">
        <f t="shared" si="294"/>
        <v>0</v>
      </c>
      <c r="AJ357" s="317">
        <f t="shared" si="294"/>
        <v>0</v>
      </c>
      <c r="AK357" s="317">
        <f t="shared" si="294"/>
        <v>0</v>
      </c>
      <c r="AL357" s="317">
        <f t="shared" si="294"/>
        <v>0</v>
      </c>
      <c r="AM357" s="317">
        <f t="shared" si="294"/>
        <v>0</v>
      </c>
    </row>
    <row r="358" spans="1:39" ht="14.25" hidden="1" outlineLevel="2" x14ac:dyDescent="0.2">
      <c r="A358" s="162"/>
      <c r="B358" s="162"/>
      <c r="C358" s="162"/>
      <c r="D358" s="162"/>
      <c r="E358" s="162"/>
      <c r="F358" s="162"/>
      <c r="G358" s="162"/>
      <c r="H358" s="696"/>
      <c r="I358" s="162"/>
      <c r="J358" s="162"/>
      <c r="K358" s="162"/>
      <c r="L358" s="162"/>
      <c r="M358" s="162"/>
      <c r="N358" s="162"/>
      <c r="O358" s="162"/>
      <c r="P358" s="162"/>
      <c r="Q358" s="615"/>
      <c r="R358" s="615"/>
      <c r="S358" s="615"/>
      <c r="T358" s="615"/>
      <c r="U358" s="615"/>
      <c r="V358" s="615"/>
      <c r="W358" s="615"/>
      <c r="X358" s="615"/>
      <c r="Y358" s="615"/>
      <c r="Z358" s="615"/>
      <c r="AA358" s="615"/>
      <c r="AB358" s="615"/>
      <c r="AC358" s="615"/>
    </row>
    <row r="359" spans="1:39" hidden="1" outlineLevel="1" collapsed="1" x14ac:dyDescent="0.2">
      <c r="A359" s="162"/>
      <c r="B359" s="162"/>
      <c r="C359" s="162"/>
      <c r="D359" s="162"/>
      <c r="E359" s="162"/>
      <c r="F359" s="162"/>
      <c r="G359" s="162"/>
      <c r="H359" s="162"/>
      <c r="I359" s="162"/>
      <c r="J359" s="162"/>
      <c r="K359" s="162"/>
      <c r="L359" s="162"/>
      <c r="M359" s="162"/>
      <c r="N359" s="162"/>
      <c r="O359" s="615"/>
      <c r="P359" s="615"/>
      <c r="Q359" s="615"/>
      <c r="R359" s="615"/>
      <c r="S359" s="615"/>
      <c r="T359" s="615"/>
      <c r="U359" s="615"/>
      <c r="V359" s="615"/>
      <c r="W359" s="615"/>
      <c r="X359" s="615"/>
      <c r="Y359" s="615"/>
      <c r="Z359" s="615"/>
      <c r="AA359" s="615"/>
      <c r="AB359" s="615"/>
      <c r="AC359" s="615"/>
    </row>
    <row r="360" spans="1:39" ht="15" hidden="1" outlineLevel="1" x14ac:dyDescent="0.2">
      <c r="A360" s="162"/>
      <c r="B360" s="298">
        <v>1</v>
      </c>
      <c r="C360" s="147" t="str">
        <f>INDEX(PBSScriptsChanged,B360,1)</f>
        <v>** NOT USED **</v>
      </c>
      <c r="D360" s="139"/>
      <c r="E360" s="139"/>
      <c r="F360" s="139"/>
      <c r="G360" s="139"/>
      <c r="H360" s="139"/>
      <c r="I360" s="139"/>
      <c r="J360" s="139"/>
      <c r="K360" s="139"/>
      <c r="L360" s="133"/>
      <c r="M360" s="133"/>
      <c r="N360" s="133"/>
      <c r="O360" s="127"/>
      <c r="P360" s="127"/>
      <c r="Q360" s="127"/>
      <c r="R360" s="127"/>
      <c r="S360" s="127"/>
      <c r="T360" s="127"/>
      <c r="U360" s="127"/>
      <c r="V360" s="127"/>
      <c r="W360" s="127"/>
      <c r="X360" s="127"/>
      <c r="Y360" s="127"/>
      <c r="Z360" s="127"/>
      <c r="AA360" s="127"/>
      <c r="AB360" s="127"/>
      <c r="AC360" s="127"/>
      <c r="AD360" s="127"/>
      <c r="AE360" s="127"/>
      <c r="AF360" s="127"/>
      <c r="AG360" s="127"/>
      <c r="AH360" s="127"/>
      <c r="AI360" s="127"/>
      <c r="AJ360" s="127"/>
      <c r="AK360" s="127"/>
      <c r="AL360" s="127"/>
      <c r="AM360" s="127"/>
    </row>
    <row r="361" spans="1:39" hidden="1" outlineLevel="2" x14ac:dyDescent="0.2">
      <c r="A361" s="162"/>
      <c r="B361" s="162"/>
      <c r="C361" s="615"/>
      <c r="D361" s="397">
        <v>2</v>
      </c>
      <c r="E361" s="397">
        <v>3</v>
      </c>
      <c r="F361" s="397">
        <v>4</v>
      </c>
      <c r="G361" s="397">
        <v>5</v>
      </c>
      <c r="H361" s="397">
        <v>6</v>
      </c>
      <c r="I361" s="397">
        <v>7</v>
      </c>
      <c r="J361" s="624"/>
      <c r="K361" s="615"/>
      <c r="L361" s="615"/>
      <c r="M361" s="615"/>
      <c r="N361" s="615"/>
      <c r="O361" s="416"/>
      <c r="P361" s="416"/>
      <c r="Q361" s="416"/>
      <c r="R361" s="416"/>
      <c r="S361" s="416"/>
      <c r="T361" s="416"/>
      <c r="U361" s="416"/>
      <c r="V361" s="416"/>
      <c r="W361" s="416"/>
      <c r="X361" s="416"/>
      <c r="Y361" s="416"/>
      <c r="Z361" s="416"/>
      <c r="AA361" s="416"/>
      <c r="AB361" s="416"/>
      <c r="AC361" s="416"/>
      <c r="AD361" s="416"/>
      <c r="AE361" s="416"/>
      <c r="AF361" s="416"/>
      <c r="AG361" s="416"/>
      <c r="AH361" s="416"/>
      <c r="AI361" s="416"/>
      <c r="AJ361" s="416"/>
      <c r="AK361" s="416"/>
      <c r="AL361" s="416"/>
      <c r="AM361" s="416"/>
    </row>
    <row r="362" spans="1:39" hidden="1" outlineLevel="2" x14ac:dyDescent="0.2">
      <c r="A362" s="162"/>
      <c r="B362" s="162"/>
      <c r="C362" s="162"/>
      <c r="D362" s="630">
        <f>FirstYear</f>
        <v>2021</v>
      </c>
      <c r="E362" s="630">
        <f>D362+1</f>
        <v>2022</v>
      </c>
      <c r="F362" s="630">
        <f>E362+1</f>
        <v>2023</v>
      </c>
      <c r="G362" s="630">
        <f>F362+1</f>
        <v>2024</v>
      </c>
      <c r="H362" s="630">
        <f>G362+1</f>
        <v>2025</v>
      </c>
      <c r="I362" s="630">
        <f>H362+1</f>
        <v>2026</v>
      </c>
      <c r="J362" s="162"/>
      <c r="K362" s="162"/>
      <c r="L362" s="162"/>
      <c r="M362" s="162"/>
      <c r="N362" s="162"/>
      <c r="O362" s="416"/>
      <c r="P362" s="416"/>
      <c r="Q362" s="416"/>
      <c r="R362" s="416"/>
      <c r="S362" s="416"/>
      <c r="T362" s="416"/>
      <c r="U362" s="416"/>
      <c r="V362" s="416"/>
      <c r="W362" s="416"/>
      <c r="X362" s="416"/>
      <c r="Y362" s="416"/>
      <c r="Z362" s="416"/>
      <c r="AA362" s="416"/>
      <c r="AB362" s="416"/>
      <c r="AC362" s="416"/>
      <c r="AD362" s="416"/>
      <c r="AE362" s="416"/>
      <c r="AF362" s="416"/>
      <c r="AG362" s="416"/>
      <c r="AH362" s="416"/>
      <c r="AI362" s="416"/>
      <c r="AJ362" s="416"/>
      <c r="AK362" s="416"/>
      <c r="AL362" s="416"/>
      <c r="AM362" s="416"/>
    </row>
    <row r="363" spans="1:39" hidden="1" outlineLevel="2" x14ac:dyDescent="0.2">
      <c r="A363" s="162"/>
      <c r="B363" s="162"/>
      <c r="C363" s="170" t="s">
        <v>122</v>
      </c>
      <c r="D363" s="171">
        <f t="shared" ref="D363:I363" si="295">INDEX(PBSScriptsChanged,$B360,D361)</f>
        <v>0</v>
      </c>
      <c r="E363" s="171">
        <f t="shared" si="295"/>
        <v>0</v>
      </c>
      <c r="F363" s="171">
        <f t="shared" si="295"/>
        <v>0</v>
      </c>
      <c r="G363" s="171">
        <f t="shared" si="295"/>
        <v>0</v>
      </c>
      <c r="H363" s="171">
        <f t="shared" si="295"/>
        <v>0</v>
      </c>
      <c r="I363" s="171">
        <f t="shared" si="295"/>
        <v>0</v>
      </c>
      <c r="J363" s="162"/>
      <c r="K363" s="162"/>
      <c r="L363" s="162"/>
      <c r="M363" s="162"/>
      <c r="N363" s="693"/>
      <c r="O363" s="416"/>
      <c r="P363" s="416"/>
      <c r="Q363" s="416"/>
      <c r="R363" s="416"/>
      <c r="S363" s="416"/>
      <c r="T363" s="416"/>
      <c r="U363" s="416"/>
      <c r="V363" s="416"/>
      <c r="W363" s="416"/>
      <c r="X363" s="416"/>
      <c r="Y363" s="416"/>
      <c r="Z363" s="416"/>
      <c r="AA363" s="416"/>
      <c r="AB363" s="416"/>
      <c r="AC363" s="416"/>
      <c r="AD363" s="416"/>
      <c r="AE363" s="416"/>
      <c r="AF363" s="416"/>
      <c r="AG363" s="416"/>
      <c r="AH363" s="416"/>
      <c r="AI363" s="416"/>
      <c r="AJ363" s="416"/>
      <c r="AK363" s="416"/>
      <c r="AL363" s="416"/>
      <c r="AM363" s="416"/>
    </row>
    <row r="364" spans="1:39" hidden="1" outlineLevel="2" x14ac:dyDescent="0.2">
      <c r="A364" s="162"/>
      <c r="B364" s="162"/>
      <c r="C364" s="170" t="s">
        <v>123</v>
      </c>
      <c r="D364" s="171">
        <f t="shared" ref="D364:I364" si="296">INDEX(RPBSScriptsChanged,$B360,D361)</f>
        <v>0</v>
      </c>
      <c r="E364" s="171">
        <f t="shared" si="296"/>
        <v>0</v>
      </c>
      <c r="F364" s="171">
        <f t="shared" si="296"/>
        <v>0</v>
      </c>
      <c r="G364" s="171">
        <f t="shared" si="296"/>
        <v>0</v>
      </c>
      <c r="H364" s="171">
        <f t="shared" si="296"/>
        <v>0</v>
      </c>
      <c r="I364" s="171">
        <f t="shared" si="296"/>
        <v>0</v>
      </c>
      <c r="J364" s="162"/>
      <c r="K364" s="162"/>
      <c r="L364" s="162"/>
      <c r="M364" s="162"/>
      <c r="N364" s="162"/>
      <c r="O364" s="416"/>
      <c r="P364" s="416"/>
      <c r="Q364" s="416"/>
      <c r="R364" s="416"/>
      <c r="S364" s="416"/>
      <c r="T364" s="416"/>
      <c r="U364" s="416"/>
      <c r="V364" s="416"/>
      <c r="W364" s="416"/>
      <c r="X364" s="416"/>
      <c r="Y364" s="416"/>
      <c r="Z364" s="416"/>
      <c r="AA364" s="416"/>
      <c r="AB364" s="416"/>
      <c r="AC364" s="416"/>
      <c r="AD364" s="416"/>
      <c r="AE364" s="416"/>
      <c r="AF364" s="416"/>
      <c r="AG364" s="416"/>
      <c r="AH364" s="416"/>
      <c r="AI364" s="416"/>
      <c r="AJ364" s="416"/>
      <c r="AK364" s="416"/>
      <c r="AL364" s="416"/>
      <c r="AM364" s="416"/>
    </row>
    <row r="365" spans="1:39" hidden="1" outlineLevel="2" x14ac:dyDescent="0.2">
      <c r="A365" s="162"/>
      <c r="B365" s="162"/>
      <c r="C365" s="158" t="s">
        <v>124</v>
      </c>
      <c r="D365" s="171">
        <f t="shared" ref="D365:I365" si="297">IF(INDEX(SAChanged,$B360,7)&gt;0,ROUND(D363/INDEX(SAChanged,$B360,2),0),0)</f>
        <v>0</v>
      </c>
      <c r="E365" s="171">
        <f t="shared" si="297"/>
        <v>0</v>
      </c>
      <c r="F365" s="171">
        <f t="shared" si="297"/>
        <v>0</v>
      </c>
      <c r="G365" s="171">
        <f t="shared" si="297"/>
        <v>0</v>
      </c>
      <c r="H365" s="171">
        <f t="shared" si="297"/>
        <v>0</v>
      </c>
      <c r="I365" s="171">
        <f t="shared" si="297"/>
        <v>0</v>
      </c>
      <c r="J365" s="162"/>
      <c r="K365" s="615"/>
      <c r="L365" s="640"/>
      <c r="M365" s="162"/>
      <c r="N365" s="615"/>
      <c r="O365" s="416"/>
      <c r="P365" s="416"/>
      <c r="Q365" s="416"/>
      <c r="R365" s="416"/>
      <c r="S365" s="416"/>
      <c r="T365" s="416"/>
      <c r="U365" s="416"/>
      <c r="V365" s="416"/>
      <c r="W365" s="416"/>
      <c r="X365" s="416"/>
      <c r="Y365" s="416"/>
      <c r="Z365" s="416"/>
      <c r="AA365" s="416"/>
      <c r="AB365" s="416"/>
      <c r="AC365" s="416"/>
      <c r="AD365" s="416"/>
      <c r="AE365" s="416"/>
      <c r="AF365" s="416"/>
      <c r="AG365" s="416"/>
      <c r="AH365" s="416"/>
      <c r="AI365" s="416"/>
      <c r="AJ365" s="416"/>
      <c r="AK365" s="416"/>
      <c r="AL365" s="416"/>
      <c r="AM365" s="416"/>
    </row>
    <row r="366" spans="1:39" hidden="1" outlineLevel="2" x14ac:dyDescent="0.2">
      <c r="A366" s="162"/>
      <c r="B366" s="162"/>
      <c r="C366" s="158" t="s">
        <v>125</v>
      </c>
      <c r="D366" s="171">
        <f t="shared" ref="D366:I366" si="298">IF(INDEX(SAChanged,$B360,7)&gt;0,ROUND(D364/INDEX(SAChanged,$B360,2),0),0)</f>
        <v>0</v>
      </c>
      <c r="E366" s="171">
        <f t="shared" si="298"/>
        <v>0</v>
      </c>
      <c r="F366" s="171">
        <f t="shared" si="298"/>
        <v>0</v>
      </c>
      <c r="G366" s="171">
        <f t="shared" si="298"/>
        <v>0</v>
      </c>
      <c r="H366" s="171">
        <f t="shared" si="298"/>
        <v>0</v>
      </c>
      <c r="I366" s="171">
        <f t="shared" si="298"/>
        <v>0</v>
      </c>
      <c r="J366" s="162"/>
      <c r="K366" s="615"/>
      <c r="L366" s="640"/>
      <c r="M366" s="162"/>
      <c r="N366" s="615"/>
      <c r="O366" s="416"/>
      <c r="P366" s="416"/>
      <c r="Q366" s="416"/>
      <c r="R366" s="416"/>
      <c r="S366" s="416"/>
      <c r="T366" s="416"/>
      <c r="U366" s="416"/>
      <c r="V366" s="416"/>
      <c r="W366" s="416"/>
      <c r="X366" s="416"/>
      <c r="Y366" s="416"/>
      <c r="Z366" s="416"/>
      <c r="AA366" s="416"/>
      <c r="AB366" s="416"/>
      <c r="AC366" s="416"/>
      <c r="AD366" s="416"/>
      <c r="AE366" s="416"/>
      <c r="AF366" s="416"/>
      <c r="AG366" s="416"/>
      <c r="AH366" s="416"/>
      <c r="AI366" s="416"/>
      <c r="AJ366" s="416"/>
      <c r="AK366" s="416"/>
      <c r="AL366" s="416"/>
      <c r="AM366" s="416"/>
    </row>
    <row r="367" spans="1:39" hidden="1" outlineLevel="1" collapsed="1" x14ac:dyDescent="0.2">
      <c r="A367" s="162"/>
      <c r="B367" s="162"/>
      <c r="C367" s="695"/>
      <c r="D367" s="690"/>
      <c r="E367" s="694"/>
      <c r="F367" s="694"/>
      <c r="G367" s="694"/>
      <c r="H367" s="694"/>
      <c r="I367" s="694"/>
      <c r="J367" s="694"/>
      <c r="K367" s="694"/>
      <c r="L367" s="162"/>
      <c r="M367" s="162"/>
      <c r="N367" s="162"/>
      <c r="O367" s="416"/>
      <c r="P367" s="416"/>
      <c r="Q367" s="416"/>
      <c r="R367" s="416"/>
      <c r="S367" s="416"/>
      <c r="T367" s="416"/>
      <c r="U367" s="416"/>
      <c r="V367" s="416"/>
      <c r="W367" s="416"/>
      <c r="X367" s="416"/>
      <c r="Y367" s="416"/>
      <c r="Z367" s="416"/>
      <c r="AA367" s="416"/>
      <c r="AB367" s="416"/>
      <c r="AC367" s="416"/>
      <c r="AD367" s="416"/>
      <c r="AE367" s="416"/>
      <c r="AF367" s="416"/>
      <c r="AG367" s="416"/>
      <c r="AH367" s="416"/>
      <c r="AI367" s="416"/>
      <c r="AJ367" s="416"/>
      <c r="AK367" s="416"/>
      <c r="AL367" s="416"/>
      <c r="AM367" s="416"/>
    </row>
    <row r="368" spans="1:39" ht="15" hidden="1" outlineLevel="1" x14ac:dyDescent="0.2">
      <c r="A368" s="162"/>
      <c r="B368" s="298">
        <v>2</v>
      </c>
      <c r="C368" s="147" t="str">
        <f>INDEX(PBSScriptsChanged,B368,1)</f>
        <v>** NOT USED **</v>
      </c>
      <c r="D368" s="139"/>
      <c r="E368" s="139"/>
      <c r="F368" s="139"/>
      <c r="G368" s="139"/>
      <c r="H368" s="139"/>
      <c r="I368" s="139"/>
      <c r="J368" s="139"/>
      <c r="K368" s="139"/>
      <c r="L368" s="133"/>
      <c r="M368" s="133"/>
      <c r="N368" s="133"/>
      <c r="O368" s="127"/>
      <c r="P368" s="127"/>
      <c r="Q368" s="127"/>
      <c r="R368" s="127"/>
      <c r="S368" s="127"/>
      <c r="T368" s="127"/>
      <c r="U368" s="127"/>
      <c r="V368" s="127"/>
      <c r="W368" s="127"/>
      <c r="X368" s="127"/>
      <c r="Y368" s="127"/>
      <c r="Z368" s="127"/>
      <c r="AA368" s="127"/>
      <c r="AB368" s="127"/>
      <c r="AC368" s="127"/>
      <c r="AD368" s="127"/>
      <c r="AE368" s="127"/>
      <c r="AF368" s="127"/>
      <c r="AG368" s="127"/>
      <c r="AH368" s="127"/>
      <c r="AI368" s="127"/>
      <c r="AJ368" s="127"/>
      <c r="AK368" s="127"/>
      <c r="AL368" s="127"/>
      <c r="AM368" s="127"/>
    </row>
    <row r="369" spans="1:39" hidden="1" outlineLevel="2" x14ac:dyDescent="0.2">
      <c r="A369" s="162"/>
      <c r="B369" s="162"/>
      <c r="C369" s="615"/>
      <c r="D369" s="397">
        <v>2</v>
      </c>
      <c r="E369" s="397">
        <v>3</v>
      </c>
      <c r="F369" s="397">
        <v>4</v>
      </c>
      <c r="G369" s="397">
        <v>5</v>
      </c>
      <c r="H369" s="397">
        <v>6</v>
      </c>
      <c r="I369" s="397">
        <v>7</v>
      </c>
      <c r="J369" s="624"/>
      <c r="K369" s="615"/>
      <c r="L369" s="615"/>
      <c r="M369" s="615"/>
      <c r="N369" s="615"/>
      <c r="O369" s="416"/>
      <c r="P369" s="416"/>
      <c r="Q369" s="416"/>
      <c r="R369" s="416"/>
      <c r="S369" s="416"/>
      <c r="T369" s="416"/>
      <c r="U369" s="416"/>
      <c r="V369" s="416"/>
      <c r="W369" s="416"/>
      <c r="X369" s="416"/>
      <c r="Y369" s="416"/>
      <c r="Z369" s="416"/>
      <c r="AA369" s="416"/>
      <c r="AB369" s="416"/>
      <c r="AC369" s="416"/>
      <c r="AD369" s="416"/>
      <c r="AE369" s="416"/>
      <c r="AF369" s="416"/>
      <c r="AG369" s="416"/>
      <c r="AH369" s="416"/>
      <c r="AI369" s="416"/>
      <c r="AJ369" s="416"/>
      <c r="AK369" s="416"/>
      <c r="AL369" s="416"/>
      <c r="AM369" s="416"/>
    </row>
    <row r="370" spans="1:39" hidden="1" outlineLevel="2" x14ac:dyDescent="0.2">
      <c r="A370" s="162"/>
      <c r="B370" s="162"/>
      <c r="C370" s="162"/>
      <c r="D370" s="630">
        <f>FirstYear</f>
        <v>2021</v>
      </c>
      <c r="E370" s="630">
        <f>D370+1</f>
        <v>2022</v>
      </c>
      <c r="F370" s="630">
        <f>E370+1</f>
        <v>2023</v>
      </c>
      <c r="G370" s="630">
        <f>F370+1</f>
        <v>2024</v>
      </c>
      <c r="H370" s="630">
        <f>G370+1</f>
        <v>2025</v>
      </c>
      <c r="I370" s="630">
        <f>H370+1</f>
        <v>2026</v>
      </c>
      <c r="J370" s="162"/>
      <c r="K370" s="162"/>
      <c r="L370" s="162"/>
      <c r="M370" s="162"/>
      <c r="N370" s="162"/>
      <c r="O370" s="416"/>
      <c r="P370" s="416"/>
      <c r="Q370" s="416"/>
      <c r="R370" s="416"/>
      <c r="S370" s="416"/>
      <c r="T370" s="416"/>
      <c r="U370" s="416"/>
      <c r="V370" s="416"/>
      <c r="W370" s="416"/>
      <c r="X370" s="416"/>
      <c r="Y370" s="416"/>
      <c r="Z370" s="416"/>
      <c r="AA370" s="416"/>
      <c r="AB370" s="416"/>
      <c r="AC370" s="416"/>
      <c r="AD370" s="416"/>
      <c r="AE370" s="416"/>
      <c r="AF370" s="416"/>
      <c r="AG370" s="416"/>
      <c r="AH370" s="416"/>
      <c r="AI370" s="416"/>
      <c r="AJ370" s="416"/>
      <c r="AK370" s="416"/>
      <c r="AL370" s="416"/>
      <c r="AM370" s="416"/>
    </row>
    <row r="371" spans="1:39" hidden="1" outlineLevel="2" x14ac:dyDescent="0.2">
      <c r="A371" s="162"/>
      <c r="B371" s="162"/>
      <c r="C371" s="170" t="s">
        <v>122</v>
      </c>
      <c r="D371" s="171">
        <f t="shared" ref="D371:I371" si="299">INDEX(PBSScriptsChanged,$B368,D369)</f>
        <v>0</v>
      </c>
      <c r="E371" s="171">
        <f t="shared" si="299"/>
        <v>0</v>
      </c>
      <c r="F371" s="171">
        <f t="shared" si="299"/>
        <v>0</v>
      </c>
      <c r="G371" s="171">
        <f t="shared" si="299"/>
        <v>0</v>
      </c>
      <c r="H371" s="171">
        <f t="shared" si="299"/>
        <v>0</v>
      </c>
      <c r="I371" s="171">
        <f t="shared" si="299"/>
        <v>0</v>
      </c>
      <c r="J371" s="162"/>
      <c r="K371" s="162"/>
      <c r="L371" s="162"/>
      <c r="M371" s="162"/>
      <c r="N371" s="693"/>
      <c r="O371" s="416"/>
      <c r="P371" s="416"/>
      <c r="Q371" s="416"/>
      <c r="R371" s="416"/>
      <c r="S371" s="416"/>
      <c r="T371" s="416"/>
      <c r="U371" s="416"/>
      <c r="V371" s="416"/>
      <c r="W371" s="416"/>
      <c r="X371" s="416"/>
      <c r="Y371" s="416"/>
      <c r="Z371" s="416"/>
      <c r="AA371" s="416"/>
      <c r="AB371" s="416"/>
      <c r="AC371" s="416"/>
      <c r="AD371" s="416"/>
      <c r="AE371" s="416"/>
      <c r="AF371" s="416"/>
      <c r="AG371" s="416"/>
      <c r="AH371" s="416"/>
      <c r="AI371" s="416"/>
      <c r="AJ371" s="416"/>
      <c r="AK371" s="416"/>
      <c r="AL371" s="416"/>
      <c r="AM371" s="416"/>
    </row>
    <row r="372" spans="1:39" hidden="1" outlineLevel="2" x14ac:dyDescent="0.2">
      <c r="A372" s="162"/>
      <c r="B372" s="162"/>
      <c r="C372" s="170" t="s">
        <v>123</v>
      </c>
      <c r="D372" s="171">
        <f t="shared" ref="D372:I372" si="300">INDEX(RPBSScriptsChanged,$B368,D369)</f>
        <v>0</v>
      </c>
      <c r="E372" s="171">
        <f t="shared" si="300"/>
        <v>0</v>
      </c>
      <c r="F372" s="171">
        <f t="shared" si="300"/>
        <v>0</v>
      </c>
      <c r="G372" s="171">
        <f t="shared" si="300"/>
        <v>0</v>
      </c>
      <c r="H372" s="171">
        <f t="shared" si="300"/>
        <v>0</v>
      </c>
      <c r="I372" s="171">
        <f t="shared" si="300"/>
        <v>0</v>
      </c>
      <c r="J372" s="162"/>
      <c r="K372" s="162"/>
      <c r="L372" s="162"/>
      <c r="M372" s="162"/>
      <c r="N372" s="162"/>
      <c r="O372" s="416"/>
      <c r="P372" s="416"/>
      <c r="Q372" s="416"/>
      <c r="R372" s="416"/>
      <c r="S372" s="416"/>
      <c r="T372" s="416"/>
      <c r="U372" s="416"/>
      <c r="V372" s="416"/>
      <c r="W372" s="416"/>
      <c r="X372" s="416"/>
      <c r="Y372" s="416"/>
      <c r="Z372" s="416"/>
      <c r="AA372" s="416"/>
      <c r="AB372" s="416"/>
      <c r="AC372" s="416"/>
      <c r="AD372" s="416"/>
      <c r="AE372" s="416"/>
      <c r="AF372" s="416"/>
      <c r="AG372" s="416"/>
      <c r="AH372" s="416"/>
      <c r="AI372" s="416"/>
      <c r="AJ372" s="416"/>
      <c r="AK372" s="416"/>
      <c r="AL372" s="416"/>
      <c r="AM372" s="416"/>
    </row>
    <row r="373" spans="1:39" hidden="1" outlineLevel="2" x14ac:dyDescent="0.2">
      <c r="A373" s="162"/>
      <c r="B373" s="162"/>
      <c r="C373" s="158" t="s">
        <v>124</v>
      </c>
      <c r="D373" s="171">
        <f t="shared" ref="D373:I373" si="301">IF(INDEX(SAChanged,$B368,7)&gt;0,ROUND(D371/INDEX(SAChanged,$B368,2),0),0)</f>
        <v>0</v>
      </c>
      <c r="E373" s="171">
        <f t="shared" si="301"/>
        <v>0</v>
      </c>
      <c r="F373" s="171">
        <f t="shared" si="301"/>
        <v>0</v>
      </c>
      <c r="G373" s="171">
        <f t="shared" si="301"/>
        <v>0</v>
      </c>
      <c r="H373" s="171">
        <f t="shared" si="301"/>
        <v>0</v>
      </c>
      <c r="I373" s="171">
        <f t="shared" si="301"/>
        <v>0</v>
      </c>
      <c r="J373" s="162"/>
      <c r="K373" s="615"/>
      <c r="L373" s="640"/>
      <c r="M373" s="162"/>
      <c r="N373" s="615"/>
      <c r="O373" s="416"/>
      <c r="P373" s="416"/>
      <c r="Q373" s="416"/>
      <c r="R373" s="416"/>
      <c r="S373" s="416"/>
      <c r="T373" s="416"/>
      <c r="U373" s="416"/>
      <c r="V373" s="416"/>
      <c r="W373" s="416"/>
      <c r="X373" s="416"/>
      <c r="Y373" s="416"/>
      <c r="Z373" s="416"/>
      <c r="AA373" s="416"/>
      <c r="AB373" s="416"/>
      <c r="AC373" s="416"/>
      <c r="AD373" s="416"/>
      <c r="AE373" s="416"/>
      <c r="AF373" s="416"/>
      <c r="AG373" s="416"/>
      <c r="AH373" s="416"/>
      <c r="AI373" s="416"/>
      <c r="AJ373" s="416"/>
      <c r="AK373" s="416"/>
      <c r="AL373" s="416"/>
      <c r="AM373" s="416"/>
    </row>
    <row r="374" spans="1:39" hidden="1" outlineLevel="2" x14ac:dyDescent="0.2">
      <c r="A374" s="162"/>
      <c r="B374" s="162"/>
      <c r="C374" s="158" t="s">
        <v>125</v>
      </c>
      <c r="D374" s="171">
        <f t="shared" ref="D374:I374" si="302">IF(INDEX(SAChanged,$B368,7)&gt;0,ROUND(D372/INDEX(SAChanged,$B368,2),0),0)</f>
        <v>0</v>
      </c>
      <c r="E374" s="171">
        <f t="shared" si="302"/>
        <v>0</v>
      </c>
      <c r="F374" s="171">
        <f t="shared" si="302"/>
        <v>0</v>
      </c>
      <c r="G374" s="171">
        <f t="shared" si="302"/>
        <v>0</v>
      </c>
      <c r="H374" s="171">
        <f t="shared" si="302"/>
        <v>0</v>
      </c>
      <c r="I374" s="171">
        <f t="shared" si="302"/>
        <v>0</v>
      </c>
      <c r="J374" s="162"/>
      <c r="K374" s="615"/>
      <c r="L374" s="640"/>
      <c r="M374" s="162"/>
      <c r="N374" s="615"/>
      <c r="O374" s="416"/>
      <c r="P374" s="416"/>
      <c r="Q374" s="416"/>
      <c r="R374" s="416"/>
      <c r="S374" s="416"/>
      <c r="T374" s="416"/>
      <c r="U374" s="416"/>
      <c r="V374" s="416"/>
      <c r="W374" s="416"/>
      <c r="X374" s="416"/>
      <c r="Y374" s="416"/>
      <c r="Z374" s="416"/>
      <c r="AA374" s="416"/>
      <c r="AB374" s="416"/>
      <c r="AC374" s="416"/>
      <c r="AD374" s="416"/>
      <c r="AE374" s="416"/>
      <c r="AF374" s="416"/>
      <c r="AG374" s="416"/>
      <c r="AH374" s="416"/>
      <c r="AI374" s="416"/>
      <c r="AJ374" s="416"/>
      <c r="AK374" s="416"/>
      <c r="AL374" s="416"/>
      <c r="AM374" s="416"/>
    </row>
    <row r="375" spans="1:39" hidden="1" outlineLevel="1" collapsed="1" x14ac:dyDescent="0.2">
      <c r="A375" s="162"/>
      <c r="B375" s="162"/>
      <c r="C375" s="695"/>
      <c r="D375" s="690"/>
      <c r="E375" s="694"/>
      <c r="F375" s="694"/>
      <c r="G375" s="694"/>
      <c r="H375" s="694"/>
      <c r="I375" s="694"/>
      <c r="J375" s="694"/>
      <c r="K375" s="694"/>
      <c r="L375" s="162"/>
      <c r="M375" s="162"/>
      <c r="N375" s="162"/>
      <c r="O375" s="416"/>
      <c r="P375" s="416"/>
      <c r="Q375" s="416"/>
      <c r="R375" s="416"/>
      <c r="S375" s="416"/>
      <c r="T375" s="416"/>
      <c r="U375" s="416"/>
      <c r="V375" s="416"/>
      <c r="W375" s="416"/>
      <c r="X375" s="416"/>
      <c r="Y375" s="416"/>
      <c r="Z375" s="416"/>
      <c r="AA375" s="416"/>
      <c r="AB375" s="416"/>
      <c r="AC375" s="416"/>
      <c r="AD375" s="416"/>
      <c r="AE375" s="416"/>
      <c r="AF375" s="416"/>
      <c r="AG375" s="416"/>
      <c r="AH375" s="416"/>
      <c r="AI375" s="416"/>
      <c r="AJ375" s="416"/>
      <c r="AK375" s="416"/>
      <c r="AL375" s="416"/>
      <c r="AM375" s="416"/>
    </row>
    <row r="376" spans="1:39" ht="15" hidden="1" outlineLevel="1" x14ac:dyDescent="0.2">
      <c r="A376" s="162"/>
      <c r="B376" s="298">
        <v>3</v>
      </c>
      <c r="C376" s="147" t="str">
        <f>INDEX(PBSScriptsChanged,B376,1)</f>
        <v>** NOT USED **</v>
      </c>
      <c r="D376" s="139"/>
      <c r="E376" s="139"/>
      <c r="F376" s="139"/>
      <c r="G376" s="139"/>
      <c r="H376" s="139"/>
      <c r="I376" s="139"/>
      <c r="J376" s="139"/>
      <c r="K376" s="139"/>
      <c r="L376" s="133"/>
      <c r="M376" s="133"/>
      <c r="N376" s="133"/>
      <c r="O376" s="127"/>
      <c r="P376" s="127"/>
      <c r="Q376" s="127"/>
      <c r="R376" s="127"/>
      <c r="S376" s="127"/>
      <c r="T376" s="127"/>
      <c r="U376" s="127"/>
      <c r="V376" s="127"/>
      <c r="W376" s="127"/>
      <c r="X376" s="127"/>
      <c r="Y376" s="127"/>
      <c r="Z376" s="127"/>
      <c r="AA376" s="127"/>
      <c r="AB376" s="127"/>
      <c r="AC376" s="127"/>
      <c r="AD376" s="127"/>
      <c r="AE376" s="127"/>
      <c r="AF376" s="127"/>
      <c r="AG376" s="127"/>
      <c r="AH376" s="127"/>
      <c r="AI376" s="127"/>
      <c r="AJ376" s="127"/>
      <c r="AK376" s="127"/>
      <c r="AL376" s="127"/>
      <c r="AM376" s="127"/>
    </row>
    <row r="377" spans="1:39" hidden="1" outlineLevel="2" x14ac:dyDescent="0.2">
      <c r="A377" s="162"/>
      <c r="B377" s="162"/>
      <c r="C377" s="615"/>
      <c r="D377" s="397">
        <v>2</v>
      </c>
      <c r="E377" s="397">
        <v>3</v>
      </c>
      <c r="F377" s="397">
        <v>4</v>
      </c>
      <c r="G377" s="397">
        <v>5</v>
      </c>
      <c r="H377" s="397">
        <v>6</v>
      </c>
      <c r="I377" s="397">
        <v>7</v>
      </c>
      <c r="J377" s="624"/>
      <c r="K377" s="615"/>
      <c r="L377" s="615"/>
      <c r="M377" s="615"/>
      <c r="N377" s="615"/>
      <c r="O377" s="416"/>
      <c r="P377" s="416"/>
      <c r="Q377" s="416"/>
      <c r="R377" s="416"/>
      <c r="S377" s="416"/>
      <c r="T377" s="416"/>
      <c r="U377" s="416"/>
      <c r="V377" s="416"/>
      <c r="W377" s="416"/>
      <c r="X377" s="416"/>
      <c r="Y377" s="416"/>
      <c r="Z377" s="416"/>
      <c r="AA377" s="416"/>
      <c r="AB377" s="416"/>
      <c r="AC377" s="416"/>
      <c r="AD377" s="416"/>
      <c r="AE377" s="416"/>
      <c r="AF377" s="416"/>
      <c r="AG377" s="416"/>
      <c r="AH377" s="416"/>
      <c r="AI377" s="416"/>
      <c r="AJ377" s="416"/>
      <c r="AK377" s="416"/>
      <c r="AL377" s="416"/>
      <c r="AM377" s="416"/>
    </row>
    <row r="378" spans="1:39" hidden="1" outlineLevel="2" x14ac:dyDescent="0.2">
      <c r="A378" s="162"/>
      <c r="B378" s="162"/>
      <c r="C378" s="162"/>
      <c r="D378" s="630">
        <f>FirstYear</f>
        <v>2021</v>
      </c>
      <c r="E378" s="630">
        <f>D378+1</f>
        <v>2022</v>
      </c>
      <c r="F378" s="630">
        <f>E378+1</f>
        <v>2023</v>
      </c>
      <c r="G378" s="630">
        <f>F378+1</f>
        <v>2024</v>
      </c>
      <c r="H378" s="630">
        <f>G378+1</f>
        <v>2025</v>
      </c>
      <c r="I378" s="630">
        <f>H378+1</f>
        <v>2026</v>
      </c>
      <c r="J378" s="162"/>
      <c r="K378" s="162"/>
      <c r="L378" s="162"/>
      <c r="M378" s="162"/>
      <c r="N378" s="162"/>
      <c r="O378" s="416"/>
      <c r="P378" s="416"/>
      <c r="Q378" s="416"/>
      <c r="R378" s="416"/>
      <c r="S378" s="416"/>
      <c r="T378" s="416"/>
      <c r="U378" s="416"/>
      <c r="V378" s="416"/>
      <c r="W378" s="416"/>
      <c r="X378" s="416"/>
      <c r="Y378" s="416"/>
      <c r="Z378" s="416"/>
      <c r="AA378" s="416"/>
      <c r="AB378" s="416"/>
      <c r="AC378" s="416"/>
      <c r="AD378" s="416"/>
      <c r="AE378" s="416"/>
      <c r="AF378" s="416"/>
      <c r="AG378" s="416"/>
      <c r="AH378" s="416"/>
      <c r="AI378" s="416"/>
      <c r="AJ378" s="416"/>
      <c r="AK378" s="416"/>
      <c r="AL378" s="416"/>
      <c r="AM378" s="416"/>
    </row>
    <row r="379" spans="1:39" hidden="1" outlineLevel="2" x14ac:dyDescent="0.2">
      <c r="A379" s="162"/>
      <c r="B379" s="162"/>
      <c r="C379" s="170" t="s">
        <v>122</v>
      </c>
      <c r="D379" s="171">
        <f t="shared" ref="D379:I379" si="303">INDEX(PBSScriptsChanged,$B376,D377)</f>
        <v>0</v>
      </c>
      <c r="E379" s="171">
        <f t="shared" si="303"/>
        <v>0</v>
      </c>
      <c r="F379" s="171">
        <f t="shared" si="303"/>
        <v>0</v>
      </c>
      <c r="G379" s="171">
        <f t="shared" si="303"/>
        <v>0</v>
      </c>
      <c r="H379" s="171">
        <f t="shared" si="303"/>
        <v>0</v>
      </c>
      <c r="I379" s="171">
        <f t="shared" si="303"/>
        <v>0</v>
      </c>
      <c r="J379" s="162"/>
      <c r="K379" s="162"/>
      <c r="L379" s="162"/>
      <c r="M379" s="162"/>
      <c r="N379" s="693"/>
      <c r="O379" s="416"/>
      <c r="P379" s="416"/>
      <c r="Q379" s="416"/>
      <c r="R379" s="416"/>
      <c r="S379" s="416"/>
      <c r="T379" s="416"/>
      <c r="U379" s="416"/>
      <c r="V379" s="416"/>
      <c r="W379" s="416"/>
      <c r="X379" s="416"/>
      <c r="Y379" s="416"/>
      <c r="Z379" s="416"/>
      <c r="AA379" s="416"/>
      <c r="AB379" s="416"/>
      <c r="AC379" s="416"/>
      <c r="AD379" s="416"/>
      <c r="AE379" s="416"/>
      <c r="AF379" s="416"/>
      <c r="AG379" s="416"/>
      <c r="AH379" s="416"/>
      <c r="AI379" s="416"/>
      <c r="AJ379" s="416"/>
      <c r="AK379" s="416"/>
      <c r="AL379" s="416"/>
      <c r="AM379" s="416"/>
    </row>
    <row r="380" spans="1:39" hidden="1" outlineLevel="2" x14ac:dyDescent="0.2">
      <c r="A380" s="162"/>
      <c r="B380" s="162"/>
      <c r="C380" s="170" t="s">
        <v>123</v>
      </c>
      <c r="D380" s="171">
        <f t="shared" ref="D380:I380" si="304">INDEX(RPBSScriptsChanged,$B376,D377)</f>
        <v>0</v>
      </c>
      <c r="E380" s="171">
        <f t="shared" si="304"/>
        <v>0</v>
      </c>
      <c r="F380" s="171">
        <f t="shared" si="304"/>
        <v>0</v>
      </c>
      <c r="G380" s="171">
        <f t="shared" si="304"/>
        <v>0</v>
      </c>
      <c r="H380" s="171">
        <f t="shared" si="304"/>
        <v>0</v>
      </c>
      <c r="I380" s="171">
        <f t="shared" si="304"/>
        <v>0</v>
      </c>
      <c r="J380" s="162"/>
      <c r="K380" s="162"/>
      <c r="L380" s="162"/>
      <c r="M380" s="162"/>
      <c r="N380" s="162"/>
      <c r="O380" s="416"/>
      <c r="P380" s="416"/>
      <c r="Q380" s="416"/>
      <c r="R380" s="416"/>
      <c r="S380" s="416"/>
      <c r="T380" s="416"/>
      <c r="U380" s="416"/>
      <c r="V380" s="416"/>
      <c r="W380" s="416"/>
      <c r="X380" s="416"/>
      <c r="Y380" s="416"/>
      <c r="Z380" s="416"/>
      <c r="AA380" s="416"/>
      <c r="AB380" s="416"/>
      <c r="AC380" s="416"/>
      <c r="AD380" s="416"/>
      <c r="AE380" s="416"/>
      <c r="AF380" s="416"/>
      <c r="AG380" s="416"/>
      <c r="AH380" s="416"/>
      <c r="AI380" s="416"/>
      <c r="AJ380" s="416"/>
      <c r="AK380" s="416"/>
      <c r="AL380" s="416"/>
      <c r="AM380" s="416"/>
    </row>
    <row r="381" spans="1:39" hidden="1" outlineLevel="2" x14ac:dyDescent="0.2">
      <c r="A381" s="162"/>
      <c r="B381" s="162"/>
      <c r="C381" s="158" t="s">
        <v>124</v>
      </c>
      <c r="D381" s="171">
        <f t="shared" ref="D381:I381" si="305">IF(INDEX(SAChanged,$B376,7)&gt;0,ROUND(D379/INDEX(SAChanged,$B376,2),0),0)</f>
        <v>0</v>
      </c>
      <c r="E381" s="171">
        <f t="shared" si="305"/>
        <v>0</v>
      </c>
      <c r="F381" s="171">
        <f t="shared" si="305"/>
        <v>0</v>
      </c>
      <c r="G381" s="171">
        <f t="shared" si="305"/>
        <v>0</v>
      </c>
      <c r="H381" s="171">
        <f t="shared" si="305"/>
        <v>0</v>
      </c>
      <c r="I381" s="171">
        <f t="shared" si="305"/>
        <v>0</v>
      </c>
      <c r="J381" s="162"/>
      <c r="K381" s="615"/>
      <c r="L381" s="640"/>
      <c r="M381" s="162"/>
      <c r="N381" s="615"/>
      <c r="O381" s="416"/>
      <c r="P381" s="416"/>
      <c r="Q381" s="416"/>
      <c r="R381" s="416"/>
      <c r="S381" s="416"/>
      <c r="T381" s="416"/>
      <c r="U381" s="416"/>
      <c r="V381" s="416"/>
      <c r="W381" s="416"/>
      <c r="X381" s="416"/>
      <c r="Y381" s="416"/>
      <c r="Z381" s="416"/>
      <c r="AA381" s="416"/>
      <c r="AB381" s="416"/>
      <c r="AC381" s="416"/>
      <c r="AD381" s="416"/>
      <c r="AE381" s="416"/>
      <c r="AF381" s="416"/>
      <c r="AG381" s="416"/>
      <c r="AH381" s="416"/>
      <c r="AI381" s="416"/>
      <c r="AJ381" s="416"/>
      <c r="AK381" s="416"/>
      <c r="AL381" s="416"/>
      <c r="AM381" s="416"/>
    </row>
    <row r="382" spans="1:39" hidden="1" outlineLevel="2" x14ac:dyDescent="0.2">
      <c r="A382" s="162"/>
      <c r="B382" s="162"/>
      <c r="C382" s="158" t="s">
        <v>125</v>
      </c>
      <c r="D382" s="171">
        <f t="shared" ref="D382:I382" si="306">IF(INDEX(SAChanged,$B376,7)&gt;0,ROUND(D380/INDEX(SAChanged,$B376,2),0),0)</f>
        <v>0</v>
      </c>
      <c r="E382" s="171">
        <f t="shared" si="306"/>
        <v>0</v>
      </c>
      <c r="F382" s="171">
        <f t="shared" si="306"/>
        <v>0</v>
      </c>
      <c r="G382" s="171">
        <f t="shared" si="306"/>
        <v>0</v>
      </c>
      <c r="H382" s="171">
        <f t="shared" si="306"/>
        <v>0</v>
      </c>
      <c r="I382" s="171">
        <f t="shared" si="306"/>
        <v>0</v>
      </c>
      <c r="J382" s="162"/>
      <c r="K382" s="615"/>
      <c r="L382" s="640"/>
      <c r="M382" s="162"/>
      <c r="N382" s="615"/>
      <c r="O382" s="416"/>
      <c r="P382" s="416"/>
      <c r="Q382" s="416"/>
      <c r="R382" s="416"/>
      <c r="S382" s="416"/>
      <c r="T382" s="416"/>
      <c r="U382" s="416"/>
      <c r="V382" s="416"/>
      <c r="W382" s="416"/>
      <c r="X382" s="416"/>
      <c r="Y382" s="416"/>
      <c r="Z382" s="416"/>
      <c r="AA382" s="416"/>
      <c r="AB382" s="416"/>
      <c r="AC382" s="416"/>
      <c r="AD382" s="416"/>
      <c r="AE382" s="416"/>
      <c r="AF382" s="416"/>
      <c r="AG382" s="416"/>
      <c r="AH382" s="416"/>
      <c r="AI382" s="416"/>
      <c r="AJ382" s="416"/>
      <c r="AK382" s="416"/>
      <c r="AL382" s="416"/>
      <c r="AM382" s="416"/>
    </row>
    <row r="383" spans="1:39" hidden="1" outlineLevel="1" collapsed="1" x14ac:dyDescent="0.2">
      <c r="A383" s="162"/>
      <c r="B383" s="162"/>
      <c r="C383" s="695"/>
      <c r="D383" s="690"/>
      <c r="E383" s="694"/>
      <c r="F383" s="694"/>
      <c r="G383" s="694"/>
      <c r="H383" s="694"/>
      <c r="I383" s="694"/>
      <c r="J383" s="694"/>
      <c r="K383" s="694"/>
      <c r="L383" s="162"/>
      <c r="M383" s="162"/>
      <c r="N383" s="162"/>
      <c r="O383" s="416"/>
      <c r="P383" s="416"/>
      <c r="Q383" s="416"/>
      <c r="R383" s="416"/>
      <c r="S383" s="416"/>
      <c r="T383" s="416"/>
      <c r="U383" s="416"/>
      <c r="V383" s="416"/>
      <c r="W383" s="416"/>
      <c r="X383" s="416"/>
      <c r="Y383" s="416"/>
      <c r="Z383" s="416"/>
      <c r="AA383" s="416"/>
      <c r="AB383" s="416"/>
      <c r="AC383" s="416"/>
      <c r="AD383" s="416"/>
      <c r="AE383" s="416"/>
      <c r="AF383" s="416"/>
      <c r="AG383" s="416"/>
      <c r="AH383" s="416"/>
      <c r="AI383" s="416"/>
      <c r="AJ383" s="416"/>
      <c r="AK383" s="416"/>
      <c r="AL383" s="416"/>
      <c r="AM383" s="416"/>
    </row>
    <row r="384" spans="1:39" ht="15" hidden="1" outlineLevel="1" x14ac:dyDescent="0.2">
      <c r="A384" s="162"/>
      <c r="B384" s="298">
        <v>4</v>
      </c>
      <c r="C384" s="147" t="str">
        <f>INDEX(PBSScriptsChanged,B384,1)</f>
        <v>** NOT USED **</v>
      </c>
      <c r="D384" s="139"/>
      <c r="E384" s="139"/>
      <c r="F384" s="139"/>
      <c r="G384" s="139"/>
      <c r="H384" s="139"/>
      <c r="I384" s="139"/>
      <c r="J384" s="139"/>
      <c r="K384" s="139"/>
      <c r="L384" s="133"/>
      <c r="M384" s="133"/>
      <c r="N384" s="133"/>
      <c r="O384" s="127"/>
      <c r="P384" s="127"/>
      <c r="Q384" s="127"/>
      <c r="R384" s="127"/>
      <c r="S384" s="127"/>
      <c r="T384" s="127"/>
      <c r="U384" s="127"/>
      <c r="V384" s="127"/>
      <c r="W384" s="127"/>
      <c r="X384" s="127"/>
      <c r="Y384" s="127"/>
      <c r="Z384" s="127"/>
      <c r="AA384" s="127"/>
      <c r="AB384" s="127"/>
      <c r="AC384" s="127"/>
      <c r="AD384" s="127"/>
      <c r="AE384" s="127"/>
      <c r="AF384" s="127"/>
      <c r="AG384" s="127"/>
      <c r="AH384" s="127"/>
      <c r="AI384" s="127"/>
      <c r="AJ384" s="127"/>
      <c r="AK384" s="127"/>
      <c r="AL384" s="127"/>
      <c r="AM384" s="127"/>
    </row>
    <row r="385" spans="1:39" hidden="1" outlineLevel="2" x14ac:dyDescent="0.2">
      <c r="A385" s="162"/>
      <c r="B385" s="162"/>
      <c r="C385" s="615"/>
      <c r="D385" s="397">
        <v>2</v>
      </c>
      <c r="E385" s="397">
        <v>3</v>
      </c>
      <c r="F385" s="397">
        <v>4</v>
      </c>
      <c r="G385" s="397">
        <v>5</v>
      </c>
      <c r="H385" s="397">
        <v>6</v>
      </c>
      <c r="I385" s="397">
        <v>7</v>
      </c>
      <c r="J385" s="624"/>
      <c r="K385" s="615"/>
      <c r="L385" s="615"/>
      <c r="M385" s="615"/>
      <c r="N385" s="615"/>
      <c r="O385" s="416"/>
      <c r="P385" s="416"/>
      <c r="Q385" s="416"/>
      <c r="R385" s="416"/>
      <c r="S385" s="416"/>
      <c r="T385" s="416"/>
      <c r="U385" s="416"/>
      <c r="V385" s="416"/>
      <c r="W385" s="416"/>
      <c r="X385" s="416"/>
      <c r="Y385" s="416"/>
      <c r="Z385" s="416"/>
      <c r="AA385" s="416"/>
      <c r="AB385" s="416"/>
      <c r="AC385" s="416"/>
      <c r="AD385" s="416"/>
      <c r="AE385" s="416"/>
      <c r="AF385" s="416"/>
      <c r="AG385" s="416"/>
      <c r="AH385" s="416"/>
      <c r="AI385" s="416"/>
      <c r="AJ385" s="416"/>
      <c r="AK385" s="416"/>
      <c r="AL385" s="416"/>
      <c r="AM385" s="416"/>
    </row>
    <row r="386" spans="1:39" hidden="1" outlineLevel="2" x14ac:dyDescent="0.2">
      <c r="A386" s="162"/>
      <c r="B386" s="162"/>
      <c r="C386" s="162"/>
      <c r="D386" s="630">
        <f>FirstYear</f>
        <v>2021</v>
      </c>
      <c r="E386" s="630">
        <f>D386+1</f>
        <v>2022</v>
      </c>
      <c r="F386" s="630">
        <f>E386+1</f>
        <v>2023</v>
      </c>
      <c r="G386" s="630">
        <f>F386+1</f>
        <v>2024</v>
      </c>
      <c r="H386" s="630">
        <f>G386+1</f>
        <v>2025</v>
      </c>
      <c r="I386" s="630">
        <f>H386+1</f>
        <v>2026</v>
      </c>
      <c r="J386" s="162"/>
      <c r="K386" s="162"/>
      <c r="L386" s="162"/>
      <c r="M386" s="162"/>
      <c r="N386" s="162"/>
      <c r="O386" s="416"/>
      <c r="P386" s="416"/>
      <c r="Q386" s="416"/>
      <c r="R386" s="416"/>
      <c r="S386" s="416"/>
      <c r="T386" s="416"/>
      <c r="U386" s="416"/>
      <c r="V386" s="416"/>
      <c r="W386" s="416"/>
      <c r="X386" s="416"/>
      <c r="Y386" s="416"/>
      <c r="Z386" s="416"/>
      <c r="AA386" s="416"/>
      <c r="AB386" s="416"/>
      <c r="AC386" s="416"/>
      <c r="AD386" s="416"/>
      <c r="AE386" s="416"/>
      <c r="AF386" s="416"/>
      <c r="AG386" s="416"/>
      <c r="AH386" s="416"/>
      <c r="AI386" s="416"/>
      <c r="AJ386" s="416"/>
      <c r="AK386" s="416"/>
      <c r="AL386" s="416"/>
      <c r="AM386" s="416"/>
    </row>
    <row r="387" spans="1:39" hidden="1" outlineLevel="2" x14ac:dyDescent="0.2">
      <c r="A387" s="162"/>
      <c r="B387" s="162"/>
      <c r="C387" s="170" t="s">
        <v>122</v>
      </c>
      <c r="D387" s="171">
        <f t="shared" ref="D387:I387" si="307">INDEX(PBSScriptsChanged,$B384,D385)</f>
        <v>0</v>
      </c>
      <c r="E387" s="171">
        <f t="shared" si="307"/>
        <v>0</v>
      </c>
      <c r="F387" s="171">
        <f t="shared" si="307"/>
        <v>0</v>
      </c>
      <c r="G387" s="171">
        <f t="shared" si="307"/>
        <v>0</v>
      </c>
      <c r="H387" s="171">
        <f t="shared" si="307"/>
        <v>0</v>
      </c>
      <c r="I387" s="171">
        <f t="shared" si="307"/>
        <v>0</v>
      </c>
      <c r="J387" s="162"/>
      <c r="K387" s="162"/>
      <c r="L387" s="162"/>
      <c r="M387" s="162"/>
      <c r="N387" s="693"/>
      <c r="O387" s="416"/>
      <c r="P387" s="416"/>
      <c r="Q387" s="416"/>
      <c r="R387" s="416"/>
      <c r="S387" s="416"/>
      <c r="T387" s="416"/>
      <c r="U387" s="416"/>
      <c r="V387" s="416"/>
      <c r="W387" s="416"/>
      <c r="X387" s="416"/>
      <c r="Y387" s="416"/>
      <c r="Z387" s="416"/>
      <c r="AA387" s="416"/>
      <c r="AB387" s="416"/>
      <c r="AC387" s="416"/>
      <c r="AD387" s="416"/>
      <c r="AE387" s="416"/>
      <c r="AF387" s="416"/>
      <c r="AG387" s="416"/>
      <c r="AH387" s="416"/>
      <c r="AI387" s="416"/>
      <c r="AJ387" s="416"/>
      <c r="AK387" s="416"/>
      <c r="AL387" s="416"/>
      <c r="AM387" s="416"/>
    </row>
    <row r="388" spans="1:39" hidden="1" outlineLevel="2" x14ac:dyDescent="0.2">
      <c r="A388" s="162"/>
      <c r="B388" s="162"/>
      <c r="C388" s="170" t="s">
        <v>123</v>
      </c>
      <c r="D388" s="171">
        <f t="shared" ref="D388:I388" si="308">INDEX(RPBSScriptsChanged,$B384,D385)</f>
        <v>0</v>
      </c>
      <c r="E388" s="171">
        <f t="shared" si="308"/>
        <v>0</v>
      </c>
      <c r="F388" s="171">
        <f t="shared" si="308"/>
        <v>0</v>
      </c>
      <c r="G388" s="171">
        <f t="shared" si="308"/>
        <v>0</v>
      </c>
      <c r="H388" s="171">
        <f t="shared" si="308"/>
        <v>0</v>
      </c>
      <c r="I388" s="171">
        <f t="shared" si="308"/>
        <v>0</v>
      </c>
      <c r="J388" s="162"/>
      <c r="K388" s="162"/>
      <c r="L388" s="162"/>
      <c r="M388" s="162"/>
      <c r="N388" s="162"/>
      <c r="O388" s="416"/>
      <c r="P388" s="416"/>
      <c r="Q388" s="416"/>
      <c r="R388" s="416"/>
      <c r="S388" s="416"/>
      <c r="T388" s="416"/>
      <c r="U388" s="416"/>
      <c r="V388" s="416"/>
      <c r="W388" s="416"/>
      <c r="X388" s="416"/>
      <c r="Y388" s="416"/>
      <c r="Z388" s="416"/>
      <c r="AA388" s="416"/>
      <c r="AB388" s="416"/>
      <c r="AC388" s="416"/>
      <c r="AD388" s="416"/>
      <c r="AE388" s="416"/>
      <c r="AF388" s="416"/>
      <c r="AG388" s="416"/>
      <c r="AH388" s="416"/>
      <c r="AI388" s="416"/>
      <c r="AJ388" s="416"/>
      <c r="AK388" s="416"/>
      <c r="AL388" s="416"/>
      <c r="AM388" s="416"/>
    </row>
    <row r="389" spans="1:39" hidden="1" outlineLevel="2" x14ac:dyDescent="0.2">
      <c r="A389" s="162"/>
      <c r="B389" s="162"/>
      <c r="C389" s="158" t="s">
        <v>124</v>
      </c>
      <c r="D389" s="171">
        <f t="shared" ref="D389:I389" si="309">IF(INDEX(SAChanged,$B384,7)&gt;0,ROUND(D387/INDEX(SAChanged,$B384,2),0),0)</f>
        <v>0</v>
      </c>
      <c r="E389" s="171">
        <f t="shared" si="309"/>
        <v>0</v>
      </c>
      <c r="F389" s="171">
        <f t="shared" si="309"/>
        <v>0</v>
      </c>
      <c r="G389" s="171">
        <f t="shared" si="309"/>
        <v>0</v>
      </c>
      <c r="H389" s="171">
        <f t="shared" si="309"/>
        <v>0</v>
      </c>
      <c r="I389" s="171">
        <f t="shared" si="309"/>
        <v>0</v>
      </c>
      <c r="J389" s="162"/>
      <c r="K389" s="615"/>
      <c r="L389" s="640"/>
      <c r="M389" s="162"/>
      <c r="N389" s="615"/>
      <c r="O389" s="416"/>
      <c r="P389" s="416"/>
      <c r="Q389" s="416"/>
      <c r="R389" s="416"/>
      <c r="S389" s="416"/>
      <c r="T389" s="416"/>
      <c r="U389" s="416"/>
      <c r="V389" s="416"/>
      <c r="W389" s="416"/>
      <c r="X389" s="416"/>
      <c r="Y389" s="416"/>
      <c r="Z389" s="416"/>
      <c r="AA389" s="416"/>
      <c r="AB389" s="416"/>
      <c r="AC389" s="416"/>
      <c r="AD389" s="416"/>
      <c r="AE389" s="416"/>
      <c r="AF389" s="416"/>
      <c r="AG389" s="416"/>
      <c r="AH389" s="416"/>
      <c r="AI389" s="416"/>
      <c r="AJ389" s="416"/>
      <c r="AK389" s="416"/>
      <c r="AL389" s="416"/>
      <c r="AM389" s="416"/>
    </row>
    <row r="390" spans="1:39" hidden="1" outlineLevel="2" x14ac:dyDescent="0.2">
      <c r="A390" s="162"/>
      <c r="B390" s="162"/>
      <c r="C390" s="158" t="s">
        <v>125</v>
      </c>
      <c r="D390" s="171">
        <f t="shared" ref="D390:I390" si="310">IF(INDEX(SAChanged,$B384,7)&gt;0,ROUND(D388/INDEX(SAChanged,$B384,2),0),0)</f>
        <v>0</v>
      </c>
      <c r="E390" s="171">
        <f t="shared" si="310"/>
        <v>0</v>
      </c>
      <c r="F390" s="171">
        <f t="shared" si="310"/>
        <v>0</v>
      </c>
      <c r="G390" s="171">
        <f t="shared" si="310"/>
        <v>0</v>
      </c>
      <c r="H390" s="171">
        <f t="shared" si="310"/>
        <v>0</v>
      </c>
      <c r="I390" s="171">
        <f t="shared" si="310"/>
        <v>0</v>
      </c>
      <c r="J390" s="162"/>
      <c r="K390" s="615"/>
      <c r="L390" s="640"/>
      <c r="M390" s="162"/>
      <c r="N390" s="615"/>
      <c r="O390" s="416"/>
      <c r="P390" s="416"/>
      <c r="Q390" s="416"/>
      <c r="R390" s="416"/>
      <c r="S390" s="416"/>
      <c r="T390" s="416"/>
      <c r="U390" s="416"/>
      <c r="V390" s="416"/>
      <c r="W390" s="416"/>
      <c r="X390" s="416"/>
      <c r="Y390" s="416"/>
      <c r="Z390" s="416"/>
      <c r="AA390" s="416"/>
      <c r="AB390" s="416"/>
      <c r="AC390" s="416"/>
      <c r="AD390" s="416"/>
      <c r="AE390" s="416"/>
      <c r="AF390" s="416"/>
      <c r="AG390" s="416"/>
      <c r="AH390" s="416"/>
      <c r="AI390" s="416"/>
      <c r="AJ390" s="416"/>
      <c r="AK390" s="416"/>
      <c r="AL390" s="416"/>
      <c r="AM390" s="416"/>
    </row>
    <row r="391" spans="1:39" hidden="1" outlineLevel="1" collapsed="1" x14ac:dyDescent="0.2">
      <c r="A391" s="162"/>
      <c r="B391" s="162"/>
      <c r="C391" s="695"/>
      <c r="D391" s="690"/>
      <c r="E391" s="694"/>
      <c r="F391" s="694"/>
      <c r="G391" s="694"/>
      <c r="H391" s="694"/>
      <c r="I391" s="694"/>
      <c r="J391" s="694"/>
      <c r="K391" s="694"/>
      <c r="L391" s="162"/>
      <c r="M391" s="162"/>
      <c r="N391" s="162"/>
      <c r="O391" s="416"/>
      <c r="P391" s="416"/>
      <c r="Q391" s="416"/>
      <c r="R391" s="416"/>
      <c r="S391" s="416"/>
      <c r="T391" s="416"/>
      <c r="U391" s="416"/>
      <c r="V391" s="416"/>
      <c r="W391" s="416"/>
      <c r="X391" s="416"/>
      <c r="Y391" s="416"/>
      <c r="Z391" s="416"/>
      <c r="AA391" s="416"/>
      <c r="AB391" s="416"/>
      <c r="AC391" s="416"/>
      <c r="AD391" s="416"/>
      <c r="AE391" s="416"/>
      <c r="AF391" s="416"/>
      <c r="AG391" s="416"/>
      <c r="AH391" s="416"/>
      <c r="AI391" s="416"/>
      <c r="AJ391" s="416"/>
      <c r="AK391" s="416"/>
      <c r="AL391" s="416"/>
      <c r="AM391" s="416"/>
    </row>
    <row r="392" spans="1:39" ht="15" hidden="1" outlineLevel="1" x14ac:dyDescent="0.2">
      <c r="A392" s="162"/>
      <c r="B392" s="298">
        <v>5</v>
      </c>
      <c r="C392" s="147" t="str">
        <f>INDEX(PBSScriptsChanged,B392,1)</f>
        <v>** NOT USED **</v>
      </c>
      <c r="D392" s="139"/>
      <c r="E392" s="139"/>
      <c r="F392" s="139"/>
      <c r="G392" s="139"/>
      <c r="H392" s="139"/>
      <c r="I392" s="139"/>
      <c r="J392" s="139"/>
      <c r="K392" s="139"/>
      <c r="L392" s="133"/>
      <c r="M392" s="133"/>
      <c r="N392" s="133"/>
      <c r="O392" s="127"/>
      <c r="P392" s="127"/>
      <c r="Q392" s="127"/>
      <c r="R392" s="127"/>
      <c r="S392" s="127"/>
      <c r="T392" s="127"/>
      <c r="U392" s="127"/>
      <c r="V392" s="127"/>
      <c r="W392" s="127"/>
      <c r="X392" s="127"/>
      <c r="Y392" s="127"/>
      <c r="Z392" s="127"/>
      <c r="AA392" s="127"/>
      <c r="AB392" s="127"/>
      <c r="AC392" s="127"/>
      <c r="AD392" s="127"/>
      <c r="AE392" s="127"/>
      <c r="AF392" s="127"/>
      <c r="AG392" s="127"/>
      <c r="AH392" s="127"/>
      <c r="AI392" s="127"/>
      <c r="AJ392" s="127"/>
      <c r="AK392" s="127"/>
      <c r="AL392" s="127"/>
      <c r="AM392" s="127"/>
    </row>
    <row r="393" spans="1:39" hidden="1" outlineLevel="2" x14ac:dyDescent="0.2">
      <c r="A393" s="162"/>
      <c r="B393" s="162"/>
      <c r="C393" s="615"/>
      <c r="D393" s="397">
        <v>2</v>
      </c>
      <c r="E393" s="397">
        <v>3</v>
      </c>
      <c r="F393" s="397">
        <v>4</v>
      </c>
      <c r="G393" s="397">
        <v>5</v>
      </c>
      <c r="H393" s="397">
        <v>6</v>
      </c>
      <c r="I393" s="397">
        <v>7</v>
      </c>
      <c r="J393" s="624"/>
      <c r="K393" s="615"/>
      <c r="L393" s="615"/>
      <c r="M393" s="615"/>
      <c r="N393" s="615"/>
      <c r="O393" s="416"/>
      <c r="P393" s="416"/>
      <c r="Q393" s="416"/>
      <c r="R393" s="416"/>
      <c r="S393" s="416"/>
      <c r="T393" s="416"/>
      <c r="U393" s="416"/>
      <c r="V393" s="416"/>
      <c r="W393" s="416"/>
      <c r="X393" s="416"/>
      <c r="Y393" s="416"/>
      <c r="Z393" s="416"/>
      <c r="AA393" s="416"/>
      <c r="AB393" s="416"/>
      <c r="AC393" s="416"/>
      <c r="AD393" s="416"/>
      <c r="AE393" s="416"/>
      <c r="AF393" s="416"/>
      <c r="AG393" s="416"/>
      <c r="AH393" s="416"/>
      <c r="AI393" s="416"/>
      <c r="AJ393" s="416"/>
      <c r="AK393" s="416"/>
      <c r="AL393" s="416"/>
      <c r="AM393" s="416"/>
    </row>
    <row r="394" spans="1:39" hidden="1" outlineLevel="2" x14ac:dyDescent="0.2">
      <c r="A394" s="162"/>
      <c r="B394" s="162"/>
      <c r="C394" s="162"/>
      <c r="D394" s="630">
        <f>FirstYear</f>
        <v>2021</v>
      </c>
      <c r="E394" s="630">
        <f>D394+1</f>
        <v>2022</v>
      </c>
      <c r="F394" s="630">
        <f>E394+1</f>
        <v>2023</v>
      </c>
      <c r="G394" s="630">
        <f>F394+1</f>
        <v>2024</v>
      </c>
      <c r="H394" s="630">
        <f>G394+1</f>
        <v>2025</v>
      </c>
      <c r="I394" s="630">
        <f>H394+1</f>
        <v>2026</v>
      </c>
      <c r="J394" s="162"/>
      <c r="K394" s="162"/>
      <c r="L394" s="162"/>
      <c r="M394" s="162"/>
      <c r="N394" s="162"/>
      <c r="O394" s="416"/>
      <c r="P394" s="416"/>
      <c r="Q394" s="416"/>
      <c r="R394" s="416"/>
      <c r="S394" s="416"/>
      <c r="T394" s="416"/>
      <c r="U394" s="416"/>
      <c r="V394" s="416"/>
      <c r="W394" s="416"/>
      <c r="X394" s="416"/>
      <c r="Y394" s="416"/>
      <c r="Z394" s="416"/>
      <c r="AA394" s="416"/>
      <c r="AB394" s="416"/>
      <c r="AC394" s="416"/>
      <c r="AD394" s="416"/>
      <c r="AE394" s="416"/>
      <c r="AF394" s="416"/>
      <c r="AG394" s="416"/>
      <c r="AH394" s="416"/>
      <c r="AI394" s="416"/>
      <c r="AJ394" s="416"/>
      <c r="AK394" s="416"/>
      <c r="AL394" s="416"/>
      <c r="AM394" s="416"/>
    </row>
    <row r="395" spans="1:39" hidden="1" outlineLevel="2" x14ac:dyDescent="0.2">
      <c r="A395" s="162"/>
      <c r="B395" s="162"/>
      <c r="C395" s="170" t="s">
        <v>122</v>
      </c>
      <c r="D395" s="171">
        <f t="shared" ref="D395:I395" si="311">INDEX(PBSScriptsChanged,$B392,D393)</f>
        <v>0</v>
      </c>
      <c r="E395" s="171">
        <f t="shared" si="311"/>
        <v>0</v>
      </c>
      <c r="F395" s="171">
        <f t="shared" si="311"/>
        <v>0</v>
      </c>
      <c r="G395" s="171">
        <f t="shared" si="311"/>
        <v>0</v>
      </c>
      <c r="H395" s="171">
        <f t="shared" si="311"/>
        <v>0</v>
      </c>
      <c r="I395" s="171">
        <f t="shared" si="311"/>
        <v>0</v>
      </c>
      <c r="J395" s="162"/>
      <c r="K395" s="162"/>
      <c r="L395" s="162"/>
      <c r="M395" s="162"/>
      <c r="N395" s="693"/>
      <c r="O395" s="416"/>
      <c r="P395" s="416"/>
      <c r="Q395" s="416"/>
      <c r="R395" s="416"/>
      <c r="S395" s="416"/>
      <c r="T395" s="416"/>
      <c r="U395" s="416"/>
      <c r="V395" s="416"/>
      <c r="W395" s="416"/>
      <c r="X395" s="416"/>
      <c r="Y395" s="416"/>
      <c r="Z395" s="416"/>
      <c r="AA395" s="416"/>
      <c r="AB395" s="416"/>
      <c r="AC395" s="416"/>
      <c r="AD395" s="416"/>
      <c r="AE395" s="416"/>
      <c r="AF395" s="416"/>
      <c r="AG395" s="416"/>
      <c r="AH395" s="416"/>
      <c r="AI395" s="416"/>
      <c r="AJ395" s="416"/>
      <c r="AK395" s="416"/>
      <c r="AL395" s="416"/>
      <c r="AM395" s="416"/>
    </row>
    <row r="396" spans="1:39" hidden="1" outlineLevel="2" x14ac:dyDescent="0.2">
      <c r="A396" s="162"/>
      <c r="B396" s="162"/>
      <c r="C396" s="170" t="s">
        <v>123</v>
      </c>
      <c r="D396" s="171">
        <f t="shared" ref="D396:I396" si="312">INDEX(RPBSScriptsChanged,$B392,D393)</f>
        <v>0</v>
      </c>
      <c r="E396" s="171">
        <f t="shared" si="312"/>
        <v>0</v>
      </c>
      <c r="F396" s="171">
        <f t="shared" si="312"/>
        <v>0</v>
      </c>
      <c r="G396" s="171">
        <f t="shared" si="312"/>
        <v>0</v>
      </c>
      <c r="H396" s="171">
        <f t="shared" si="312"/>
        <v>0</v>
      </c>
      <c r="I396" s="171">
        <f t="shared" si="312"/>
        <v>0</v>
      </c>
      <c r="J396" s="162"/>
      <c r="K396" s="162"/>
      <c r="L396" s="162"/>
      <c r="M396" s="162"/>
      <c r="N396" s="162"/>
      <c r="O396" s="416"/>
      <c r="P396" s="416"/>
      <c r="Q396" s="416"/>
      <c r="R396" s="416"/>
      <c r="S396" s="416"/>
      <c r="T396" s="416"/>
      <c r="U396" s="416"/>
      <c r="V396" s="416"/>
      <c r="W396" s="416"/>
      <c r="X396" s="416"/>
      <c r="Y396" s="416"/>
      <c r="Z396" s="416"/>
      <c r="AA396" s="416"/>
      <c r="AB396" s="416"/>
      <c r="AC396" s="416"/>
      <c r="AD396" s="416"/>
      <c r="AE396" s="416"/>
      <c r="AF396" s="416"/>
      <c r="AG396" s="416"/>
      <c r="AH396" s="416"/>
      <c r="AI396" s="416"/>
      <c r="AJ396" s="416"/>
      <c r="AK396" s="416"/>
      <c r="AL396" s="416"/>
      <c r="AM396" s="416"/>
    </row>
    <row r="397" spans="1:39" hidden="1" outlineLevel="2" x14ac:dyDescent="0.2">
      <c r="A397" s="162"/>
      <c r="B397" s="162"/>
      <c r="C397" s="158" t="s">
        <v>124</v>
      </c>
      <c r="D397" s="171">
        <f t="shared" ref="D397:I397" si="313">IF(INDEX(SAChanged,$B392,7)&gt;0,ROUND(D395/INDEX(SAChanged,$B392,2),0),0)</f>
        <v>0</v>
      </c>
      <c r="E397" s="171">
        <f t="shared" si="313"/>
        <v>0</v>
      </c>
      <c r="F397" s="171">
        <f t="shared" si="313"/>
        <v>0</v>
      </c>
      <c r="G397" s="171">
        <f t="shared" si="313"/>
        <v>0</v>
      </c>
      <c r="H397" s="171">
        <f t="shared" si="313"/>
        <v>0</v>
      </c>
      <c r="I397" s="171">
        <f t="shared" si="313"/>
        <v>0</v>
      </c>
      <c r="J397" s="162"/>
      <c r="K397" s="615"/>
      <c r="L397" s="640"/>
      <c r="M397" s="162"/>
      <c r="N397" s="615"/>
      <c r="O397" s="416"/>
      <c r="P397" s="416"/>
      <c r="Q397" s="416"/>
      <c r="R397" s="416"/>
      <c r="S397" s="416"/>
      <c r="T397" s="416"/>
      <c r="U397" s="416"/>
      <c r="V397" s="416"/>
      <c r="W397" s="416"/>
      <c r="X397" s="416"/>
      <c r="Y397" s="416"/>
      <c r="Z397" s="416"/>
      <c r="AA397" s="416"/>
      <c r="AB397" s="416"/>
      <c r="AC397" s="416"/>
      <c r="AD397" s="416"/>
      <c r="AE397" s="416"/>
      <c r="AF397" s="416"/>
      <c r="AG397" s="416"/>
      <c r="AH397" s="416"/>
      <c r="AI397" s="416"/>
      <c r="AJ397" s="416"/>
      <c r="AK397" s="416"/>
      <c r="AL397" s="416"/>
      <c r="AM397" s="416"/>
    </row>
    <row r="398" spans="1:39" hidden="1" outlineLevel="2" x14ac:dyDescent="0.2">
      <c r="A398" s="162"/>
      <c r="B398" s="162"/>
      <c r="C398" s="158" t="s">
        <v>125</v>
      </c>
      <c r="D398" s="171">
        <f t="shared" ref="D398:I398" si="314">IF(INDEX(SAChanged,$B392,7)&gt;0,ROUND(D396/INDEX(SAChanged,$B392,2),0),0)</f>
        <v>0</v>
      </c>
      <c r="E398" s="171">
        <f t="shared" si="314"/>
        <v>0</v>
      </c>
      <c r="F398" s="171">
        <f t="shared" si="314"/>
        <v>0</v>
      </c>
      <c r="G398" s="171">
        <f t="shared" si="314"/>
        <v>0</v>
      </c>
      <c r="H398" s="171">
        <f t="shared" si="314"/>
        <v>0</v>
      </c>
      <c r="I398" s="171">
        <f t="shared" si="314"/>
        <v>0</v>
      </c>
      <c r="J398" s="162"/>
      <c r="K398" s="615"/>
      <c r="L398" s="640"/>
      <c r="M398" s="162"/>
      <c r="N398" s="615"/>
      <c r="O398" s="416"/>
      <c r="P398" s="416"/>
      <c r="Q398" s="416"/>
      <c r="R398" s="416"/>
      <c r="S398" s="416"/>
      <c r="T398" s="416"/>
      <c r="U398" s="416"/>
      <c r="V398" s="416"/>
      <c r="W398" s="416"/>
      <c r="X398" s="416"/>
      <c r="Y398" s="416"/>
      <c r="Z398" s="416"/>
      <c r="AA398" s="416"/>
      <c r="AB398" s="416"/>
      <c r="AC398" s="416"/>
      <c r="AD398" s="416"/>
      <c r="AE398" s="416"/>
      <c r="AF398" s="416"/>
      <c r="AG398" s="416"/>
      <c r="AH398" s="416"/>
      <c r="AI398" s="416"/>
      <c r="AJ398" s="416"/>
      <c r="AK398" s="416"/>
      <c r="AL398" s="416"/>
      <c r="AM398" s="416"/>
    </row>
    <row r="399" spans="1:39" hidden="1" outlineLevel="1" collapsed="1" x14ac:dyDescent="0.2">
      <c r="A399" s="162"/>
      <c r="B399" s="162"/>
      <c r="C399" s="695"/>
      <c r="D399" s="690"/>
      <c r="E399" s="694"/>
      <c r="F399" s="694"/>
      <c r="G399" s="694"/>
      <c r="H399" s="694"/>
      <c r="I399" s="694"/>
      <c r="J399" s="694"/>
      <c r="K399" s="694"/>
      <c r="L399" s="162"/>
      <c r="M399" s="162"/>
      <c r="N399" s="162"/>
      <c r="O399" s="416"/>
      <c r="P399" s="416"/>
      <c r="Q399" s="416"/>
      <c r="R399" s="416"/>
      <c r="S399" s="416"/>
      <c r="T399" s="416"/>
      <c r="U399" s="416"/>
      <c r="V399" s="416"/>
      <c r="W399" s="416"/>
      <c r="X399" s="416"/>
      <c r="Y399" s="416"/>
      <c r="Z399" s="416"/>
      <c r="AA399" s="416"/>
      <c r="AB399" s="416"/>
      <c r="AC399" s="416"/>
      <c r="AD399" s="416"/>
      <c r="AE399" s="416"/>
      <c r="AF399" s="416"/>
      <c r="AG399" s="416"/>
      <c r="AH399" s="416"/>
      <c r="AI399" s="416"/>
      <c r="AJ399" s="416"/>
      <c r="AK399" s="416"/>
      <c r="AL399" s="416"/>
      <c r="AM399" s="416"/>
    </row>
    <row r="400" spans="1:39" ht="15" hidden="1" outlineLevel="1" x14ac:dyDescent="0.2">
      <c r="A400" s="162"/>
      <c r="B400" s="298">
        <v>6</v>
      </c>
      <c r="C400" s="147" t="str">
        <f>INDEX(PBSScriptsChanged,B400,1)</f>
        <v>** NOT USED **</v>
      </c>
      <c r="D400" s="139"/>
      <c r="E400" s="139"/>
      <c r="F400" s="139"/>
      <c r="G400" s="139"/>
      <c r="H400" s="139"/>
      <c r="I400" s="139"/>
      <c r="J400" s="139"/>
      <c r="K400" s="139"/>
      <c r="L400" s="133"/>
      <c r="M400" s="133"/>
      <c r="N400" s="133"/>
      <c r="O400" s="127"/>
      <c r="P400" s="127"/>
      <c r="Q400" s="127"/>
      <c r="R400" s="127"/>
      <c r="S400" s="127"/>
      <c r="T400" s="127"/>
      <c r="U400" s="127"/>
      <c r="V400" s="127"/>
      <c r="W400" s="127"/>
      <c r="X400" s="127"/>
      <c r="Y400" s="127"/>
      <c r="Z400" s="127"/>
      <c r="AA400" s="127"/>
      <c r="AB400" s="127"/>
      <c r="AC400" s="127"/>
      <c r="AD400" s="127"/>
      <c r="AE400" s="127"/>
      <c r="AF400" s="127"/>
      <c r="AG400" s="127"/>
      <c r="AH400" s="127"/>
      <c r="AI400" s="127"/>
      <c r="AJ400" s="127"/>
      <c r="AK400" s="127"/>
      <c r="AL400" s="127"/>
      <c r="AM400" s="127"/>
    </row>
    <row r="401" spans="1:39" hidden="1" outlineLevel="2" x14ac:dyDescent="0.2">
      <c r="A401" s="162"/>
      <c r="B401" s="162"/>
      <c r="C401" s="615"/>
      <c r="D401" s="397">
        <v>2</v>
      </c>
      <c r="E401" s="397">
        <v>3</v>
      </c>
      <c r="F401" s="397">
        <v>4</v>
      </c>
      <c r="G401" s="397">
        <v>5</v>
      </c>
      <c r="H401" s="397">
        <v>6</v>
      </c>
      <c r="I401" s="397">
        <v>7</v>
      </c>
      <c r="J401" s="624"/>
      <c r="K401" s="615"/>
      <c r="L401" s="615"/>
      <c r="M401" s="615"/>
      <c r="N401" s="615"/>
      <c r="O401" s="416"/>
      <c r="P401" s="416"/>
      <c r="Q401" s="416"/>
      <c r="R401" s="416"/>
      <c r="S401" s="416"/>
      <c r="T401" s="416"/>
      <c r="U401" s="416"/>
      <c r="V401" s="416"/>
      <c r="W401" s="416"/>
      <c r="X401" s="416"/>
      <c r="Y401" s="416"/>
      <c r="Z401" s="416"/>
      <c r="AA401" s="416"/>
      <c r="AB401" s="416"/>
      <c r="AC401" s="416"/>
      <c r="AD401" s="416"/>
      <c r="AE401" s="416"/>
      <c r="AF401" s="416"/>
      <c r="AG401" s="416"/>
      <c r="AH401" s="416"/>
      <c r="AI401" s="416"/>
      <c r="AJ401" s="416"/>
      <c r="AK401" s="416"/>
      <c r="AL401" s="416"/>
      <c r="AM401" s="416"/>
    </row>
    <row r="402" spans="1:39" hidden="1" outlineLevel="2" x14ac:dyDescent="0.2">
      <c r="A402" s="162"/>
      <c r="B402" s="162"/>
      <c r="C402" s="162"/>
      <c r="D402" s="630">
        <f>FirstYear</f>
        <v>2021</v>
      </c>
      <c r="E402" s="630">
        <f>D402+1</f>
        <v>2022</v>
      </c>
      <c r="F402" s="630">
        <f>E402+1</f>
        <v>2023</v>
      </c>
      <c r="G402" s="630">
        <f>F402+1</f>
        <v>2024</v>
      </c>
      <c r="H402" s="630">
        <f>G402+1</f>
        <v>2025</v>
      </c>
      <c r="I402" s="630">
        <f>H402+1</f>
        <v>2026</v>
      </c>
      <c r="J402" s="162"/>
      <c r="K402" s="162"/>
      <c r="L402" s="162"/>
      <c r="M402" s="162"/>
      <c r="N402" s="162"/>
      <c r="O402" s="416"/>
      <c r="P402" s="416"/>
      <c r="Q402" s="416"/>
      <c r="R402" s="416"/>
      <c r="S402" s="416"/>
      <c r="T402" s="416"/>
      <c r="U402" s="416"/>
      <c r="V402" s="416"/>
      <c r="W402" s="416"/>
      <c r="X402" s="416"/>
      <c r="Y402" s="416"/>
      <c r="Z402" s="416"/>
      <c r="AA402" s="416"/>
      <c r="AB402" s="416"/>
      <c r="AC402" s="416"/>
      <c r="AD402" s="416"/>
      <c r="AE402" s="416"/>
      <c r="AF402" s="416"/>
      <c r="AG402" s="416"/>
      <c r="AH402" s="416"/>
      <c r="AI402" s="416"/>
      <c r="AJ402" s="416"/>
      <c r="AK402" s="416"/>
      <c r="AL402" s="416"/>
      <c r="AM402" s="416"/>
    </row>
    <row r="403" spans="1:39" hidden="1" outlineLevel="2" x14ac:dyDescent="0.2">
      <c r="A403" s="162"/>
      <c r="B403" s="162"/>
      <c r="C403" s="170" t="s">
        <v>122</v>
      </c>
      <c r="D403" s="171">
        <f t="shared" ref="D403:I403" si="315">INDEX(PBSScriptsChanged,$B400,D401)</f>
        <v>0</v>
      </c>
      <c r="E403" s="171">
        <f t="shared" si="315"/>
        <v>0</v>
      </c>
      <c r="F403" s="171">
        <f t="shared" si="315"/>
        <v>0</v>
      </c>
      <c r="G403" s="171">
        <f t="shared" si="315"/>
        <v>0</v>
      </c>
      <c r="H403" s="171">
        <f t="shared" si="315"/>
        <v>0</v>
      </c>
      <c r="I403" s="171">
        <f t="shared" si="315"/>
        <v>0</v>
      </c>
      <c r="J403" s="162"/>
      <c r="K403" s="162"/>
      <c r="L403" s="162"/>
      <c r="M403" s="162"/>
      <c r="N403" s="693"/>
      <c r="O403" s="416"/>
      <c r="P403" s="416"/>
      <c r="Q403" s="416"/>
      <c r="R403" s="416"/>
      <c r="S403" s="416"/>
      <c r="T403" s="416"/>
      <c r="U403" s="416"/>
      <c r="V403" s="416"/>
      <c r="W403" s="416"/>
      <c r="X403" s="416"/>
      <c r="Y403" s="416"/>
      <c r="Z403" s="416"/>
      <c r="AA403" s="416"/>
      <c r="AB403" s="416"/>
      <c r="AC403" s="416"/>
      <c r="AD403" s="416"/>
      <c r="AE403" s="416"/>
      <c r="AF403" s="416"/>
      <c r="AG403" s="416"/>
      <c r="AH403" s="416"/>
      <c r="AI403" s="416"/>
      <c r="AJ403" s="416"/>
      <c r="AK403" s="416"/>
      <c r="AL403" s="416"/>
      <c r="AM403" s="416"/>
    </row>
    <row r="404" spans="1:39" hidden="1" outlineLevel="2" x14ac:dyDescent="0.2">
      <c r="A404" s="162"/>
      <c r="B404" s="162"/>
      <c r="C404" s="170" t="s">
        <v>123</v>
      </c>
      <c r="D404" s="171">
        <f t="shared" ref="D404:I404" si="316">INDEX(RPBSScriptsChanged,$B400,D401)</f>
        <v>0</v>
      </c>
      <c r="E404" s="171">
        <f t="shared" si="316"/>
        <v>0</v>
      </c>
      <c r="F404" s="171">
        <f t="shared" si="316"/>
        <v>0</v>
      </c>
      <c r="G404" s="171">
        <f t="shared" si="316"/>
        <v>0</v>
      </c>
      <c r="H404" s="171">
        <f t="shared" si="316"/>
        <v>0</v>
      </c>
      <c r="I404" s="171">
        <f t="shared" si="316"/>
        <v>0</v>
      </c>
      <c r="J404" s="162"/>
      <c r="K404" s="162"/>
      <c r="L404" s="162"/>
      <c r="M404" s="162"/>
      <c r="N404" s="162"/>
      <c r="O404" s="416"/>
      <c r="P404" s="416"/>
      <c r="Q404" s="416"/>
      <c r="R404" s="416"/>
      <c r="S404" s="416"/>
      <c r="T404" s="416"/>
      <c r="U404" s="416"/>
      <c r="V404" s="416"/>
      <c r="W404" s="416"/>
      <c r="X404" s="416"/>
      <c r="Y404" s="416"/>
      <c r="Z404" s="416"/>
      <c r="AA404" s="416"/>
      <c r="AB404" s="416"/>
      <c r="AC404" s="416"/>
      <c r="AD404" s="416"/>
      <c r="AE404" s="416"/>
      <c r="AF404" s="416"/>
      <c r="AG404" s="416"/>
      <c r="AH404" s="416"/>
      <c r="AI404" s="416"/>
      <c r="AJ404" s="416"/>
      <c r="AK404" s="416"/>
      <c r="AL404" s="416"/>
      <c r="AM404" s="416"/>
    </row>
    <row r="405" spans="1:39" hidden="1" outlineLevel="2" x14ac:dyDescent="0.2">
      <c r="A405" s="162"/>
      <c r="B405" s="162"/>
      <c r="C405" s="158" t="s">
        <v>124</v>
      </c>
      <c r="D405" s="171">
        <f t="shared" ref="D405:I405" si="317">IF(INDEX(SAChanged,$B400,7)&gt;0,ROUND(D403/INDEX(SAChanged,$B400,2),0),0)</f>
        <v>0</v>
      </c>
      <c r="E405" s="171">
        <f t="shared" si="317"/>
        <v>0</v>
      </c>
      <c r="F405" s="171">
        <f t="shared" si="317"/>
        <v>0</v>
      </c>
      <c r="G405" s="171">
        <f t="shared" si="317"/>
        <v>0</v>
      </c>
      <c r="H405" s="171">
        <f t="shared" si="317"/>
        <v>0</v>
      </c>
      <c r="I405" s="171">
        <f t="shared" si="317"/>
        <v>0</v>
      </c>
      <c r="J405" s="162"/>
      <c r="K405" s="615"/>
      <c r="L405" s="640"/>
      <c r="M405" s="162"/>
      <c r="N405" s="615"/>
      <c r="O405" s="416"/>
      <c r="P405" s="416"/>
      <c r="Q405" s="416"/>
      <c r="R405" s="416"/>
      <c r="S405" s="416"/>
      <c r="T405" s="416"/>
      <c r="U405" s="416"/>
      <c r="V405" s="416"/>
      <c r="W405" s="416"/>
      <c r="X405" s="416"/>
      <c r="Y405" s="416"/>
      <c r="Z405" s="416"/>
      <c r="AA405" s="416"/>
      <c r="AB405" s="416"/>
      <c r="AC405" s="416"/>
      <c r="AD405" s="416"/>
      <c r="AE405" s="416"/>
      <c r="AF405" s="416"/>
      <c r="AG405" s="416"/>
      <c r="AH405" s="416"/>
      <c r="AI405" s="416"/>
      <c r="AJ405" s="416"/>
      <c r="AK405" s="416"/>
      <c r="AL405" s="416"/>
      <c r="AM405" s="416"/>
    </row>
    <row r="406" spans="1:39" hidden="1" outlineLevel="2" x14ac:dyDescent="0.2">
      <c r="A406" s="162"/>
      <c r="B406" s="162"/>
      <c r="C406" s="158" t="s">
        <v>125</v>
      </c>
      <c r="D406" s="171">
        <f t="shared" ref="D406:I406" si="318">IF(INDEX(SAChanged,$B400,7)&gt;0,ROUND(D404/INDEX(SAChanged,$B400,2),0),0)</f>
        <v>0</v>
      </c>
      <c r="E406" s="171">
        <f t="shared" si="318"/>
        <v>0</v>
      </c>
      <c r="F406" s="171">
        <f t="shared" si="318"/>
        <v>0</v>
      </c>
      <c r="G406" s="171">
        <f t="shared" si="318"/>
        <v>0</v>
      </c>
      <c r="H406" s="171">
        <f t="shared" si="318"/>
        <v>0</v>
      </c>
      <c r="I406" s="171">
        <f t="shared" si="318"/>
        <v>0</v>
      </c>
      <c r="J406" s="162"/>
      <c r="K406" s="615"/>
      <c r="L406" s="640"/>
      <c r="M406" s="162"/>
      <c r="N406" s="615"/>
      <c r="O406" s="416"/>
      <c r="P406" s="416"/>
      <c r="Q406" s="416"/>
      <c r="R406" s="416"/>
      <c r="S406" s="416"/>
      <c r="T406" s="416"/>
      <c r="U406" s="416"/>
      <c r="V406" s="416"/>
      <c r="W406" s="416"/>
      <c r="X406" s="416"/>
      <c r="Y406" s="416"/>
      <c r="Z406" s="416"/>
      <c r="AA406" s="416"/>
      <c r="AB406" s="416"/>
      <c r="AC406" s="416"/>
      <c r="AD406" s="416"/>
      <c r="AE406" s="416"/>
      <c r="AF406" s="416"/>
      <c r="AG406" s="416"/>
      <c r="AH406" s="416"/>
      <c r="AI406" s="416"/>
      <c r="AJ406" s="416"/>
      <c r="AK406" s="416"/>
      <c r="AL406" s="416"/>
      <c r="AM406" s="416"/>
    </row>
    <row r="407" spans="1:39" hidden="1" outlineLevel="1" collapsed="1" x14ac:dyDescent="0.2">
      <c r="A407" s="162"/>
      <c r="B407" s="162"/>
      <c r="C407" s="695"/>
      <c r="D407" s="690"/>
      <c r="E407" s="694"/>
      <c r="F407" s="694"/>
      <c r="G407" s="694"/>
      <c r="H407" s="694"/>
      <c r="I407" s="694"/>
      <c r="J407" s="694"/>
      <c r="K407" s="694"/>
      <c r="L407" s="162"/>
      <c r="M407" s="162"/>
      <c r="N407" s="162"/>
      <c r="O407" s="416"/>
      <c r="P407" s="416"/>
      <c r="Q407" s="416"/>
      <c r="R407" s="416"/>
      <c r="S407" s="416"/>
      <c r="T407" s="416"/>
      <c r="U407" s="416"/>
      <c r="V407" s="416"/>
      <c r="W407" s="416"/>
      <c r="X407" s="416"/>
      <c r="Y407" s="416"/>
      <c r="Z407" s="416"/>
      <c r="AA407" s="416"/>
      <c r="AB407" s="416"/>
      <c r="AC407" s="416"/>
      <c r="AD407" s="416"/>
      <c r="AE407" s="416"/>
      <c r="AF407" s="416"/>
      <c r="AG407" s="416"/>
      <c r="AH407" s="416"/>
      <c r="AI407" s="416"/>
      <c r="AJ407" s="416"/>
      <c r="AK407" s="416"/>
      <c r="AL407" s="416"/>
      <c r="AM407" s="416"/>
    </row>
    <row r="408" spans="1:39" ht="15" hidden="1" outlineLevel="1" x14ac:dyDescent="0.2">
      <c r="A408" s="162"/>
      <c r="B408" s="298">
        <v>7</v>
      </c>
      <c r="C408" s="147" t="str">
        <f>INDEX(PBSScriptsChanged,B408,1)</f>
        <v>** NOT USED **</v>
      </c>
      <c r="D408" s="139"/>
      <c r="E408" s="139"/>
      <c r="F408" s="139"/>
      <c r="G408" s="139"/>
      <c r="H408" s="139"/>
      <c r="I408" s="139"/>
      <c r="J408" s="139"/>
      <c r="K408" s="139"/>
      <c r="L408" s="133"/>
      <c r="M408" s="133"/>
      <c r="N408" s="133"/>
      <c r="O408" s="127"/>
      <c r="P408" s="127"/>
      <c r="Q408" s="127"/>
      <c r="R408" s="127"/>
      <c r="S408" s="127"/>
      <c r="T408" s="127"/>
      <c r="U408" s="127"/>
      <c r="V408" s="127"/>
      <c r="W408" s="127"/>
      <c r="X408" s="127"/>
      <c r="Y408" s="127"/>
      <c r="Z408" s="127"/>
      <c r="AA408" s="127"/>
      <c r="AB408" s="127"/>
      <c r="AC408" s="127"/>
      <c r="AD408" s="127"/>
      <c r="AE408" s="127"/>
      <c r="AF408" s="127"/>
      <c r="AG408" s="127"/>
      <c r="AH408" s="127"/>
      <c r="AI408" s="127"/>
      <c r="AJ408" s="127"/>
      <c r="AK408" s="127"/>
      <c r="AL408" s="127"/>
      <c r="AM408" s="127"/>
    </row>
    <row r="409" spans="1:39" hidden="1" outlineLevel="2" x14ac:dyDescent="0.2">
      <c r="A409" s="162"/>
      <c r="B409" s="162"/>
      <c r="C409" s="615"/>
      <c r="D409" s="397">
        <v>2</v>
      </c>
      <c r="E409" s="397">
        <v>3</v>
      </c>
      <c r="F409" s="397">
        <v>4</v>
      </c>
      <c r="G409" s="397">
        <v>5</v>
      </c>
      <c r="H409" s="397">
        <v>6</v>
      </c>
      <c r="I409" s="397">
        <v>7</v>
      </c>
      <c r="J409" s="624"/>
      <c r="K409" s="615"/>
      <c r="L409" s="615"/>
      <c r="M409" s="615"/>
      <c r="N409" s="615"/>
      <c r="O409" s="416"/>
      <c r="P409" s="416"/>
      <c r="Q409" s="416"/>
      <c r="R409" s="416"/>
      <c r="S409" s="416"/>
      <c r="T409" s="416"/>
      <c r="U409" s="416"/>
      <c r="V409" s="416"/>
      <c r="W409" s="416"/>
      <c r="X409" s="416"/>
      <c r="Y409" s="416"/>
      <c r="Z409" s="416"/>
      <c r="AA409" s="416"/>
      <c r="AB409" s="416"/>
      <c r="AC409" s="416"/>
      <c r="AD409" s="416"/>
      <c r="AE409" s="416"/>
      <c r="AF409" s="416"/>
      <c r="AG409" s="416"/>
      <c r="AH409" s="416"/>
      <c r="AI409" s="416"/>
      <c r="AJ409" s="416"/>
      <c r="AK409" s="416"/>
      <c r="AL409" s="416"/>
      <c r="AM409" s="416"/>
    </row>
    <row r="410" spans="1:39" hidden="1" outlineLevel="2" x14ac:dyDescent="0.2">
      <c r="A410" s="162"/>
      <c r="B410" s="162"/>
      <c r="C410" s="162"/>
      <c r="D410" s="630">
        <f>FirstYear</f>
        <v>2021</v>
      </c>
      <c r="E410" s="630">
        <f>D410+1</f>
        <v>2022</v>
      </c>
      <c r="F410" s="630">
        <f>E410+1</f>
        <v>2023</v>
      </c>
      <c r="G410" s="630">
        <f>F410+1</f>
        <v>2024</v>
      </c>
      <c r="H410" s="630">
        <f>G410+1</f>
        <v>2025</v>
      </c>
      <c r="I410" s="630">
        <f>H410+1</f>
        <v>2026</v>
      </c>
      <c r="J410" s="162"/>
      <c r="K410" s="162"/>
      <c r="L410" s="162"/>
      <c r="M410" s="162"/>
      <c r="N410" s="162"/>
      <c r="O410" s="416"/>
      <c r="P410" s="416"/>
      <c r="Q410" s="416"/>
      <c r="R410" s="416"/>
      <c r="S410" s="416"/>
      <c r="T410" s="416"/>
      <c r="U410" s="416"/>
      <c r="V410" s="416"/>
      <c r="W410" s="416"/>
      <c r="X410" s="416"/>
      <c r="Y410" s="416"/>
      <c r="Z410" s="416"/>
      <c r="AA410" s="416"/>
      <c r="AB410" s="416"/>
      <c r="AC410" s="416"/>
      <c r="AD410" s="416"/>
      <c r="AE410" s="416"/>
      <c r="AF410" s="416"/>
      <c r="AG410" s="416"/>
      <c r="AH410" s="416"/>
      <c r="AI410" s="416"/>
      <c r="AJ410" s="416"/>
      <c r="AK410" s="416"/>
      <c r="AL410" s="416"/>
      <c r="AM410" s="416"/>
    </row>
    <row r="411" spans="1:39" hidden="1" outlineLevel="2" x14ac:dyDescent="0.2">
      <c r="A411" s="162"/>
      <c r="B411" s="162"/>
      <c r="C411" s="170" t="s">
        <v>122</v>
      </c>
      <c r="D411" s="171">
        <f t="shared" ref="D411:I411" si="319">INDEX(PBSScriptsChanged,$B408,D409)</f>
        <v>0</v>
      </c>
      <c r="E411" s="171">
        <f t="shared" si="319"/>
        <v>0</v>
      </c>
      <c r="F411" s="171">
        <f t="shared" si="319"/>
        <v>0</v>
      </c>
      <c r="G411" s="171">
        <f t="shared" si="319"/>
        <v>0</v>
      </c>
      <c r="H411" s="171">
        <f t="shared" si="319"/>
        <v>0</v>
      </c>
      <c r="I411" s="171">
        <f t="shared" si="319"/>
        <v>0</v>
      </c>
      <c r="J411" s="162"/>
      <c r="K411" s="162"/>
      <c r="L411" s="162"/>
      <c r="M411" s="162"/>
      <c r="N411" s="693"/>
      <c r="O411" s="416"/>
      <c r="P411" s="416"/>
      <c r="Q411" s="416"/>
      <c r="R411" s="416"/>
      <c r="S411" s="416"/>
      <c r="T411" s="416"/>
      <c r="U411" s="416"/>
      <c r="V411" s="416"/>
      <c r="W411" s="416"/>
      <c r="X411" s="416"/>
      <c r="Y411" s="416"/>
      <c r="Z411" s="416"/>
      <c r="AA411" s="416"/>
      <c r="AB411" s="416"/>
      <c r="AC411" s="416"/>
      <c r="AD411" s="416"/>
      <c r="AE411" s="416"/>
      <c r="AF411" s="416"/>
      <c r="AG411" s="416"/>
      <c r="AH411" s="416"/>
      <c r="AI411" s="416"/>
      <c r="AJ411" s="416"/>
      <c r="AK411" s="416"/>
      <c r="AL411" s="416"/>
      <c r="AM411" s="416"/>
    </row>
    <row r="412" spans="1:39" hidden="1" outlineLevel="2" x14ac:dyDescent="0.2">
      <c r="A412" s="162"/>
      <c r="B412" s="162"/>
      <c r="C412" s="170" t="s">
        <v>123</v>
      </c>
      <c r="D412" s="171">
        <f t="shared" ref="D412:I412" si="320">INDEX(RPBSScriptsChanged,$B408,D409)</f>
        <v>0</v>
      </c>
      <c r="E412" s="171">
        <f t="shared" si="320"/>
        <v>0</v>
      </c>
      <c r="F412" s="171">
        <f t="shared" si="320"/>
        <v>0</v>
      </c>
      <c r="G412" s="171">
        <f t="shared" si="320"/>
        <v>0</v>
      </c>
      <c r="H412" s="171">
        <f t="shared" si="320"/>
        <v>0</v>
      </c>
      <c r="I412" s="171">
        <f t="shared" si="320"/>
        <v>0</v>
      </c>
      <c r="J412" s="162"/>
      <c r="K412" s="162"/>
      <c r="L412" s="162"/>
      <c r="M412" s="162"/>
      <c r="N412" s="162"/>
      <c r="O412" s="416"/>
      <c r="P412" s="416"/>
      <c r="Q412" s="416"/>
      <c r="R412" s="416"/>
      <c r="S412" s="416"/>
      <c r="T412" s="416"/>
      <c r="U412" s="416"/>
      <c r="V412" s="416"/>
      <c r="W412" s="416"/>
      <c r="X412" s="416"/>
      <c r="Y412" s="416"/>
      <c r="Z412" s="416"/>
      <c r="AA412" s="416"/>
      <c r="AB412" s="416"/>
      <c r="AC412" s="416"/>
      <c r="AD412" s="416"/>
      <c r="AE412" s="416"/>
      <c r="AF412" s="416"/>
      <c r="AG412" s="416"/>
      <c r="AH412" s="416"/>
      <c r="AI412" s="416"/>
      <c r="AJ412" s="416"/>
      <c r="AK412" s="416"/>
      <c r="AL412" s="416"/>
      <c r="AM412" s="416"/>
    </row>
    <row r="413" spans="1:39" hidden="1" outlineLevel="2" x14ac:dyDescent="0.2">
      <c r="A413" s="162"/>
      <c r="B413" s="162"/>
      <c r="C413" s="158" t="s">
        <v>124</v>
      </c>
      <c r="D413" s="171">
        <f t="shared" ref="D413:I413" si="321">IF(INDEX(SAChanged,$B408,7)&gt;0,ROUND(D411/INDEX(SAChanged,$B408,2),0),0)</f>
        <v>0</v>
      </c>
      <c r="E413" s="171">
        <f t="shared" si="321"/>
        <v>0</v>
      </c>
      <c r="F413" s="171">
        <f t="shared" si="321"/>
        <v>0</v>
      </c>
      <c r="G413" s="171">
        <f t="shared" si="321"/>
        <v>0</v>
      </c>
      <c r="H413" s="171">
        <f t="shared" si="321"/>
        <v>0</v>
      </c>
      <c r="I413" s="171">
        <f t="shared" si="321"/>
        <v>0</v>
      </c>
      <c r="J413" s="162"/>
      <c r="K413" s="615"/>
      <c r="L413" s="640"/>
      <c r="M413" s="162"/>
      <c r="N413" s="615"/>
      <c r="O413" s="416"/>
      <c r="P413" s="416"/>
      <c r="Q413" s="416"/>
      <c r="R413" s="416"/>
      <c r="S413" s="416"/>
      <c r="T413" s="416"/>
      <c r="U413" s="416"/>
      <c r="V413" s="416"/>
      <c r="W413" s="416"/>
      <c r="X413" s="416"/>
      <c r="Y413" s="416"/>
      <c r="Z413" s="416"/>
      <c r="AA413" s="416"/>
      <c r="AB413" s="416"/>
      <c r="AC413" s="416"/>
      <c r="AD413" s="416"/>
      <c r="AE413" s="416"/>
      <c r="AF413" s="416"/>
      <c r="AG413" s="416"/>
      <c r="AH413" s="416"/>
      <c r="AI413" s="416"/>
      <c r="AJ413" s="416"/>
      <c r="AK413" s="416"/>
      <c r="AL413" s="416"/>
      <c r="AM413" s="416"/>
    </row>
    <row r="414" spans="1:39" hidden="1" outlineLevel="2" x14ac:dyDescent="0.2">
      <c r="A414" s="162"/>
      <c r="B414" s="162"/>
      <c r="C414" s="158" t="s">
        <v>125</v>
      </c>
      <c r="D414" s="171">
        <f t="shared" ref="D414:I414" si="322">IF(INDEX(SAChanged,$B408,7)&gt;0,ROUND(D412/INDEX(SAChanged,$B408,2),0),0)</f>
        <v>0</v>
      </c>
      <c r="E414" s="171">
        <f t="shared" si="322"/>
        <v>0</v>
      </c>
      <c r="F414" s="171">
        <f t="shared" si="322"/>
        <v>0</v>
      </c>
      <c r="G414" s="171">
        <f t="shared" si="322"/>
        <v>0</v>
      </c>
      <c r="H414" s="171">
        <f t="shared" si="322"/>
        <v>0</v>
      </c>
      <c r="I414" s="171">
        <f t="shared" si="322"/>
        <v>0</v>
      </c>
      <c r="J414" s="162"/>
      <c r="K414" s="615"/>
      <c r="L414" s="640"/>
      <c r="M414" s="162"/>
      <c r="N414" s="615"/>
      <c r="O414" s="416"/>
      <c r="P414" s="416"/>
      <c r="Q414" s="416"/>
      <c r="R414" s="416"/>
      <c r="S414" s="416"/>
      <c r="T414" s="416"/>
      <c r="U414" s="416"/>
      <c r="V414" s="416"/>
      <c r="W414" s="416"/>
      <c r="X414" s="416"/>
      <c r="Y414" s="416"/>
      <c r="Z414" s="416"/>
      <c r="AA414" s="416"/>
      <c r="AB414" s="416"/>
      <c r="AC414" s="416"/>
      <c r="AD414" s="416"/>
      <c r="AE414" s="416"/>
      <c r="AF414" s="416"/>
      <c r="AG414" s="416"/>
      <c r="AH414" s="416"/>
      <c r="AI414" s="416"/>
      <c r="AJ414" s="416"/>
      <c r="AK414" s="416"/>
      <c r="AL414" s="416"/>
      <c r="AM414" s="416"/>
    </row>
    <row r="415" spans="1:39" hidden="1" outlineLevel="1" collapsed="1" x14ac:dyDescent="0.2">
      <c r="A415" s="162"/>
      <c r="B415" s="162"/>
      <c r="C415" s="695"/>
      <c r="D415" s="690"/>
      <c r="E415" s="694"/>
      <c r="F415" s="694"/>
      <c r="G415" s="694"/>
      <c r="H415" s="694"/>
      <c r="I415" s="694"/>
      <c r="J415" s="694"/>
      <c r="K415" s="694"/>
      <c r="L415" s="162"/>
      <c r="M415" s="162"/>
      <c r="N415" s="162"/>
      <c r="O415" s="416"/>
      <c r="P415" s="416"/>
      <c r="Q415" s="416"/>
      <c r="R415" s="416"/>
      <c r="S415" s="416"/>
      <c r="T415" s="416"/>
      <c r="U415" s="416"/>
      <c r="V415" s="416"/>
      <c r="W415" s="416"/>
      <c r="X415" s="416"/>
      <c r="Y415" s="416"/>
      <c r="Z415" s="416"/>
      <c r="AA415" s="416"/>
      <c r="AB415" s="416"/>
      <c r="AC415" s="416"/>
      <c r="AD415" s="416"/>
      <c r="AE415" s="416"/>
      <c r="AF415" s="416"/>
      <c r="AG415" s="416"/>
      <c r="AH415" s="416"/>
      <c r="AI415" s="416"/>
      <c r="AJ415" s="416"/>
      <c r="AK415" s="416"/>
      <c r="AL415" s="416"/>
      <c r="AM415" s="416"/>
    </row>
    <row r="416" spans="1:39" ht="15" hidden="1" outlineLevel="1" x14ac:dyDescent="0.2">
      <c r="A416" s="162"/>
      <c r="B416" s="298">
        <v>8</v>
      </c>
      <c r="C416" s="147" t="str">
        <f>INDEX(PBSScriptsChanged,B416,1)</f>
        <v>** NOT USED **</v>
      </c>
      <c r="D416" s="139"/>
      <c r="E416" s="139"/>
      <c r="F416" s="139"/>
      <c r="G416" s="139"/>
      <c r="H416" s="139"/>
      <c r="I416" s="139"/>
      <c r="J416" s="139"/>
      <c r="K416" s="139"/>
      <c r="L416" s="133"/>
      <c r="M416" s="133"/>
      <c r="N416" s="133"/>
      <c r="O416" s="127"/>
      <c r="P416" s="127"/>
      <c r="Q416" s="127"/>
      <c r="R416" s="127"/>
      <c r="S416" s="127"/>
      <c r="T416" s="127"/>
      <c r="U416" s="127"/>
      <c r="V416" s="127"/>
      <c r="W416" s="127"/>
      <c r="X416" s="127"/>
      <c r="Y416" s="127"/>
      <c r="Z416" s="127"/>
      <c r="AA416" s="127"/>
      <c r="AB416" s="127"/>
      <c r="AC416" s="127"/>
      <c r="AD416" s="127"/>
      <c r="AE416" s="127"/>
      <c r="AF416" s="127"/>
      <c r="AG416" s="127"/>
      <c r="AH416" s="127"/>
      <c r="AI416" s="127"/>
      <c r="AJ416" s="127"/>
      <c r="AK416" s="127"/>
      <c r="AL416" s="127"/>
      <c r="AM416" s="127"/>
    </row>
    <row r="417" spans="1:39" hidden="1" outlineLevel="2" x14ac:dyDescent="0.2">
      <c r="A417" s="162"/>
      <c r="B417" s="162"/>
      <c r="C417" s="615"/>
      <c r="D417" s="397">
        <v>2</v>
      </c>
      <c r="E417" s="397">
        <v>3</v>
      </c>
      <c r="F417" s="397">
        <v>4</v>
      </c>
      <c r="G417" s="397">
        <v>5</v>
      </c>
      <c r="H417" s="397">
        <v>6</v>
      </c>
      <c r="I417" s="397">
        <v>7</v>
      </c>
      <c r="J417" s="624"/>
      <c r="K417" s="615"/>
      <c r="L417" s="615"/>
      <c r="M417" s="615"/>
      <c r="N417" s="615"/>
      <c r="O417" s="416"/>
      <c r="P417" s="416"/>
      <c r="Q417" s="416"/>
      <c r="R417" s="416"/>
      <c r="S417" s="416"/>
      <c r="T417" s="416"/>
      <c r="U417" s="416"/>
      <c r="V417" s="416"/>
      <c r="W417" s="416"/>
      <c r="X417" s="416"/>
      <c r="Y417" s="416"/>
      <c r="Z417" s="416"/>
      <c r="AA417" s="416"/>
      <c r="AB417" s="416"/>
      <c r="AC417" s="416"/>
      <c r="AD417" s="416"/>
      <c r="AE417" s="416"/>
      <c r="AF417" s="416"/>
      <c r="AG417" s="416"/>
      <c r="AH417" s="416"/>
      <c r="AI417" s="416"/>
      <c r="AJ417" s="416"/>
      <c r="AK417" s="416"/>
      <c r="AL417" s="416"/>
      <c r="AM417" s="416"/>
    </row>
    <row r="418" spans="1:39" hidden="1" outlineLevel="2" x14ac:dyDescent="0.2">
      <c r="A418" s="162"/>
      <c r="B418" s="162"/>
      <c r="C418" s="162"/>
      <c r="D418" s="630">
        <f>FirstYear</f>
        <v>2021</v>
      </c>
      <c r="E418" s="630">
        <f>D418+1</f>
        <v>2022</v>
      </c>
      <c r="F418" s="630">
        <f>E418+1</f>
        <v>2023</v>
      </c>
      <c r="G418" s="630">
        <f>F418+1</f>
        <v>2024</v>
      </c>
      <c r="H418" s="630">
        <f>G418+1</f>
        <v>2025</v>
      </c>
      <c r="I418" s="630">
        <f>H418+1</f>
        <v>2026</v>
      </c>
      <c r="J418" s="162"/>
      <c r="K418" s="162"/>
      <c r="L418" s="162"/>
      <c r="M418" s="162"/>
      <c r="N418" s="162"/>
      <c r="O418" s="416"/>
      <c r="P418" s="416"/>
      <c r="Q418" s="416"/>
      <c r="R418" s="416"/>
      <c r="S418" s="416"/>
      <c r="T418" s="416"/>
      <c r="U418" s="416"/>
      <c r="V418" s="416"/>
      <c r="W418" s="416"/>
      <c r="X418" s="416"/>
      <c r="Y418" s="416"/>
      <c r="Z418" s="416"/>
      <c r="AA418" s="416"/>
      <c r="AB418" s="416"/>
      <c r="AC418" s="416"/>
      <c r="AD418" s="416"/>
      <c r="AE418" s="416"/>
      <c r="AF418" s="416"/>
      <c r="AG418" s="416"/>
      <c r="AH418" s="416"/>
      <c r="AI418" s="416"/>
      <c r="AJ418" s="416"/>
      <c r="AK418" s="416"/>
      <c r="AL418" s="416"/>
      <c r="AM418" s="416"/>
    </row>
    <row r="419" spans="1:39" hidden="1" outlineLevel="2" x14ac:dyDescent="0.2">
      <c r="A419" s="162"/>
      <c r="B419" s="162"/>
      <c r="C419" s="170" t="s">
        <v>122</v>
      </c>
      <c r="D419" s="171">
        <f t="shared" ref="D419:I419" si="323">INDEX(PBSScriptsChanged,$B416,D417)</f>
        <v>0</v>
      </c>
      <c r="E419" s="171">
        <f t="shared" si="323"/>
        <v>0</v>
      </c>
      <c r="F419" s="171">
        <f t="shared" si="323"/>
        <v>0</v>
      </c>
      <c r="G419" s="171">
        <f t="shared" si="323"/>
        <v>0</v>
      </c>
      <c r="H419" s="171">
        <f t="shared" si="323"/>
        <v>0</v>
      </c>
      <c r="I419" s="171">
        <f t="shared" si="323"/>
        <v>0</v>
      </c>
      <c r="J419" s="162"/>
      <c r="K419" s="162"/>
      <c r="L419" s="162"/>
      <c r="M419" s="162"/>
      <c r="N419" s="693"/>
      <c r="O419" s="416"/>
      <c r="P419" s="416"/>
      <c r="Q419" s="416"/>
      <c r="R419" s="416"/>
      <c r="S419" s="416"/>
      <c r="T419" s="416"/>
      <c r="U419" s="416"/>
      <c r="V419" s="416"/>
      <c r="W419" s="416"/>
      <c r="X419" s="416"/>
      <c r="Y419" s="416"/>
      <c r="Z419" s="416"/>
      <c r="AA419" s="416"/>
      <c r="AB419" s="416"/>
      <c r="AC419" s="416"/>
      <c r="AD419" s="416"/>
      <c r="AE419" s="416"/>
      <c r="AF419" s="416"/>
      <c r="AG419" s="416"/>
      <c r="AH419" s="416"/>
      <c r="AI419" s="416"/>
      <c r="AJ419" s="416"/>
      <c r="AK419" s="416"/>
      <c r="AL419" s="416"/>
      <c r="AM419" s="416"/>
    </row>
    <row r="420" spans="1:39" hidden="1" outlineLevel="2" x14ac:dyDescent="0.2">
      <c r="A420" s="162"/>
      <c r="B420" s="162"/>
      <c r="C420" s="170" t="s">
        <v>123</v>
      </c>
      <c r="D420" s="171">
        <f t="shared" ref="D420:I420" si="324">INDEX(RPBSScriptsChanged,$B416,D417)</f>
        <v>0</v>
      </c>
      <c r="E420" s="171">
        <f t="shared" si="324"/>
        <v>0</v>
      </c>
      <c r="F420" s="171">
        <f t="shared" si="324"/>
        <v>0</v>
      </c>
      <c r="G420" s="171">
        <f t="shared" si="324"/>
        <v>0</v>
      </c>
      <c r="H420" s="171">
        <f t="shared" si="324"/>
        <v>0</v>
      </c>
      <c r="I420" s="171">
        <f t="shared" si="324"/>
        <v>0</v>
      </c>
      <c r="J420" s="162"/>
      <c r="K420" s="162"/>
      <c r="L420" s="162"/>
      <c r="M420" s="162"/>
      <c r="N420" s="162"/>
      <c r="O420" s="416"/>
      <c r="P420" s="416"/>
      <c r="Q420" s="416"/>
      <c r="R420" s="416"/>
      <c r="S420" s="416"/>
      <c r="T420" s="416"/>
      <c r="U420" s="416"/>
      <c r="V420" s="416"/>
      <c r="W420" s="416"/>
      <c r="X420" s="416"/>
      <c r="Y420" s="416"/>
      <c r="Z420" s="416"/>
      <c r="AA420" s="416"/>
      <c r="AB420" s="416"/>
      <c r="AC420" s="416"/>
      <c r="AD420" s="416"/>
      <c r="AE420" s="416"/>
      <c r="AF420" s="416"/>
      <c r="AG420" s="416"/>
      <c r="AH420" s="416"/>
      <c r="AI420" s="416"/>
      <c r="AJ420" s="416"/>
      <c r="AK420" s="416"/>
      <c r="AL420" s="416"/>
      <c r="AM420" s="416"/>
    </row>
    <row r="421" spans="1:39" hidden="1" outlineLevel="2" x14ac:dyDescent="0.2">
      <c r="A421" s="162"/>
      <c r="B421" s="162"/>
      <c r="C421" s="158" t="s">
        <v>124</v>
      </c>
      <c r="D421" s="171">
        <f t="shared" ref="D421:I421" si="325">IF(INDEX(SAChanged,$B416,7)&gt;0,ROUND(D419/INDEX(SAChanged,$B416,2),0),0)</f>
        <v>0</v>
      </c>
      <c r="E421" s="171">
        <f t="shared" si="325"/>
        <v>0</v>
      </c>
      <c r="F421" s="171">
        <f t="shared" si="325"/>
        <v>0</v>
      </c>
      <c r="G421" s="171">
        <f t="shared" si="325"/>
        <v>0</v>
      </c>
      <c r="H421" s="171">
        <f t="shared" si="325"/>
        <v>0</v>
      </c>
      <c r="I421" s="171">
        <f t="shared" si="325"/>
        <v>0</v>
      </c>
      <c r="J421" s="162"/>
      <c r="K421" s="615"/>
      <c r="L421" s="640"/>
      <c r="M421" s="162"/>
      <c r="N421" s="615"/>
      <c r="O421" s="416"/>
      <c r="P421" s="416"/>
      <c r="Q421" s="416"/>
      <c r="R421" s="416"/>
      <c r="S421" s="416"/>
      <c r="T421" s="416"/>
      <c r="U421" s="416"/>
      <c r="V421" s="416"/>
      <c r="W421" s="416"/>
      <c r="X421" s="416"/>
      <c r="Y421" s="416"/>
      <c r="Z421" s="416"/>
      <c r="AA421" s="416"/>
      <c r="AB421" s="416"/>
      <c r="AC421" s="416"/>
      <c r="AD421" s="416"/>
      <c r="AE421" s="416"/>
      <c r="AF421" s="416"/>
      <c r="AG421" s="416"/>
      <c r="AH421" s="416"/>
      <c r="AI421" s="416"/>
      <c r="AJ421" s="416"/>
      <c r="AK421" s="416"/>
      <c r="AL421" s="416"/>
      <c r="AM421" s="416"/>
    </row>
    <row r="422" spans="1:39" hidden="1" outlineLevel="2" x14ac:dyDescent="0.2">
      <c r="A422" s="162"/>
      <c r="B422" s="162"/>
      <c r="C422" s="158" t="s">
        <v>125</v>
      </c>
      <c r="D422" s="171">
        <f t="shared" ref="D422:I422" si="326">IF(INDEX(SAChanged,$B416,7)&gt;0,ROUND(D420/INDEX(SAChanged,$B416,2),0),0)</f>
        <v>0</v>
      </c>
      <c r="E422" s="171">
        <f t="shared" si="326"/>
        <v>0</v>
      </c>
      <c r="F422" s="171">
        <f t="shared" si="326"/>
        <v>0</v>
      </c>
      <c r="G422" s="171">
        <f t="shared" si="326"/>
        <v>0</v>
      </c>
      <c r="H422" s="171">
        <f t="shared" si="326"/>
        <v>0</v>
      </c>
      <c r="I422" s="171">
        <f t="shared" si="326"/>
        <v>0</v>
      </c>
      <c r="J422" s="162"/>
      <c r="K422" s="615"/>
      <c r="L422" s="640"/>
      <c r="M422" s="162"/>
      <c r="N422" s="615"/>
      <c r="O422" s="416"/>
      <c r="P422" s="416"/>
      <c r="Q422" s="416"/>
      <c r="R422" s="416"/>
      <c r="S422" s="416"/>
      <c r="T422" s="416"/>
      <c r="U422" s="416"/>
      <c r="V422" s="416"/>
      <c r="W422" s="416"/>
      <c r="X422" s="416"/>
      <c r="Y422" s="416"/>
      <c r="Z422" s="416"/>
      <c r="AA422" s="416"/>
      <c r="AB422" s="416"/>
      <c r="AC422" s="416"/>
      <c r="AD422" s="416"/>
      <c r="AE422" s="416"/>
      <c r="AF422" s="416"/>
      <c r="AG422" s="416"/>
      <c r="AH422" s="416"/>
      <c r="AI422" s="416"/>
      <c r="AJ422" s="416"/>
      <c r="AK422" s="416"/>
      <c r="AL422" s="416"/>
      <c r="AM422" s="416"/>
    </row>
    <row r="423" spans="1:39" hidden="1" outlineLevel="1" collapsed="1" x14ac:dyDescent="0.2">
      <c r="A423" s="162"/>
      <c r="B423" s="162"/>
      <c r="C423" s="695"/>
      <c r="D423" s="690"/>
      <c r="E423" s="694"/>
      <c r="F423" s="694"/>
      <c r="G423" s="694"/>
      <c r="H423" s="694"/>
      <c r="I423" s="694"/>
      <c r="J423" s="694"/>
      <c r="K423" s="694"/>
      <c r="L423" s="162"/>
      <c r="M423" s="162"/>
      <c r="N423" s="162"/>
      <c r="O423" s="416"/>
      <c r="P423" s="416"/>
      <c r="Q423" s="416"/>
      <c r="R423" s="416"/>
      <c r="S423" s="416"/>
      <c r="T423" s="416"/>
      <c r="U423" s="416"/>
      <c r="V423" s="416"/>
      <c r="W423" s="416"/>
      <c r="X423" s="416"/>
      <c r="Y423" s="416"/>
      <c r="Z423" s="416"/>
      <c r="AA423" s="416"/>
      <c r="AB423" s="416"/>
      <c r="AC423" s="416"/>
      <c r="AD423" s="416"/>
      <c r="AE423" s="416"/>
      <c r="AF423" s="416"/>
      <c r="AG423" s="416"/>
      <c r="AH423" s="416"/>
      <c r="AI423" s="416"/>
      <c r="AJ423" s="416"/>
      <c r="AK423" s="416"/>
      <c r="AL423" s="416"/>
      <c r="AM423" s="416"/>
    </row>
    <row r="424" spans="1:39" ht="15" hidden="1" outlineLevel="1" x14ac:dyDescent="0.2">
      <c r="A424" s="162"/>
      <c r="B424" s="298">
        <v>9</v>
      </c>
      <c r="C424" s="147" t="str">
        <f>INDEX(PBSScriptsChanged,B424,1)</f>
        <v>** NOT USED **</v>
      </c>
      <c r="D424" s="139"/>
      <c r="E424" s="139"/>
      <c r="F424" s="139"/>
      <c r="G424" s="139"/>
      <c r="H424" s="139"/>
      <c r="I424" s="139"/>
      <c r="J424" s="139"/>
      <c r="K424" s="139"/>
      <c r="L424" s="133"/>
      <c r="M424" s="133"/>
      <c r="N424" s="133"/>
      <c r="O424" s="127"/>
      <c r="P424" s="127"/>
      <c r="Q424" s="127"/>
      <c r="R424" s="127"/>
      <c r="S424" s="127"/>
      <c r="T424" s="127"/>
      <c r="U424" s="127"/>
      <c r="V424" s="127"/>
      <c r="W424" s="127"/>
      <c r="X424" s="127"/>
      <c r="Y424" s="127"/>
      <c r="Z424" s="127"/>
      <c r="AA424" s="127"/>
      <c r="AB424" s="127"/>
      <c r="AC424" s="127"/>
      <c r="AD424" s="127"/>
      <c r="AE424" s="127"/>
      <c r="AF424" s="127"/>
      <c r="AG424" s="127"/>
      <c r="AH424" s="127"/>
      <c r="AI424" s="127"/>
      <c r="AJ424" s="127"/>
      <c r="AK424" s="127"/>
      <c r="AL424" s="127"/>
      <c r="AM424" s="127"/>
    </row>
    <row r="425" spans="1:39" hidden="1" outlineLevel="2" x14ac:dyDescent="0.2">
      <c r="A425" s="162"/>
      <c r="B425" s="162"/>
      <c r="C425" s="615"/>
      <c r="D425" s="397">
        <v>2</v>
      </c>
      <c r="E425" s="397">
        <v>3</v>
      </c>
      <c r="F425" s="397">
        <v>4</v>
      </c>
      <c r="G425" s="397">
        <v>5</v>
      </c>
      <c r="H425" s="397">
        <v>6</v>
      </c>
      <c r="I425" s="397">
        <v>7</v>
      </c>
      <c r="J425" s="624"/>
      <c r="K425" s="615"/>
      <c r="L425" s="615"/>
      <c r="M425" s="615"/>
      <c r="N425" s="615"/>
      <c r="O425" s="416"/>
      <c r="P425" s="416"/>
      <c r="Q425" s="416"/>
      <c r="R425" s="416"/>
      <c r="S425" s="416"/>
      <c r="T425" s="416"/>
      <c r="U425" s="416"/>
      <c r="V425" s="416"/>
      <c r="W425" s="416"/>
      <c r="X425" s="416"/>
      <c r="Y425" s="416"/>
      <c r="Z425" s="416"/>
      <c r="AA425" s="416"/>
      <c r="AB425" s="416"/>
      <c r="AC425" s="416"/>
      <c r="AD425" s="416"/>
      <c r="AE425" s="416"/>
      <c r="AF425" s="416"/>
      <c r="AG425" s="416"/>
      <c r="AH425" s="416"/>
      <c r="AI425" s="416"/>
      <c r="AJ425" s="416"/>
      <c r="AK425" s="416"/>
      <c r="AL425" s="416"/>
      <c r="AM425" s="416"/>
    </row>
    <row r="426" spans="1:39" hidden="1" outlineLevel="2" x14ac:dyDescent="0.2">
      <c r="A426" s="162"/>
      <c r="B426" s="162"/>
      <c r="C426" s="162"/>
      <c r="D426" s="630">
        <f>FirstYear</f>
        <v>2021</v>
      </c>
      <c r="E426" s="630">
        <f>D426+1</f>
        <v>2022</v>
      </c>
      <c r="F426" s="630">
        <f>E426+1</f>
        <v>2023</v>
      </c>
      <c r="G426" s="630">
        <f>F426+1</f>
        <v>2024</v>
      </c>
      <c r="H426" s="630">
        <f>G426+1</f>
        <v>2025</v>
      </c>
      <c r="I426" s="630">
        <f>H426+1</f>
        <v>2026</v>
      </c>
      <c r="J426" s="162"/>
      <c r="K426" s="162"/>
      <c r="L426" s="162"/>
      <c r="M426" s="162"/>
      <c r="N426" s="162"/>
      <c r="O426" s="416"/>
      <c r="P426" s="416"/>
      <c r="Q426" s="416"/>
      <c r="R426" s="416"/>
      <c r="S426" s="416"/>
      <c r="T426" s="416"/>
      <c r="U426" s="416"/>
      <c r="V426" s="416"/>
      <c r="W426" s="416"/>
      <c r="X426" s="416"/>
      <c r="Y426" s="416"/>
      <c r="Z426" s="416"/>
      <c r="AA426" s="416"/>
      <c r="AB426" s="416"/>
      <c r="AC426" s="416"/>
      <c r="AD426" s="416"/>
      <c r="AE426" s="416"/>
      <c r="AF426" s="416"/>
      <c r="AG426" s="416"/>
      <c r="AH426" s="416"/>
      <c r="AI426" s="416"/>
      <c r="AJ426" s="416"/>
      <c r="AK426" s="416"/>
      <c r="AL426" s="416"/>
      <c r="AM426" s="416"/>
    </row>
    <row r="427" spans="1:39" hidden="1" outlineLevel="2" x14ac:dyDescent="0.2">
      <c r="A427" s="162"/>
      <c r="B427" s="162"/>
      <c r="C427" s="170" t="s">
        <v>122</v>
      </c>
      <c r="D427" s="171">
        <f t="shared" ref="D427:I427" si="327">INDEX(PBSScriptsChanged,$B424,D425)</f>
        <v>0</v>
      </c>
      <c r="E427" s="171">
        <f t="shared" si="327"/>
        <v>0</v>
      </c>
      <c r="F427" s="171">
        <f t="shared" si="327"/>
        <v>0</v>
      </c>
      <c r="G427" s="171">
        <f t="shared" si="327"/>
        <v>0</v>
      </c>
      <c r="H427" s="171">
        <f t="shared" si="327"/>
        <v>0</v>
      </c>
      <c r="I427" s="171">
        <f t="shared" si="327"/>
        <v>0</v>
      </c>
      <c r="J427" s="162"/>
      <c r="K427" s="162"/>
      <c r="L427" s="162"/>
      <c r="M427" s="162"/>
      <c r="N427" s="693"/>
      <c r="O427" s="416"/>
      <c r="P427" s="416"/>
      <c r="Q427" s="416"/>
      <c r="R427" s="416"/>
      <c r="S427" s="416"/>
      <c r="T427" s="416"/>
      <c r="U427" s="416"/>
      <c r="V427" s="416"/>
      <c r="W427" s="416"/>
      <c r="X427" s="416"/>
      <c r="Y427" s="416"/>
      <c r="Z427" s="416"/>
      <c r="AA427" s="416"/>
      <c r="AB427" s="416"/>
      <c r="AC427" s="416"/>
      <c r="AD427" s="416"/>
      <c r="AE427" s="416"/>
      <c r="AF427" s="416"/>
      <c r="AG427" s="416"/>
      <c r="AH427" s="416"/>
      <c r="AI427" s="416"/>
      <c r="AJ427" s="416"/>
      <c r="AK427" s="416"/>
      <c r="AL427" s="416"/>
      <c r="AM427" s="416"/>
    </row>
    <row r="428" spans="1:39" hidden="1" outlineLevel="2" x14ac:dyDescent="0.2">
      <c r="A428" s="162"/>
      <c r="B428" s="162"/>
      <c r="C428" s="170" t="s">
        <v>123</v>
      </c>
      <c r="D428" s="171">
        <f t="shared" ref="D428:I428" si="328">INDEX(RPBSScriptsChanged,$B424,D425)</f>
        <v>0</v>
      </c>
      <c r="E428" s="171">
        <f t="shared" si="328"/>
        <v>0</v>
      </c>
      <c r="F428" s="171">
        <f t="shared" si="328"/>
        <v>0</v>
      </c>
      <c r="G428" s="171">
        <f t="shared" si="328"/>
        <v>0</v>
      </c>
      <c r="H428" s="171">
        <f t="shared" si="328"/>
        <v>0</v>
      </c>
      <c r="I428" s="171">
        <f t="shared" si="328"/>
        <v>0</v>
      </c>
      <c r="J428" s="162"/>
      <c r="K428" s="162"/>
      <c r="L428" s="162"/>
      <c r="M428" s="162"/>
      <c r="N428" s="162"/>
      <c r="O428" s="416"/>
      <c r="P428" s="416"/>
      <c r="Q428" s="416"/>
      <c r="R428" s="416"/>
      <c r="S428" s="416"/>
      <c r="T428" s="416"/>
      <c r="U428" s="416"/>
      <c r="V428" s="416"/>
      <c r="W428" s="416"/>
      <c r="X428" s="416"/>
      <c r="Y428" s="416"/>
      <c r="Z428" s="416"/>
      <c r="AA428" s="416"/>
      <c r="AB428" s="416"/>
      <c r="AC428" s="416"/>
      <c r="AD428" s="416"/>
      <c r="AE428" s="416"/>
      <c r="AF428" s="416"/>
      <c r="AG428" s="416"/>
      <c r="AH428" s="416"/>
      <c r="AI428" s="416"/>
      <c r="AJ428" s="416"/>
      <c r="AK428" s="416"/>
      <c r="AL428" s="416"/>
      <c r="AM428" s="416"/>
    </row>
    <row r="429" spans="1:39" hidden="1" outlineLevel="2" x14ac:dyDescent="0.2">
      <c r="A429" s="162"/>
      <c r="B429" s="162"/>
      <c r="C429" s="158" t="s">
        <v>124</v>
      </c>
      <c r="D429" s="171">
        <f t="shared" ref="D429:I429" si="329">IF(INDEX(SAChanged,$B424,7)&gt;0,ROUND(D427/INDEX(SAChanged,$B424,2),0),0)</f>
        <v>0</v>
      </c>
      <c r="E429" s="171">
        <f t="shared" si="329"/>
        <v>0</v>
      </c>
      <c r="F429" s="171">
        <f t="shared" si="329"/>
        <v>0</v>
      </c>
      <c r="G429" s="171">
        <f t="shared" si="329"/>
        <v>0</v>
      </c>
      <c r="H429" s="171">
        <f t="shared" si="329"/>
        <v>0</v>
      </c>
      <c r="I429" s="171">
        <f t="shared" si="329"/>
        <v>0</v>
      </c>
      <c r="J429" s="162"/>
      <c r="K429" s="615"/>
      <c r="L429" s="640"/>
      <c r="M429" s="162"/>
      <c r="N429" s="615"/>
      <c r="O429" s="416"/>
      <c r="P429" s="416"/>
      <c r="Q429" s="416"/>
      <c r="R429" s="416"/>
      <c r="S429" s="416"/>
      <c r="T429" s="416"/>
      <c r="U429" s="416"/>
      <c r="V429" s="416"/>
      <c r="W429" s="416"/>
      <c r="X429" s="416"/>
      <c r="Y429" s="416"/>
      <c r="Z429" s="416"/>
      <c r="AA429" s="416"/>
      <c r="AB429" s="416"/>
      <c r="AC429" s="416"/>
      <c r="AD429" s="416"/>
      <c r="AE429" s="416"/>
      <c r="AF429" s="416"/>
      <c r="AG429" s="416"/>
      <c r="AH429" s="416"/>
      <c r="AI429" s="416"/>
      <c r="AJ429" s="416"/>
      <c r="AK429" s="416"/>
      <c r="AL429" s="416"/>
      <c r="AM429" s="416"/>
    </row>
    <row r="430" spans="1:39" hidden="1" outlineLevel="2" x14ac:dyDescent="0.2">
      <c r="A430" s="162"/>
      <c r="B430" s="162"/>
      <c r="C430" s="158" t="s">
        <v>125</v>
      </c>
      <c r="D430" s="171">
        <f t="shared" ref="D430:I430" si="330">IF(INDEX(SAChanged,$B424,7)&gt;0,ROUND(D428/INDEX(SAChanged,$B424,2),0),0)</f>
        <v>0</v>
      </c>
      <c r="E430" s="171">
        <f t="shared" si="330"/>
        <v>0</v>
      </c>
      <c r="F430" s="171">
        <f t="shared" si="330"/>
        <v>0</v>
      </c>
      <c r="G430" s="171">
        <f t="shared" si="330"/>
        <v>0</v>
      </c>
      <c r="H430" s="171">
        <f t="shared" si="330"/>
        <v>0</v>
      </c>
      <c r="I430" s="171">
        <f t="shared" si="330"/>
        <v>0</v>
      </c>
      <c r="J430" s="162"/>
      <c r="K430" s="615"/>
      <c r="L430" s="640"/>
      <c r="M430" s="162"/>
      <c r="N430" s="615"/>
      <c r="O430" s="416"/>
      <c r="P430" s="416"/>
      <c r="Q430" s="416"/>
      <c r="R430" s="416"/>
      <c r="S430" s="416"/>
      <c r="T430" s="416"/>
      <c r="U430" s="416"/>
      <c r="V430" s="416"/>
      <c r="W430" s="416"/>
      <c r="X430" s="416"/>
      <c r="Y430" s="416"/>
      <c r="Z430" s="416"/>
      <c r="AA430" s="416"/>
      <c r="AB430" s="416"/>
      <c r="AC430" s="416"/>
      <c r="AD430" s="416"/>
      <c r="AE430" s="416"/>
      <c r="AF430" s="416"/>
      <c r="AG430" s="416"/>
      <c r="AH430" s="416"/>
      <c r="AI430" s="416"/>
      <c r="AJ430" s="416"/>
      <c r="AK430" s="416"/>
      <c r="AL430" s="416"/>
      <c r="AM430" s="416"/>
    </row>
    <row r="431" spans="1:39" hidden="1" outlineLevel="1" collapsed="1" x14ac:dyDescent="0.2">
      <c r="A431" s="162"/>
      <c r="B431" s="162"/>
      <c r="C431" s="695"/>
      <c r="D431" s="690"/>
      <c r="E431" s="694"/>
      <c r="F431" s="694"/>
      <c r="G431" s="694"/>
      <c r="H431" s="694"/>
      <c r="I431" s="694"/>
      <c r="J431" s="694"/>
      <c r="K431" s="694"/>
      <c r="L431" s="162"/>
      <c r="M431" s="162"/>
      <c r="N431" s="162"/>
      <c r="O431" s="416"/>
      <c r="P431" s="416"/>
      <c r="Q431" s="416"/>
      <c r="R431" s="416"/>
      <c r="S431" s="416"/>
      <c r="T431" s="416"/>
      <c r="U431" s="416"/>
      <c r="V431" s="416"/>
      <c r="W431" s="416"/>
      <c r="X431" s="416"/>
      <c r="Y431" s="416"/>
      <c r="Z431" s="416"/>
      <c r="AA431" s="416"/>
      <c r="AB431" s="416"/>
      <c r="AC431" s="416"/>
      <c r="AD431" s="416"/>
      <c r="AE431" s="416"/>
      <c r="AF431" s="416"/>
      <c r="AG431" s="416"/>
      <c r="AH431" s="416"/>
      <c r="AI431" s="416"/>
      <c r="AJ431" s="416"/>
      <c r="AK431" s="416"/>
      <c r="AL431" s="416"/>
      <c r="AM431" s="416"/>
    </row>
    <row r="432" spans="1:39" ht="15" hidden="1" outlineLevel="1" x14ac:dyDescent="0.2">
      <c r="A432" s="162"/>
      <c r="B432" s="298">
        <v>10</v>
      </c>
      <c r="C432" s="147" t="str">
        <f>INDEX(PBSScriptsChanged,B432,1)</f>
        <v>** NOT USED **</v>
      </c>
      <c r="D432" s="139"/>
      <c r="E432" s="139"/>
      <c r="F432" s="139"/>
      <c r="G432" s="139"/>
      <c r="H432" s="139"/>
      <c r="I432" s="139"/>
      <c r="J432" s="139"/>
      <c r="K432" s="139"/>
      <c r="L432" s="133"/>
      <c r="M432" s="133"/>
      <c r="N432" s="133"/>
      <c r="O432" s="127"/>
      <c r="P432" s="127"/>
      <c r="Q432" s="127"/>
      <c r="R432" s="127"/>
      <c r="S432" s="127"/>
      <c r="T432" s="127"/>
      <c r="U432" s="127"/>
      <c r="V432" s="127"/>
      <c r="W432" s="127"/>
      <c r="X432" s="127"/>
      <c r="Y432" s="127"/>
      <c r="Z432" s="127"/>
      <c r="AA432" s="127"/>
      <c r="AB432" s="127"/>
      <c r="AC432" s="127"/>
      <c r="AD432" s="127"/>
      <c r="AE432" s="127"/>
      <c r="AF432" s="127"/>
      <c r="AG432" s="127"/>
      <c r="AH432" s="127"/>
      <c r="AI432" s="127"/>
      <c r="AJ432" s="127"/>
      <c r="AK432" s="127"/>
      <c r="AL432" s="127"/>
      <c r="AM432" s="127"/>
    </row>
    <row r="433" spans="1:39" hidden="1" outlineLevel="2" x14ac:dyDescent="0.2">
      <c r="A433" s="162"/>
      <c r="B433" s="162"/>
      <c r="C433" s="615"/>
      <c r="D433" s="397">
        <v>2</v>
      </c>
      <c r="E433" s="397">
        <v>3</v>
      </c>
      <c r="F433" s="397">
        <v>4</v>
      </c>
      <c r="G433" s="397">
        <v>5</v>
      </c>
      <c r="H433" s="397">
        <v>6</v>
      </c>
      <c r="I433" s="397">
        <v>7</v>
      </c>
      <c r="J433" s="624"/>
      <c r="K433" s="615"/>
      <c r="L433" s="615"/>
      <c r="M433" s="615"/>
      <c r="N433" s="615"/>
      <c r="O433" s="416"/>
      <c r="P433" s="416"/>
      <c r="Q433" s="416"/>
      <c r="R433" s="416"/>
      <c r="S433" s="416"/>
      <c r="T433" s="416"/>
      <c r="U433" s="416"/>
      <c r="V433" s="416"/>
      <c r="W433" s="416"/>
      <c r="X433" s="416"/>
      <c r="Y433" s="416"/>
      <c r="Z433" s="416"/>
      <c r="AA433" s="416"/>
      <c r="AB433" s="416"/>
      <c r="AC433" s="416"/>
      <c r="AD433" s="416"/>
      <c r="AE433" s="416"/>
      <c r="AF433" s="416"/>
      <c r="AG433" s="416"/>
      <c r="AH433" s="416"/>
      <c r="AI433" s="416"/>
      <c r="AJ433" s="416"/>
      <c r="AK433" s="416"/>
      <c r="AL433" s="416"/>
      <c r="AM433" s="416"/>
    </row>
    <row r="434" spans="1:39" hidden="1" outlineLevel="2" x14ac:dyDescent="0.2">
      <c r="A434" s="162"/>
      <c r="B434" s="162"/>
      <c r="C434" s="162"/>
      <c r="D434" s="630">
        <f>FirstYear</f>
        <v>2021</v>
      </c>
      <c r="E434" s="630">
        <f>D434+1</f>
        <v>2022</v>
      </c>
      <c r="F434" s="630">
        <f>E434+1</f>
        <v>2023</v>
      </c>
      <c r="G434" s="630">
        <f>F434+1</f>
        <v>2024</v>
      </c>
      <c r="H434" s="630">
        <f>G434+1</f>
        <v>2025</v>
      </c>
      <c r="I434" s="630">
        <f>H434+1</f>
        <v>2026</v>
      </c>
      <c r="J434" s="162"/>
      <c r="K434" s="162"/>
      <c r="L434" s="162"/>
      <c r="M434" s="162"/>
      <c r="N434" s="162"/>
      <c r="O434" s="416"/>
      <c r="P434" s="416"/>
      <c r="Q434" s="416"/>
      <c r="R434" s="416"/>
      <c r="S434" s="416"/>
      <c r="T434" s="416"/>
      <c r="U434" s="416"/>
      <c r="V434" s="416"/>
      <c r="W434" s="416"/>
      <c r="X434" s="416"/>
      <c r="Y434" s="416"/>
      <c r="Z434" s="416"/>
      <c r="AA434" s="416"/>
      <c r="AB434" s="416"/>
      <c r="AC434" s="416"/>
      <c r="AD434" s="416"/>
      <c r="AE434" s="416"/>
      <c r="AF434" s="416"/>
      <c r="AG434" s="416"/>
      <c r="AH434" s="416"/>
      <c r="AI434" s="416"/>
      <c r="AJ434" s="416"/>
      <c r="AK434" s="416"/>
      <c r="AL434" s="416"/>
      <c r="AM434" s="416"/>
    </row>
    <row r="435" spans="1:39" hidden="1" outlineLevel="2" x14ac:dyDescent="0.2">
      <c r="A435" s="162"/>
      <c r="B435" s="162"/>
      <c r="C435" s="170" t="s">
        <v>122</v>
      </c>
      <c r="D435" s="171">
        <f t="shared" ref="D435:I435" si="331">INDEX(PBSScriptsChanged,$B432,D433)</f>
        <v>0</v>
      </c>
      <c r="E435" s="171">
        <f t="shared" si="331"/>
        <v>0</v>
      </c>
      <c r="F435" s="171">
        <f t="shared" si="331"/>
        <v>0</v>
      </c>
      <c r="G435" s="171">
        <f t="shared" si="331"/>
        <v>0</v>
      </c>
      <c r="H435" s="171">
        <f t="shared" si="331"/>
        <v>0</v>
      </c>
      <c r="I435" s="171">
        <f t="shared" si="331"/>
        <v>0</v>
      </c>
      <c r="J435" s="162"/>
      <c r="K435" s="162"/>
      <c r="L435" s="162"/>
      <c r="M435" s="162"/>
      <c r="N435" s="693"/>
      <c r="O435" s="416"/>
      <c r="P435" s="416"/>
      <c r="Q435" s="416"/>
      <c r="R435" s="416"/>
      <c r="S435" s="416"/>
      <c r="T435" s="416"/>
      <c r="U435" s="416"/>
      <c r="V435" s="416"/>
      <c r="W435" s="416"/>
      <c r="X435" s="416"/>
      <c r="Y435" s="416"/>
      <c r="Z435" s="416"/>
      <c r="AA435" s="416"/>
      <c r="AB435" s="416"/>
      <c r="AC435" s="416"/>
      <c r="AD435" s="416"/>
      <c r="AE435" s="416"/>
      <c r="AF435" s="416"/>
      <c r="AG435" s="416"/>
      <c r="AH435" s="416"/>
      <c r="AI435" s="416"/>
      <c r="AJ435" s="416"/>
      <c r="AK435" s="416"/>
      <c r="AL435" s="416"/>
      <c r="AM435" s="416"/>
    </row>
    <row r="436" spans="1:39" hidden="1" outlineLevel="2" x14ac:dyDescent="0.2">
      <c r="A436" s="162"/>
      <c r="B436" s="162"/>
      <c r="C436" s="170" t="s">
        <v>123</v>
      </c>
      <c r="D436" s="171">
        <f t="shared" ref="D436:I436" si="332">INDEX(RPBSScriptsChanged,$B432,D433)</f>
        <v>0</v>
      </c>
      <c r="E436" s="171">
        <f t="shared" si="332"/>
        <v>0</v>
      </c>
      <c r="F436" s="171">
        <f t="shared" si="332"/>
        <v>0</v>
      </c>
      <c r="G436" s="171">
        <f t="shared" si="332"/>
        <v>0</v>
      </c>
      <c r="H436" s="171">
        <f t="shared" si="332"/>
        <v>0</v>
      </c>
      <c r="I436" s="171">
        <f t="shared" si="332"/>
        <v>0</v>
      </c>
      <c r="J436" s="162"/>
      <c r="K436" s="162"/>
      <c r="L436" s="162"/>
      <c r="M436" s="162"/>
      <c r="N436" s="162"/>
      <c r="O436" s="416"/>
      <c r="P436" s="416"/>
      <c r="Q436" s="416"/>
      <c r="R436" s="416"/>
      <c r="S436" s="416"/>
      <c r="T436" s="416"/>
      <c r="U436" s="416"/>
      <c r="V436" s="416"/>
      <c r="W436" s="416"/>
      <c r="X436" s="416"/>
      <c r="Y436" s="416"/>
      <c r="Z436" s="416"/>
      <c r="AA436" s="416"/>
      <c r="AB436" s="416"/>
      <c r="AC436" s="416"/>
      <c r="AD436" s="416"/>
      <c r="AE436" s="416"/>
      <c r="AF436" s="416"/>
      <c r="AG436" s="416"/>
      <c r="AH436" s="416"/>
      <c r="AI436" s="416"/>
      <c r="AJ436" s="416"/>
      <c r="AK436" s="416"/>
      <c r="AL436" s="416"/>
      <c r="AM436" s="416"/>
    </row>
    <row r="437" spans="1:39" hidden="1" outlineLevel="2" x14ac:dyDescent="0.2">
      <c r="A437" s="162"/>
      <c r="B437" s="162"/>
      <c r="C437" s="158" t="s">
        <v>124</v>
      </c>
      <c r="D437" s="171">
        <f t="shared" ref="D437:I437" si="333">IF(INDEX(SAChanged,$B432,7)&gt;0,ROUND(D435/INDEX(SAChanged,$B432,2),0),0)</f>
        <v>0</v>
      </c>
      <c r="E437" s="171">
        <f t="shared" si="333"/>
        <v>0</v>
      </c>
      <c r="F437" s="171">
        <f t="shared" si="333"/>
        <v>0</v>
      </c>
      <c r="G437" s="171">
        <f t="shared" si="333"/>
        <v>0</v>
      </c>
      <c r="H437" s="171">
        <f t="shared" si="333"/>
        <v>0</v>
      </c>
      <c r="I437" s="171">
        <f t="shared" si="333"/>
        <v>0</v>
      </c>
      <c r="J437" s="162"/>
      <c r="K437" s="615"/>
      <c r="L437" s="640"/>
      <c r="M437" s="162"/>
      <c r="N437" s="615"/>
      <c r="O437" s="416"/>
      <c r="P437" s="416"/>
      <c r="Q437" s="416"/>
      <c r="R437" s="416"/>
      <c r="S437" s="416"/>
      <c r="T437" s="416"/>
      <c r="U437" s="416"/>
      <c r="V437" s="416"/>
      <c r="W437" s="416"/>
      <c r="X437" s="416"/>
      <c r="Y437" s="416"/>
      <c r="Z437" s="416"/>
      <c r="AA437" s="416"/>
      <c r="AB437" s="416"/>
      <c r="AC437" s="416"/>
      <c r="AD437" s="416"/>
      <c r="AE437" s="416"/>
      <c r="AF437" s="416"/>
      <c r="AG437" s="416"/>
      <c r="AH437" s="416"/>
      <c r="AI437" s="416"/>
      <c r="AJ437" s="416"/>
      <c r="AK437" s="416"/>
      <c r="AL437" s="416"/>
      <c r="AM437" s="416"/>
    </row>
    <row r="438" spans="1:39" hidden="1" outlineLevel="2" x14ac:dyDescent="0.2">
      <c r="A438" s="162"/>
      <c r="B438" s="162"/>
      <c r="C438" s="158" t="s">
        <v>125</v>
      </c>
      <c r="D438" s="171">
        <f t="shared" ref="D438:I438" si="334">IF(INDEX(SAChanged,$B432,7)&gt;0,ROUND(D436/INDEX(SAChanged,$B432,2),0),0)</f>
        <v>0</v>
      </c>
      <c r="E438" s="171">
        <f t="shared" si="334"/>
        <v>0</v>
      </c>
      <c r="F438" s="171">
        <f t="shared" si="334"/>
        <v>0</v>
      </c>
      <c r="G438" s="171">
        <f t="shared" si="334"/>
        <v>0</v>
      </c>
      <c r="H438" s="171">
        <f t="shared" si="334"/>
        <v>0</v>
      </c>
      <c r="I438" s="171">
        <f t="shared" si="334"/>
        <v>0</v>
      </c>
      <c r="J438" s="162"/>
      <c r="K438" s="615"/>
      <c r="L438" s="640"/>
      <c r="M438" s="162"/>
      <c r="N438" s="615"/>
      <c r="O438" s="416"/>
      <c r="P438" s="416"/>
      <c r="Q438" s="416"/>
      <c r="R438" s="416"/>
      <c r="S438" s="416"/>
      <c r="T438" s="416"/>
      <c r="U438" s="416"/>
      <c r="V438" s="416"/>
      <c r="W438" s="416"/>
      <c r="X438" s="416"/>
      <c r="Y438" s="416"/>
      <c r="Z438" s="416"/>
      <c r="AA438" s="416"/>
      <c r="AB438" s="416"/>
      <c r="AC438" s="416"/>
      <c r="AD438" s="416"/>
      <c r="AE438" s="416"/>
      <c r="AF438" s="416"/>
      <c r="AG438" s="416"/>
      <c r="AH438" s="416"/>
      <c r="AI438" s="416"/>
      <c r="AJ438" s="416"/>
      <c r="AK438" s="416"/>
      <c r="AL438" s="416"/>
      <c r="AM438" s="416"/>
    </row>
    <row r="439" spans="1:39" hidden="1" outlineLevel="1" collapsed="1" x14ac:dyDescent="0.2">
      <c r="A439" s="162"/>
      <c r="B439" s="162"/>
      <c r="C439" s="695"/>
      <c r="D439" s="690"/>
      <c r="E439" s="694"/>
      <c r="F439" s="694"/>
      <c r="G439" s="694"/>
      <c r="H439" s="694"/>
      <c r="I439" s="694"/>
      <c r="J439" s="694"/>
      <c r="K439" s="694"/>
      <c r="L439" s="162"/>
      <c r="M439" s="162"/>
      <c r="N439" s="162"/>
      <c r="O439" s="416"/>
      <c r="P439" s="416"/>
      <c r="Q439" s="416"/>
      <c r="R439" s="416"/>
      <c r="S439" s="416"/>
      <c r="T439" s="416"/>
      <c r="U439" s="416"/>
      <c r="V439" s="416"/>
      <c r="W439" s="416"/>
      <c r="X439" s="416"/>
      <c r="Y439" s="416"/>
      <c r="Z439" s="416"/>
      <c r="AA439" s="416"/>
      <c r="AB439" s="416"/>
      <c r="AC439" s="416"/>
      <c r="AD439" s="416"/>
      <c r="AE439" s="416"/>
      <c r="AF439" s="416"/>
      <c r="AG439" s="416"/>
      <c r="AH439" s="416"/>
      <c r="AI439" s="416"/>
      <c r="AJ439" s="416"/>
      <c r="AK439" s="416"/>
      <c r="AL439" s="416"/>
      <c r="AM439" s="416"/>
    </row>
    <row r="440" spans="1:39" ht="15" hidden="1" outlineLevel="1" x14ac:dyDescent="0.2">
      <c r="A440" s="162"/>
      <c r="B440" s="298">
        <v>11</v>
      </c>
      <c r="C440" s="147" t="str">
        <f>INDEX(PBSScriptsChanged,B440,1)</f>
        <v>** NOT USED **</v>
      </c>
      <c r="D440" s="139"/>
      <c r="E440" s="139"/>
      <c r="F440" s="139"/>
      <c r="G440" s="139"/>
      <c r="H440" s="139"/>
      <c r="I440" s="139"/>
      <c r="J440" s="139"/>
      <c r="K440" s="139"/>
      <c r="L440" s="133"/>
      <c r="M440" s="133"/>
      <c r="N440" s="133"/>
      <c r="O440" s="127"/>
      <c r="P440" s="127"/>
      <c r="Q440" s="127"/>
      <c r="R440" s="127"/>
      <c r="S440" s="127"/>
      <c r="T440" s="127"/>
      <c r="U440" s="127"/>
      <c r="V440" s="127"/>
      <c r="W440" s="127"/>
      <c r="X440" s="127"/>
      <c r="Y440" s="127"/>
      <c r="Z440" s="127"/>
      <c r="AA440" s="127"/>
      <c r="AB440" s="127"/>
      <c r="AC440" s="127"/>
      <c r="AD440" s="127"/>
      <c r="AE440" s="127"/>
      <c r="AF440" s="127"/>
      <c r="AG440" s="127"/>
      <c r="AH440" s="127"/>
      <c r="AI440" s="127"/>
      <c r="AJ440" s="127"/>
      <c r="AK440" s="127"/>
      <c r="AL440" s="127"/>
      <c r="AM440" s="127"/>
    </row>
    <row r="441" spans="1:39" hidden="1" outlineLevel="2" x14ac:dyDescent="0.2">
      <c r="A441" s="162"/>
      <c r="B441" s="162"/>
      <c r="C441" s="615"/>
      <c r="D441" s="397">
        <v>2</v>
      </c>
      <c r="E441" s="397">
        <v>3</v>
      </c>
      <c r="F441" s="397">
        <v>4</v>
      </c>
      <c r="G441" s="397">
        <v>5</v>
      </c>
      <c r="H441" s="397">
        <v>6</v>
      </c>
      <c r="I441" s="397">
        <v>7</v>
      </c>
      <c r="J441" s="624"/>
      <c r="K441" s="615"/>
      <c r="L441" s="615"/>
      <c r="M441" s="615"/>
      <c r="N441" s="615"/>
      <c r="O441" s="416"/>
      <c r="P441" s="416"/>
      <c r="Q441" s="416"/>
      <c r="R441" s="416"/>
      <c r="S441" s="416"/>
      <c r="T441" s="416"/>
      <c r="U441" s="416"/>
      <c r="V441" s="416"/>
      <c r="W441" s="416"/>
      <c r="X441" s="416"/>
      <c r="Y441" s="416"/>
      <c r="Z441" s="416"/>
      <c r="AA441" s="416"/>
      <c r="AB441" s="416"/>
      <c r="AC441" s="416"/>
      <c r="AD441" s="416"/>
      <c r="AE441" s="416"/>
      <c r="AF441" s="416"/>
      <c r="AG441" s="416"/>
      <c r="AH441" s="416"/>
      <c r="AI441" s="416"/>
      <c r="AJ441" s="416"/>
      <c r="AK441" s="416"/>
      <c r="AL441" s="416"/>
      <c r="AM441" s="416"/>
    </row>
    <row r="442" spans="1:39" hidden="1" outlineLevel="2" x14ac:dyDescent="0.2">
      <c r="A442" s="162"/>
      <c r="B442" s="162"/>
      <c r="C442" s="162"/>
      <c r="D442" s="630">
        <f>FirstYear</f>
        <v>2021</v>
      </c>
      <c r="E442" s="630">
        <f>D442+1</f>
        <v>2022</v>
      </c>
      <c r="F442" s="630">
        <f>E442+1</f>
        <v>2023</v>
      </c>
      <c r="G442" s="630">
        <f>F442+1</f>
        <v>2024</v>
      </c>
      <c r="H442" s="630">
        <f>G442+1</f>
        <v>2025</v>
      </c>
      <c r="I442" s="630">
        <f>H442+1</f>
        <v>2026</v>
      </c>
      <c r="J442" s="162"/>
      <c r="K442" s="162"/>
      <c r="L442" s="162"/>
      <c r="M442" s="162"/>
      <c r="N442" s="162"/>
      <c r="O442" s="416"/>
      <c r="P442" s="416"/>
      <c r="Q442" s="416"/>
      <c r="R442" s="416"/>
      <c r="S442" s="416"/>
      <c r="T442" s="416"/>
      <c r="U442" s="416"/>
      <c r="V442" s="416"/>
      <c r="W442" s="416"/>
      <c r="X442" s="416"/>
      <c r="Y442" s="416"/>
      <c r="Z442" s="416"/>
      <c r="AA442" s="416"/>
      <c r="AB442" s="416"/>
      <c r="AC442" s="416"/>
      <c r="AD442" s="416"/>
      <c r="AE442" s="416"/>
      <c r="AF442" s="416"/>
      <c r="AG442" s="416"/>
      <c r="AH442" s="416"/>
      <c r="AI442" s="416"/>
      <c r="AJ442" s="416"/>
      <c r="AK442" s="416"/>
      <c r="AL442" s="416"/>
      <c r="AM442" s="416"/>
    </row>
    <row r="443" spans="1:39" hidden="1" outlineLevel="2" x14ac:dyDescent="0.2">
      <c r="A443" s="162"/>
      <c r="B443" s="162"/>
      <c r="C443" s="170" t="s">
        <v>122</v>
      </c>
      <c r="D443" s="171">
        <f t="shared" ref="D443:I443" si="335">INDEX(PBSScriptsChanged,$B440,D441)</f>
        <v>0</v>
      </c>
      <c r="E443" s="171">
        <f t="shared" si="335"/>
        <v>0</v>
      </c>
      <c r="F443" s="171">
        <f t="shared" si="335"/>
        <v>0</v>
      </c>
      <c r="G443" s="171">
        <f t="shared" si="335"/>
        <v>0</v>
      </c>
      <c r="H443" s="171">
        <f t="shared" si="335"/>
        <v>0</v>
      </c>
      <c r="I443" s="171">
        <f t="shared" si="335"/>
        <v>0</v>
      </c>
      <c r="J443" s="162"/>
      <c r="K443" s="162"/>
      <c r="L443" s="162"/>
      <c r="M443" s="162"/>
      <c r="N443" s="693"/>
      <c r="O443" s="416"/>
      <c r="P443" s="416"/>
      <c r="Q443" s="416"/>
      <c r="R443" s="416"/>
      <c r="S443" s="416"/>
      <c r="T443" s="416"/>
      <c r="U443" s="416"/>
      <c r="V443" s="416"/>
      <c r="W443" s="416"/>
      <c r="X443" s="416"/>
      <c r="Y443" s="416"/>
      <c r="Z443" s="416"/>
      <c r="AA443" s="416"/>
      <c r="AB443" s="416"/>
      <c r="AC443" s="416"/>
      <c r="AD443" s="416"/>
      <c r="AE443" s="416"/>
      <c r="AF443" s="416"/>
      <c r="AG443" s="416"/>
      <c r="AH443" s="416"/>
      <c r="AI443" s="416"/>
      <c r="AJ443" s="416"/>
      <c r="AK443" s="416"/>
      <c r="AL443" s="416"/>
      <c r="AM443" s="416"/>
    </row>
    <row r="444" spans="1:39" hidden="1" outlineLevel="2" x14ac:dyDescent="0.2">
      <c r="A444" s="162"/>
      <c r="B444" s="162"/>
      <c r="C444" s="170" t="s">
        <v>123</v>
      </c>
      <c r="D444" s="171">
        <f t="shared" ref="D444:I444" si="336">INDEX(RPBSScriptsChanged,$B440,D441)</f>
        <v>0</v>
      </c>
      <c r="E444" s="171">
        <f t="shared" si="336"/>
        <v>0</v>
      </c>
      <c r="F444" s="171">
        <f t="shared" si="336"/>
        <v>0</v>
      </c>
      <c r="G444" s="171">
        <f t="shared" si="336"/>
        <v>0</v>
      </c>
      <c r="H444" s="171">
        <f t="shared" si="336"/>
        <v>0</v>
      </c>
      <c r="I444" s="171">
        <f t="shared" si="336"/>
        <v>0</v>
      </c>
      <c r="J444" s="162"/>
      <c r="K444" s="162"/>
      <c r="L444" s="162"/>
      <c r="M444" s="162"/>
      <c r="N444" s="162"/>
      <c r="O444" s="416"/>
      <c r="P444" s="416"/>
      <c r="Q444" s="416"/>
      <c r="R444" s="416"/>
      <c r="S444" s="416"/>
      <c r="T444" s="416"/>
      <c r="U444" s="416"/>
      <c r="V444" s="416"/>
      <c r="W444" s="416"/>
      <c r="X444" s="416"/>
      <c r="Y444" s="416"/>
      <c r="Z444" s="416"/>
      <c r="AA444" s="416"/>
      <c r="AB444" s="416"/>
      <c r="AC444" s="416"/>
      <c r="AD444" s="416"/>
      <c r="AE444" s="416"/>
      <c r="AF444" s="416"/>
      <c r="AG444" s="416"/>
      <c r="AH444" s="416"/>
      <c r="AI444" s="416"/>
      <c r="AJ444" s="416"/>
      <c r="AK444" s="416"/>
      <c r="AL444" s="416"/>
      <c r="AM444" s="416"/>
    </row>
    <row r="445" spans="1:39" hidden="1" outlineLevel="2" x14ac:dyDescent="0.2">
      <c r="A445" s="162"/>
      <c r="B445" s="162"/>
      <c r="C445" s="158" t="s">
        <v>124</v>
      </c>
      <c r="D445" s="171">
        <f t="shared" ref="D445:I445" si="337">IF(INDEX(SAChanged,$B440,7)&gt;0,ROUND(D443/INDEX(SAChanged,$B440,2),0),0)</f>
        <v>0</v>
      </c>
      <c r="E445" s="171">
        <f t="shared" si="337"/>
        <v>0</v>
      </c>
      <c r="F445" s="171">
        <f t="shared" si="337"/>
        <v>0</v>
      </c>
      <c r="G445" s="171">
        <f t="shared" si="337"/>
        <v>0</v>
      </c>
      <c r="H445" s="171">
        <f t="shared" si="337"/>
        <v>0</v>
      </c>
      <c r="I445" s="171">
        <f t="shared" si="337"/>
        <v>0</v>
      </c>
      <c r="J445" s="162"/>
      <c r="K445" s="615"/>
      <c r="L445" s="640"/>
      <c r="M445" s="162"/>
      <c r="N445" s="615"/>
      <c r="O445" s="416"/>
      <c r="P445" s="416"/>
      <c r="Q445" s="416"/>
      <c r="R445" s="416"/>
      <c r="S445" s="416"/>
      <c r="T445" s="416"/>
      <c r="U445" s="416"/>
      <c r="V445" s="416"/>
      <c r="W445" s="416"/>
      <c r="X445" s="416"/>
      <c r="Y445" s="416"/>
      <c r="Z445" s="416"/>
      <c r="AA445" s="416"/>
      <c r="AB445" s="416"/>
      <c r="AC445" s="416"/>
      <c r="AD445" s="416"/>
      <c r="AE445" s="416"/>
      <c r="AF445" s="416"/>
      <c r="AG445" s="416"/>
      <c r="AH445" s="416"/>
      <c r="AI445" s="416"/>
      <c r="AJ445" s="416"/>
      <c r="AK445" s="416"/>
      <c r="AL445" s="416"/>
      <c r="AM445" s="416"/>
    </row>
    <row r="446" spans="1:39" hidden="1" outlineLevel="2" x14ac:dyDescent="0.2">
      <c r="A446" s="162"/>
      <c r="B446" s="162"/>
      <c r="C446" s="158" t="s">
        <v>125</v>
      </c>
      <c r="D446" s="171">
        <f t="shared" ref="D446:I446" si="338">IF(INDEX(SAChanged,$B440,7)&gt;0,ROUND(D444/INDEX(SAChanged,$B440,2),0),0)</f>
        <v>0</v>
      </c>
      <c r="E446" s="171">
        <f t="shared" si="338"/>
        <v>0</v>
      </c>
      <c r="F446" s="171">
        <f t="shared" si="338"/>
        <v>0</v>
      </c>
      <c r="G446" s="171">
        <f t="shared" si="338"/>
        <v>0</v>
      </c>
      <c r="H446" s="171">
        <f t="shared" si="338"/>
        <v>0</v>
      </c>
      <c r="I446" s="171">
        <f t="shared" si="338"/>
        <v>0</v>
      </c>
      <c r="J446" s="162"/>
      <c r="K446" s="615"/>
      <c r="L446" s="640"/>
      <c r="M446" s="162"/>
      <c r="N446" s="615"/>
      <c r="O446" s="416"/>
      <c r="P446" s="416"/>
      <c r="Q446" s="416"/>
      <c r="R446" s="416"/>
      <c r="S446" s="416"/>
      <c r="T446" s="416"/>
      <c r="U446" s="416"/>
      <c r="V446" s="416"/>
      <c r="W446" s="416"/>
      <c r="X446" s="416"/>
      <c r="Y446" s="416"/>
      <c r="Z446" s="416"/>
      <c r="AA446" s="416"/>
      <c r="AB446" s="416"/>
      <c r="AC446" s="416"/>
      <c r="AD446" s="416"/>
      <c r="AE446" s="416"/>
      <c r="AF446" s="416"/>
      <c r="AG446" s="416"/>
      <c r="AH446" s="416"/>
      <c r="AI446" s="416"/>
      <c r="AJ446" s="416"/>
      <c r="AK446" s="416"/>
      <c r="AL446" s="416"/>
      <c r="AM446" s="416"/>
    </row>
    <row r="447" spans="1:39" hidden="1" outlineLevel="1" collapsed="1" x14ac:dyDescent="0.2">
      <c r="A447" s="162"/>
      <c r="B447" s="162"/>
      <c r="C447" s="695"/>
      <c r="D447" s="690"/>
      <c r="E447" s="694"/>
      <c r="F447" s="694"/>
      <c r="G447" s="694"/>
      <c r="H447" s="694"/>
      <c r="I447" s="694"/>
      <c r="J447" s="694"/>
      <c r="K447" s="694"/>
      <c r="L447" s="162"/>
      <c r="M447" s="162"/>
      <c r="N447" s="162"/>
      <c r="O447" s="416"/>
      <c r="P447" s="416"/>
      <c r="Q447" s="416"/>
      <c r="R447" s="416"/>
      <c r="S447" s="416"/>
      <c r="T447" s="416"/>
      <c r="U447" s="416"/>
      <c r="V447" s="416"/>
      <c r="W447" s="416"/>
      <c r="X447" s="416"/>
      <c r="Y447" s="416"/>
      <c r="Z447" s="416"/>
      <c r="AA447" s="416"/>
      <c r="AB447" s="416"/>
      <c r="AC447" s="416"/>
      <c r="AD447" s="416"/>
      <c r="AE447" s="416"/>
      <c r="AF447" s="416"/>
      <c r="AG447" s="416"/>
      <c r="AH447" s="416"/>
      <c r="AI447" s="416"/>
      <c r="AJ447" s="416"/>
      <c r="AK447" s="416"/>
      <c r="AL447" s="416"/>
      <c r="AM447" s="416"/>
    </row>
    <row r="448" spans="1:39" ht="15" hidden="1" outlineLevel="1" x14ac:dyDescent="0.2">
      <c r="A448" s="162"/>
      <c r="B448" s="298">
        <v>12</v>
      </c>
      <c r="C448" s="147" t="str">
        <f>INDEX(PBSScriptsChanged,B448,1)</f>
        <v>** NOT USED **</v>
      </c>
      <c r="D448" s="139"/>
      <c r="E448" s="139"/>
      <c r="F448" s="139"/>
      <c r="G448" s="139"/>
      <c r="H448" s="139"/>
      <c r="I448" s="139"/>
      <c r="J448" s="139"/>
      <c r="K448" s="139"/>
      <c r="L448" s="133"/>
      <c r="M448" s="133"/>
      <c r="N448" s="133"/>
      <c r="O448" s="127"/>
      <c r="P448" s="127"/>
      <c r="Q448" s="127"/>
      <c r="R448" s="127"/>
      <c r="S448" s="127"/>
      <c r="T448" s="127"/>
      <c r="U448" s="127"/>
      <c r="V448" s="127"/>
      <c r="W448" s="127"/>
      <c r="X448" s="127"/>
      <c r="Y448" s="127"/>
      <c r="Z448" s="127"/>
      <c r="AA448" s="127"/>
      <c r="AB448" s="127"/>
      <c r="AC448" s="127"/>
      <c r="AD448" s="127"/>
      <c r="AE448" s="127"/>
      <c r="AF448" s="127"/>
      <c r="AG448" s="127"/>
      <c r="AH448" s="127"/>
      <c r="AI448" s="127"/>
      <c r="AJ448" s="127"/>
      <c r="AK448" s="127"/>
      <c r="AL448" s="127"/>
      <c r="AM448" s="127"/>
    </row>
    <row r="449" spans="1:39" hidden="1" outlineLevel="2" x14ac:dyDescent="0.2">
      <c r="A449" s="162"/>
      <c r="B449" s="162"/>
      <c r="C449" s="615"/>
      <c r="D449" s="397">
        <v>2</v>
      </c>
      <c r="E449" s="397">
        <v>3</v>
      </c>
      <c r="F449" s="397">
        <v>4</v>
      </c>
      <c r="G449" s="397">
        <v>5</v>
      </c>
      <c r="H449" s="397">
        <v>6</v>
      </c>
      <c r="I449" s="397">
        <v>7</v>
      </c>
      <c r="J449" s="624"/>
      <c r="K449" s="615"/>
      <c r="L449" s="615"/>
      <c r="M449" s="615"/>
      <c r="N449" s="615"/>
      <c r="O449" s="416"/>
      <c r="P449" s="416"/>
      <c r="Q449" s="416"/>
      <c r="R449" s="416"/>
      <c r="S449" s="416"/>
      <c r="T449" s="416"/>
      <c r="U449" s="416"/>
      <c r="V449" s="416"/>
      <c r="W449" s="416"/>
      <c r="X449" s="416"/>
      <c r="Y449" s="416"/>
      <c r="Z449" s="416"/>
      <c r="AA449" s="416"/>
      <c r="AB449" s="416"/>
      <c r="AC449" s="416"/>
      <c r="AD449" s="416"/>
      <c r="AE449" s="416"/>
      <c r="AF449" s="416"/>
      <c r="AG449" s="416"/>
      <c r="AH449" s="416"/>
      <c r="AI449" s="416"/>
      <c r="AJ449" s="416"/>
      <c r="AK449" s="416"/>
      <c r="AL449" s="416"/>
      <c r="AM449" s="416"/>
    </row>
    <row r="450" spans="1:39" hidden="1" outlineLevel="2" x14ac:dyDescent="0.2">
      <c r="A450" s="162"/>
      <c r="B450" s="162"/>
      <c r="C450" s="162"/>
      <c r="D450" s="630">
        <f>FirstYear</f>
        <v>2021</v>
      </c>
      <c r="E450" s="630">
        <f>D450+1</f>
        <v>2022</v>
      </c>
      <c r="F450" s="630">
        <f>E450+1</f>
        <v>2023</v>
      </c>
      <c r="G450" s="630">
        <f>F450+1</f>
        <v>2024</v>
      </c>
      <c r="H450" s="630">
        <f>G450+1</f>
        <v>2025</v>
      </c>
      <c r="I450" s="630">
        <f>H450+1</f>
        <v>2026</v>
      </c>
      <c r="J450" s="162"/>
      <c r="K450" s="162"/>
      <c r="L450" s="162"/>
      <c r="M450" s="162"/>
      <c r="N450" s="162"/>
      <c r="O450" s="416"/>
      <c r="P450" s="416"/>
      <c r="Q450" s="416"/>
      <c r="R450" s="416"/>
      <c r="S450" s="416"/>
      <c r="T450" s="416"/>
      <c r="U450" s="416"/>
      <c r="V450" s="416"/>
      <c r="W450" s="416"/>
      <c r="X450" s="416"/>
      <c r="Y450" s="416"/>
      <c r="Z450" s="416"/>
      <c r="AA450" s="416"/>
      <c r="AB450" s="416"/>
      <c r="AC450" s="416"/>
      <c r="AD450" s="416"/>
      <c r="AE450" s="416"/>
      <c r="AF450" s="416"/>
      <c r="AG450" s="416"/>
      <c r="AH450" s="416"/>
      <c r="AI450" s="416"/>
      <c r="AJ450" s="416"/>
      <c r="AK450" s="416"/>
      <c r="AL450" s="416"/>
      <c r="AM450" s="416"/>
    </row>
    <row r="451" spans="1:39" hidden="1" outlineLevel="2" x14ac:dyDescent="0.2">
      <c r="A451" s="162"/>
      <c r="B451" s="162"/>
      <c r="C451" s="170" t="s">
        <v>122</v>
      </c>
      <c r="D451" s="171">
        <f t="shared" ref="D451:I451" si="339">INDEX(PBSScriptsChanged,$B448,D449)</f>
        <v>0</v>
      </c>
      <c r="E451" s="171">
        <f t="shared" si="339"/>
        <v>0</v>
      </c>
      <c r="F451" s="171">
        <f t="shared" si="339"/>
        <v>0</v>
      </c>
      <c r="G451" s="171">
        <f t="shared" si="339"/>
        <v>0</v>
      </c>
      <c r="H451" s="171">
        <f t="shared" si="339"/>
        <v>0</v>
      </c>
      <c r="I451" s="171">
        <f t="shared" si="339"/>
        <v>0</v>
      </c>
      <c r="J451" s="162"/>
      <c r="K451" s="162"/>
      <c r="L451" s="162"/>
      <c r="M451" s="162"/>
      <c r="N451" s="693"/>
      <c r="O451" s="416"/>
      <c r="P451" s="416"/>
      <c r="Q451" s="416"/>
      <c r="R451" s="416"/>
      <c r="S451" s="416"/>
      <c r="T451" s="416"/>
      <c r="U451" s="416"/>
      <c r="V451" s="416"/>
      <c r="W451" s="416"/>
      <c r="X451" s="416"/>
      <c r="Y451" s="416"/>
      <c r="Z451" s="416"/>
      <c r="AA451" s="416"/>
      <c r="AB451" s="416"/>
      <c r="AC451" s="416"/>
      <c r="AD451" s="416"/>
      <c r="AE451" s="416"/>
      <c r="AF451" s="416"/>
      <c r="AG451" s="416"/>
      <c r="AH451" s="416"/>
      <c r="AI451" s="416"/>
      <c r="AJ451" s="416"/>
      <c r="AK451" s="416"/>
      <c r="AL451" s="416"/>
      <c r="AM451" s="416"/>
    </row>
    <row r="452" spans="1:39" hidden="1" outlineLevel="2" x14ac:dyDescent="0.2">
      <c r="A452" s="162"/>
      <c r="B452" s="162"/>
      <c r="C452" s="170" t="s">
        <v>123</v>
      </c>
      <c r="D452" s="171">
        <f t="shared" ref="D452:I452" si="340">INDEX(RPBSScriptsChanged,$B448,D449)</f>
        <v>0</v>
      </c>
      <c r="E452" s="171">
        <f t="shared" si="340"/>
        <v>0</v>
      </c>
      <c r="F452" s="171">
        <f t="shared" si="340"/>
        <v>0</v>
      </c>
      <c r="G452" s="171">
        <f t="shared" si="340"/>
        <v>0</v>
      </c>
      <c r="H452" s="171">
        <f t="shared" si="340"/>
        <v>0</v>
      </c>
      <c r="I452" s="171">
        <f t="shared" si="340"/>
        <v>0</v>
      </c>
      <c r="J452" s="162"/>
      <c r="K452" s="162"/>
      <c r="L452" s="162"/>
      <c r="M452" s="162"/>
      <c r="N452" s="162"/>
      <c r="O452" s="416"/>
      <c r="P452" s="416"/>
      <c r="Q452" s="416"/>
      <c r="R452" s="416"/>
      <c r="S452" s="416"/>
      <c r="T452" s="416"/>
      <c r="U452" s="416"/>
      <c r="V452" s="416"/>
      <c r="W452" s="416"/>
      <c r="X452" s="416"/>
      <c r="Y452" s="416"/>
      <c r="Z452" s="416"/>
      <c r="AA452" s="416"/>
      <c r="AB452" s="416"/>
      <c r="AC452" s="416"/>
      <c r="AD452" s="416"/>
      <c r="AE452" s="416"/>
      <c r="AF452" s="416"/>
      <c r="AG452" s="416"/>
      <c r="AH452" s="416"/>
      <c r="AI452" s="416"/>
      <c r="AJ452" s="416"/>
      <c r="AK452" s="416"/>
      <c r="AL452" s="416"/>
      <c r="AM452" s="416"/>
    </row>
    <row r="453" spans="1:39" hidden="1" outlineLevel="2" x14ac:dyDescent="0.2">
      <c r="A453" s="162"/>
      <c r="B453" s="162"/>
      <c r="C453" s="158" t="s">
        <v>124</v>
      </c>
      <c r="D453" s="171">
        <f t="shared" ref="D453:I453" si="341">IF(INDEX(SAChanged,$B448,7)&gt;0,ROUND(D451/INDEX(SAChanged,$B448,2),0),0)</f>
        <v>0</v>
      </c>
      <c r="E453" s="171">
        <f t="shared" si="341"/>
        <v>0</v>
      </c>
      <c r="F453" s="171">
        <f t="shared" si="341"/>
        <v>0</v>
      </c>
      <c r="G453" s="171">
        <f t="shared" si="341"/>
        <v>0</v>
      </c>
      <c r="H453" s="171">
        <f t="shared" si="341"/>
        <v>0</v>
      </c>
      <c r="I453" s="171">
        <f t="shared" si="341"/>
        <v>0</v>
      </c>
      <c r="J453" s="162"/>
      <c r="K453" s="615"/>
      <c r="L453" s="640"/>
      <c r="M453" s="162"/>
      <c r="N453" s="615"/>
      <c r="O453" s="416"/>
      <c r="P453" s="416"/>
      <c r="Q453" s="416"/>
      <c r="R453" s="416"/>
      <c r="S453" s="416"/>
      <c r="T453" s="416"/>
      <c r="U453" s="416"/>
      <c r="V453" s="416"/>
      <c r="W453" s="416"/>
      <c r="X453" s="416"/>
      <c r="Y453" s="416"/>
      <c r="Z453" s="416"/>
      <c r="AA453" s="416"/>
      <c r="AB453" s="416"/>
      <c r="AC453" s="416"/>
      <c r="AD453" s="416"/>
      <c r="AE453" s="416"/>
      <c r="AF453" s="416"/>
      <c r="AG453" s="416"/>
      <c r="AH453" s="416"/>
      <c r="AI453" s="416"/>
      <c r="AJ453" s="416"/>
      <c r="AK453" s="416"/>
      <c r="AL453" s="416"/>
      <c r="AM453" s="416"/>
    </row>
    <row r="454" spans="1:39" hidden="1" outlineLevel="2" x14ac:dyDescent="0.2">
      <c r="A454" s="162"/>
      <c r="B454" s="162"/>
      <c r="C454" s="158" t="s">
        <v>125</v>
      </c>
      <c r="D454" s="171">
        <f t="shared" ref="D454:I454" si="342">IF(INDEX(SAChanged,$B448,7)&gt;0,ROUND(D452/INDEX(SAChanged,$B448,2),0),0)</f>
        <v>0</v>
      </c>
      <c r="E454" s="171">
        <f t="shared" si="342"/>
        <v>0</v>
      </c>
      <c r="F454" s="171">
        <f t="shared" si="342"/>
        <v>0</v>
      </c>
      <c r="G454" s="171">
        <f t="shared" si="342"/>
        <v>0</v>
      </c>
      <c r="H454" s="171">
        <f t="shared" si="342"/>
        <v>0</v>
      </c>
      <c r="I454" s="171">
        <f t="shared" si="342"/>
        <v>0</v>
      </c>
      <c r="J454" s="162"/>
      <c r="K454" s="615"/>
      <c r="L454" s="640"/>
      <c r="M454" s="162"/>
      <c r="N454" s="615"/>
      <c r="O454" s="416"/>
      <c r="P454" s="416"/>
      <c r="Q454" s="416"/>
      <c r="R454" s="416"/>
      <c r="S454" s="416"/>
      <c r="T454" s="416"/>
      <c r="U454" s="416"/>
      <c r="V454" s="416"/>
      <c r="W454" s="416"/>
      <c r="X454" s="416"/>
      <c r="Y454" s="416"/>
      <c r="Z454" s="416"/>
      <c r="AA454" s="416"/>
      <c r="AB454" s="416"/>
      <c r="AC454" s="416"/>
      <c r="AD454" s="416"/>
      <c r="AE454" s="416"/>
      <c r="AF454" s="416"/>
      <c r="AG454" s="416"/>
      <c r="AH454" s="416"/>
      <c r="AI454" s="416"/>
      <c r="AJ454" s="416"/>
      <c r="AK454" s="416"/>
      <c r="AL454" s="416"/>
      <c r="AM454" s="416"/>
    </row>
    <row r="455" spans="1:39" hidden="1" outlineLevel="1" collapsed="1" x14ac:dyDescent="0.2">
      <c r="A455" s="162"/>
      <c r="B455" s="162"/>
      <c r="C455" s="695"/>
      <c r="D455" s="690"/>
      <c r="E455" s="694"/>
      <c r="F455" s="694"/>
      <c r="G455" s="694"/>
      <c r="H455" s="694"/>
      <c r="I455" s="694"/>
      <c r="J455" s="694"/>
      <c r="K455" s="694"/>
      <c r="L455" s="162"/>
      <c r="M455" s="162"/>
      <c r="N455" s="162"/>
      <c r="O455" s="416"/>
      <c r="P455" s="416"/>
      <c r="Q455" s="416"/>
      <c r="R455" s="416"/>
      <c r="S455" s="416"/>
      <c r="T455" s="416"/>
      <c r="U455" s="416"/>
      <c r="V455" s="416"/>
      <c r="W455" s="416"/>
      <c r="X455" s="416"/>
      <c r="Y455" s="416"/>
      <c r="Z455" s="416"/>
      <c r="AA455" s="416"/>
      <c r="AB455" s="416"/>
      <c r="AC455" s="416"/>
      <c r="AD455" s="416"/>
      <c r="AE455" s="416"/>
      <c r="AF455" s="416"/>
      <c r="AG455" s="416"/>
      <c r="AH455" s="416"/>
      <c r="AI455" s="416"/>
      <c r="AJ455" s="416"/>
      <c r="AK455" s="416"/>
      <c r="AL455" s="416"/>
      <c r="AM455" s="416"/>
    </row>
    <row r="456" spans="1:39" ht="15" hidden="1" outlineLevel="1" x14ac:dyDescent="0.2">
      <c r="A456" s="162"/>
      <c r="B456" s="298">
        <v>13</v>
      </c>
      <c r="C456" s="147" t="str">
        <f>INDEX(PBSScriptsChanged,B456,1)</f>
        <v>** NOT USED **</v>
      </c>
      <c r="D456" s="139"/>
      <c r="E456" s="139"/>
      <c r="F456" s="139"/>
      <c r="G456" s="139"/>
      <c r="H456" s="139"/>
      <c r="I456" s="139"/>
      <c r="J456" s="139"/>
      <c r="K456" s="139"/>
      <c r="L456" s="133"/>
      <c r="M456" s="133"/>
      <c r="N456" s="133"/>
      <c r="O456" s="127"/>
      <c r="P456" s="127"/>
      <c r="Q456" s="127"/>
      <c r="R456" s="127"/>
      <c r="S456" s="127"/>
      <c r="T456" s="127"/>
      <c r="U456" s="127"/>
      <c r="V456" s="127"/>
      <c r="W456" s="127"/>
      <c r="X456" s="127"/>
      <c r="Y456" s="127"/>
      <c r="Z456" s="127"/>
      <c r="AA456" s="127"/>
      <c r="AB456" s="127"/>
      <c r="AC456" s="127"/>
      <c r="AD456" s="127"/>
      <c r="AE456" s="127"/>
      <c r="AF456" s="127"/>
      <c r="AG456" s="127"/>
      <c r="AH456" s="127"/>
      <c r="AI456" s="127"/>
      <c r="AJ456" s="127"/>
      <c r="AK456" s="127"/>
      <c r="AL456" s="127"/>
      <c r="AM456" s="127"/>
    </row>
    <row r="457" spans="1:39" hidden="1" outlineLevel="2" x14ac:dyDescent="0.2">
      <c r="A457" s="162"/>
      <c r="B457" s="162"/>
      <c r="C457" s="615"/>
      <c r="D457" s="397">
        <v>2</v>
      </c>
      <c r="E457" s="397">
        <v>3</v>
      </c>
      <c r="F457" s="397">
        <v>4</v>
      </c>
      <c r="G457" s="397">
        <v>5</v>
      </c>
      <c r="H457" s="397">
        <v>6</v>
      </c>
      <c r="I457" s="397">
        <v>7</v>
      </c>
      <c r="J457" s="624"/>
      <c r="K457" s="615"/>
      <c r="L457" s="615"/>
      <c r="M457" s="615"/>
      <c r="N457" s="615"/>
      <c r="O457" s="416"/>
      <c r="P457" s="416"/>
      <c r="Q457" s="416"/>
      <c r="R457" s="416"/>
      <c r="S457" s="416"/>
      <c r="T457" s="416"/>
      <c r="U457" s="416"/>
      <c r="V457" s="416"/>
      <c r="W457" s="416"/>
      <c r="X457" s="416"/>
      <c r="Y457" s="416"/>
      <c r="Z457" s="416"/>
      <c r="AA457" s="416"/>
      <c r="AB457" s="416"/>
      <c r="AC457" s="416"/>
      <c r="AD457" s="416"/>
      <c r="AE457" s="416"/>
      <c r="AF457" s="416"/>
      <c r="AG457" s="416"/>
      <c r="AH457" s="416"/>
      <c r="AI457" s="416"/>
      <c r="AJ457" s="416"/>
      <c r="AK457" s="416"/>
      <c r="AL457" s="416"/>
      <c r="AM457" s="416"/>
    </row>
    <row r="458" spans="1:39" hidden="1" outlineLevel="2" x14ac:dyDescent="0.2">
      <c r="A458" s="162"/>
      <c r="B458" s="162"/>
      <c r="C458" s="162"/>
      <c r="D458" s="630">
        <f>FirstYear</f>
        <v>2021</v>
      </c>
      <c r="E458" s="630">
        <f>D458+1</f>
        <v>2022</v>
      </c>
      <c r="F458" s="630">
        <f>E458+1</f>
        <v>2023</v>
      </c>
      <c r="G458" s="630">
        <f>F458+1</f>
        <v>2024</v>
      </c>
      <c r="H458" s="630">
        <f>G458+1</f>
        <v>2025</v>
      </c>
      <c r="I458" s="630">
        <f>H458+1</f>
        <v>2026</v>
      </c>
      <c r="J458" s="162"/>
      <c r="K458" s="162"/>
      <c r="L458" s="162"/>
      <c r="M458" s="162"/>
      <c r="N458" s="162"/>
      <c r="O458" s="416"/>
      <c r="P458" s="416"/>
      <c r="Q458" s="416"/>
      <c r="R458" s="416"/>
      <c r="S458" s="416"/>
      <c r="T458" s="416"/>
      <c r="U458" s="416"/>
      <c r="V458" s="416"/>
      <c r="W458" s="416"/>
      <c r="X458" s="416"/>
      <c r="Y458" s="416"/>
      <c r="Z458" s="416"/>
      <c r="AA458" s="416"/>
      <c r="AB458" s="416"/>
      <c r="AC458" s="416"/>
      <c r="AD458" s="416"/>
      <c r="AE458" s="416"/>
      <c r="AF458" s="416"/>
      <c r="AG458" s="416"/>
      <c r="AH458" s="416"/>
      <c r="AI458" s="416"/>
      <c r="AJ458" s="416"/>
      <c r="AK458" s="416"/>
      <c r="AL458" s="416"/>
      <c r="AM458" s="416"/>
    </row>
    <row r="459" spans="1:39" hidden="1" outlineLevel="2" x14ac:dyDescent="0.2">
      <c r="A459" s="162"/>
      <c r="B459" s="162"/>
      <c r="C459" s="170" t="s">
        <v>122</v>
      </c>
      <c r="D459" s="171">
        <f t="shared" ref="D459:I459" si="343">INDEX(PBSScriptsChanged,$B456,D457)</f>
        <v>0</v>
      </c>
      <c r="E459" s="171">
        <f t="shared" si="343"/>
        <v>0</v>
      </c>
      <c r="F459" s="171">
        <f t="shared" si="343"/>
        <v>0</v>
      </c>
      <c r="G459" s="171">
        <f t="shared" si="343"/>
        <v>0</v>
      </c>
      <c r="H459" s="171">
        <f t="shared" si="343"/>
        <v>0</v>
      </c>
      <c r="I459" s="171">
        <f t="shared" si="343"/>
        <v>0</v>
      </c>
      <c r="J459" s="162"/>
      <c r="K459" s="162"/>
      <c r="L459" s="162"/>
      <c r="M459" s="162"/>
      <c r="N459" s="693"/>
      <c r="O459" s="416"/>
      <c r="P459" s="416"/>
      <c r="Q459" s="416"/>
      <c r="R459" s="416"/>
      <c r="S459" s="416"/>
      <c r="T459" s="416"/>
      <c r="U459" s="416"/>
      <c r="V459" s="416"/>
      <c r="W459" s="416"/>
      <c r="X459" s="416"/>
      <c r="Y459" s="416"/>
      <c r="Z459" s="416"/>
      <c r="AA459" s="416"/>
      <c r="AB459" s="416"/>
      <c r="AC459" s="416"/>
      <c r="AD459" s="416"/>
      <c r="AE459" s="416"/>
      <c r="AF459" s="416"/>
      <c r="AG459" s="416"/>
      <c r="AH459" s="416"/>
      <c r="AI459" s="416"/>
      <c r="AJ459" s="416"/>
      <c r="AK459" s="416"/>
      <c r="AL459" s="416"/>
      <c r="AM459" s="416"/>
    </row>
    <row r="460" spans="1:39" hidden="1" outlineLevel="2" x14ac:dyDescent="0.2">
      <c r="A460" s="162"/>
      <c r="B460" s="162"/>
      <c r="C460" s="170" t="s">
        <v>123</v>
      </c>
      <c r="D460" s="171">
        <f t="shared" ref="D460:I460" si="344">INDEX(RPBSScriptsChanged,$B456,D457)</f>
        <v>0</v>
      </c>
      <c r="E460" s="171">
        <f t="shared" si="344"/>
        <v>0</v>
      </c>
      <c r="F460" s="171">
        <f t="shared" si="344"/>
        <v>0</v>
      </c>
      <c r="G460" s="171">
        <f t="shared" si="344"/>
        <v>0</v>
      </c>
      <c r="H460" s="171">
        <f t="shared" si="344"/>
        <v>0</v>
      </c>
      <c r="I460" s="171">
        <f t="shared" si="344"/>
        <v>0</v>
      </c>
      <c r="J460" s="162"/>
      <c r="K460" s="162"/>
      <c r="L460" s="162"/>
      <c r="M460" s="162"/>
      <c r="N460" s="162"/>
      <c r="O460" s="416"/>
      <c r="P460" s="416"/>
      <c r="Q460" s="416"/>
      <c r="R460" s="416"/>
      <c r="S460" s="416"/>
      <c r="T460" s="416"/>
      <c r="U460" s="416"/>
      <c r="V460" s="416"/>
      <c r="W460" s="416"/>
      <c r="X460" s="416"/>
      <c r="Y460" s="416"/>
      <c r="Z460" s="416"/>
      <c r="AA460" s="416"/>
      <c r="AB460" s="416"/>
      <c r="AC460" s="416"/>
      <c r="AD460" s="416"/>
      <c r="AE460" s="416"/>
      <c r="AF460" s="416"/>
      <c r="AG460" s="416"/>
      <c r="AH460" s="416"/>
      <c r="AI460" s="416"/>
      <c r="AJ460" s="416"/>
      <c r="AK460" s="416"/>
      <c r="AL460" s="416"/>
      <c r="AM460" s="416"/>
    </row>
    <row r="461" spans="1:39" hidden="1" outlineLevel="2" x14ac:dyDescent="0.2">
      <c r="A461" s="162"/>
      <c r="B461" s="162"/>
      <c r="C461" s="158" t="s">
        <v>124</v>
      </c>
      <c r="D461" s="171">
        <f t="shared" ref="D461:I461" si="345">IF(INDEX(SAChanged,$B456,7)&gt;0,ROUND(D459/INDEX(SAChanged,$B456,2),0),0)</f>
        <v>0</v>
      </c>
      <c r="E461" s="171">
        <f t="shared" si="345"/>
        <v>0</v>
      </c>
      <c r="F461" s="171">
        <f t="shared" si="345"/>
        <v>0</v>
      </c>
      <c r="G461" s="171">
        <f t="shared" si="345"/>
        <v>0</v>
      </c>
      <c r="H461" s="171">
        <f t="shared" si="345"/>
        <v>0</v>
      </c>
      <c r="I461" s="171">
        <f t="shared" si="345"/>
        <v>0</v>
      </c>
      <c r="J461" s="162"/>
      <c r="K461" s="615"/>
      <c r="L461" s="640"/>
      <c r="M461" s="162"/>
      <c r="N461" s="615"/>
      <c r="O461" s="416"/>
      <c r="P461" s="416"/>
      <c r="Q461" s="416"/>
      <c r="R461" s="416"/>
      <c r="S461" s="416"/>
      <c r="T461" s="416"/>
      <c r="U461" s="416"/>
      <c r="V461" s="416"/>
      <c r="W461" s="416"/>
      <c r="X461" s="416"/>
      <c r="Y461" s="416"/>
      <c r="Z461" s="416"/>
      <c r="AA461" s="416"/>
      <c r="AB461" s="416"/>
      <c r="AC461" s="416"/>
      <c r="AD461" s="416"/>
      <c r="AE461" s="416"/>
      <c r="AF461" s="416"/>
      <c r="AG461" s="416"/>
      <c r="AH461" s="416"/>
      <c r="AI461" s="416"/>
      <c r="AJ461" s="416"/>
      <c r="AK461" s="416"/>
      <c r="AL461" s="416"/>
      <c r="AM461" s="416"/>
    </row>
    <row r="462" spans="1:39" hidden="1" outlineLevel="2" x14ac:dyDescent="0.2">
      <c r="A462" s="162"/>
      <c r="B462" s="162"/>
      <c r="C462" s="158" t="s">
        <v>125</v>
      </c>
      <c r="D462" s="171">
        <f t="shared" ref="D462:I462" si="346">IF(INDEX(SAChanged,$B456,7)&gt;0,ROUND(D460/INDEX(SAChanged,$B456,2),0),0)</f>
        <v>0</v>
      </c>
      <c r="E462" s="171">
        <f t="shared" si="346"/>
        <v>0</v>
      </c>
      <c r="F462" s="171">
        <f t="shared" si="346"/>
        <v>0</v>
      </c>
      <c r="G462" s="171">
        <f t="shared" si="346"/>
        <v>0</v>
      </c>
      <c r="H462" s="171">
        <f t="shared" si="346"/>
        <v>0</v>
      </c>
      <c r="I462" s="171">
        <f t="shared" si="346"/>
        <v>0</v>
      </c>
      <c r="J462" s="162"/>
      <c r="K462" s="615"/>
      <c r="L462" s="640"/>
      <c r="M462" s="162"/>
      <c r="N462" s="615"/>
      <c r="O462" s="416"/>
      <c r="P462" s="416"/>
      <c r="Q462" s="416"/>
      <c r="R462" s="416"/>
      <c r="S462" s="416"/>
      <c r="T462" s="416"/>
      <c r="U462" s="416"/>
      <c r="V462" s="416"/>
      <c r="W462" s="416"/>
      <c r="X462" s="416"/>
      <c r="Y462" s="416"/>
      <c r="Z462" s="416"/>
      <c r="AA462" s="416"/>
      <c r="AB462" s="416"/>
      <c r="AC462" s="416"/>
      <c r="AD462" s="416"/>
      <c r="AE462" s="416"/>
      <c r="AF462" s="416"/>
      <c r="AG462" s="416"/>
      <c r="AH462" s="416"/>
      <c r="AI462" s="416"/>
      <c r="AJ462" s="416"/>
      <c r="AK462" s="416"/>
      <c r="AL462" s="416"/>
      <c r="AM462" s="416"/>
    </row>
    <row r="463" spans="1:39" hidden="1" outlineLevel="1" collapsed="1" x14ac:dyDescent="0.2">
      <c r="A463" s="162"/>
      <c r="B463" s="162"/>
      <c r="C463" s="695"/>
      <c r="D463" s="690"/>
      <c r="E463" s="694"/>
      <c r="F463" s="694"/>
      <c r="G463" s="694"/>
      <c r="H463" s="694"/>
      <c r="I463" s="694"/>
      <c r="J463" s="694"/>
      <c r="K463" s="694"/>
      <c r="L463" s="162"/>
      <c r="M463" s="162"/>
      <c r="N463" s="162"/>
      <c r="O463" s="416"/>
      <c r="P463" s="416"/>
      <c r="Q463" s="416"/>
      <c r="R463" s="416"/>
      <c r="S463" s="416"/>
      <c r="T463" s="416"/>
      <c r="U463" s="416"/>
      <c r="V463" s="416"/>
      <c r="W463" s="416"/>
      <c r="X463" s="416"/>
      <c r="Y463" s="416"/>
      <c r="Z463" s="416"/>
      <c r="AA463" s="416"/>
      <c r="AB463" s="416"/>
      <c r="AC463" s="416"/>
      <c r="AD463" s="416"/>
      <c r="AE463" s="416"/>
      <c r="AF463" s="416"/>
      <c r="AG463" s="416"/>
      <c r="AH463" s="416"/>
      <c r="AI463" s="416"/>
      <c r="AJ463" s="416"/>
      <c r="AK463" s="416"/>
      <c r="AL463" s="416"/>
      <c r="AM463" s="416"/>
    </row>
    <row r="464" spans="1:39" ht="15" hidden="1" outlineLevel="1" x14ac:dyDescent="0.2">
      <c r="A464" s="162"/>
      <c r="B464" s="298">
        <v>14</v>
      </c>
      <c r="C464" s="147" t="str">
        <f>INDEX(PBSScriptsChanged,B464,1)</f>
        <v>** NOT USED **</v>
      </c>
      <c r="D464" s="139"/>
      <c r="E464" s="139"/>
      <c r="F464" s="139"/>
      <c r="G464" s="139"/>
      <c r="H464" s="139"/>
      <c r="I464" s="139"/>
      <c r="J464" s="139"/>
      <c r="K464" s="139"/>
      <c r="L464" s="133"/>
      <c r="M464" s="133"/>
      <c r="N464" s="133"/>
      <c r="O464" s="127"/>
      <c r="P464" s="127"/>
      <c r="Q464" s="127"/>
      <c r="R464" s="127"/>
      <c r="S464" s="127"/>
      <c r="T464" s="127"/>
      <c r="U464" s="127"/>
      <c r="V464" s="127"/>
      <c r="W464" s="127"/>
      <c r="X464" s="127"/>
      <c r="Y464" s="127"/>
      <c r="Z464" s="127"/>
      <c r="AA464" s="127"/>
      <c r="AB464" s="127"/>
      <c r="AC464" s="127"/>
      <c r="AD464" s="127"/>
      <c r="AE464" s="127"/>
      <c r="AF464" s="127"/>
      <c r="AG464" s="127"/>
      <c r="AH464" s="127"/>
      <c r="AI464" s="127"/>
      <c r="AJ464" s="127"/>
      <c r="AK464" s="127"/>
      <c r="AL464" s="127"/>
      <c r="AM464" s="127"/>
    </row>
    <row r="465" spans="1:39" hidden="1" outlineLevel="2" x14ac:dyDescent="0.2">
      <c r="A465" s="162"/>
      <c r="B465" s="162"/>
      <c r="C465" s="615"/>
      <c r="D465" s="397">
        <v>2</v>
      </c>
      <c r="E465" s="397">
        <v>3</v>
      </c>
      <c r="F465" s="397">
        <v>4</v>
      </c>
      <c r="G465" s="397">
        <v>5</v>
      </c>
      <c r="H465" s="397">
        <v>6</v>
      </c>
      <c r="I465" s="397">
        <v>7</v>
      </c>
      <c r="J465" s="624"/>
      <c r="K465" s="615"/>
      <c r="L465" s="615"/>
      <c r="M465" s="615"/>
      <c r="N465" s="615"/>
      <c r="O465" s="416"/>
      <c r="P465" s="416"/>
      <c r="Q465" s="416"/>
      <c r="R465" s="416"/>
      <c r="S465" s="416"/>
      <c r="T465" s="416"/>
      <c r="U465" s="416"/>
      <c r="V465" s="416"/>
      <c r="W465" s="416"/>
      <c r="X465" s="416"/>
      <c r="Y465" s="416"/>
      <c r="Z465" s="416"/>
      <c r="AA465" s="416"/>
      <c r="AB465" s="416"/>
      <c r="AC465" s="416"/>
      <c r="AD465" s="416"/>
      <c r="AE465" s="416"/>
      <c r="AF465" s="416"/>
      <c r="AG465" s="416"/>
      <c r="AH465" s="416"/>
      <c r="AI465" s="416"/>
      <c r="AJ465" s="416"/>
      <c r="AK465" s="416"/>
      <c r="AL465" s="416"/>
      <c r="AM465" s="416"/>
    </row>
    <row r="466" spans="1:39" hidden="1" outlineLevel="2" x14ac:dyDescent="0.2">
      <c r="A466" s="162"/>
      <c r="B466" s="162"/>
      <c r="C466" s="162"/>
      <c r="D466" s="630">
        <f>FirstYear</f>
        <v>2021</v>
      </c>
      <c r="E466" s="630">
        <f>D466+1</f>
        <v>2022</v>
      </c>
      <c r="F466" s="630">
        <f>E466+1</f>
        <v>2023</v>
      </c>
      <c r="G466" s="630">
        <f>F466+1</f>
        <v>2024</v>
      </c>
      <c r="H466" s="630">
        <f>G466+1</f>
        <v>2025</v>
      </c>
      <c r="I466" s="630">
        <f>H466+1</f>
        <v>2026</v>
      </c>
      <c r="J466" s="162"/>
      <c r="K466" s="162"/>
      <c r="L466" s="162"/>
      <c r="M466" s="162"/>
      <c r="N466" s="162"/>
      <c r="O466" s="416"/>
      <c r="P466" s="416"/>
      <c r="Q466" s="416"/>
      <c r="R466" s="416"/>
      <c r="S466" s="416"/>
      <c r="T466" s="416"/>
      <c r="U466" s="416"/>
      <c r="V466" s="416"/>
      <c r="W466" s="416"/>
      <c r="X466" s="416"/>
      <c r="Y466" s="416"/>
      <c r="Z466" s="416"/>
      <c r="AA466" s="416"/>
      <c r="AB466" s="416"/>
      <c r="AC466" s="416"/>
      <c r="AD466" s="416"/>
      <c r="AE466" s="416"/>
      <c r="AF466" s="416"/>
      <c r="AG466" s="416"/>
      <c r="AH466" s="416"/>
      <c r="AI466" s="416"/>
      <c r="AJ466" s="416"/>
      <c r="AK466" s="416"/>
      <c r="AL466" s="416"/>
      <c r="AM466" s="416"/>
    </row>
    <row r="467" spans="1:39" hidden="1" outlineLevel="2" x14ac:dyDescent="0.2">
      <c r="A467" s="162"/>
      <c r="B467" s="162"/>
      <c r="C467" s="170" t="s">
        <v>122</v>
      </c>
      <c r="D467" s="171">
        <f t="shared" ref="D467:I467" si="347">INDEX(PBSScriptsChanged,$B464,D465)</f>
        <v>0</v>
      </c>
      <c r="E467" s="171">
        <f t="shared" si="347"/>
        <v>0</v>
      </c>
      <c r="F467" s="171">
        <f t="shared" si="347"/>
        <v>0</v>
      </c>
      <c r="G467" s="171">
        <f t="shared" si="347"/>
        <v>0</v>
      </c>
      <c r="H467" s="171">
        <f t="shared" si="347"/>
        <v>0</v>
      </c>
      <c r="I467" s="171">
        <f t="shared" si="347"/>
        <v>0</v>
      </c>
      <c r="J467" s="162"/>
      <c r="K467" s="162"/>
      <c r="L467" s="162"/>
      <c r="M467" s="162"/>
      <c r="N467" s="693"/>
      <c r="O467" s="416"/>
      <c r="P467" s="416"/>
      <c r="Q467" s="416"/>
      <c r="R467" s="416"/>
      <c r="S467" s="416"/>
      <c r="T467" s="416"/>
      <c r="U467" s="416"/>
      <c r="V467" s="416"/>
      <c r="W467" s="416"/>
      <c r="X467" s="416"/>
      <c r="Y467" s="416"/>
      <c r="Z467" s="416"/>
      <c r="AA467" s="416"/>
      <c r="AB467" s="416"/>
      <c r="AC467" s="416"/>
      <c r="AD467" s="416"/>
      <c r="AE467" s="416"/>
      <c r="AF467" s="416"/>
      <c r="AG467" s="416"/>
      <c r="AH467" s="416"/>
      <c r="AI467" s="416"/>
      <c r="AJ467" s="416"/>
      <c r="AK467" s="416"/>
      <c r="AL467" s="416"/>
      <c r="AM467" s="416"/>
    </row>
    <row r="468" spans="1:39" hidden="1" outlineLevel="2" x14ac:dyDescent="0.2">
      <c r="A468" s="162"/>
      <c r="B468" s="162"/>
      <c r="C468" s="170" t="s">
        <v>123</v>
      </c>
      <c r="D468" s="171">
        <f t="shared" ref="D468:I468" si="348">INDEX(RPBSScriptsChanged,$B464,D465)</f>
        <v>0</v>
      </c>
      <c r="E468" s="171">
        <f t="shared" si="348"/>
        <v>0</v>
      </c>
      <c r="F468" s="171">
        <f t="shared" si="348"/>
        <v>0</v>
      </c>
      <c r="G468" s="171">
        <f t="shared" si="348"/>
        <v>0</v>
      </c>
      <c r="H468" s="171">
        <f t="shared" si="348"/>
        <v>0</v>
      </c>
      <c r="I468" s="171">
        <f t="shared" si="348"/>
        <v>0</v>
      </c>
      <c r="J468" s="162"/>
      <c r="K468" s="162"/>
      <c r="L468" s="162"/>
      <c r="M468" s="162"/>
      <c r="N468" s="162"/>
      <c r="O468" s="416"/>
      <c r="P468" s="416"/>
      <c r="Q468" s="416"/>
      <c r="R468" s="416"/>
      <c r="S468" s="416"/>
      <c r="T468" s="416"/>
      <c r="U468" s="416"/>
      <c r="V468" s="416"/>
      <c r="W468" s="416"/>
      <c r="X468" s="416"/>
      <c r="Y468" s="416"/>
      <c r="Z468" s="416"/>
      <c r="AA468" s="416"/>
      <c r="AB468" s="416"/>
      <c r="AC468" s="416"/>
      <c r="AD468" s="416"/>
      <c r="AE468" s="416"/>
      <c r="AF468" s="416"/>
      <c r="AG468" s="416"/>
      <c r="AH468" s="416"/>
      <c r="AI468" s="416"/>
      <c r="AJ468" s="416"/>
      <c r="AK468" s="416"/>
      <c r="AL468" s="416"/>
      <c r="AM468" s="416"/>
    </row>
    <row r="469" spans="1:39" hidden="1" outlineLevel="2" x14ac:dyDescent="0.2">
      <c r="A469" s="162"/>
      <c r="B469" s="162"/>
      <c r="C469" s="158" t="s">
        <v>124</v>
      </c>
      <c r="D469" s="171">
        <f t="shared" ref="D469:I469" si="349">IF(INDEX(SAChanged,$B464,7)&gt;0,ROUND(D467/INDEX(SAChanged,$B464,2),0),0)</f>
        <v>0</v>
      </c>
      <c r="E469" s="171">
        <f t="shared" si="349"/>
        <v>0</v>
      </c>
      <c r="F469" s="171">
        <f t="shared" si="349"/>
        <v>0</v>
      </c>
      <c r="G469" s="171">
        <f t="shared" si="349"/>
        <v>0</v>
      </c>
      <c r="H469" s="171">
        <f t="shared" si="349"/>
        <v>0</v>
      </c>
      <c r="I469" s="171">
        <f t="shared" si="349"/>
        <v>0</v>
      </c>
      <c r="J469" s="162"/>
      <c r="K469" s="615"/>
      <c r="L469" s="640"/>
      <c r="M469" s="162"/>
      <c r="N469" s="615"/>
      <c r="O469" s="416"/>
      <c r="P469" s="416"/>
      <c r="Q469" s="416"/>
      <c r="R469" s="416"/>
      <c r="S469" s="416"/>
      <c r="T469" s="416"/>
      <c r="U469" s="416"/>
      <c r="V469" s="416"/>
      <c r="W469" s="416"/>
      <c r="X469" s="416"/>
      <c r="Y469" s="416"/>
      <c r="Z469" s="416"/>
      <c r="AA469" s="416"/>
      <c r="AB469" s="416"/>
      <c r="AC469" s="416"/>
      <c r="AD469" s="416"/>
      <c r="AE469" s="416"/>
      <c r="AF469" s="416"/>
      <c r="AG469" s="416"/>
      <c r="AH469" s="416"/>
      <c r="AI469" s="416"/>
      <c r="AJ469" s="416"/>
      <c r="AK469" s="416"/>
      <c r="AL469" s="416"/>
      <c r="AM469" s="416"/>
    </row>
    <row r="470" spans="1:39" hidden="1" outlineLevel="2" x14ac:dyDescent="0.2">
      <c r="A470" s="162"/>
      <c r="B470" s="162"/>
      <c r="C470" s="158" t="s">
        <v>125</v>
      </c>
      <c r="D470" s="171">
        <f t="shared" ref="D470:I470" si="350">IF(INDEX(SAChanged,$B464,7)&gt;0,ROUND(D468/INDEX(SAChanged,$B464,2),0),0)</f>
        <v>0</v>
      </c>
      <c r="E470" s="171">
        <f t="shared" si="350"/>
        <v>0</v>
      </c>
      <c r="F470" s="171">
        <f t="shared" si="350"/>
        <v>0</v>
      </c>
      <c r="G470" s="171">
        <f t="shared" si="350"/>
        <v>0</v>
      </c>
      <c r="H470" s="171">
        <f t="shared" si="350"/>
        <v>0</v>
      </c>
      <c r="I470" s="171">
        <f t="shared" si="350"/>
        <v>0</v>
      </c>
      <c r="J470" s="162"/>
      <c r="K470" s="615"/>
      <c r="L470" s="640"/>
      <c r="M470" s="162"/>
      <c r="N470" s="615"/>
      <c r="O470" s="416"/>
      <c r="P470" s="416"/>
      <c r="Q470" s="416"/>
      <c r="R470" s="416"/>
      <c r="S470" s="416"/>
      <c r="T470" s="416"/>
      <c r="U470" s="416"/>
      <c r="V470" s="416"/>
      <c r="W470" s="416"/>
      <c r="X470" s="416"/>
      <c r="Y470" s="416"/>
      <c r="Z470" s="416"/>
      <c r="AA470" s="416"/>
      <c r="AB470" s="416"/>
      <c r="AC470" s="416"/>
      <c r="AD470" s="416"/>
      <c r="AE470" s="416"/>
      <c r="AF470" s="416"/>
      <c r="AG470" s="416"/>
      <c r="AH470" s="416"/>
      <c r="AI470" s="416"/>
      <c r="AJ470" s="416"/>
      <c r="AK470" s="416"/>
      <c r="AL470" s="416"/>
      <c r="AM470" s="416"/>
    </row>
    <row r="471" spans="1:39" hidden="1" outlineLevel="1" collapsed="1" x14ac:dyDescent="0.2">
      <c r="A471" s="162"/>
      <c r="B471" s="162"/>
      <c r="C471" s="695"/>
      <c r="D471" s="690"/>
      <c r="E471" s="694"/>
      <c r="F471" s="694"/>
      <c r="G471" s="694"/>
      <c r="H471" s="694"/>
      <c r="I471" s="694"/>
      <c r="J471" s="694"/>
      <c r="K471" s="694"/>
      <c r="L471" s="162"/>
      <c r="M471" s="162"/>
      <c r="N471" s="162"/>
      <c r="O471" s="416"/>
      <c r="P471" s="416"/>
      <c r="Q471" s="416"/>
      <c r="R471" s="416"/>
      <c r="S471" s="416"/>
      <c r="T471" s="416"/>
      <c r="U471" s="416"/>
      <c r="V471" s="416"/>
      <c r="W471" s="416"/>
      <c r="X471" s="416"/>
      <c r="Y471" s="416"/>
      <c r="Z471" s="416"/>
      <c r="AA471" s="416"/>
      <c r="AB471" s="416"/>
      <c r="AC471" s="416"/>
      <c r="AD471" s="416"/>
      <c r="AE471" s="416"/>
      <c r="AF471" s="416"/>
      <c r="AG471" s="416"/>
      <c r="AH471" s="416"/>
      <c r="AI471" s="416"/>
      <c r="AJ471" s="416"/>
      <c r="AK471" s="416"/>
      <c r="AL471" s="416"/>
      <c r="AM471" s="416"/>
    </row>
    <row r="472" spans="1:39" ht="15" hidden="1" outlineLevel="1" x14ac:dyDescent="0.2">
      <c r="A472" s="162"/>
      <c r="B472" s="298">
        <v>15</v>
      </c>
      <c r="C472" s="147" t="str">
        <f>INDEX(PBSScriptsChanged,B472,1)</f>
        <v>** NOT USED **</v>
      </c>
      <c r="D472" s="139"/>
      <c r="E472" s="139"/>
      <c r="F472" s="139"/>
      <c r="G472" s="139"/>
      <c r="H472" s="139"/>
      <c r="I472" s="139"/>
      <c r="J472" s="139"/>
      <c r="K472" s="139"/>
      <c r="L472" s="133"/>
      <c r="M472" s="133"/>
      <c r="N472" s="133"/>
      <c r="O472" s="127"/>
      <c r="P472" s="127"/>
      <c r="Q472" s="127"/>
      <c r="R472" s="127"/>
      <c r="S472" s="127"/>
      <c r="T472" s="127"/>
      <c r="U472" s="127"/>
      <c r="V472" s="127"/>
      <c r="W472" s="127"/>
      <c r="X472" s="127"/>
      <c r="Y472" s="127"/>
      <c r="Z472" s="127"/>
      <c r="AA472" s="127"/>
      <c r="AB472" s="127"/>
      <c r="AC472" s="127"/>
      <c r="AD472" s="127"/>
      <c r="AE472" s="127"/>
      <c r="AF472" s="127"/>
      <c r="AG472" s="127"/>
      <c r="AH472" s="127"/>
      <c r="AI472" s="127"/>
      <c r="AJ472" s="127"/>
      <c r="AK472" s="127"/>
      <c r="AL472" s="127"/>
      <c r="AM472" s="127"/>
    </row>
    <row r="473" spans="1:39" hidden="1" outlineLevel="2" x14ac:dyDescent="0.2">
      <c r="A473" s="162"/>
      <c r="B473" s="162"/>
      <c r="C473" s="615"/>
      <c r="D473" s="397">
        <v>2</v>
      </c>
      <c r="E473" s="397">
        <v>3</v>
      </c>
      <c r="F473" s="397">
        <v>4</v>
      </c>
      <c r="G473" s="397">
        <v>5</v>
      </c>
      <c r="H473" s="397">
        <v>6</v>
      </c>
      <c r="I473" s="397">
        <v>7</v>
      </c>
      <c r="J473" s="624"/>
      <c r="K473" s="615"/>
      <c r="L473" s="615"/>
      <c r="M473" s="615"/>
      <c r="N473" s="615"/>
      <c r="O473" s="416"/>
      <c r="P473" s="416"/>
      <c r="Q473" s="416"/>
      <c r="R473" s="416"/>
      <c r="S473" s="416"/>
      <c r="T473" s="416"/>
      <c r="U473" s="416"/>
      <c r="V473" s="416"/>
      <c r="W473" s="416"/>
      <c r="X473" s="416"/>
      <c r="Y473" s="416"/>
      <c r="Z473" s="416"/>
      <c r="AA473" s="416"/>
      <c r="AB473" s="416"/>
      <c r="AC473" s="416"/>
      <c r="AD473" s="416"/>
      <c r="AE473" s="416"/>
      <c r="AF473" s="416"/>
      <c r="AG473" s="416"/>
      <c r="AH473" s="416"/>
      <c r="AI473" s="416"/>
      <c r="AJ473" s="416"/>
      <c r="AK473" s="416"/>
      <c r="AL473" s="416"/>
      <c r="AM473" s="416"/>
    </row>
    <row r="474" spans="1:39" hidden="1" outlineLevel="2" x14ac:dyDescent="0.2">
      <c r="A474" s="162"/>
      <c r="B474" s="162"/>
      <c r="C474" s="162"/>
      <c r="D474" s="630">
        <f>FirstYear</f>
        <v>2021</v>
      </c>
      <c r="E474" s="630">
        <f>D474+1</f>
        <v>2022</v>
      </c>
      <c r="F474" s="630">
        <f>E474+1</f>
        <v>2023</v>
      </c>
      <c r="G474" s="630">
        <f>F474+1</f>
        <v>2024</v>
      </c>
      <c r="H474" s="630">
        <f>G474+1</f>
        <v>2025</v>
      </c>
      <c r="I474" s="630">
        <f>H474+1</f>
        <v>2026</v>
      </c>
      <c r="J474" s="162"/>
      <c r="K474" s="162"/>
      <c r="L474" s="162"/>
      <c r="M474" s="162"/>
      <c r="N474" s="162"/>
      <c r="O474" s="416"/>
      <c r="P474" s="416"/>
      <c r="Q474" s="416"/>
      <c r="R474" s="416"/>
      <c r="S474" s="416"/>
      <c r="T474" s="416"/>
      <c r="U474" s="416"/>
      <c r="V474" s="416"/>
      <c r="W474" s="416"/>
      <c r="X474" s="416"/>
      <c r="Y474" s="416"/>
      <c r="Z474" s="416"/>
      <c r="AA474" s="416"/>
      <c r="AB474" s="416"/>
      <c r="AC474" s="416"/>
      <c r="AD474" s="416"/>
      <c r="AE474" s="416"/>
      <c r="AF474" s="416"/>
      <c r="AG474" s="416"/>
      <c r="AH474" s="416"/>
      <c r="AI474" s="416"/>
      <c r="AJ474" s="416"/>
      <c r="AK474" s="416"/>
      <c r="AL474" s="416"/>
      <c r="AM474" s="416"/>
    </row>
    <row r="475" spans="1:39" hidden="1" outlineLevel="2" x14ac:dyDescent="0.2">
      <c r="A475" s="162"/>
      <c r="B475" s="162"/>
      <c r="C475" s="170" t="s">
        <v>122</v>
      </c>
      <c r="D475" s="171">
        <f t="shared" ref="D475:I475" si="351">INDEX(PBSScriptsChanged,$B472,D473)</f>
        <v>0</v>
      </c>
      <c r="E475" s="171">
        <f t="shared" si="351"/>
        <v>0</v>
      </c>
      <c r="F475" s="171">
        <f t="shared" si="351"/>
        <v>0</v>
      </c>
      <c r="G475" s="171">
        <f t="shared" si="351"/>
        <v>0</v>
      </c>
      <c r="H475" s="171">
        <f t="shared" si="351"/>
        <v>0</v>
      </c>
      <c r="I475" s="171">
        <f t="shared" si="351"/>
        <v>0</v>
      </c>
      <c r="J475" s="162"/>
      <c r="K475" s="162"/>
      <c r="L475" s="162"/>
      <c r="M475" s="162"/>
      <c r="N475" s="693"/>
      <c r="O475" s="416"/>
      <c r="P475" s="416"/>
      <c r="Q475" s="416"/>
      <c r="R475" s="416"/>
      <c r="S475" s="416"/>
      <c r="T475" s="416"/>
      <c r="U475" s="416"/>
      <c r="V475" s="416"/>
      <c r="W475" s="416"/>
      <c r="X475" s="416"/>
      <c r="Y475" s="416"/>
      <c r="Z475" s="416"/>
      <c r="AA475" s="416"/>
      <c r="AB475" s="416"/>
      <c r="AC475" s="416"/>
      <c r="AD475" s="416"/>
      <c r="AE475" s="416"/>
      <c r="AF475" s="416"/>
      <c r="AG475" s="416"/>
      <c r="AH475" s="416"/>
      <c r="AI475" s="416"/>
      <c r="AJ475" s="416"/>
      <c r="AK475" s="416"/>
      <c r="AL475" s="416"/>
      <c r="AM475" s="416"/>
    </row>
    <row r="476" spans="1:39" hidden="1" outlineLevel="2" x14ac:dyDescent="0.2">
      <c r="A476" s="162"/>
      <c r="B476" s="162"/>
      <c r="C476" s="170" t="s">
        <v>123</v>
      </c>
      <c r="D476" s="171">
        <f t="shared" ref="D476:I476" si="352">INDEX(RPBSScriptsChanged,$B472,D473)</f>
        <v>0</v>
      </c>
      <c r="E476" s="171">
        <f t="shared" si="352"/>
        <v>0</v>
      </c>
      <c r="F476" s="171">
        <f t="shared" si="352"/>
        <v>0</v>
      </c>
      <c r="G476" s="171">
        <f t="shared" si="352"/>
        <v>0</v>
      </c>
      <c r="H476" s="171">
        <f t="shared" si="352"/>
        <v>0</v>
      </c>
      <c r="I476" s="171">
        <f t="shared" si="352"/>
        <v>0</v>
      </c>
      <c r="J476" s="162"/>
      <c r="K476" s="162"/>
      <c r="L476" s="162"/>
      <c r="M476" s="162"/>
      <c r="N476" s="162"/>
      <c r="O476" s="416"/>
      <c r="P476" s="416"/>
      <c r="Q476" s="416"/>
      <c r="R476" s="416"/>
      <c r="S476" s="416"/>
      <c r="T476" s="416"/>
      <c r="U476" s="416"/>
      <c r="V476" s="416"/>
      <c r="W476" s="416"/>
      <c r="X476" s="416"/>
      <c r="Y476" s="416"/>
      <c r="Z476" s="416"/>
      <c r="AA476" s="416"/>
      <c r="AB476" s="416"/>
      <c r="AC476" s="416"/>
      <c r="AD476" s="416"/>
      <c r="AE476" s="416"/>
      <c r="AF476" s="416"/>
      <c r="AG476" s="416"/>
      <c r="AH476" s="416"/>
      <c r="AI476" s="416"/>
      <c r="AJ476" s="416"/>
      <c r="AK476" s="416"/>
      <c r="AL476" s="416"/>
      <c r="AM476" s="416"/>
    </row>
    <row r="477" spans="1:39" hidden="1" outlineLevel="2" x14ac:dyDescent="0.2">
      <c r="A477" s="162"/>
      <c r="B477" s="162"/>
      <c r="C477" s="158" t="s">
        <v>124</v>
      </c>
      <c r="D477" s="171">
        <f t="shared" ref="D477:I477" si="353">IF(INDEX(SAChanged,$B472,7)&gt;0,ROUND(D475/INDEX(SAChanged,$B472,2),0),0)</f>
        <v>0</v>
      </c>
      <c r="E477" s="171">
        <f t="shared" si="353"/>
        <v>0</v>
      </c>
      <c r="F477" s="171">
        <f t="shared" si="353"/>
        <v>0</v>
      </c>
      <c r="G477" s="171">
        <f t="shared" si="353"/>
        <v>0</v>
      </c>
      <c r="H477" s="171">
        <f t="shared" si="353"/>
        <v>0</v>
      </c>
      <c r="I477" s="171">
        <f t="shared" si="353"/>
        <v>0</v>
      </c>
      <c r="J477" s="162"/>
      <c r="K477" s="615"/>
      <c r="L477" s="640"/>
      <c r="M477" s="162"/>
      <c r="N477" s="615"/>
      <c r="O477" s="416"/>
      <c r="P477" s="416"/>
      <c r="Q477" s="416"/>
      <c r="R477" s="416"/>
      <c r="S477" s="416"/>
      <c r="T477" s="416"/>
      <c r="U477" s="416"/>
      <c r="V477" s="416"/>
      <c r="W477" s="416"/>
      <c r="X477" s="416"/>
      <c r="Y477" s="416"/>
      <c r="Z477" s="416"/>
      <c r="AA477" s="416"/>
      <c r="AB477" s="416"/>
      <c r="AC477" s="416"/>
      <c r="AD477" s="416"/>
      <c r="AE477" s="416"/>
      <c r="AF477" s="416"/>
      <c r="AG477" s="416"/>
      <c r="AH477" s="416"/>
      <c r="AI477" s="416"/>
      <c r="AJ477" s="416"/>
      <c r="AK477" s="416"/>
      <c r="AL477" s="416"/>
      <c r="AM477" s="416"/>
    </row>
    <row r="478" spans="1:39" hidden="1" outlineLevel="2" x14ac:dyDescent="0.2">
      <c r="A478" s="162"/>
      <c r="B478" s="162"/>
      <c r="C478" s="158" t="s">
        <v>125</v>
      </c>
      <c r="D478" s="171">
        <f t="shared" ref="D478:I478" si="354">IF(INDEX(SAChanged,$B472,7)&gt;0,ROUND(D476/INDEX(SAChanged,$B472,2),0),0)</f>
        <v>0</v>
      </c>
      <c r="E478" s="171">
        <f t="shared" si="354"/>
        <v>0</v>
      </c>
      <c r="F478" s="171">
        <f t="shared" si="354"/>
        <v>0</v>
      </c>
      <c r="G478" s="171">
        <f t="shared" si="354"/>
        <v>0</v>
      </c>
      <c r="H478" s="171">
        <f t="shared" si="354"/>
        <v>0</v>
      </c>
      <c r="I478" s="171">
        <f t="shared" si="354"/>
        <v>0</v>
      </c>
      <c r="J478" s="162"/>
      <c r="K478" s="615"/>
      <c r="L478" s="640"/>
      <c r="M478" s="162"/>
      <c r="N478" s="615"/>
      <c r="O478" s="416"/>
      <c r="P478" s="416"/>
      <c r="Q478" s="416"/>
      <c r="R478" s="416"/>
      <c r="S478" s="416"/>
      <c r="T478" s="416"/>
      <c r="U478" s="416"/>
      <c r="V478" s="416"/>
      <c r="W478" s="416"/>
      <c r="X478" s="416"/>
      <c r="Y478" s="416"/>
      <c r="Z478" s="416"/>
      <c r="AA478" s="416"/>
      <c r="AB478" s="416"/>
      <c r="AC478" s="416"/>
      <c r="AD478" s="416"/>
      <c r="AE478" s="416"/>
      <c r="AF478" s="416"/>
      <c r="AG478" s="416"/>
      <c r="AH478" s="416"/>
      <c r="AI478" s="416"/>
      <c r="AJ478" s="416"/>
      <c r="AK478" s="416"/>
      <c r="AL478" s="416"/>
      <c r="AM478" s="416"/>
    </row>
    <row r="479" spans="1:39" hidden="1" outlineLevel="1" collapsed="1" x14ac:dyDescent="0.2">
      <c r="A479" s="162"/>
      <c r="B479" s="162"/>
      <c r="C479" s="695"/>
      <c r="D479" s="690"/>
      <c r="E479" s="694"/>
      <c r="F479" s="694"/>
      <c r="G479" s="694"/>
      <c r="H479" s="694"/>
      <c r="I479" s="694"/>
      <c r="J479" s="694"/>
      <c r="K479" s="694"/>
      <c r="L479" s="162"/>
      <c r="M479" s="162"/>
      <c r="N479" s="162"/>
      <c r="O479" s="416"/>
      <c r="P479" s="416"/>
      <c r="Q479" s="416"/>
      <c r="R479" s="416"/>
      <c r="S479" s="416"/>
      <c r="T479" s="416"/>
      <c r="U479" s="416"/>
      <c r="V479" s="416"/>
      <c r="W479" s="416"/>
      <c r="X479" s="416"/>
      <c r="Y479" s="416"/>
      <c r="Z479" s="416"/>
      <c r="AA479" s="416"/>
      <c r="AB479" s="416"/>
      <c r="AC479" s="416"/>
      <c r="AD479" s="416"/>
      <c r="AE479" s="416"/>
      <c r="AF479" s="416"/>
      <c r="AG479" s="416"/>
      <c r="AH479" s="416"/>
      <c r="AI479" s="416"/>
      <c r="AJ479" s="416"/>
      <c r="AK479" s="416"/>
      <c r="AL479" s="416"/>
      <c r="AM479" s="416"/>
    </row>
    <row r="480" spans="1:39" ht="15" hidden="1" outlineLevel="1" x14ac:dyDescent="0.2">
      <c r="A480" s="162"/>
      <c r="B480" s="298">
        <v>16</v>
      </c>
      <c r="C480" s="147" t="str">
        <f>INDEX(PBSScriptsChanged,B480,1)</f>
        <v>** NOT USED **</v>
      </c>
      <c r="D480" s="139"/>
      <c r="E480" s="139"/>
      <c r="F480" s="139"/>
      <c r="G480" s="139"/>
      <c r="H480" s="139"/>
      <c r="I480" s="139"/>
      <c r="J480" s="139"/>
      <c r="K480" s="139"/>
      <c r="L480" s="133"/>
      <c r="M480" s="133"/>
      <c r="N480" s="133"/>
      <c r="O480" s="127"/>
      <c r="P480" s="127"/>
      <c r="Q480" s="127"/>
      <c r="R480" s="127"/>
      <c r="S480" s="127"/>
      <c r="T480" s="127"/>
      <c r="U480" s="127"/>
      <c r="V480" s="127"/>
      <c r="W480" s="127"/>
      <c r="X480" s="127"/>
      <c r="Y480" s="127"/>
      <c r="Z480" s="127"/>
      <c r="AA480" s="127"/>
      <c r="AB480" s="127"/>
      <c r="AC480" s="127"/>
      <c r="AD480" s="127"/>
      <c r="AE480" s="127"/>
      <c r="AF480" s="127"/>
      <c r="AG480" s="127"/>
      <c r="AH480" s="127"/>
      <c r="AI480" s="127"/>
      <c r="AJ480" s="127"/>
      <c r="AK480" s="127"/>
      <c r="AL480" s="127"/>
      <c r="AM480" s="127"/>
    </row>
    <row r="481" spans="1:39" hidden="1" outlineLevel="2" x14ac:dyDescent="0.2">
      <c r="A481" s="162"/>
      <c r="B481" s="162"/>
      <c r="C481" s="615"/>
      <c r="D481" s="397">
        <v>2</v>
      </c>
      <c r="E481" s="397">
        <v>3</v>
      </c>
      <c r="F481" s="397">
        <v>4</v>
      </c>
      <c r="G481" s="397">
        <v>5</v>
      </c>
      <c r="H481" s="397">
        <v>6</v>
      </c>
      <c r="I481" s="397">
        <v>7</v>
      </c>
      <c r="J481" s="624"/>
      <c r="K481" s="615"/>
      <c r="L481" s="615"/>
      <c r="M481" s="615"/>
      <c r="N481" s="615"/>
      <c r="O481" s="416"/>
      <c r="P481" s="416"/>
      <c r="Q481" s="416"/>
      <c r="R481" s="416"/>
      <c r="S481" s="416"/>
      <c r="T481" s="416"/>
      <c r="U481" s="416"/>
      <c r="V481" s="416"/>
      <c r="W481" s="416"/>
      <c r="X481" s="416"/>
      <c r="Y481" s="416"/>
      <c r="Z481" s="416"/>
      <c r="AA481" s="416"/>
      <c r="AB481" s="416"/>
      <c r="AC481" s="416"/>
      <c r="AD481" s="416"/>
      <c r="AE481" s="416"/>
      <c r="AF481" s="416"/>
      <c r="AG481" s="416"/>
      <c r="AH481" s="416"/>
      <c r="AI481" s="416"/>
      <c r="AJ481" s="416"/>
      <c r="AK481" s="416"/>
      <c r="AL481" s="416"/>
      <c r="AM481" s="416"/>
    </row>
    <row r="482" spans="1:39" hidden="1" outlineLevel="2" x14ac:dyDescent="0.2">
      <c r="A482" s="162"/>
      <c r="B482" s="162"/>
      <c r="C482" s="162"/>
      <c r="D482" s="630">
        <f>FirstYear</f>
        <v>2021</v>
      </c>
      <c r="E482" s="630">
        <f>D482+1</f>
        <v>2022</v>
      </c>
      <c r="F482" s="630">
        <f>E482+1</f>
        <v>2023</v>
      </c>
      <c r="G482" s="630">
        <f>F482+1</f>
        <v>2024</v>
      </c>
      <c r="H482" s="630">
        <f>G482+1</f>
        <v>2025</v>
      </c>
      <c r="I482" s="630">
        <f>H482+1</f>
        <v>2026</v>
      </c>
      <c r="J482" s="162"/>
      <c r="K482" s="162"/>
      <c r="L482" s="162"/>
      <c r="M482" s="162"/>
      <c r="N482" s="162"/>
      <c r="O482" s="416"/>
      <c r="P482" s="416"/>
      <c r="Q482" s="416"/>
      <c r="R482" s="416"/>
      <c r="S482" s="416"/>
      <c r="T482" s="416"/>
      <c r="U482" s="416"/>
      <c r="V482" s="416"/>
      <c r="W482" s="416"/>
      <c r="X482" s="416"/>
      <c r="Y482" s="416"/>
      <c r="Z482" s="416"/>
      <c r="AA482" s="416"/>
      <c r="AB482" s="416"/>
      <c r="AC482" s="416"/>
      <c r="AD482" s="416"/>
      <c r="AE482" s="416"/>
      <c r="AF482" s="416"/>
      <c r="AG482" s="416"/>
      <c r="AH482" s="416"/>
      <c r="AI482" s="416"/>
      <c r="AJ482" s="416"/>
      <c r="AK482" s="416"/>
      <c r="AL482" s="416"/>
      <c r="AM482" s="416"/>
    </row>
    <row r="483" spans="1:39" hidden="1" outlineLevel="2" x14ac:dyDescent="0.2">
      <c r="A483" s="162"/>
      <c r="B483" s="162"/>
      <c r="C483" s="170" t="s">
        <v>122</v>
      </c>
      <c r="D483" s="171">
        <f t="shared" ref="D483:I483" si="355">INDEX(PBSScriptsChanged,$B480,D481)</f>
        <v>0</v>
      </c>
      <c r="E483" s="171">
        <f t="shared" si="355"/>
        <v>0</v>
      </c>
      <c r="F483" s="171">
        <f t="shared" si="355"/>
        <v>0</v>
      </c>
      <c r="G483" s="171">
        <f t="shared" si="355"/>
        <v>0</v>
      </c>
      <c r="H483" s="171">
        <f t="shared" si="355"/>
        <v>0</v>
      </c>
      <c r="I483" s="171">
        <f t="shared" si="355"/>
        <v>0</v>
      </c>
      <c r="J483" s="162"/>
      <c r="K483" s="162"/>
      <c r="L483" s="162"/>
      <c r="M483" s="162"/>
      <c r="N483" s="693"/>
      <c r="O483" s="416"/>
      <c r="P483" s="416"/>
      <c r="Q483" s="416"/>
      <c r="R483" s="416"/>
      <c r="S483" s="416"/>
      <c r="T483" s="416"/>
      <c r="U483" s="416"/>
      <c r="V483" s="416"/>
      <c r="W483" s="416"/>
      <c r="X483" s="416"/>
      <c r="Y483" s="416"/>
      <c r="Z483" s="416"/>
      <c r="AA483" s="416"/>
      <c r="AB483" s="416"/>
      <c r="AC483" s="416"/>
      <c r="AD483" s="416"/>
      <c r="AE483" s="416"/>
      <c r="AF483" s="416"/>
      <c r="AG483" s="416"/>
      <c r="AH483" s="416"/>
      <c r="AI483" s="416"/>
      <c r="AJ483" s="416"/>
      <c r="AK483" s="416"/>
      <c r="AL483" s="416"/>
      <c r="AM483" s="416"/>
    </row>
    <row r="484" spans="1:39" hidden="1" outlineLevel="2" x14ac:dyDescent="0.2">
      <c r="A484" s="162"/>
      <c r="B484" s="162"/>
      <c r="C484" s="170" t="s">
        <v>123</v>
      </c>
      <c r="D484" s="171">
        <f t="shared" ref="D484:I484" si="356">INDEX(RPBSScriptsChanged,$B480,D481)</f>
        <v>0</v>
      </c>
      <c r="E484" s="171">
        <f t="shared" si="356"/>
        <v>0</v>
      </c>
      <c r="F484" s="171">
        <f t="shared" si="356"/>
        <v>0</v>
      </c>
      <c r="G484" s="171">
        <f t="shared" si="356"/>
        <v>0</v>
      </c>
      <c r="H484" s="171">
        <f t="shared" si="356"/>
        <v>0</v>
      </c>
      <c r="I484" s="171">
        <f t="shared" si="356"/>
        <v>0</v>
      </c>
      <c r="J484" s="162"/>
      <c r="K484" s="162"/>
      <c r="L484" s="162"/>
      <c r="M484" s="162"/>
      <c r="N484" s="162"/>
      <c r="O484" s="416"/>
      <c r="P484" s="416"/>
      <c r="Q484" s="416"/>
      <c r="R484" s="416"/>
      <c r="S484" s="416"/>
      <c r="T484" s="416"/>
      <c r="U484" s="416"/>
      <c r="V484" s="416"/>
      <c r="W484" s="416"/>
      <c r="X484" s="416"/>
      <c r="Y484" s="416"/>
      <c r="Z484" s="416"/>
      <c r="AA484" s="416"/>
      <c r="AB484" s="416"/>
      <c r="AC484" s="416"/>
      <c r="AD484" s="416"/>
      <c r="AE484" s="416"/>
      <c r="AF484" s="416"/>
      <c r="AG484" s="416"/>
      <c r="AH484" s="416"/>
      <c r="AI484" s="416"/>
      <c r="AJ484" s="416"/>
      <c r="AK484" s="416"/>
      <c r="AL484" s="416"/>
      <c r="AM484" s="416"/>
    </row>
    <row r="485" spans="1:39" hidden="1" outlineLevel="2" x14ac:dyDescent="0.2">
      <c r="A485" s="162"/>
      <c r="B485" s="162"/>
      <c r="C485" s="158" t="s">
        <v>124</v>
      </c>
      <c r="D485" s="171">
        <f t="shared" ref="D485:I485" si="357">IF(INDEX(SAChanged,$B480,7)&gt;0,ROUND(D483/INDEX(SAChanged,$B480,2),0),0)</f>
        <v>0</v>
      </c>
      <c r="E485" s="171">
        <f t="shared" si="357"/>
        <v>0</v>
      </c>
      <c r="F485" s="171">
        <f t="shared" si="357"/>
        <v>0</v>
      </c>
      <c r="G485" s="171">
        <f t="shared" si="357"/>
        <v>0</v>
      </c>
      <c r="H485" s="171">
        <f t="shared" si="357"/>
        <v>0</v>
      </c>
      <c r="I485" s="171">
        <f t="shared" si="357"/>
        <v>0</v>
      </c>
      <c r="J485" s="162"/>
      <c r="K485" s="615"/>
      <c r="L485" s="640"/>
      <c r="M485" s="162"/>
      <c r="N485" s="615"/>
      <c r="O485" s="416"/>
      <c r="P485" s="416"/>
      <c r="Q485" s="416"/>
      <c r="R485" s="416"/>
      <c r="S485" s="416"/>
      <c r="T485" s="416"/>
      <c r="U485" s="416"/>
      <c r="V485" s="416"/>
      <c r="W485" s="416"/>
      <c r="X485" s="416"/>
      <c r="Y485" s="416"/>
      <c r="Z485" s="416"/>
      <c r="AA485" s="416"/>
      <c r="AB485" s="416"/>
      <c r="AC485" s="416"/>
      <c r="AD485" s="416"/>
      <c r="AE485" s="416"/>
      <c r="AF485" s="416"/>
      <c r="AG485" s="416"/>
      <c r="AH485" s="416"/>
      <c r="AI485" s="416"/>
      <c r="AJ485" s="416"/>
      <c r="AK485" s="416"/>
      <c r="AL485" s="416"/>
      <c r="AM485" s="416"/>
    </row>
    <row r="486" spans="1:39" hidden="1" outlineLevel="2" x14ac:dyDescent="0.2">
      <c r="A486" s="162"/>
      <c r="B486" s="162"/>
      <c r="C486" s="158" t="s">
        <v>125</v>
      </c>
      <c r="D486" s="171">
        <f t="shared" ref="D486:I486" si="358">IF(INDEX(SAChanged,$B480,7)&gt;0,ROUND(D484/INDEX(SAChanged,$B480,2),0),0)</f>
        <v>0</v>
      </c>
      <c r="E486" s="171">
        <f t="shared" si="358"/>
        <v>0</v>
      </c>
      <c r="F486" s="171">
        <f t="shared" si="358"/>
        <v>0</v>
      </c>
      <c r="G486" s="171">
        <f t="shared" si="358"/>
        <v>0</v>
      </c>
      <c r="H486" s="171">
        <f t="shared" si="358"/>
        <v>0</v>
      </c>
      <c r="I486" s="171">
        <f t="shared" si="358"/>
        <v>0</v>
      </c>
      <c r="J486" s="162"/>
      <c r="K486" s="615"/>
      <c r="L486" s="640"/>
      <c r="M486" s="162"/>
      <c r="N486" s="615"/>
      <c r="O486" s="416"/>
      <c r="P486" s="416"/>
      <c r="Q486" s="416"/>
      <c r="R486" s="416"/>
      <c r="S486" s="416"/>
      <c r="T486" s="416"/>
      <c r="U486" s="416"/>
      <c r="V486" s="416"/>
      <c r="W486" s="416"/>
      <c r="X486" s="416"/>
      <c r="Y486" s="416"/>
      <c r="Z486" s="416"/>
      <c r="AA486" s="416"/>
      <c r="AB486" s="416"/>
      <c r="AC486" s="416"/>
      <c r="AD486" s="416"/>
      <c r="AE486" s="416"/>
      <c r="AF486" s="416"/>
      <c r="AG486" s="416"/>
      <c r="AH486" s="416"/>
      <c r="AI486" s="416"/>
      <c r="AJ486" s="416"/>
      <c r="AK486" s="416"/>
      <c r="AL486" s="416"/>
      <c r="AM486" s="416"/>
    </row>
    <row r="487" spans="1:39" hidden="1" outlineLevel="1" collapsed="1" x14ac:dyDescent="0.2">
      <c r="A487" s="162"/>
      <c r="B487" s="162"/>
      <c r="C487" s="695"/>
      <c r="D487" s="690"/>
      <c r="E487" s="694"/>
      <c r="F487" s="694"/>
      <c r="G487" s="694"/>
      <c r="H487" s="694"/>
      <c r="I487" s="694"/>
      <c r="J487" s="694"/>
      <c r="K487" s="694"/>
      <c r="L487" s="162"/>
      <c r="M487" s="162"/>
      <c r="N487" s="162"/>
      <c r="O487" s="416"/>
      <c r="P487" s="416"/>
      <c r="Q487" s="416"/>
      <c r="R487" s="416"/>
      <c r="S487" s="416"/>
      <c r="T487" s="416"/>
      <c r="U487" s="416"/>
      <c r="V487" s="416"/>
      <c r="W487" s="416"/>
      <c r="X487" s="416"/>
      <c r="Y487" s="416"/>
      <c r="Z487" s="416"/>
      <c r="AA487" s="416"/>
      <c r="AB487" s="416"/>
      <c r="AC487" s="416"/>
      <c r="AD487" s="416"/>
      <c r="AE487" s="416"/>
      <c r="AF487" s="416"/>
      <c r="AG487" s="416"/>
      <c r="AH487" s="416"/>
      <c r="AI487" s="416"/>
      <c r="AJ487" s="416"/>
      <c r="AK487" s="416"/>
      <c r="AL487" s="416"/>
      <c r="AM487" s="416"/>
    </row>
    <row r="488" spans="1:39" ht="15" hidden="1" outlineLevel="1" x14ac:dyDescent="0.2">
      <c r="A488" s="162"/>
      <c r="B488" s="298">
        <v>17</v>
      </c>
      <c r="C488" s="147" t="str">
        <f>INDEX(PBSScriptsChanged,B488,1)</f>
        <v>** NOT USED **</v>
      </c>
      <c r="D488" s="139"/>
      <c r="E488" s="139"/>
      <c r="F488" s="139"/>
      <c r="G488" s="139"/>
      <c r="H488" s="139"/>
      <c r="I488" s="139"/>
      <c r="J488" s="139"/>
      <c r="K488" s="139"/>
      <c r="L488" s="133"/>
      <c r="M488" s="133"/>
      <c r="N488" s="133"/>
      <c r="O488" s="127"/>
      <c r="P488" s="127"/>
      <c r="Q488" s="127"/>
      <c r="R488" s="127"/>
      <c r="S488" s="127"/>
      <c r="T488" s="127"/>
      <c r="U488" s="127"/>
      <c r="V488" s="127"/>
      <c r="W488" s="127"/>
      <c r="X488" s="127"/>
      <c r="Y488" s="127"/>
      <c r="Z488" s="127"/>
      <c r="AA488" s="127"/>
      <c r="AB488" s="127"/>
      <c r="AC488" s="127"/>
      <c r="AD488" s="127"/>
      <c r="AE488" s="127"/>
      <c r="AF488" s="127"/>
      <c r="AG488" s="127"/>
      <c r="AH488" s="127"/>
      <c r="AI488" s="127"/>
      <c r="AJ488" s="127"/>
      <c r="AK488" s="127"/>
      <c r="AL488" s="127"/>
      <c r="AM488" s="127"/>
    </row>
    <row r="489" spans="1:39" hidden="1" outlineLevel="2" x14ac:dyDescent="0.2">
      <c r="A489" s="162"/>
      <c r="B489" s="162"/>
      <c r="C489" s="615"/>
      <c r="D489" s="397">
        <v>2</v>
      </c>
      <c r="E489" s="397">
        <v>3</v>
      </c>
      <c r="F489" s="397">
        <v>4</v>
      </c>
      <c r="G489" s="397">
        <v>5</v>
      </c>
      <c r="H489" s="397">
        <v>6</v>
      </c>
      <c r="I489" s="397">
        <v>7</v>
      </c>
      <c r="J489" s="624"/>
      <c r="K489" s="615"/>
      <c r="L489" s="615"/>
      <c r="M489" s="615"/>
      <c r="N489" s="615"/>
      <c r="O489" s="416"/>
      <c r="P489" s="416"/>
      <c r="Q489" s="416"/>
      <c r="R489" s="416"/>
      <c r="S489" s="416"/>
      <c r="T489" s="416"/>
      <c r="U489" s="416"/>
      <c r="V489" s="416"/>
      <c r="W489" s="416"/>
      <c r="X489" s="416"/>
      <c r="Y489" s="416"/>
      <c r="Z489" s="416"/>
      <c r="AA489" s="416"/>
      <c r="AB489" s="416"/>
      <c r="AC489" s="416"/>
      <c r="AD489" s="416"/>
      <c r="AE489" s="416"/>
      <c r="AF489" s="416"/>
      <c r="AG489" s="416"/>
      <c r="AH489" s="416"/>
      <c r="AI489" s="416"/>
      <c r="AJ489" s="416"/>
      <c r="AK489" s="416"/>
      <c r="AL489" s="416"/>
      <c r="AM489" s="416"/>
    </row>
    <row r="490" spans="1:39" hidden="1" outlineLevel="2" x14ac:dyDescent="0.2">
      <c r="A490" s="162"/>
      <c r="B490" s="162"/>
      <c r="C490" s="162"/>
      <c r="D490" s="630">
        <f>FirstYear</f>
        <v>2021</v>
      </c>
      <c r="E490" s="630">
        <f>D490+1</f>
        <v>2022</v>
      </c>
      <c r="F490" s="630">
        <f>E490+1</f>
        <v>2023</v>
      </c>
      <c r="G490" s="630">
        <f>F490+1</f>
        <v>2024</v>
      </c>
      <c r="H490" s="630">
        <f>G490+1</f>
        <v>2025</v>
      </c>
      <c r="I490" s="630">
        <f>H490+1</f>
        <v>2026</v>
      </c>
      <c r="J490" s="162"/>
      <c r="K490" s="162"/>
      <c r="L490" s="162"/>
      <c r="M490" s="162"/>
      <c r="N490" s="162"/>
      <c r="O490" s="416"/>
      <c r="P490" s="416"/>
      <c r="Q490" s="416"/>
      <c r="R490" s="416"/>
      <c r="S490" s="416"/>
      <c r="T490" s="416"/>
      <c r="U490" s="416"/>
      <c r="V490" s="416"/>
      <c r="W490" s="416"/>
      <c r="X490" s="416"/>
      <c r="Y490" s="416"/>
      <c r="Z490" s="416"/>
      <c r="AA490" s="416"/>
      <c r="AB490" s="416"/>
      <c r="AC490" s="416"/>
      <c r="AD490" s="416"/>
      <c r="AE490" s="416"/>
      <c r="AF490" s="416"/>
      <c r="AG490" s="416"/>
      <c r="AH490" s="416"/>
      <c r="AI490" s="416"/>
      <c r="AJ490" s="416"/>
      <c r="AK490" s="416"/>
      <c r="AL490" s="416"/>
      <c r="AM490" s="416"/>
    </row>
    <row r="491" spans="1:39" hidden="1" outlineLevel="2" x14ac:dyDescent="0.2">
      <c r="A491" s="162"/>
      <c r="B491" s="162"/>
      <c r="C491" s="170" t="s">
        <v>122</v>
      </c>
      <c r="D491" s="171">
        <f t="shared" ref="D491:I491" si="359">INDEX(PBSScriptsChanged,$B488,D489)</f>
        <v>0</v>
      </c>
      <c r="E491" s="171">
        <f t="shared" si="359"/>
        <v>0</v>
      </c>
      <c r="F491" s="171">
        <f t="shared" si="359"/>
        <v>0</v>
      </c>
      <c r="G491" s="171">
        <f t="shared" si="359"/>
        <v>0</v>
      </c>
      <c r="H491" s="171">
        <f t="shared" si="359"/>
        <v>0</v>
      </c>
      <c r="I491" s="171">
        <f t="shared" si="359"/>
        <v>0</v>
      </c>
      <c r="J491" s="162"/>
      <c r="K491" s="162"/>
      <c r="L491" s="162"/>
      <c r="M491" s="162"/>
      <c r="N491" s="693"/>
      <c r="O491" s="416"/>
      <c r="P491" s="416"/>
      <c r="Q491" s="416"/>
      <c r="R491" s="416"/>
      <c r="S491" s="416"/>
      <c r="T491" s="416"/>
      <c r="U491" s="416"/>
      <c r="V491" s="416"/>
      <c r="W491" s="416"/>
      <c r="X491" s="416"/>
      <c r="Y491" s="416"/>
      <c r="Z491" s="416"/>
      <c r="AA491" s="416"/>
      <c r="AB491" s="416"/>
      <c r="AC491" s="416"/>
      <c r="AD491" s="416"/>
      <c r="AE491" s="416"/>
      <c r="AF491" s="416"/>
      <c r="AG491" s="416"/>
      <c r="AH491" s="416"/>
      <c r="AI491" s="416"/>
      <c r="AJ491" s="416"/>
      <c r="AK491" s="416"/>
      <c r="AL491" s="416"/>
      <c r="AM491" s="416"/>
    </row>
    <row r="492" spans="1:39" hidden="1" outlineLevel="2" x14ac:dyDescent="0.2">
      <c r="A492" s="162"/>
      <c r="B492" s="162"/>
      <c r="C492" s="170" t="s">
        <v>123</v>
      </c>
      <c r="D492" s="171">
        <f t="shared" ref="D492:I492" si="360">INDEX(RPBSScriptsChanged,$B488,D489)</f>
        <v>0</v>
      </c>
      <c r="E492" s="171">
        <f t="shared" si="360"/>
        <v>0</v>
      </c>
      <c r="F492" s="171">
        <f t="shared" si="360"/>
        <v>0</v>
      </c>
      <c r="G492" s="171">
        <f t="shared" si="360"/>
        <v>0</v>
      </c>
      <c r="H492" s="171">
        <f t="shared" si="360"/>
        <v>0</v>
      </c>
      <c r="I492" s="171">
        <f t="shared" si="360"/>
        <v>0</v>
      </c>
      <c r="J492" s="162"/>
      <c r="K492" s="162"/>
      <c r="L492" s="162"/>
      <c r="M492" s="162"/>
      <c r="N492" s="162"/>
      <c r="O492" s="416"/>
      <c r="P492" s="416"/>
      <c r="Q492" s="416"/>
      <c r="R492" s="416"/>
      <c r="S492" s="416"/>
      <c r="T492" s="416"/>
      <c r="U492" s="416"/>
      <c r="V492" s="416"/>
      <c r="W492" s="416"/>
      <c r="X492" s="416"/>
      <c r="Y492" s="416"/>
      <c r="Z492" s="416"/>
      <c r="AA492" s="416"/>
      <c r="AB492" s="416"/>
      <c r="AC492" s="416"/>
      <c r="AD492" s="416"/>
      <c r="AE492" s="416"/>
      <c r="AF492" s="416"/>
      <c r="AG492" s="416"/>
      <c r="AH492" s="416"/>
      <c r="AI492" s="416"/>
      <c r="AJ492" s="416"/>
      <c r="AK492" s="416"/>
      <c r="AL492" s="416"/>
      <c r="AM492" s="416"/>
    </row>
    <row r="493" spans="1:39" hidden="1" outlineLevel="2" x14ac:dyDescent="0.2">
      <c r="A493" s="162"/>
      <c r="B493" s="162"/>
      <c r="C493" s="158" t="s">
        <v>124</v>
      </c>
      <c r="D493" s="171">
        <f t="shared" ref="D493:I493" si="361">IF(INDEX(SAChanged,$B488,7)&gt;0,ROUND(D491/INDEX(SAChanged,$B488,2),0),0)</f>
        <v>0</v>
      </c>
      <c r="E493" s="171">
        <f t="shared" si="361"/>
        <v>0</v>
      </c>
      <c r="F493" s="171">
        <f t="shared" si="361"/>
        <v>0</v>
      </c>
      <c r="G493" s="171">
        <f t="shared" si="361"/>
        <v>0</v>
      </c>
      <c r="H493" s="171">
        <f t="shared" si="361"/>
        <v>0</v>
      </c>
      <c r="I493" s="171">
        <f t="shared" si="361"/>
        <v>0</v>
      </c>
      <c r="J493" s="162"/>
      <c r="K493" s="615"/>
      <c r="L493" s="640"/>
      <c r="M493" s="162"/>
      <c r="N493" s="615"/>
      <c r="O493" s="416"/>
      <c r="P493" s="416"/>
      <c r="Q493" s="416"/>
      <c r="R493" s="416"/>
      <c r="S493" s="416"/>
      <c r="T493" s="416"/>
      <c r="U493" s="416"/>
      <c r="V493" s="416"/>
      <c r="W493" s="416"/>
      <c r="X493" s="416"/>
      <c r="Y493" s="416"/>
      <c r="Z493" s="416"/>
      <c r="AA493" s="416"/>
      <c r="AB493" s="416"/>
      <c r="AC493" s="416"/>
      <c r="AD493" s="416"/>
      <c r="AE493" s="416"/>
      <c r="AF493" s="416"/>
      <c r="AG493" s="416"/>
      <c r="AH493" s="416"/>
      <c r="AI493" s="416"/>
      <c r="AJ493" s="416"/>
      <c r="AK493" s="416"/>
      <c r="AL493" s="416"/>
      <c r="AM493" s="416"/>
    </row>
    <row r="494" spans="1:39" hidden="1" outlineLevel="2" x14ac:dyDescent="0.2">
      <c r="A494" s="162"/>
      <c r="B494" s="162"/>
      <c r="C494" s="158" t="s">
        <v>125</v>
      </c>
      <c r="D494" s="171">
        <f t="shared" ref="D494:I494" si="362">IF(INDEX(SAChanged,$B488,7)&gt;0,ROUND(D492/INDEX(SAChanged,$B488,2),0),0)</f>
        <v>0</v>
      </c>
      <c r="E494" s="171">
        <f t="shared" si="362"/>
        <v>0</v>
      </c>
      <c r="F494" s="171">
        <f t="shared" si="362"/>
        <v>0</v>
      </c>
      <c r="G494" s="171">
        <f t="shared" si="362"/>
        <v>0</v>
      </c>
      <c r="H494" s="171">
        <f t="shared" si="362"/>
        <v>0</v>
      </c>
      <c r="I494" s="171">
        <f t="shared" si="362"/>
        <v>0</v>
      </c>
      <c r="J494" s="162"/>
      <c r="K494" s="615"/>
      <c r="L494" s="640"/>
      <c r="M494" s="162"/>
      <c r="N494" s="615"/>
      <c r="O494" s="416"/>
      <c r="P494" s="416"/>
      <c r="Q494" s="416"/>
      <c r="R494" s="416"/>
      <c r="S494" s="416"/>
      <c r="T494" s="416"/>
      <c r="U494" s="416"/>
      <c r="V494" s="416"/>
      <c r="W494" s="416"/>
      <c r="X494" s="416"/>
      <c r="Y494" s="416"/>
      <c r="Z494" s="416"/>
      <c r="AA494" s="416"/>
      <c r="AB494" s="416"/>
      <c r="AC494" s="416"/>
      <c r="AD494" s="416"/>
      <c r="AE494" s="416"/>
      <c r="AF494" s="416"/>
      <c r="AG494" s="416"/>
      <c r="AH494" s="416"/>
      <c r="AI494" s="416"/>
      <c r="AJ494" s="416"/>
      <c r="AK494" s="416"/>
      <c r="AL494" s="416"/>
      <c r="AM494" s="416"/>
    </row>
    <row r="495" spans="1:39" hidden="1" outlineLevel="1" collapsed="1" x14ac:dyDescent="0.2">
      <c r="A495" s="162"/>
      <c r="B495" s="162"/>
      <c r="C495" s="695"/>
      <c r="D495" s="690"/>
      <c r="E495" s="694"/>
      <c r="F495" s="694"/>
      <c r="G495" s="694"/>
      <c r="H495" s="694"/>
      <c r="I495" s="694"/>
      <c r="J495" s="694"/>
      <c r="K495" s="694"/>
      <c r="L495" s="162"/>
      <c r="M495" s="162"/>
      <c r="N495" s="162"/>
      <c r="O495" s="416"/>
      <c r="P495" s="416"/>
      <c r="Q495" s="416"/>
      <c r="R495" s="416"/>
      <c r="S495" s="416"/>
      <c r="T495" s="416"/>
      <c r="U495" s="416"/>
      <c r="V495" s="416"/>
      <c r="W495" s="416"/>
      <c r="X495" s="416"/>
      <c r="Y495" s="416"/>
      <c r="Z495" s="416"/>
      <c r="AA495" s="416"/>
      <c r="AB495" s="416"/>
      <c r="AC495" s="416"/>
      <c r="AD495" s="416"/>
      <c r="AE495" s="416"/>
      <c r="AF495" s="416"/>
      <c r="AG495" s="416"/>
      <c r="AH495" s="416"/>
      <c r="AI495" s="416"/>
      <c r="AJ495" s="416"/>
      <c r="AK495" s="416"/>
      <c r="AL495" s="416"/>
      <c r="AM495" s="416"/>
    </row>
    <row r="496" spans="1:39" ht="15" hidden="1" outlineLevel="1" x14ac:dyDescent="0.2">
      <c r="A496" s="162"/>
      <c r="B496" s="298">
        <v>18</v>
      </c>
      <c r="C496" s="147" t="str">
        <f>INDEX(PBSScriptsChanged,B496,1)</f>
        <v>** NOT USED **</v>
      </c>
      <c r="D496" s="139"/>
      <c r="E496" s="139"/>
      <c r="F496" s="139"/>
      <c r="G496" s="139"/>
      <c r="H496" s="139"/>
      <c r="I496" s="139"/>
      <c r="J496" s="139"/>
      <c r="K496" s="139"/>
      <c r="L496" s="133"/>
      <c r="M496" s="133"/>
      <c r="N496" s="133"/>
      <c r="O496" s="127"/>
      <c r="P496" s="127"/>
      <c r="Q496" s="127"/>
      <c r="R496" s="127"/>
      <c r="S496" s="127"/>
      <c r="T496" s="127"/>
      <c r="U496" s="127"/>
      <c r="V496" s="127"/>
      <c r="W496" s="127"/>
      <c r="X496" s="127"/>
      <c r="Y496" s="127"/>
      <c r="Z496" s="127"/>
      <c r="AA496" s="127"/>
      <c r="AB496" s="127"/>
      <c r="AC496" s="127"/>
      <c r="AD496" s="127"/>
      <c r="AE496" s="127"/>
      <c r="AF496" s="127"/>
      <c r="AG496" s="127"/>
      <c r="AH496" s="127"/>
      <c r="AI496" s="127"/>
      <c r="AJ496" s="127"/>
      <c r="AK496" s="127"/>
      <c r="AL496" s="127"/>
      <c r="AM496" s="127"/>
    </row>
    <row r="497" spans="1:39" hidden="1" outlineLevel="2" x14ac:dyDescent="0.2">
      <c r="A497" s="162"/>
      <c r="B497" s="162"/>
      <c r="C497" s="615"/>
      <c r="D497" s="397">
        <v>2</v>
      </c>
      <c r="E497" s="397">
        <v>3</v>
      </c>
      <c r="F497" s="397">
        <v>4</v>
      </c>
      <c r="G497" s="397">
        <v>5</v>
      </c>
      <c r="H497" s="397">
        <v>6</v>
      </c>
      <c r="I497" s="397">
        <v>7</v>
      </c>
      <c r="J497" s="624"/>
      <c r="K497" s="615"/>
      <c r="L497" s="615"/>
      <c r="M497" s="615"/>
      <c r="N497" s="615"/>
      <c r="O497" s="416"/>
      <c r="P497" s="416"/>
      <c r="Q497" s="416"/>
      <c r="R497" s="416"/>
      <c r="S497" s="416"/>
      <c r="T497" s="416"/>
      <c r="U497" s="416"/>
      <c r="V497" s="416"/>
      <c r="W497" s="416"/>
      <c r="X497" s="416"/>
      <c r="Y497" s="416"/>
      <c r="Z497" s="416"/>
      <c r="AA497" s="416"/>
      <c r="AB497" s="416"/>
      <c r="AC497" s="416"/>
      <c r="AD497" s="416"/>
      <c r="AE497" s="416"/>
      <c r="AF497" s="416"/>
      <c r="AG497" s="416"/>
      <c r="AH497" s="416"/>
      <c r="AI497" s="416"/>
      <c r="AJ497" s="416"/>
      <c r="AK497" s="416"/>
      <c r="AL497" s="416"/>
      <c r="AM497" s="416"/>
    </row>
    <row r="498" spans="1:39" hidden="1" outlineLevel="2" x14ac:dyDescent="0.2">
      <c r="A498" s="162"/>
      <c r="B498" s="162"/>
      <c r="C498" s="162"/>
      <c r="D498" s="630">
        <f>FirstYear</f>
        <v>2021</v>
      </c>
      <c r="E498" s="630">
        <f>D498+1</f>
        <v>2022</v>
      </c>
      <c r="F498" s="630">
        <f>E498+1</f>
        <v>2023</v>
      </c>
      <c r="G498" s="630">
        <f>F498+1</f>
        <v>2024</v>
      </c>
      <c r="H498" s="630">
        <f>G498+1</f>
        <v>2025</v>
      </c>
      <c r="I498" s="630">
        <f>H498+1</f>
        <v>2026</v>
      </c>
      <c r="J498" s="162"/>
      <c r="K498" s="162"/>
      <c r="L498" s="162"/>
      <c r="M498" s="162"/>
      <c r="N498" s="162"/>
      <c r="O498" s="416"/>
      <c r="P498" s="416"/>
      <c r="Q498" s="416"/>
      <c r="R498" s="416"/>
      <c r="S498" s="416"/>
      <c r="T498" s="416"/>
      <c r="U498" s="416"/>
      <c r="V498" s="416"/>
      <c r="W498" s="416"/>
      <c r="X498" s="416"/>
      <c r="Y498" s="416"/>
      <c r="Z498" s="416"/>
      <c r="AA498" s="416"/>
      <c r="AB498" s="416"/>
      <c r="AC498" s="416"/>
      <c r="AD498" s="416"/>
      <c r="AE498" s="416"/>
      <c r="AF498" s="416"/>
      <c r="AG498" s="416"/>
      <c r="AH498" s="416"/>
      <c r="AI498" s="416"/>
      <c r="AJ498" s="416"/>
      <c r="AK498" s="416"/>
      <c r="AL498" s="416"/>
      <c r="AM498" s="416"/>
    </row>
    <row r="499" spans="1:39" hidden="1" outlineLevel="2" x14ac:dyDescent="0.2">
      <c r="A499" s="162"/>
      <c r="B499" s="162"/>
      <c r="C499" s="170" t="s">
        <v>122</v>
      </c>
      <c r="D499" s="171">
        <f t="shared" ref="D499:I499" si="363">INDEX(PBSScriptsChanged,$B496,D497)</f>
        <v>0</v>
      </c>
      <c r="E499" s="171">
        <f t="shared" si="363"/>
        <v>0</v>
      </c>
      <c r="F499" s="171">
        <f t="shared" si="363"/>
        <v>0</v>
      </c>
      <c r="G499" s="171">
        <f t="shared" si="363"/>
        <v>0</v>
      </c>
      <c r="H499" s="171">
        <f t="shared" si="363"/>
        <v>0</v>
      </c>
      <c r="I499" s="171">
        <f t="shared" si="363"/>
        <v>0</v>
      </c>
      <c r="J499" s="162"/>
      <c r="K499" s="162"/>
      <c r="L499" s="162"/>
      <c r="M499" s="162"/>
      <c r="N499" s="693"/>
      <c r="O499" s="416"/>
      <c r="P499" s="416"/>
      <c r="Q499" s="416"/>
      <c r="R499" s="416"/>
      <c r="S499" s="416"/>
      <c r="T499" s="416"/>
      <c r="U499" s="416"/>
      <c r="V499" s="416"/>
      <c r="W499" s="416"/>
      <c r="X499" s="416"/>
      <c r="Y499" s="416"/>
      <c r="Z499" s="416"/>
      <c r="AA499" s="416"/>
      <c r="AB499" s="416"/>
      <c r="AC499" s="416"/>
      <c r="AD499" s="416"/>
      <c r="AE499" s="416"/>
      <c r="AF499" s="416"/>
      <c r="AG499" s="416"/>
      <c r="AH499" s="416"/>
      <c r="AI499" s="416"/>
      <c r="AJ499" s="416"/>
      <c r="AK499" s="416"/>
      <c r="AL499" s="416"/>
      <c r="AM499" s="416"/>
    </row>
    <row r="500" spans="1:39" hidden="1" outlineLevel="2" x14ac:dyDescent="0.2">
      <c r="A500" s="162"/>
      <c r="B500" s="162"/>
      <c r="C500" s="170" t="s">
        <v>123</v>
      </c>
      <c r="D500" s="171">
        <f t="shared" ref="D500:I500" si="364">INDEX(RPBSScriptsChanged,$B496,D497)</f>
        <v>0</v>
      </c>
      <c r="E500" s="171">
        <f t="shared" si="364"/>
        <v>0</v>
      </c>
      <c r="F500" s="171">
        <f t="shared" si="364"/>
        <v>0</v>
      </c>
      <c r="G500" s="171">
        <f t="shared" si="364"/>
        <v>0</v>
      </c>
      <c r="H500" s="171">
        <f t="shared" si="364"/>
        <v>0</v>
      </c>
      <c r="I500" s="171">
        <f t="shared" si="364"/>
        <v>0</v>
      </c>
      <c r="J500" s="162"/>
      <c r="K500" s="162"/>
      <c r="L500" s="162"/>
      <c r="M500" s="162"/>
      <c r="N500" s="162"/>
      <c r="O500" s="416"/>
      <c r="P500" s="416"/>
      <c r="Q500" s="416"/>
      <c r="R500" s="416"/>
      <c r="S500" s="416"/>
      <c r="T500" s="416"/>
      <c r="U500" s="416"/>
      <c r="V500" s="416"/>
      <c r="W500" s="416"/>
      <c r="X500" s="416"/>
      <c r="Y500" s="416"/>
      <c r="Z500" s="416"/>
      <c r="AA500" s="416"/>
      <c r="AB500" s="416"/>
      <c r="AC500" s="416"/>
      <c r="AD500" s="416"/>
      <c r="AE500" s="416"/>
      <c r="AF500" s="416"/>
      <c r="AG500" s="416"/>
      <c r="AH500" s="416"/>
      <c r="AI500" s="416"/>
      <c r="AJ500" s="416"/>
      <c r="AK500" s="416"/>
      <c r="AL500" s="416"/>
      <c r="AM500" s="416"/>
    </row>
    <row r="501" spans="1:39" hidden="1" outlineLevel="2" x14ac:dyDescent="0.2">
      <c r="A501" s="162"/>
      <c r="B501" s="162"/>
      <c r="C501" s="158" t="s">
        <v>124</v>
      </c>
      <c r="D501" s="171">
        <f t="shared" ref="D501:I501" si="365">IF(INDEX(SAChanged,$B496,7)&gt;0,ROUND(D499/INDEX(SAChanged,$B496,2),0),0)</f>
        <v>0</v>
      </c>
      <c r="E501" s="171">
        <f t="shared" si="365"/>
        <v>0</v>
      </c>
      <c r="F501" s="171">
        <f t="shared" si="365"/>
        <v>0</v>
      </c>
      <c r="G501" s="171">
        <f t="shared" si="365"/>
        <v>0</v>
      </c>
      <c r="H501" s="171">
        <f t="shared" si="365"/>
        <v>0</v>
      </c>
      <c r="I501" s="171">
        <f t="shared" si="365"/>
        <v>0</v>
      </c>
      <c r="J501" s="162"/>
      <c r="K501" s="615"/>
      <c r="L501" s="640"/>
      <c r="M501" s="162"/>
      <c r="N501" s="615"/>
      <c r="O501" s="416"/>
      <c r="P501" s="416"/>
      <c r="Q501" s="416"/>
      <c r="R501" s="416"/>
      <c r="S501" s="416"/>
      <c r="T501" s="416"/>
      <c r="U501" s="416"/>
      <c r="V501" s="416"/>
      <c r="W501" s="416"/>
      <c r="X501" s="416"/>
      <c r="Y501" s="416"/>
      <c r="Z501" s="416"/>
      <c r="AA501" s="416"/>
      <c r="AB501" s="416"/>
      <c r="AC501" s="416"/>
      <c r="AD501" s="416"/>
      <c r="AE501" s="416"/>
      <c r="AF501" s="416"/>
      <c r="AG501" s="416"/>
      <c r="AH501" s="416"/>
      <c r="AI501" s="416"/>
      <c r="AJ501" s="416"/>
      <c r="AK501" s="416"/>
      <c r="AL501" s="416"/>
      <c r="AM501" s="416"/>
    </row>
    <row r="502" spans="1:39" hidden="1" outlineLevel="2" x14ac:dyDescent="0.2">
      <c r="A502" s="162"/>
      <c r="B502" s="162"/>
      <c r="C502" s="158" t="s">
        <v>125</v>
      </c>
      <c r="D502" s="171">
        <f t="shared" ref="D502:I502" si="366">IF(INDEX(SAChanged,$B496,7)&gt;0,ROUND(D500/INDEX(SAChanged,$B496,2),0),0)</f>
        <v>0</v>
      </c>
      <c r="E502" s="171">
        <f t="shared" si="366"/>
        <v>0</v>
      </c>
      <c r="F502" s="171">
        <f t="shared" si="366"/>
        <v>0</v>
      </c>
      <c r="G502" s="171">
        <f t="shared" si="366"/>
        <v>0</v>
      </c>
      <c r="H502" s="171">
        <f t="shared" si="366"/>
        <v>0</v>
      </c>
      <c r="I502" s="171">
        <f t="shared" si="366"/>
        <v>0</v>
      </c>
      <c r="J502" s="162"/>
      <c r="K502" s="615"/>
      <c r="L502" s="640"/>
      <c r="M502" s="162"/>
      <c r="N502" s="615"/>
      <c r="O502" s="416"/>
      <c r="P502" s="416"/>
      <c r="Q502" s="416"/>
      <c r="R502" s="416"/>
      <c r="S502" s="416"/>
      <c r="T502" s="416"/>
      <c r="U502" s="416"/>
      <c r="V502" s="416"/>
      <c r="W502" s="416"/>
      <c r="X502" s="416"/>
      <c r="Y502" s="416"/>
      <c r="Z502" s="416"/>
      <c r="AA502" s="416"/>
      <c r="AB502" s="416"/>
      <c r="AC502" s="416"/>
      <c r="AD502" s="416"/>
      <c r="AE502" s="416"/>
      <c r="AF502" s="416"/>
      <c r="AG502" s="416"/>
      <c r="AH502" s="416"/>
      <c r="AI502" s="416"/>
      <c r="AJ502" s="416"/>
      <c r="AK502" s="416"/>
      <c r="AL502" s="416"/>
      <c r="AM502" s="416"/>
    </row>
    <row r="503" spans="1:39" hidden="1" outlineLevel="1" collapsed="1" x14ac:dyDescent="0.2">
      <c r="A503" s="162"/>
      <c r="B503" s="162"/>
      <c r="C503" s="695"/>
      <c r="D503" s="690"/>
      <c r="E503" s="694"/>
      <c r="F503" s="694"/>
      <c r="G503" s="694"/>
      <c r="H503" s="694"/>
      <c r="I503" s="694"/>
      <c r="J503" s="694"/>
      <c r="K503" s="694"/>
      <c r="L503" s="162"/>
      <c r="M503" s="162"/>
      <c r="N503" s="162"/>
      <c r="O503" s="416"/>
      <c r="P503" s="416"/>
      <c r="Q503" s="416"/>
      <c r="R503" s="416"/>
      <c r="S503" s="416"/>
      <c r="T503" s="416"/>
      <c r="U503" s="416"/>
      <c r="V503" s="416"/>
      <c r="W503" s="416"/>
      <c r="X503" s="416"/>
      <c r="Y503" s="416"/>
      <c r="Z503" s="416"/>
      <c r="AA503" s="416"/>
      <c r="AB503" s="416"/>
      <c r="AC503" s="416"/>
      <c r="AD503" s="416"/>
      <c r="AE503" s="416"/>
      <c r="AF503" s="416"/>
      <c r="AG503" s="416"/>
      <c r="AH503" s="416"/>
      <c r="AI503" s="416"/>
      <c r="AJ503" s="416"/>
      <c r="AK503" s="416"/>
      <c r="AL503" s="416"/>
      <c r="AM503" s="416"/>
    </row>
    <row r="504" spans="1:39" ht="15" hidden="1" outlineLevel="1" x14ac:dyDescent="0.2">
      <c r="A504" s="162"/>
      <c r="B504" s="298">
        <v>19</v>
      </c>
      <c r="C504" s="147" t="str">
        <f>INDEX(PBSScriptsChanged,B504,1)</f>
        <v>** NOT USED **</v>
      </c>
      <c r="D504" s="139"/>
      <c r="E504" s="139"/>
      <c r="F504" s="139"/>
      <c r="G504" s="139"/>
      <c r="H504" s="139"/>
      <c r="I504" s="139"/>
      <c r="J504" s="139"/>
      <c r="K504" s="139"/>
      <c r="L504" s="133"/>
      <c r="M504" s="133"/>
      <c r="N504" s="133"/>
      <c r="O504" s="127"/>
      <c r="P504" s="127"/>
      <c r="Q504" s="127"/>
      <c r="R504" s="127"/>
      <c r="S504" s="127"/>
      <c r="T504" s="127"/>
      <c r="U504" s="127"/>
      <c r="V504" s="127"/>
      <c r="W504" s="127"/>
      <c r="X504" s="127"/>
      <c r="Y504" s="127"/>
      <c r="Z504" s="127"/>
      <c r="AA504" s="127"/>
      <c r="AB504" s="127"/>
      <c r="AC504" s="127"/>
      <c r="AD504" s="127"/>
      <c r="AE504" s="127"/>
      <c r="AF504" s="127"/>
      <c r="AG504" s="127"/>
      <c r="AH504" s="127"/>
      <c r="AI504" s="127"/>
      <c r="AJ504" s="127"/>
      <c r="AK504" s="127"/>
      <c r="AL504" s="127"/>
      <c r="AM504" s="127"/>
    </row>
    <row r="505" spans="1:39" hidden="1" outlineLevel="2" x14ac:dyDescent="0.2">
      <c r="A505" s="162"/>
      <c r="B505" s="162"/>
      <c r="C505" s="615"/>
      <c r="D505" s="397">
        <v>2</v>
      </c>
      <c r="E505" s="397">
        <v>3</v>
      </c>
      <c r="F505" s="397">
        <v>4</v>
      </c>
      <c r="G505" s="397">
        <v>5</v>
      </c>
      <c r="H505" s="397">
        <v>6</v>
      </c>
      <c r="I505" s="397">
        <v>7</v>
      </c>
      <c r="J505" s="624"/>
      <c r="K505" s="615"/>
      <c r="L505" s="615"/>
      <c r="M505" s="615"/>
      <c r="N505" s="615"/>
      <c r="O505" s="416"/>
      <c r="P505" s="416"/>
      <c r="Q505" s="416"/>
      <c r="R505" s="416"/>
      <c r="S505" s="416"/>
      <c r="T505" s="416"/>
      <c r="U505" s="416"/>
      <c r="V505" s="416"/>
      <c r="W505" s="416"/>
      <c r="X505" s="416"/>
      <c r="Y505" s="416"/>
      <c r="Z505" s="416"/>
      <c r="AA505" s="416"/>
      <c r="AB505" s="416"/>
      <c r="AC505" s="416"/>
      <c r="AD505" s="416"/>
      <c r="AE505" s="416"/>
      <c r="AF505" s="416"/>
      <c r="AG505" s="416"/>
      <c r="AH505" s="416"/>
      <c r="AI505" s="416"/>
      <c r="AJ505" s="416"/>
      <c r="AK505" s="416"/>
      <c r="AL505" s="416"/>
      <c r="AM505" s="416"/>
    </row>
    <row r="506" spans="1:39" hidden="1" outlineLevel="2" x14ac:dyDescent="0.2">
      <c r="A506" s="162"/>
      <c r="B506" s="162"/>
      <c r="C506" s="162"/>
      <c r="D506" s="630">
        <f>FirstYear</f>
        <v>2021</v>
      </c>
      <c r="E506" s="630">
        <f>D506+1</f>
        <v>2022</v>
      </c>
      <c r="F506" s="630">
        <f>E506+1</f>
        <v>2023</v>
      </c>
      <c r="G506" s="630">
        <f>F506+1</f>
        <v>2024</v>
      </c>
      <c r="H506" s="630">
        <f>G506+1</f>
        <v>2025</v>
      </c>
      <c r="I506" s="630">
        <f>H506+1</f>
        <v>2026</v>
      </c>
      <c r="J506" s="162"/>
      <c r="K506" s="162"/>
      <c r="L506" s="162"/>
      <c r="M506" s="162"/>
      <c r="N506" s="162"/>
      <c r="O506" s="416"/>
      <c r="P506" s="416"/>
      <c r="Q506" s="416"/>
      <c r="R506" s="416"/>
      <c r="S506" s="416"/>
      <c r="T506" s="416"/>
      <c r="U506" s="416"/>
      <c r="V506" s="416"/>
      <c r="W506" s="416"/>
      <c r="X506" s="416"/>
      <c r="Y506" s="416"/>
      <c r="Z506" s="416"/>
      <c r="AA506" s="416"/>
      <c r="AB506" s="416"/>
      <c r="AC506" s="416"/>
      <c r="AD506" s="416"/>
      <c r="AE506" s="416"/>
      <c r="AF506" s="416"/>
      <c r="AG506" s="416"/>
      <c r="AH506" s="416"/>
      <c r="AI506" s="416"/>
      <c r="AJ506" s="416"/>
      <c r="AK506" s="416"/>
      <c r="AL506" s="416"/>
      <c r="AM506" s="416"/>
    </row>
    <row r="507" spans="1:39" hidden="1" outlineLevel="2" x14ac:dyDescent="0.2">
      <c r="A507" s="162"/>
      <c r="B507" s="162"/>
      <c r="C507" s="170" t="s">
        <v>122</v>
      </c>
      <c r="D507" s="171">
        <f t="shared" ref="D507:I507" si="367">INDEX(PBSScriptsChanged,$B504,D505)</f>
        <v>0</v>
      </c>
      <c r="E507" s="171">
        <f t="shared" si="367"/>
        <v>0</v>
      </c>
      <c r="F507" s="171">
        <f t="shared" si="367"/>
        <v>0</v>
      </c>
      <c r="G507" s="171">
        <f t="shared" si="367"/>
        <v>0</v>
      </c>
      <c r="H507" s="171">
        <f t="shared" si="367"/>
        <v>0</v>
      </c>
      <c r="I507" s="171">
        <f t="shared" si="367"/>
        <v>0</v>
      </c>
      <c r="J507" s="162"/>
      <c r="K507" s="162"/>
      <c r="L507" s="162"/>
      <c r="M507" s="162"/>
      <c r="N507" s="693"/>
      <c r="O507" s="416"/>
      <c r="P507" s="416"/>
      <c r="Q507" s="416"/>
      <c r="R507" s="416"/>
      <c r="S507" s="416"/>
      <c r="T507" s="416"/>
      <c r="U507" s="416"/>
      <c r="V507" s="416"/>
      <c r="W507" s="416"/>
      <c r="X507" s="416"/>
      <c r="Y507" s="416"/>
      <c r="Z507" s="416"/>
      <c r="AA507" s="416"/>
      <c r="AB507" s="416"/>
      <c r="AC507" s="416"/>
      <c r="AD507" s="416"/>
      <c r="AE507" s="416"/>
      <c r="AF507" s="416"/>
      <c r="AG507" s="416"/>
      <c r="AH507" s="416"/>
      <c r="AI507" s="416"/>
      <c r="AJ507" s="416"/>
      <c r="AK507" s="416"/>
      <c r="AL507" s="416"/>
      <c r="AM507" s="416"/>
    </row>
    <row r="508" spans="1:39" hidden="1" outlineLevel="2" x14ac:dyDescent="0.2">
      <c r="A508" s="162"/>
      <c r="B508" s="162"/>
      <c r="C508" s="170" t="s">
        <v>123</v>
      </c>
      <c r="D508" s="171">
        <f t="shared" ref="D508:I508" si="368">INDEX(RPBSScriptsChanged,$B504,D505)</f>
        <v>0</v>
      </c>
      <c r="E508" s="171">
        <f t="shared" si="368"/>
        <v>0</v>
      </c>
      <c r="F508" s="171">
        <f t="shared" si="368"/>
        <v>0</v>
      </c>
      <c r="G508" s="171">
        <f t="shared" si="368"/>
        <v>0</v>
      </c>
      <c r="H508" s="171">
        <f t="shared" si="368"/>
        <v>0</v>
      </c>
      <c r="I508" s="171">
        <f t="shared" si="368"/>
        <v>0</v>
      </c>
      <c r="J508" s="162"/>
      <c r="K508" s="162"/>
      <c r="L508" s="162"/>
      <c r="M508" s="162"/>
      <c r="N508" s="162"/>
      <c r="O508" s="416"/>
      <c r="P508" s="416"/>
      <c r="Q508" s="416"/>
      <c r="R508" s="416"/>
      <c r="S508" s="416"/>
      <c r="T508" s="416"/>
      <c r="U508" s="416"/>
      <c r="V508" s="416"/>
      <c r="W508" s="416"/>
      <c r="X508" s="416"/>
      <c r="Y508" s="416"/>
      <c r="Z508" s="416"/>
      <c r="AA508" s="416"/>
      <c r="AB508" s="416"/>
      <c r="AC508" s="416"/>
      <c r="AD508" s="416"/>
      <c r="AE508" s="416"/>
      <c r="AF508" s="416"/>
      <c r="AG508" s="416"/>
      <c r="AH508" s="416"/>
      <c r="AI508" s="416"/>
      <c r="AJ508" s="416"/>
      <c r="AK508" s="416"/>
      <c r="AL508" s="416"/>
      <c r="AM508" s="416"/>
    </row>
    <row r="509" spans="1:39" hidden="1" outlineLevel="2" x14ac:dyDescent="0.2">
      <c r="A509" s="162"/>
      <c r="B509" s="162"/>
      <c r="C509" s="158" t="s">
        <v>124</v>
      </c>
      <c r="D509" s="171">
        <f t="shared" ref="D509:I509" si="369">IF(INDEX(SAChanged,$B504,7)&gt;0,ROUND(D507/INDEX(SAChanged,$B504,2),0),0)</f>
        <v>0</v>
      </c>
      <c r="E509" s="171">
        <f t="shared" si="369"/>
        <v>0</v>
      </c>
      <c r="F509" s="171">
        <f t="shared" si="369"/>
        <v>0</v>
      </c>
      <c r="G509" s="171">
        <f t="shared" si="369"/>
        <v>0</v>
      </c>
      <c r="H509" s="171">
        <f t="shared" si="369"/>
        <v>0</v>
      </c>
      <c r="I509" s="171">
        <f t="shared" si="369"/>
        <v>0</v>
      </c>
      <c r="J509" s="162"/>
      <c r="K509" s="615"/>
      <c r="L509" s="640"/>
      <c r="M509" s="162"/>
      <c r="N509" s="615"/>
      <c r="O509" s="416"/>
      <c r="P509" s="416"/>
      <c r="Q509" s="416"/>
      <c r="R509" s="416"/>
      <c r="S509" s="416"/>
      <c r="T509" s="416"/>
      <c r="U509" s="416"/>
      <c r="V509" s="416"/>
      <c r="W509" s="416"/>
      <c r="X509" s="416"/>
      <c r="Y509" s="416"/>
      <c r="Z509" s="416"/>
      <c r="AA509" s="416"/>
      <c r="AB509" s="416"/>
      <c r="AC509" s="416"/>
      <c r="AD509" s="416"/>
      <c r="AE509" s="416"/>
      <c r="AF509" s="416"/>
      <c r="AG509" s="416"/>
      <c r="AH509" s="416"/>
      <c r="AI509" s="416"/>
      <c r="AJ509" s="416"/>
      <c r="AK509" s="416"/>
      <c r="AL509" s="416"/>
      <c r="AM509" s="416"/>
    </row>
    <row r="510" spans="1:39" hidden="1" outlineLevel="2" x14ac:dyDescent="0.2">
      <c r="A510" s="162"/>
      <c r="B510" s="162"/>
      <c r="C510" s="158" t="s">
        <v>125</v>
      </c>
      <c r="D510" s="171">
        <f t="shared" ref="D510:I510" si="370">IF(INDEX(SAChanged,$B504,7)&gt;0,ROUND(D508/INDEX(SAChanged,$B504,2),0),0)</f>
        <v>0</v>
      </c>
      <c r="E510" s="171">
        <f t="shared" si="370"/>
        <v>0</v>
      </c>
      <c r="F510" s="171">
        <f t="shared" si="370"/>
        <v>0</v>
      </c>
      <c r="G510" s="171">
        <f t="shared" si="370"/>
        <v>0</v>
      </c>
      <c r="H510" s="171">
        <f t="shared" si="370"/>
        <v>0</v>
      </c>
      <c r="I510" s="171">
        <f t="shared" si="370"/>
        <v>0</v>
      </c>
      <c r="J510" s="162"/>
      <c r="K510" s="615"/>
      <c r="L510" s="640"/>
      <c r="M510" s="162"/>
      <c r="N510" s="615"/>
      <c r="O510" s="416"/>
      <c r="P510" s="416"/>
      <c r="Q510" s="416"/>
      <c r="R510" s="416"/>
      <c r="S510" s="416"/>
      <c r="T510" s="416"/>
      <c r="U510" s="416"/>
      <c r="V510" s="416"/>
      <c r="W510" s="416"/>
      <c r="X510" s="416"/>
      <c r="Y510" s="416"/>
      <c r="Z510" s="416"/>
      <c r="AA510" s="416"/>
      <c r="AB510" s="416"/>
      <c r="AC510" s="416"/>
      <c r="AD510" s="416"/>
      <c r="AE510" s="416"/>
      <c r="AF510" s="416"/>
      <c r="AG510" s="416"/>
      <c r="AH510" s="416"/>
      <c r="AI510" s="416"/>
      <c r="AJ510" s="416"/>
      <c r="AK510" s="416"/>
      <c r="AL510" s="416"/>
      <c r="AM510" s="416"/>
    </row>
    <row r="511" spans="1:39" hidden="1" outlineLevel="1" collapsed="1" x14ac:dyDescent="0.2">
      <c r="A511" s="162"/>
      <c r="B511" s="162"/>
      <c r="C511" s="695"/>
      <c r="D511" s="690"/>
      <c r="E511" s="694"/>
      <c r="F511" s="694"/>
      <c r="G511" s="694"/>
      <c r="H511" s="694"/>
      <c r="I511" s="694"/>
      <c r="J511" s="694"/>
      <c r="K511" s="694"/>
      <c r="L511" s="162"/>
      <c r="M511" s="162"/>
      <c r="N511" s="162"/>
      <c r="O511" s="416"/>
      <c r="P511" s="416"/>
      <c r="Q511" s="416"/>
      <c r="R511" s="416"/>
      <c r="S511" s="416"/>
      <c r="T511" s="416"/>
      <c r="U511" s="416"/>
      <c r="V511" s="416"/>
      <c r="W511" s="416"/>
      <c r="X511" s="416"/>
      <c r="Y511" s="416"/>
      <c r="Z511" s="416"/>
      <c r="AA511" s="416"/>
      <c r="AB511" s="416"/>
      <c r="AC511" s="416"/>
      <c r="AD511" s="416"/>
      <c r="AE511" s="416"/>
      <c r="AF511" s="416"/>
      <c r="AG511" s="416"/>
      <c r="AH511" s="416"/>
      <c r="AI511" s="416"/>
      <c r="AJ511" s="416"/>
      <c r="AK511" s="416"/>
      <c r="AL511" s="416"/>
      <c r="AM511" s="416"/>
    </row>
    <row r="512" spans="1:39" ht="15" hidden="1" outlineLevel="1" x14ac:dyDescent="0.2">
      <c r="A512" s="162"/>
      <c r="B512" s="298">
        <v>20</v>
      </c>
      <c r="C512" s="147" t="str">
        <f>INDEX(PBSScriptsChanged,B512,1)</f>
        <v>** NOT USED **</v>
      </c>
      <c r="D512" s="139"/>
      <c r="E512" s="139"/>
      <c r="F512" s="139"/>
      <c r="G512" s="139"/>
      <c r="H512" s="139"/>
      <c r="I512" s="139"/>
      <c r="J512" s="139"/>
      <c r="K512" s="139"/>
      <c r="L512" s="133"/>
      <c r="M512" s="133"/>
      <c r="N512" s="133"/>
      <c r="O512" s="127"/>
      <c r="P512" s="127"/>
      <c r="Q512" s="127"/>
      <c r="R512" s="127"/>
      <c r="S512" s="127"/>
      <c r="T512" s="127"/>
      <c r="U512" s="127"/>
      <c r="V512" s="127"/>
      <c r="W512" s="127"/>
      <c r="X512" s="127"/>
      <c r="Y512" s="127"/>
      <c r="Z512" s="127"/>
      <c r="AA512" s="127"/>
      <c r="AB512" s="127"/>
      <c r="AC512" s="127"/>
      <c r="AD512" s="127"/>
      <c r="AE512" s="127"/>
      <c r="AF512" s="127"/>
      <c r="AG512" s="127"/>
      <c r="AH512" s="127"/>
      <c r="AI512" s="127"/>
      <c r="AJ512" s="127"/>
      <c r="AK512" s="127"/>
      <c r="AL512" s="127"/>
      <c r="AM512" s="127"/>
    </row>
    <row r="513" spans="1:39" hidden="1" outlineLevel="2" x14ac:dyDescent="0.2">
      <c r="A513" s="162"/>
      <c r="B513" s="162"/>
      <c r="C513" s="615"/>
      <c r="D513" s="397">
        <v>2</v>
      </c>
      <c r="E513" s="397">
        <v>3</v>
      </c>
      <c r="F513" s="397">
        <v>4</v>
      </c>
      <c r="G513" s="397">
        <v>5</v>
      </c>
      <c r="H513" s="397">
        <v>6</v>
      </c>
      <c r="I513" s="397">
        <v>7</v>
      </c>
      <c r="J513" s="624"/>
      <c r="K513" s="615"/>
      <c r="L513" s="615"/>
      <c r="M513" s="615"/>
      <c r="N513" s="615"/>
      <c r="O513" s="416"/>
      <c r="P513" s="416"/>
      <c r="Q513" s="416"/>
      <c r="R513" s="416"/>
      <c r="S513" s="416"/>
      <c r="T513" s="416"/>
      <c r="U513" s="416"/>
      <c r="V513" s="416"/>
      <c r="W513" s="416"/>
      <c r="X513" s="416"/>
      <c r="Y513" s="416"/>
      <c r="Z513" s="416"/>
      <c r="AA513" s="416"/>
      <c r="AB513" s="416"/>
      <c r="AC513" s="416"/>
      <c r="AD513" s="416"/>
      <c r="AE513" s="416"/>
      <c r="AF513" s="416"/>
      <c r="AG513" s="416"/>
      <c r="AH513" s="416"/>
      <c r="AI513" s="416"/>
      <c r="AJ513" s="416"/>
      <c r="AK513" s="416"/>
      <c r="AL513" s="416"/>
      <c r="AM513" s="416"/>
    </row>
    <row r="514" spans="1:39" hidden="1" outlineLevel="2" x14ac:dyDescent="0.2">
      <c r="A514" s="162"/>
      <c r="B514" s="162"/>
      <c r="C514" s="162"/>
      <c r="D514" s="630">
        <f>FirstYear</f>
        <v>2021</v>
      </c>
      <c r="E514" s="630">
        <f>D514+1</f>
        <v>2022</v>
      </c>
      <c r="F514" s="630">
        <f>E514+1</f>
        <v>2023</v>
      </c>
      <c r="G514" s="630">
        <f>F514+1</f>
        <v>2024</v>
      </c>
      <c r="H514" s="630">
        <f>G514+1</f>
        <v>2025</v>
      </c>
      <c r="I514" s="630">
        <f>H514+1</f>
        <v>2026</v>
      </c>
      <c r="J514" s="162"/>
      <c r="K514" s="162"/>
      <c r="L514" s="162"/>
      <c r="M514" s="162"/>
      <c r="N514" s="162"/>
      <c r="O514" s="416"/>
      <c r="P514" s="416"/>
      <c r="Q514" s="416"/>
      <c r="R514" s="416"/>
      <c r="S514" s="416"/>
      <c r="T514" s="416"/>
      <c r="U514" s="416"/>
      <c r="V514" s="416"/>
      <c r="W514" s="416"/>
      <c r="X514" s="416"/>
      <c r="Y514" s="416"/>
      <c r="Z514" s="416"/>
      <c r="AA514" s="416"/>
      <c r="AB514" s="416"/>
      <c r="AC514" s="416"/>
      <c r="AD514" s="416"/>
      <c r="AE514" s="416"/>
      <c r="AF514" s="416"/>
      <c r="AG514" s="416"/>
      <c r="AH514" s="416"/>
      <c r="AI514" s="416"/>
      <c r="AJ514" s="416"/>
      <c r="AK514" s="416"/>
      <c r="AL514" s="416"/>
      <c r="AM514" s="416"/>
    </row>
    <row r="515" spans="1:39" hidden="1" outlineLevel="2" x14ac:dyDescent="0.2">
      <c r="A515" s="162"/>
      <c r="B515" s="162"/>
      <c r="C515" s="170" t="s">
        <v>122</v>
      </c>
      <c r="D515" s="171">
        <f t="shared" ref="D515:I515" si="371">INDEX(PBSScriptsChanged,$B512,D513)</f>
        <v>0</v>
      </c>
      <c r="E515" s="171">
        <f t="shared" si="371"/>
        <v>0</v>
      </c>
      <c r="F515" s="171">
        <f t="shared" si="371"/>
        <v>0</v>
      </c>
      <c r="G515" s="171">
        <f t="shared" si="371"/>
        <v>0</v>
      </c>
      <c r="H515" s="171">
        <f t="shared" si="371"/>
        <v>0</v>
      </c>
      <c r="I515" s="171">
        <f t="shared" si="371"/>
        <v>0</v>
      </c>
      <c r="J515" s="162"/>
      <c r="K515" s="162"/>
      <c r="L515" s="162"/>
      <c r="M515" s="162"/>
      <c r="N515" s="693"/>
      <c r="O515" s="416"/>
      <c r="P515" s="416"/>
      <c r="Q515" s="416"/>
      <c r="R515" s="416"/>
      <c r="S515" s="416"/>
      <c r="T515" s="416"/>
      <c r="U515" s="416"/>
      <c r="V515" s="416"/>
      <c r="W515" s="416"/>
      <c r="X515" s="416"/>
      <c r="Y515" s="416"/>
      <c r="Z515" s="416"/>
      <c r="AA515" s="416"/>
      <c r="AB515" s="416"/>
      <c r="AC515" s="416"/>
      <c r="AD515" s="416"/>
      <c r="AE515" s="416"/>
      <c r="AF515" s="416"/>
      <c r="AG515" s="416"/>
      <c r="AH515" s="416"/>
      <c r="AI515" s="416"/>
      <c r="AJ515" s="416"/>
      <c r="AK515" s="416"/>
      <c r="AL515" s="416"/>
      <c r="AM515" s="416"/>
    </row>
    <row r="516" spans="1:39" hidden="1" outlineLevel="2" x14ac:dyDescent="0.2">
      <c r="A516" s="162"/>
      <c r="B516" s="162"/>
      <c r="C516" s="170" t="s">
        <v>123</v>
      </c>
      <c r="D516" s="171">
        <f t="shared" ref="D516:I516" si="372">INDEX(RPBSScriptsChanged,$B512,D513)</f>
        <v>0</v>
      </c>
      <c r="E516" s="171">
        <f t="shared" si="372"/>
        <v>0</v>
      </c>
      <c r="F516" s="171">
        <f t="shared" si="372"/>
        <v>0</v>
      </c>
      <c r="G516" s="171">
        <f t="shared" si="372"/>
        <v>0</v>
      </c>
      <c r="H516" s="171">
        <f t="shared" si="372"/>
        <v>0</v>
      </c>
      <c r="I516" s="171">
        <f t="shared" si="372"/>
        <v>0</v>
      </c>
      <c r="J516" s="162"/>
      <c r="K516" s="162"/>
      <c r="L516" s="162"/>
      <c r="M516" s="162"/>
      <c r="N516" s="162"/>
      <c r="O516" s="416"/>
      <c r="P516" s="416"/>
      <c r="Q516" s="416"/>
      <c r="R516" s="416"/>
      <c r="S516" s="416"/>
      <c r="T516" s="416"/>
      <c r="U516" s="416"/>
      <c r="V516" s="416"/>
      <c r="W516" s="416"/>
      <c r="X516" s="416"/>
      <c r="Y516" s="416"/>
      <c r="Z516" s="416"/>
      <c r="AA516" s="416"/>
      <c r="AB516" s="416"/>
      <c r="AC516" s="416"/>
      <c r="AD516" s="416"/>
      <c r="AE516" s="416"/>
      <c r="AF516" s="416"/>
      <c r="AG516" s="416"/>
      <c r="AH516" s="416"/>
      <c r="AI516" s="416"/>
      <c r="AJ516" s="416"/>
      <c r="AK516" s="416"/>
      <c r="AL516" s="416"/>
      <c r="AM516" s="416"/>
    </row>
    <row r="517" spans="1:39" hidden="1" outlineLevel="2" x14ac:dyDescent="0.2">
      <c r="A517" s="162"/>
      <c r="B517" s="162"/>
      <c r="C517" s="158" t="s">
        <v>124</v>
      </c>
      <c r="D517" s="171">
        <f t="shared" ref="D517:I517" si="373">IF(INDEX(SAChanged,$B512,7)&gt;0,ROUND(D515/INDEX(SAChanged,$B512,2),0),0)</f>
        <v>0</v>
      </c>
      <c r="E517" s="171">
        <f t="shared" si="373"/>
        <v>0</v>
      </c>
      <c r="F517" s="171">
        <f t="shared" si="373"/>
        <v>0</v>
      </c>
      <c r="G517" s="171">
        <f t="shared" si="373"/>
        <v>0</v>
      </c>
      <c r="H517" s="171">
        <f t="shared" si="373"/>
        <v>0</v>
      </c>
      <c r="I517" s="171">
        <f t="shared" si="373"/>
        <v>0</v>
      </c>
      <c r="J517" s="162"/>
      <c r="K517" s="615"/>
      <c r="L517" s="640"/>
      <c r="M517" s="162"/>
      <c r="N517" s="615"/>
      <c r="O517" s="416"/>
      <c r="P517" s="416"/>
      <c r="Q517" s="416"/>
      <c r="R517" s="416"/>
      <c r="S517" s="416"/>
      <c r="T517" s="416"/>
      <c r="U517" s="416"/>
      <c r="V517" s="416"/>
      <c r="W517" s="416"/>
      <c r="X517" s="416"/>
      <c r="Y517" s="416"/>
      <c r="Z517" s="416"/>
      <c r="AA517" s="416"/>
      <c r="AB517" s="416"/>
      <c r="AC517" s="416"/>
      <c r="AD517" s="416"/>
      <c r="AE517" s="416"/>
      <c r="AF517" s="416"/>
      <c r="AG517" s="416"/>
      <c r="AH517" s="416"/>
      <c r="AI517" s="416"/>
      <c r="AJ517" s="416"/>
      <c r="AK517" s="416"/>
      <c r="AL517" s="416"/>
      <c r="AM517" s="416"/>
    </row>
    <row r="518" spans="1:39" hidden="1" outlineLevel="2" x14ac:dyDescent="0.2">
      <c r="A518" s="162"/>
      <c r="B518" s="162"/>
      <c r="C518" s="158" t="s">
        <v>125</v>
      </c>
      <c r="D518" s="171">
        <f t="shared" ref="D518:I518" si="374">IF(INDEX(SAChanged,$B512,7)&gt;0,ROUND(D516/INDEX(SAChanged,$B512,2),0),0)</f>
        <v>0</v>
      </c>
      <c r="E518" s="171">
        <f t="shared" si="374"/>
        <v>0</v>
      </c>
      <c r="F518" s="171">
        <f t="shared" si="374"/>
        <v>0</v>
      </c>
      <c r="G518" s="171">
        <f t="shared" si="374"/>
        <v>0</v>
      </c>
      <c r="H518" s="171">
        <f t="shared" si="374"/>
        <v>0</v>
      </c>
      <c r="I518" s="171">
        <f t="shared" si="374"/>
        <v>0</v>
      </c>
      <c r="J518" s="162"/>
      <c r="K518" s="615"/>
      <c r="L518" s="640"/>
      <c r="M518" s="162"/>
      <c r="N518" s="615"/>
      <c r="O518" s="416"/>
      <c r="P518" s="416"/>
      <c r="Q518" s="416"/>
      <c r="R518" s="416"/>
      <c r="S518" s="416"/>
      <c r="T518" s="416"/>
      <c r="U518" s="416"/>
      <c r="V518" s="416"/>
      <c r="W518" s="416"/>
      <c r="X518" s="416"/>
      <c r="Y518" s="416"/>
      <c r="Z518" s="416"/>
      <c r="AA518" s="416"/>
      <c r="AB518" s="416"/>
      <c r="AC518" s="416"/>
      <c r="AD518" s="416"/>
      <c r="AE518" s="416"/>
      <c r="AF518" s="416"/>
      <c r="AG518" s="416"/>
      <c r="AH518" s="416"/>
      <c r="AI518" s="416"/>
      <c r="AJ518" s="416"/>
      <c r="AK518" s="416"/>
      <c r="AL518" s="416"/>
      <c r="AM518" s="416"/>
    </row>
    <row r="519" spans="1:39" hidden="1" outlineLevel="2" x14ac:dyDescent="0.2">
      <c r="A519" s="162"/>
      <c r="B519" s="162"/>
      <c r="C519" s="695"/>
      <c r="D519" s="690"/>
      <c r="E519" s="694"/>
      <c r="F519" s="694"/>
      <c r="G519" s="694"/>
      <c r="H519" s="694"/>
      <c r="I519" s="694"/>
      <c r="J519" s="694"/>
      <c r="K519" s="694"/>
      <c r="L519" s="162"/>
      <c r="M519" s="162"/>
      <c r="N519" s="162"/>
      <c r="O519" s="615"/>
      <c r="P519" s="615"/>
      <c r="Q519" s="615"/>
      <c r="R519" s="615"/>
      <c r="S519" s="615"/>
      <c r="T519" s="615"/>
      <c r="U519" s="615"/>
      <c r="V519" s="615"/>
      <c r="W519" s="615"/>
      <c r="X519" s="615"/>
      <c r="Y519" s="615"/>
      <c r="Z519" s="615"/>
      <c r="AA519" s="615"/>
      <c r="AB519" s="615"/>
      <c r="AC519" s="615"/>
      <c r="AD519" s="615"/>
      <c r="AE519" s="615"/>
      <c r="AF519" s="615"/>
      <c r="AG519" s="615"/>
      <c r="AH519" s="615"/>
      <c r="AI519" s="615"/>
      <c r="AJ519" s="615"/>
      <c r="AK519" s="615"/>
      <c r="AL519" s="615"/>
      <c r="AM519" s="615"/>
    </row>
    <row r="520" spans="1:39" hidden="1" outlineLevel="1" collapsed="1" x14ac:dyDescent="0.2">
      <c r="A520" s="162"/>
      <c r="B520" s="162"/>
      <c r="C520" s="615"/>
      <c r="D520" s="615"/>
      <c r="E520" s="615"/>
      <c r="F520" s="615"/>
      <c r="G520" s="615"/>
      <c r="H520" s="615"/>
      <c r="I520" s="615"/>
      <c r="J520" s="162"/>
      <c r="K520" s="162"/>
      <c r="L520" s="162"/>
      <c r="M520" s="162"/>
      <c r="N520" s="162"/>
      <c r="O520" s="615"/>
      <c r="P520" s="615"/>
      <c r="Q520" s="615"/>
      <c r="R520" s="615"/>
      <c r="S520" s="615"/>
      <c r="T520" s="615"/>
      <c r="U520" s="615"/>
      <c r="V520" s="615"/>
      <c r="W520" s="615"/>
      <c r="X520" s="615"/>
      <c r="Y520" s="615"/>
      <c r="Z520" s="615"/>
      <c r="AA520" s="615"/>
      <c r="AB520" s="615"/>
      <c r="AC520" s="615"/>
      <c r="AD520" s="615"/>
      <c r="AE520" s="615"/>
      <c r="AF520" s="615"/>
      <c r="AG520" s="615"/>
      <c r="AH520" s="615"/>
      <c r="AI520" s="615"/>
      <c r="AJ520" s="615"/>
      <c r="AK520" s="615"/>
      <c r="AL520" s="615"/>
      <c r="AM520" s="615"/>
    </row>
    <row r="521" spans="1:39" collapsed="1" x14ac:dyDescent="0.2">
      <c r="A521" s="162"/>
      <c r="B521" s="162"/>
      <c r="C521" s="638"/>
      <c r="D521" s="695"/>
      <c r="E521" s="162"/>
      <c r="F521" s="162"/>
      <c r="G521" s="162"/>
      <c r="H521" s="162"/>
      <c r="I521" s="162"/>
      <c r="J521" s="162"/>
      <c r="K521" s="162"/>
      <c r="L521" s="162"/>
      <c r="M521" s="162"/>
      <c r="N521" s="162"/>
      <c r="O521" s="615"/>
      <c r="P521" s="615"/>
      <c r="Q521" s="615"/>
      <c r="R521" s="615"/>
      <c r="S521" s="615"/>
      <c r="T521" s="615"/>
      <c r="U521" s="615"/>
      <c r="V521" s="615"/>
      <c r="W521" s="615"/>
      <c r="X521" s="615"/>
      <c r="Y521" s="615"/>
      <c r="Z521" s="615"/>
      <c r="AA521" s="615"/>
      <c r="AB521" s="615"/>
      <c r="AC521" s="615"/>
      <c r="AD521" s="615"/>
      <c r="AE521" s="615"/>
      <c r="AF521" s="615"/>
      <c r="AG521" s="615"/>
      <c r="AH521" s="615"/>
      <c r="AI521" s="615"/>
      <c r="AJ521" s="615"/>
      <c r="AK521" s="615"/>
      <c r="AL521" s="615"/>
      <c r="AM521" s="615"/>
    </row>
    <row r="522" spans="1:39" ht="15.75" x14ac:dyDescent="0.2">
      <c r="A522" s="125"/>
      <c r="B522" s="125"/>
      <c r="C522" s="123" t="s">
        <v>868</v>
      </c>
      <c r="D522" s="127"/>
      <c r="E522" s="127"/>
      <c r="F522" s="127"/>
      <c r="G522" s="127"/>
      <c r="H522" s="127"/>
      <c r="I522" s="127"/>
      <c r="J522" s="127"/>
      <c r="K522" s="127"/>
      <c r="L522" s="127"/>
      <c r="M522" s="127"/>
      <c r="N522" s="127"/>
      <c r="O522" s="127"/>
      <c r="P522" s="127"/>
      <c r="Q522" s="127"/>
      <c r="R522" s="127"/>
      <c r="S522" s="127"/>
      <c r="T522" s="127"/>
      <c r="U522" s="127"/>
      <c r="V522" s="127"/>
      <c r="W522" s="127"/>
      <c r="X522" s="127"/>
      <c r="Y522" s="127"/>
      <c r="Z522" s="127"/>
      <c r="AA522" s="127"/>
      <c r="AB522" s="127"/>
      <c r="AC522" s="127"/>
      <c r="AD522" s="127"/>
      <c r="AE522" s="127"/>
      <c r="AF522" s="127"/>
      <c r="AG522" s="127"/>
      <c r="AH522" s="127"/>
      <c r="AI522" s="127"/>
      <c r="AJ522" s="127"/>
      <c r="AK522" s="127"/>
      <c r="AL522" s="127"/>
      <c r="AM522" s="127"/>
    </row>
    <row r="523" spans="1:39" x14ac:dyDescent="0.2">
      <c r="A523" s="615"/>
      <c r="B523" s="615"/>
      <c r="C523" s="615"/>
      <c r="D523" s="615"/>
      <c r="E523" s="615"/>
      <c r="F523" s="615"/>
      <c r="G523" s="615"/>
      <c r="H523" s="615"/>
      <c r="I523" s="615"/>
      <c r="J523" s="615"/>
      <c r="K523" s="615"/>
      <c r="L523" s="615"/>
      <c r="M523" s="615"/>
      <c r="N523" s="615"/>
      <c r="O523" s="615"/>
      <c r="P523" s="615"/>
      <c r="Q523" s="615"/>
      <c r="R523" s="615"/>
      <c r="S523" s="615"/>
      <c r="T523" s="615"/>
      <c r="U523" s="615"/>
      <c r="V523" s="615"/>
      <c r="W523" s="615"/>
      <c r="X523" s="615"/>
      <c r="Y523" s="615"/>
      <c r="Z523" s="615"/>
      <c r="AA523" s="615"/>
      <c r="AB523" s="615"/>
      <c r="AC523" s="615"/>
    </row>
    <row r="524" spans="1:39" x14ac:dyDescent="0.2">
      <c r="A524" s="615"/>
      <c r="B524" s="615"/>
      <c r="C524" s="641" t="s">
        <v>24</v>
      </c>
      <c r="D524" s="641"/>
      <c r="E524" s="641"/>
      <c r="F524" s="641"/>
      <c r="G524" s="641"/>
      <c r="H524" s="641"/>
      <c r="I524" s="641"/>
      <c r="J524" s="641"/>
      <c r="K524" s="641"/>
      <c r="L524" s="641"/>
      <c r="M524" s="641"/>
      <c r="N524" s="641"/>
      <c r="O524" s="615"/>
      <c r="P524" s="615"/>
      <c r="Q524" s="615"/>
      <c r="R524" s="615"/>
      <c r="S524" s="615"/>
      <c r="T524" s="615"/>
      <c r="U524" s="615"/>
      <c r="V524" s="615"/>
      <c r="W524" s="615"/>
      <c r="X524" s="615"/>
      <c r="Y524" s="615"/>
      <c r="Z524" s="615"/>
      <c r="AA524" s="615"/>
      <c r="AB524" s="615"/>
      <c r="AC524" s="615"/>
    </row>
    <row r="525" spans="1:39" ht="12.75" customHeight="1" x14ac:dyDescent="0.2">
      <c r="A525" s="615"/>
      <c r="B525" s="615"/>
      <c r="C525" s="615"/>
      <c r="D525" s="615"/>
      <c r="E525" s="615"/>
      <c r="F525" s="615"/>
      <c r="G525" s="615"/>
      <c r="H525" s="615"/>
      <c r="I525" s="615"/>
      <c r="J525" s="615"/>
      <c r="K525" s="615"/>
      <c r="L525" s="615"/>
      <c r="M525" s="615"/>
      <c r="N525" s="615"/>
      <c r="O525" s="615"/>
      <c r="P525" s="615"/>
      <c r="Q525" s="615"/>
      <c r="R525" s="615"/>
      <c r="S525" s="615"/>
      <c r="T525" s="615"/>
      <c r="U525" s="615"/>
      <c r="V525" s="615"/>
      <c r="W525" s="615"/>
      <c r="X525" s="615"/>
      <c r="Y525" s="615"/>
      <c r="Z525" s="615"/>
      <c r="AA525" s="615"/>
      <c r="AB525" s="615"/>
      <c r="AC525" s="615"/>
    </row>
  </sheetData>
  <mergeCells count="54">
    <mergeCell ref="C353:E353"/>
    <mergeCell ref="C354:E354"/>
    <mergeCell ref="C355:E355"/>
    <mergeCell ref="C356:E356"/>
    <mergeCell ref="C357:E357"/>
    <mergeCell ref="C348:E348"/>
    <mergeCell ref="C349:E349"/>
    <mergeCell ref="C350:E350"/>
    <mergeCell ref="C351:E351"/>
    <mergeCell ref="C352:E352"/>
    <mergeCell ref="C113:E113"/>
    <mergeCell ref="C108:E108"/>
    <mergeCell ref="C109:E109"/>
    <mergeCell ref="C110:E110"/>
    <mergeCell ref="C111:E111"/>
    <mergeCell ref="C112:E112"/>
    <mergeCell ref="C103:E103"/>
    <mergeCell ref="C104:E104"/>
    <mergeCell ref="C347:E347"/>
    <mergeCell ref="C342:E342"/>
    <mergeCell ref="C343:E343"/>
    <mergeCell ref="C344:E344"/>
    <mergeCell ref="C345:E345"/>
    <mergeCell ref="C346:E346"/>
    <mergeCell ref="C337:E337"/>
    <mergeCell ref="C338:E338"/>
    <mergeCell ref="C339:E339"/>
    <mergeCell ref="C340:E340"/>
    <mergeCell ref="C341:E341"/>
    <mergeCell ref="C105:E105"/>
    <mergeCell ref="C106:E106"/>
    <mergeCell ref="C107:E107"/>
    <mergeCell ref="C114:E114"/>
    <mergeCell ref="C115:E115"/>
    <mergeCell ref="C116:E116"/>
    <mergeCell ref="C117:E117"/>
    <mergeCell ref="C118:E118"/>
    <mergeCell ref="C119:E119"/>
    <mergeCell ref="C120:E120"/>
    <mergeCell ref="C121:E121"/>
    <mergeCell ref="C122:E122"/>
    <mergeCell ref="C123:E123"/>
    <mergeCell ref="AB336:AG336"/>
    <mergeCell ref="AH336:AM336"/>
    <mergeCell ref="AB102:AG102"/>
    <mergeCell ref="AH102:AM102"/>
    <mergeCell ref="N101:Y101"/>
    <mergeCell ref="AB101:AM101"/>
    <mergeCell ref="N335:Y335"/>
    <mergeCell ref="AB335:AM335"/>
    <mergeCell ref="N102:S102"/>
    <mergeCell ref="T102:Y102"/>
    <mergeCell ref="N336:S336"/>
    <mergeCell ref="T336:Y336"/>
  </mergeCells>
  <conditionalFormatting sqref="F104:J123">
    <cfRule type="expression" dxfId="31" priority="3">
      <formula>$C104=MsgNotUsed</formula>
    </cfRule>
  </conditionalFormatting>
  <conditionalFormatting sqref="I104:I123">
    <cfRule type="expression" dxfId="30" priority="4">
      <formula>$L104&lt;2</formula>
    </cfRule>
  </conditionalFormatting>
  <conditionalFormatting sqref="F338:J357">
    <cfRule type="expression" dxfId="29" priority="1">
      <formula>$C338=MsgNotUsed</formula>
    </cfRule>
  </conditionalFormatting>
  <conditionalFormatting sqref="I338:I357">
    <cfRule type="expression" dxfId="28" priority="2">
      <formula>$L338&lt;2</formula>
    </cfRule>
  </conditionalFormatting>
  <dataValidations count="2">
    <dataValidation type="list" allowBlank="1" showInputMessage="1" showErrorMessage="1" sqref="H338:H357 H104:H123">
      <formula1>Authority</formula1>
    </dataValidation>
    <dataValidation type="list" allowBlank="1" showInputMessage="1" showErrorMessage="1" sqref="I338:J357 I104:J123">
      <formula1>Switch</formula1>
    </dataValidation>
  </dataValidations>
  <pageMargins left="0.11811023622047245" right="0.11811023622047245" top="0.19685039370078741" bottom="0.15748031496062992" header="0.31496062992125984" footer="0.31496062992125984"/>
  <pageSetup paperSize="9" scale="38" orientation="landscape" horizontalDpi="300" verticalDpi="300" r:id="rId1"/>
  <ignoredErrors>
    <ignoredError sqref="T103 T337" formula="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theme="4"/>
    <pageSetUpPr fitToPage="1"/>
  </sheetPr>
  <dimension ref="A1:BC887"/>
  <sheetViews>
    <sheetView showGridLines="0" zoomScaleNormal="100" workbookViewId="0"/>
  </sheetViews>
  <sheetFormatPr defaultRowHeight="12.75" outlineLevelRow="2" x14ac:dyDescent="0.2"/>
  <cols>
    <col min="1" max="1" width="3.7109375" style="489" customWidth="1"/>
    <col min="2" max="3" width="3.7109375" style="489" hidden="1" customWidth="1"/>
    <col min="4" max="4" width="15.7109375" style="489" customWidth="1"/>
    <col min="5" max="5" width="35.7109375" style="489" customWidth="1"/>
    <col min="6" max="22" width="15.7109375" style="489" customWidth="1"/>
    <col min="23" max="23" width="3.7109375" style="489" customWidth="1"/>
    <col min="24" max="27" width="9.140625" style="489" hidden="1" customWidth="1"/>
    <col min="28" max="28" width="50.7109375" style="489" hidden="1" customWidth="1"/>
    <col min="29" max="54" width="10.7109375" style="489" hidden="1" customWidth="1"/>
    <col min="55" max="16384" width="9.140625" style="489"/>
  </cols>
  <sheetData>
    <row r="1" spans="1:55" ht="23.25" x14ac:dyDescent="0.2">
      <c r="A1" s="346">
        <f>IF(SUM(F26:K26),2,0)</f>
        <v>0</v>
      </c>
      <c r="B1" s="341"/>
      <c r="C1" s="349"/>
      <c r="D1" s="350" t="s">
        <v>940</v>
      </c>
      <c r="E1" s="350"/>
      <c r="F1" s="349"/>
      <c r="G1" s="349"/>
      <c r="H1" s="349"/>
      <c r="I1" s="349"/>
      <c r="J1" s="350"/>
      <c r="K1" s="350" t="str">
        <f>"Source: " &amp; '0. Title'!E39</f>
        <v xml:space="preserve">Source: </v>
      </c>
      <c r="L1" s="350"/>
      <c r="M1" s="349"/>
      <c r="N1" s="349"/>
      <c r="O1" s="349"/>
      <c r="P1" s="349"/>
      <c r="Q1" s="349"/>
      <c r="R1" s="486"/>
      <c r="S1" s="486"/>
      <c r="T1" s="612"/>
      <c r="U1" s="488" t="s">
        <v>312</v>
      </c>
      <c r="V1" s="755" t="str">
        <f>IF(Y24=0,"Nil",IF(Y24&lt;0,"Save",IF(Y24&gt;0,"Cost",MsgError)))</f>
        <v>Nil</v>
      </c>
      <c r="W1" s="486"/>
      <c r="X1" s="722"/>
      <c r="Y1" s="486"/>
      <c r="Z1" s="486"/>
      <c r="AA1" s="722"/>
      <c r="AB1" s="486"/>
      <c r="AC1" s="512"/>
      <c r="AD1" s="512"/>
      <c r="AE1" s="486"/>
      <c r="AF1" s="512"/>
      <c r="AG1" s="486"/>
      <c r="AH1" s="486"/>
      <c r="AI1" s="486"/>
      <c r="AJ1" s="486"/>
      <c r="AK1" s="486"/>
      <c r="AL1" s="486"/>
      <c r="AM1" s="486"/>
      <c r="AN1" s="486"/>
      <c r="AO1" s="486"/>
      <c r="AP1" s="486"/>
      <c r="AQ1" s="486"/>
      <c r="AR1" s="486"/>
      <c r="AS1" s="486"/>
      <c r="AT1" s="486"/>
      <c r="AU1" s="486"/>
      <c r="AV1" s="486"/>
      <c r="AW1" s="486"/>
      <c r="AX1" s="486"/>
      <c r="AY1" s="486"/>
      <c r="AZ1" s="486"/>
      <c r="BA1" s="486"/>
      <c r="BB1" s="486"/>
    </row>
    <row r="2" spans="1:55" ht="15.75" x14ac:dyDescent="0.2">
      <c r="A2" s="349"/>
      <c r="B2" s="349"/>
      <c r="C2" s="349"/>
      <c r="D2" s="344" t="str">
        <f>CONCATENATE("Name of medicine: ", MedicineBrand)</f>
        <v xml:space="preserve">Name of medicine: </v>
      </c>
      <c r="E2" s="344"/>
      <c r="F2" s="349"/>
      <c r="G2" s="349"/>
      <c r="H2" s="349"/>
      <c r="I2" s="349"/>
      <c r="J2" s="349"/>
      <c r="K2" s="349"/>
      <c r="L2" s="349"/>
      <c r="M2" s="349"/>
      <c r="N2" s="349"/>
      <c r="O2" s="349"/>
      <c r="P2" s="349"/>
      <c r="Q2" s="349"/>
      <c r="R2" s="349"/>
      <c r="S2" s="349"/>
      <c r="T2" s="349"/>
      <c r="U2" s="349"/>
      <c r="V2" s="349"/>
      <c r="W2" s="349"/>
      <c r="X2" s="349"/>
      <c r="Y2" s="349"/>
      <c r="Z2" s="349"/>
      <c r="AA2" s="349"/>
      <c r="AB2" s="349"/>
      <c r="AC2" s="349"/>
      <c r="AD2" s="349"/>
      <c r="AE2" s="349"/>
      <c r="AF2" s="349"/>
      <c r="AG2" s="349"/>
      <c r="AH2" s="349"/>
      <c r="AI2" s="349"/>
      <c r="AJ2" s="349"/>
      <c r="AK2" s="349"/>
      <c r="AL2" s="349"/>
      <c r="AM2" s="349"/>
      <c r="AN2" s="349"/>
      <c r="AO2" s="349"/>
      <c r="AP2" s="349"/>
      <c r="AQ2" s="349"/>
      <c r="AR2" s="349"/>
      <c r="AS2" s="349"/>
      <c r="AT2" s="349"/>
      <c r="AU2" s="349"/>
      <c r="AV2" s="349"/>
      <c r="AW2" s="349"/>
      <c r="AX2" s="349"/>
      <c r="AY2" s="349"/>
      <c r="AZ2" s="349"/>
      <c r="BA2" s="349"/>
      <c r="BB2" s="349"/>
    </row>
    <row r="3" spans="1:55" ht="15.75" x14ac:dyDescent="0.2">
      <c r="A3" s="349"/>
      <c r="B3" s="349"/>
      <c r="C3" s="349"/>
      <c r="D3" s="344" t="str">
        <f>CONCATENATE("Indication: ",Indication)</f>
        <v xml:space="preserve">Indication: </v>
      </c>
      <c r="E3" s="344"/>
      <c r="F3" s="349"/>
      <c r="G3" s="349"/>
      <c r="H3" s="349"/>
      <c r="I3" s="349"/>
      <c r="J3" s="349"/>
      <c r="K3" s="349"/>
      <c r="L3" s="349"/>
      <c r="M3" s="349"/>
      <c r="N3" s="349"/>
      <c r="O3" s="349"/>
      <c r="P3" s="349"/>
      <c r="Q3" s="349"/>
      <c r="R3" s="349"/>
      <c r="S3" s="349"/>
      <c r="T3" s="349"/>
      <c r="U3" s="349"/>
      <c r="V3" s="349"/>
      <c r="W3" s="349"/>
      <c r="X3" s="349"/>
      <c r="Y3" s="349"/>
      <c r="Z3" s="349"/>
      <c r="AA3" s="349"/>
      <c r="AB3" s="349"/>
      <c r="AC3" s="349"/>
      <c r="AD3" s="349"/>
      <c r="AE3" s="349"/>
      <c r="AF3" s="349"/>
      <c r="AG3" s="349"/>
      <c r="AH3" s="349"/>
      <c r="AI3" s="349"/>
      <c r="AJ3" s="349"/>
      <c r="AK3" s="349"/>
      <c r="AL3" s="349"/>
      <c r="AM3" s="349"/>
      <c r="AN3" s="349"/>
      <c r="AO3" s="349"/>
      <c r="AP3" s="349"/>
      <c r="AQ3" s="349"/>
      <c r="AR3" s="349"/>
      <c r="AS3" s="349"/>
      <c r="AT3" s="349"/>
      <c r="AU3" s="349"/>
      <c r="AV3" s="349"/>
      <c r="AW3" s="349"/>
      <c r="AX3" s="349"/>
      <c r="AY3" s="349"/>
      <c r="AZ3" s="349"/>
      <c r="BA3" s="349"/>
      <c r="BB3" s="349"/>
    </row>
    <row r="4" spans="1:55" x14ac:dyDescent="0.2">
      <c r="A4" s="113"/>
      <c r="B4" s="113"/>
      <c r="C4" s="113"/>
      <c r="D4" s="113"/>
      <c r="E4" s="113"/>
      <c r="F4" s="113"/>
      <c r="G4" s="113"/>
      <c r="H4" s="113"/>
      <c r="I4" s="113"/>
      <c r="J4" s="113"/>
      <c r="K4" s="113"/>
      <c r="L4" s="113"/>
      <c r="M4" s="113"/>
      <c r="N4" s="113"/>
      <c r="O4" s="113"/>
      <c r="P4" s="113"/>
      <c r="Q4" s="113"/>
      <c r="R4" s="113"/>
      <c r="S4" s="113"/>
      <c r="T4" s="113"/>
      <c r="U4" s="113"/>
      <c r="V4" s="113"/>
      <c r="W4" s="113"/>
      <c r="X4" s="491"/>
      <c r="Y4" s="491"/>
      <c r="Z4" s="491"/>
      <c r="AA4" s="491"/>
      <c r="AB4" s="491"/>
      <c r="AC4" s="491"/>
      <c r="AD4" s="491"/>
      <c r="AE4" s="491"/>
      <c r="AF4" s="491"/>
      <c r="AG4" s="491"/>
      <c r="AH4" s="491"/>
      <c r="AI4" s="491"/>
      <c r="AJ4" s="491"/>
      <c r="AK4" s="491"/>
      <c r="AL4" s="491"/>
      <c r="AM4" s="491"/>
      <c r="AN4" s="491"/>
      <c r="AO4" s="491"/>
      <c r="AP4" s="491"/>
      <c r="AQ4" s="491"/>
      <c r="AR4" s="491"/>
      <c r="AS4" s="491"/>
      <c r="AT4" s="491"/>
      <c r="AU4" s="491"/>
      <c r="AV4" s="491"/>
      <c r="AW4" s="491"/>
      <c r="AX4" s="491"/>
      <c r="AY4" s="491"/>
      <c r="AZ4" s="491"/>
      <c r="BA4" s="491"/>
      <c r="BB4" s="491"/>
      <c r="BC4" s="491"/>
    </row>
    <row r="5" spans="1:55" ht="15.75" x14ac:dyDescent="0.2">
      <c r="A5" s="243"/>
      <c r="B5" s="243"/>
      <c r="C5" s="243"/>
      <c r="D5" s="79" t="s">
        <v>2</v>
      </c>
      <c r="E5" s="79"/>
      <c r="F5" s="115"/>
      <c r="G5" s="115"/>
      <c r="H5" s="115"/>
      <c r="I5" s="115"/>
      <c r="J5" s="115"/>
      <c r="K5" s="115"/>
      <c r="L5" s="115"/>
      <c r="M5" s="115"/>
      <c r="N5" s="115"/>
      <c r="O5" s="115"/>
      <c r="P5" s="115"/>
      <c r="Q5" s="115"/>
      <c r="R5" s="115"/>
      <c r="S5" s="115"/>
      <c r="T5" s="115"/>
      <c r="U5" s="115"/>
      <c r="V5" s="115"/>
      <c r="X5" s="490"/>
      <c r="Y5" s="490"/>
      <c r="Z5" s="490"/>
      <c r="AA5" s="490"/>
      <c r="AB5" s="490"/>
      <c r="AC5" s="490"/>
      <c r="AD5" s="490"/>
      <c r="AE5" s="490"/>
      <c r="AF5" s="490"/>
      <c r="AG5" s="490"/>
      <c r="AH5" s="490"/>
      <c r="AI5" s="490"/>
      <c r="AJ5" s="490"/>
      <c r="AK5" s="490"/>
      <c r="AL5" s="490"/>
      <c r="AM5" s="490"/>
      <c r="AN5" s="490"/>
      <c r="AO5" s="490"/>
      <c r="AP5" s="490"/>
      <c r="AQ5" s="490"/>
      <c r="AR5" s="490"/>
      <c r="AS5" s="490"/>
      <c r="AT5" s="490"/>
      <c r="AU5" s="490"/>
      <c r="AV5" s="490"/>
      <c r="AW5" s="490"/>
      <c r="AX5" s="490"/>
      <c r="AY5" s="490"/>
    </row>
    <row r="6" spans="1:55" x14ac:dyDescent="0.2">
      <c r="A6" s="113"/>
      <c r="B6" s="113"/>
      <c r="C6" s="113"/>
      <c r="D6" s="113"/>
      <c r="E6" s="113"/>
      <c r="F6" s="113"/>
      <c r="G6" s="113"/>
      <c r="H6" s="113"/>
      <c r="I6" s="113"/>
      <c r="J6" s="113"/>
      <c r="K6" s="113"/>
      <c r="L6" s="113"/>
      <c r="M6" s="113"/>
      <c r="N6" s="113"/>
      <c r="O6" s="113"/>
      <c r="P6" s="113"/>
      <c r="Q6" s="113"/>
      <c r="R6" s="113"/>
      <c r="S6" s="113"/>
      <c r="T6" s="113"/>
      <c r="U6" s="113"/>
      <c r="V6" s="113"/>
      <c r="W6" s="113"/>
      <c r="X6" s="491"/>
      <c r="Y6" s="491"/>
      <c r="Z6" s="491"/>
      <c r="AA6" s="491"/>
      <c r="AB6" s="491"/>
      <c r="AC6" s="491"/>
      <c r="AD6" s="491"/>
      <c r="AE6" s="491"/>
      <c r="AF6" s="491"/>
      <c r="AG6" s="491"/>
      <c r="BC6" s="491"/>
    </row>
    <row r="7" spans="1:55" x14ac:dyDescent="0.2">
      <c r="A7" s="113"/>
      <c r="B7" s="113"/>
      <c r="C7" s="113"/>
      <c r="D7" s="113" t="s">
        <v>81</v>
      </c>
      <c r="E7" s="113"/>
      <c r="F7" s="113"/>
      <c r="G7" s="113"/>
      <c r="H7" s="113"/>
      <c r="I7" s="113"/>
      <c r="J7" s="113"/>
      <c r="K7" s="113"/>
      <c r="L7" s="113"/>
      <c r="M7" s="113"/>
      <c r="N7" s="113"/>
      <c r="O7" s="113"/>
      <c r="P7" s="113"/>
      <c r="Q7" s="113"/>
      <c r="R7" s="113"/>
      <c r="S7" s="113"/>
      <c r="T7" s="113"/>
      <c r="U7" s="113"/>
      <c r="V7" s="113"/>
      <c r="W7" s="113"/>
      <c r="X7" s="491"/>
      <c r="Y7" s="491"/>
      <c r="Z7" s="491"/>
      <c r="AA7" s="491"/>
      <c r="AB7" s="491"/>
      <c r="AC7" s="491"/>
      <c r="AD7" s="491"/>
      <c r="AE7" s="491"/>
      <c r="AF7" s="491"/>
      <c r="AG7" s="491"/>
      <c r="BC7" s="491"/>
    </row>
    <row r="8" spans="1:55" x14ac:dyDescent="0.2">
      <c r="A8" s="113"/>
      <c r="B8" s="113"/>
      <c r="C8" s="113"/>
      <c r="D8" s="113"/>
      <c r="E8" s="113"/>
      <c r="F8" s="113"/>
      <c r="G8" s="113"/>
      <c r="H8" s="113"/>
      <c r="I8" s="113"/>
      <c r="J8" s="113"/>
      <c r="K8" s="113"/>
      <c r="L8" s="113"/>
      <c r="M8" s="113"/>
      <c r="N8" s="113"/>
      <c r="O8" s="113"/>
      <c r="P8" s="113"/>
      <c r="Q8" s="113"/>
      <c r="R8" s="113"/>
      <c r="S8" s="113"/>
      <c r="T8" s="113"/>
      <c r="U8" s="113"/>
      <c r="V8" s="113"/>
      <c r="W8" s="113"/>
      <c r="X8" s="491"/>
      <c r="Y8" s="491"/>
      <c r="Z8" s="491"/>
      <c r="AA8" s="491"/>
      <c r="AB8" s="491"/>
      <c r="AC8" s="491"/>
      <c r="AD8" s="491"/>
      <c r="AE8" s="491"/>
      <c r="AF8" s="491"/>
      <c r="AG8" s="491"/>
      <c r="BC8" s="491"/>
    </row>
    <row r="9" spans="1:55" x14ac:dyDescent="0.2">
      <c r="A9" s="113"/>
      <c r="B9" s="113"/>
      <c r="C9" s="113"/>
      <c r="D9" s="113"/>
      <c r="E9" s="113"/>
      <c r="F9" s="113"/>
      <c r="G9" s="113"/>
      <c r="H9" s="113"/>
      <c r="I9" s="113"/>
      <c r="J9" s="113"/>
      <c r="K9" s="113"/>
      <c r="L9" s="113"/>
      <c r="M9" s="113"/>
      <c r="N9" s="113"/>
      <c r="O9" s="113"/>
      <c r="P9" s="113"/>
      <c r="Q9" s="113"/>
      <c r="R9" s="113"/>
      <c r="S9" s="113"/>
      <c r="T9" s="113"/>
      <c r="U9" s="113"/>
      <c r="V9" s="113"/>
      <c r="W9" s="113"/>
      <c r="X9" s="491"/>
      <c r="Y9" s="491"/>
      <c r="Z9" s="491"/>
      <c r="AA9" s="491"/>
      <c r="AB9" s="491"/>
      <c r="AC9" s="491"/>
      <c r="AD9" s="491"/>
      <c r="AE9" s="491"/>
      <c r="AF9" s="491"/>
      <c r="AG9" s="491"/>
      <c r="BC9" s="491"/>
    </row>
    <row r="10" spans="1:55" ht="15.75" x14ac:dyDescent="0.2">
      <c r="A10" s="243"/>
      <c r="B10" s="243"/>
      <c r="C10" s="243"/>
      <c r="D10" s="79" t="s">
        <v>869</v>
      </c>
      <c r="E10" s="79"/>
      <c r="F10" s="115"/>
      <c r="G10" s="115"/>
      <c r="H10" s="115"/>
      <c r="I10" s="115"/>
      <c r="J10" s="115"/>
      <c r="K10" s="115"/>
      <c r="L10" s="115"/>
      <c r="M10" s="115"/>
      <c r="N10" s="115"/>
      <c r="O10" s="115"/>
      <c r="P10" s="115"/>
      <c r="Q10" s="115"/>
      <c r="R10" s="115"/>
      <c r="S10" s="115"/>
      <c r="T10" s="115"/>
      <c r="U10" s="115"/>
      <c r="V10" s="115"/>
      <c r="W10" s="491"/>
      <c r="X10" s="490"/>
      <c r="Y10" s="490"/>
      <c r="Z10" s="490"/>
      <c r="AA10" s="490"/>
      <c r="AB10" s="490"/>
      <c r="AC10" s="490"/>
      <c r="AD10" s="490"/>
      <c r="AE10" s="490"/>
      <c r="AF10" s="490"/>
      <c r="AG10" s="490"/>
    </row>
    <row r="11" spans="1:55" s="493" customFormat="1" x14ac:dyDescent="0.2">
      <c r="A11" s="113"/>
      <c r="B11" s="113"/>
      <c r="C11" s="113"/>
      <c r="D11" s="113"/>
      <c r="E11" s="113"/>
      <c r="F11" s="113"/>
      <c r="G11" s="113"/>
      <c r="H11" s="113"/>
      <c r="I11" s="113"/>
      <c r="J11" s="113"/>
      <c r="K11" s="113"/>
      <c r="L11" s="113"/>
      <c r="M11" s="113"/>
      <c r="N11" s="113"/>
      <c r="O11" s="113"/>
      <c r="P11" s="113"/>
      <c r="Q11" s="113"/>
      <c r="R11" s="113"/>
      <c r="S11" s="113"/>
      <c r="T11" s="113"/>
      <c r="U11" s="113"/>
      <c r="V11" s="113"/>
      <c r="W11" s="490"/>
      <c r="X11" s="490"/>
      <c r="Y11" s="490"/>
      <c r="Z11" s="490"/>
      <c r="AA11" s="490"/>
      <c r="AB11" s="490"/>
      <c r="AC11" s="490"/>
      <c r="AD11" s="490"/>
      <c r="AE11" s="490"/>
      <c r="AF11" s="490"/>
      <c r="AG11" s="490"/>
    </row>
    <row r="12" spans="1:55" s="493" customFormat="1" x14ac:dyDescent="0.2">
      <c r="A12" s="113"/>
      <c r="B12" s="113"/>
      <c r="C12" s="113"/>
      <c r="D12" s="113" t="s">
        <v>235</v>
      </c>
      <c r="E12" s="113"/>
      <c r="F12" s="113"/>
      <c r="G12" s="113"/>
      <c r="H12" s="113"/>
      <c r="I12" s="113"/>
      <c r="J12" s="113"/>
      <c r="K12" s="113"/>
      <c r="L12" s="113"/>
      <c r="M12" s="113"/>
      <c r="N12" s="113"/>
      <c r="O12" s="113"/>
      <c r="P12" s="113"/>
      <c r="Q12" s="113"/>
      <c r="R12" s="113"/>
      <c r="S12" s="113"/>
      <c r="T12" s="113"/>
      <c r="U12" s="113"/>
      <c r="V12" s="113"/>
      <c r="W12" s="490"/>
      <c r="X12" s="490"/>
      <c r="Y12" s="490"/>
      <c r="Z12" s="490"/>
      <c r="AA12" s="490"/>
      <c r="AB12" s="490"/>
      <c r="AC12" s="490"/>
      <c r="AD12" s="490"/>
      <c r="AE12" s="490"/>
      <c r="AF12" s="490"/>
      <c r="AG12" s="490"/>
    </row>
    <row r="13" spans="1:55" s="493" customFormat="1" x14ac:dyDescent="0.2">
      <c r="A13" s="113"/>
      <c r="B13" s="113"/>
      <c r="C13" s="113"/>
      <c r="D13" s="113"/>
      <c r="E13" s="113"/>
      <c r="F13" s="113"/>
      <c r="G13" s="113"/>
      <c r="H13" s="113"/>
      <c r="I13" s="113"/>
      <c r="J13" s="113"/>
      <c r="K13" s="113"/>
      <c r="L13" s="113"/>
      <c r="M13" s="113"/>
      <c r="N13" s="113"/>
      <c r="O13" s="113"/>
      <c r="P13" s="113"/>
      <c r="Q13" s="113"/>
      <c r="R13" s="113"/>
      <c r="S13" s="113"/>
      <c r="T13" s="113"/>
      <c r="U13" s="113"/>
      <c r="V13" s="113"/>
      <c r="W13" s="490"/>
      <c r="X13" s="490"/>
      <c r="Y13" s="490"/>
      <c r="Z13" s="490"/>
      <c r="AA13" s="490"/>
      <c r="AB13" s="490"/>
      <c r="AC13" s="490"/>
      <c r="AD13" s="490"/>
      <c r="AE13" s="490"/>
      <c r="AF13" s="490"/>
      <c r="AG13" s="490"/>
    </row>
    <row r="14" spans="1:55" s="493" customFormat="1" x14ac:dyDescent="0.2">
      <c r="A14" s="113"/>
      <c r="B14" s="113"/>
      <c r="C14" s="113"/>
      <c r="D14" s="113"/>
      <c r="E14" s="113"/>
      <c r="F14" s="113"/>
      <c r="G14" s="113"/>
      <c r="H14" s="113"/>
      <c r="I14" s="113"/>
      <c r="J14" s="113"/>
      <c r="K14" s="113"/>
      <c r="L14" s="113"/>
      <c r="M14" s="113"/>
      <c r="N14" s="113"/>
      <c r="O14" s="113"/>
      <c r="P14" s="113"/>
      <c r="Q14" s="113"/>
      <c r="R14" s="113"/>
      <c r="S14" s="113"/>
      <c r="T14" s="113"/>
      <c r="U14" s="113"/>
      <c r="V14" s="113"/>
      <c r="W14" s="490"/>
      <c r="X14" s="490"/>
      <c r="Y14" s="490"/>
      <c r="Z14" s="490"/>
      <c r="AA14" s="490"/>
      <c r="AB14" s="490"/>
      <c r="AC14" s="490"/>
      <c r="AD14" s="490"/>
      <c r="AE14" s="490"/>
      <c r="AF14" s="490"/>
      <c r="AG14" s="490"/>
    </row>
    <row r="15" spans="1:55" ht="15" x14ac:dyDescent="0.2">
      <c r="A15" s="243"/>
      <c r="B15" s="243"/>
      <c r="C15" s="243"/>
      <c r="D15" s="663" t="s">
        <v>0</v>
      </c>
      <c r="E15" s="665"/>
      <c r="F15" s="483">
        <f>FirstYear</f>
        <v>2021</v>
      </c>
      <c r="G15" s="483">
        <f>F15+1</f>
        <v>2022</v>
      </c>
      <c r="H15" s="483">
        <f>G15+1</f>
        <v>2023</v>
      </c>
      <c r="I15" s="483">
        <f>H15+1</f>
        <v>2024</v>
      </c>
      <c r="J15" s="483">
        <f>I15+1</f>
        <v>2025</v>
      </c>
      <c r="K15" s="483">
        <f>J15+1</f>
        <v>2026</v>
      </c>
      <c r="L15" s="491"/>
      <c r="M15" s="491"/>
      <c r="N15" s="615"/>
      <c r="O15" s="615"/>
      <c r="P15" s="491"/>
      <c r="Q15" s="491"/>
      <c r="R15" s="491"/>
      <c r="S15" s="243"/>
      <c r="T15" s="243"/>
      <c r="U15" s="243"/>
      <c r="V15" s="243"/>
      <c r="W15" s="491"/>
      <c r="X15" s="490"/>
      <c r="Y15" s="490"/>
      <c r="Z15" s="490"/>
      <c r="AA15" s="490"/>
      <c r="AB15" s="490"/>
      <c r="AC15" s="490"/>
      <c r="AD15" s="490"/>
      <c r="AE15" s="490"/>
      <c r="AF15" s="490"/>
      <c r="AG15" s="490"/>
    </row>
    <row r="16" spans="1:55" s="493" customFormat="1" x14ac:dyDescent="0.2">
      <c r="A16" s="243"/>
      <c r="B16" s="243"/>
      <c r="C16" s="243"/>
      <c r="D16" s="661"/>
      <c r="E16" s="247" t="s">
        <v>371</v>
      </c>
      <c r="F16" s="283">
        <f t="shared" ref="F16:K16" si="0">F114+F131+F148+F165+F182+F199+F216+F233+F250+F267</f>
        <v>0</v>
      </c>
      <c r="G16" s="283">
        <f t="shared" si="0"/>
        <v>0</v>
      </c>
      <c r="H16" s="283">
        <f t="shared" si="0"/>
        <v>0</v>
      </c>
      <c r="I16" s="283">
        <f t="shared" si="0"/>
        <v>0</v>
      </c>
      <c r="J16" s="283">
        <f t="shared" si="0"/>
        <v>0</v>
      </c>
      <c r="K16" s="283">
        <f t="shared" si="0"/>
        <v>0</v>
      </c>
      <c r="L16" s="490"/>
      <c r="M16" s="490"/>
      <c r="N16" s="615"/>
      <c r="O16" s="615"/>
      <c r="P16" s="490"/>
      <c r="Q16" s="490"/>
      <c r="R16" s="490"/>
      <c r="S16" s="243"/>
      <c r="T16" s="243"/>
      <c r="U16" s="243"/>
      <c r="V16" s="243"/>
      <c r="W16" s="490"/>
      <c r="X16" s="490"/>
      <c r="Y16" s="490"/>
      <c r="Z16" s="490"/>
      <c r="AA16" s="490"/>
      <c r="AB16" s="490"/>
      <c r="AC16" s="490"/>
      <c r="AD16" s="490"/>
      <c r="AE16" s="490"/>
      <c r="AF16" s="490"/>
      <c r="AG16" s="490"/>
    </row>
    <row r="17" spans="1:54" s="493" customFormat="1" x14ac:dyDescent="0.2">
      <c r="A17" s="243"/>
      <c r="B17" s="243"/>
      <c r="C17" s="243"/>
      <c r="D17" s="661"/>
      <c r="E17" s="247" t="s">
        <v>372</v>
      </c>
      <c r="F17" s="283">
        <f t="shared" ref="F17:K17" si="1">F509+F526+F543+F560+F577+F594+F611+F628+F645+F662</f>
        <v>0</v>
      </c>
      <c r="G17" s="283">
        <f t="shared" si="1"/>
        <v>0</v>
      </c>
      <c r="H17" s="283">
        <f t="shared" si="1"/>
        <v>0</v>
      </c>
      <c r="I17" s="283">
        <f t="shared" si="1"/>
        <v>0</v>
      </c>
      <c r="J17" s="283">
        <f t="shared" si="1"/>
        <v>0</v>
      </c>
      <c r="K17" s="283">
        <f t="shared" si="1"/>
        <v>0</v>
      </c>
      <c r="L17" s="490"/>
      <c r="M17" s="243"/>
      <c r="N17" s="615"/>
      <c r="O17" s="615"/>
      <c r="P17" s="490"/>
      <c r="Q17" s="490"/>
      <c r="R17" s="490"/>
      <c r="S17" s="243"/>
      <c r="T17" s="243"/>
      <c r="U17" s="243"/>
      <c r="V17" s="243"/>
      <c r="W17" s="490"/>
      <c r="X17" s="490"/>
      <c r="Y17" s="490"/>
      <c r="Z17" s="490"/>
      <c r="AA17" s="490"/>
      <c r="AB17" s="490"/>
      <c r="AC17" s="490"/>
      <c r="AD17" s="490"/>
      <c r="AE17" s="490"/>
      <c r="AF17" s="490"/>
      <c r="AG17" s="490"/>
    </row>
    <row r="18" spans="1:54" s="493" customFormat="1" x14ac:dyDescent="0.2">
      <c r="A18" s="243"/>
      <c r="B18" s="243"/>
      <c r="C18" s="243"/>
      <c r="D18" s="243"/>
      <c r="E18" s="59" t="s">
        <v>373</v>
      </c>
      <c r="F18" s="284">
        <f t="shared" ref="F18:K18" si="2">F16+F17</f>
        <v>0</v>
      </c>
      <c r="G18" s="284">
        <f t="shared" si="2"/>
        <v>0</v>
      </c>
      <c r="H18" s="284">
        <f t="shared" si="2"/>
        <v>0</v>
      </c>
      <c r="I18" s="284">
        <f t="shared" si="2"/>
        <v>0</v>
      </c>
      <c r="J18" s="284">
        <f t="shared" si="2"/>
        <v>0</v>
      </c>
      <c r="K18" s="284">
        <f t="shared" si="2"/>
        <v>0</v>
      </c>
      <c r="L18" s="490"/>
      <c r="M18" s="243"/>
      <c r="N18" s="615"/>
      <c r="O18" s="615"/>
      <c r="P18" s="490"/>
      <c r="Q18" s="490"/>
      <c r="R18" s="490"/>
      <c r="S18" s="243"/>
      <c r="T18" s="243"/>
      <c r="U18" s="243"/>
      <c r="V18" s="243"/>
      <c r="W18" s="490"/>
      <c r="X18" s="490"/>
      <c r="Y18" s="490"/>
      <c r="Z18" s="490"/>
      <c r="AA18" s="490"/>
      <c r="AB18" s="490"/>
      <c r="AC18" s="490"/>
      <c r="AD18" s="490"/>
      <c r="AE18" s="490"/>
      <c r="AF18" s="490"/>
      <c r="AG18" s="490"/>
    </row>
    <row r="19" spans="1:54" s="493" customFormat="1" x14ac:dyDescent="0.2">
      <c r="A19" s="243"/>
      <c r="B19" s="243"/>
      <c r="C19" s="243"/>
      <c r="D19" s="490"/>
      <c r="E19" s="490"/>
      <c r="F19" s="490"/>
      <c r="G19" s="490"/>
      <c r="H19" s="490"/>
      <c r="I19" s="490"/>
      <c r="J19" s="490"/>
      <c r="K19" s="490"/>
      <c r="L19" s="490"/>
      <c r="M19" s="243"/>
      <c r="N19" s="615"/>
      <c r="O19" s="615"/>
      <c r="P19" s="243"/>
      <c r="Q19" s="666"/>
      <c r="R19" s="666"/>
      <c r="S19" s="666"/>
      <c r="T19" s="666"/>
      <c r="U19" s="666"/>
      <c r="V19" s="666"/>
      <c r="X19" s="727"/>
      <c r="Y19" s="520">
        <f>SUM(F18:J18)</f>
        <v>0</v>
      </c>
      <c r="Z19" s="490"/>
      <c r="AA19" s="490"/>
      <c r="AB19" s="490"/>
      <c r="AC19" s="490"/>
      <c r="AD19" s="490"/>
      <c r="AE19" s="490"/>
      <c r="AF19" s="490"/>
      <c r="AG19" s="490"/>
    </row>
    <row r="20" spans="1:54" s="493" customFormat="1" x14ac:dyDescent="0.2">
      <c r="A20" s="243"/>
      <c r="B20" s="243"/>
      <c r="C20" s="243"/>
      <c r="D20" s="664"/>
      <c r="E20" s="664"/>
      <c r="F20" s="664"/>
      <c r="G20" s="664"/>
      <c r="H20" s="661"/>
      <c r="I20" s="661"/>
      <c r="J20" s="661"/>
      <c r="K20" s="661"/>
      <c r="L20" s="490"/>
      <c r="M20" s="243"/>
      <c r="N20" s="615"/>
      <c r="O20" s="615"/>
      <c r="P20" s="490"/>
      <c r="Q20" s="490"/>
      <c r="R20" s="490"/>
      <c r="S20" s="243"/>
      <c r="T20" s="243"/>
      <c r="U20" s="243"/>
      <c r="V20" s="243"/>
      <c r="X20" s="490"/>
      <c r="Y20" s="490"/>
      <c r="Z20" s="490"/>
      <c r="AA20" s="490"/>
      <c r="AB20" s="490"/>
      <c r="AC20" s="490"/>
      <c r="AD20" s="490"/>
      <c r="AE20" s="490"/>
      <c r="AF20" s="490"/>
      <c r="AG20" s="490"/>
    </row>
    <row r="21" spans="1:54" ht="15" x14ac:dyDescent="0.2">
      <c r="A21" s="243"/>
      <c r="B21" s="243"/>
      <c r="C21" s="243"/>
      <c r="D21" s="663" t="s">
        <v>1</v>
      </c>
      <c r="E21" s="665"/>
      <c r="F21" s="483">
        <f>FirstYear</f>
        <v>2021</v>
      </c>
      <c r="G21" s="483">
        <f>F21+1</f>
        <v>2022</v>
      </c>
      <c r="H21" s="483">
        <f>G21+1</f>
        <v>2023</v>
      </c>
      <c r="I21" s="483">
        <f>H21+1</f>
        <v>2024</v>
      </c>
      <c r="J21" s="483">
        <f>I21+1</f>
        <v>2025</v>
      </c>
      <c r="K21" s="483">
        <f>J21+1</f>
        <v>2026</v>
      </c>
      <c r="L21" s="491"/>
      <c r="M21" s="243"/>
      <c r="N21" s="615"/>
      <c r="O21" s="615"/>
      <c r="P21" s="491"/>
      <c r="Q21" s="491"/>
      <c r="R21" s="491"/>
      <c r="S21" s="243"/>
      <c r="T21" s="243"/>
      <c r="U21" s="243"/>
      <c r="V21" s="243"/>
      <c r="X21" s="490"/>
      <c r="Y21" s="490"/>
      <c r="Z21" s="490"/>
      <c r="AA21" s="490"/>
      <c r="AB21" s="490"/>
      <c r="AC21" s="490"/>
      <c r="AD21" s="490"/>
      <c r="AE21" s="490"/>
      <c r="AF21" s="490"/>
      <c r="AG21" s="490"/>
    </row>
    <row r="22" spans="1:54" s="493" customFormat="1" x14ac:dyDescent="0.2">
      <c r="A22" s="243"/>
      <c r="B22" s="243"/>
      <c r="C22" s="243"/>
      <c r="D22" s="661"/>
      <c r="E22" s="247" t="s">
        <v>371</v>
      </c>
      <c r="F22" s="282">
        <f t="shared" ref="F22:K22" si="3">F122+F139+F156+F173+F190+F207+F224+F241+F258+F275</f>
        <v>0</v>
      </c>
      <c r="G22" s="282">
        <f t="shared" si="3"/>
        <v>0</v>
      </c>
      <c r="H22" s="282">
        <f t="shared" si="3"/>
        <v>0</v>
      </c>
      <c r="I22" s="282">
        <f t="shared" si="3"/>
        <v>0</v>
      </c>
      <c r="J22" s="282">
        <f t="shared" si="3"/>
        <v>0</v>
      </c>
      <c r="K22" s="282">
        <f t="shared" si="3"/>
        <v>0</v>
      </c>
      <c r="L22" s="490"/>
      <c r="M22" s="243"/>
      <c r="N22" s="615"/>
      <c r="O22" s="615"/>
      <c r="P22" s="490"/>
      <c r="Q22" s="490"/>
      <c r="R22" s="490"/>
      <c r="S22" s="243"/>
      <c r="T22" s="243"/>
      <c r="U22" s="243"/>
      <c r="V22" s="243"/>
      <c r="X22" s="490"/>
      <c r="Y22" s="490"/>
      <c r="Z22" s="490"/>
      <c r="AA22" s="490"/>
      <c r="AB22" s="490"/>
      <c r="AC22" s="490"/>
      <c r="AD22" s="490"/>
      <c r="AE22" s="490"/>
      <c r="AF22" s="490"/>
      <c r="AG22" s="490"/>
    </row>
    <row r="23" spans="1:54" s="493" customFormat="1" x14ac:dyDescent="0.2">
      <c r="A23" s="243"/>
      <c r="B23" s="243"/>
      <c r="C23" s="243"/>
      <c r="D23" s="661"/>
      <c r="E23" s="247" t="s">
        <v>372</v>
      </c>
      <c r="F23" s="283">
        <f t="shared" ref="F23:K23" si="4">F517+F534+F551+F568+F585+F602+F619+F636+F653+F670</f>
        <v>0</v>
      </c>
      <c r="G23" s="283">
        <f t="shared" si="4"/>
        <v>0</v>
      </c>
      <c r="H23" s="283">
        <f t="shared" si="4"/>
        <v>0</v>
      </c>
      <c r="I23" s="283">
        <f t="shared" si="4"/>
        <v>0</v>
      </c>
      <c r="J23" s="283">
        <f t="shared" si="4"/>
        <v>0</v>
      </c>
      <c r="K23" s="283">
        <f t="shared" si="4"/>
        <v>0</v>
      </c>
      <c r="L23" s="490"/>
      <c r="M23" s="507" t="s">
        <v>898</v>
      </c>
      <c r="N23" s="615"/>
      <c r="O23" s="615"/>
      <c r="P23" s="490"/>
      <c r="Q23" s="490"/>
      <c r="R23" s="490"/>
      <c r="S23" s="243"/>
      <c r="T23" s="243"/>
      <c r="U23" s="243"/>
      <c r="V23" s="243"/>
      <c r="X23" s="727"/>
      <c r="Y23" s="520">
        <f>SUM(F24:J24)</f>
        <v>0</v>
      </c>
      <c r="Z23" s="490"/>
      <c r="AA23" s="490"/>
      <c r="AB23" s="490"/>
      <c r="AC23" s="490"/>
      <c r="AD23" s="490"/>
      <c r="AE23" s="490"/>
      <c r="AF23" s="490"/>
      <c r="AG23" s="490"/>
    </row>
    <row r="24" spans="1:54" s="493" customFormat="1" x14ac:dyDescent="0.2">
      <c r="A24" s="243"/>
      <c r="B24" s="243"/>
      <c r="C24" s="243"/>
      <c r="D24" s="243"/>
      <c r="E24" s="59" t="s">
        <v>373</v>
      </c>
      <c r="F24" s="284">
        <f t="shared" ref="F24:K24" si="5">F23+F22</f>
        <v>0</v>
      </c>
      <c r="G24" s="284">
        <f t="shared" si="5"/>
        <v>0</v>
      </c>
      <c r="H24" s="284">
        <f t="shared" si="5"/>
        <v>0</v>
      </c>
      <c r="I24" s="284">
        <f t="shared" si="5"/>
        <v>0</v>
      </c>
      <c r="J24" s="284">
        <f t="shared" si="5"/>
        <v>0</v>
      </c>
      <c r="K24" s="284">
        <f t="shared" si="5"/>
        <v>0</v>
      </c>
      <c r="L24" s="490"/>
      <c r="M24" s="508">
        <f>MBSRebateRate</f>
        <v>0.8</v>
      </c>
      <c r="N24" s="615"/>
      <c r="O24" s="615"/>
      <c r="P24" s="490"/>
      <c r="Q24" s="490"/>
      <c r="R24" s="490"/>
      <c r="S24" s="666"/>
      <c r="T24" s="666"/>
      <c r="U24" s="666"/>
      <c r="V24" s="666"/>
      <c r="X24" s="727"/>
      <c r="Y24" s="520">
        <f>Y23+Y19</f>
        <v>0</v>
      </c>
      <c r="Z24" s="490"/>
      <c r="AA24" s="490"/>
      <c r="AB24" s="490"/>
      <c r="AC24" s="490"/>
      <c r="AD24" s="490"/>
      <c r="AE24" s="490"/>
      <c r="AF24" s="490"/>
      <c r="AG24" s="490"/>
    </row>
    <row r="25" spans="1:54" s="493" customFormat="1" x14ac:dyDescent="0.2">
      <c r="A25" s="243"/>
      <c r="B25" s="243"/>
      <c r="C25" s="243"/>
      <c r="D25" s="243"/>
      <c r="E25" s="490"/>
      <c r="F25" s="490"/>
      <c r="G25" s="615"/>
      <c r="H25" s="615"/>
      <c r="I25" s="615"/>
      <c r="J25" s="615"/>
      <c r="K25" s="615"/>
      <c r="L25" s="490"/>
      <c r="M25" s="243"/>
      <c r="N25" s="490"/>
      <c r="O25" s="490"/>
      <c r="P25" s="490"/>
      <c r="Q25" s="490"/>
      <c r="R25" s="490"/>
      <c r="S25" s="666"/>
      <c r="T25" s="666"/>
      <c r="U25" s="666"/>
      <c r="V25" s="666"/>
      <c r="Z25" s="490"/>
      <c r="AA25" s="490"/>
      <c r="AB25" s="490"/>
      <c r="AC25" s="490"/>
      <c r="AD25" s="490"/>
      <c r="AE25" s="490"/>
      <c r="AF25" s="490"/>
      <c r="AG25" s="490"/>
    </row>
    <row r="26" spans="1:54" s="493" customFormat="1" x14ac:dyDescent="0.2">
      <c r="A26" s="243"/>
      <c r="B26" s="243"/>
      <c r="C26" s="243"/>
      <c r="D26" s="243"/>
      <c r="E26" s="273" t="s">
        <v>845</v>
      </c>
      <c r="F26" s="284">
        <f t="shared" ref="F26:K26" si="6">F24+F18</f>
        <v>0</v>
      </c>
      <c r="G26" s="284">
        <f t="shared" si="6"/>
        <v>0</v>
      </c>
      <c r="H26" s="284">
        <f t="shared" si="6"/>
        <v>0</v>
      </c>
      <c r="I26" s="284">
        <f t="shared" si="6"/>
        <v>0</v>
      </c>
      <c r="J26" s="284">
        <f t="shared" si="6"/>
        <v>0</v>
      </c>
      <c r="K26" s="284">
        <f t="shared" si="6"/>
        <v>0</v>
      </c>
      <c r="L26" s="243"/>
      <c r="M26" s="243"/>
      <c r="N26" s="243"/>
      <c r="O26" s="243"/>
      <c r="P26" s="243"/>
      <c r="Q26" s="666"/>
      <c r="R26" s="666"/>
      <c r="S26" s="666"/>
      <c r="T26" s="666"/>
      <c r="U26" s="666"/>
      <c r="V26" s="666"/>
      <c r="X26" s="490"/>
      <c r="Y26" s="490"/>
      <c r="Z26" s="490"/>
      <c r="AA26" s="490"/>
      <c r="AB26" s="490"/>
      <c r="AC26" s="490"/>
      <c r="AD26" s="490"/>
      <c r="AE26" s="490"/>
      <c r="AF26" s="490"/>
      <c r="AG26" s="490"/>
    </row>
    <row r="27" spans="1:54" s="493" customFormat="1" x14ac:dyDescent="0.2">
      <c r="A27" s="243"/>
      <c r="B27" s="243"/>
      <c r="C27" s="243"/>
      <c r="D27" s="243"/>
      <c r="E27" s="667"/>
      <c r="F27" s="243"/>
      <c r="G27" s="243"/>
      <c r="H27" s="243"/>
      <c r="I27" s="243"/>
      <c r="J27" s="243"/>
      <c r="K27" s="243"/>
      <c r="L27" s="243"/>
      <c r="M27" s="243"/>
      <c r="N27" s="243"/>
      <c r="O27" s="243"/>
      <c r="P27" s="243"/>
      <c r="Q27" s="666"/>
      <c r="R27" s="666"/>
      <c r="S27" s="666"/>
      <c r="T27" s="666"/>
      <c r="U27" s="666"/>
      <c r="V27" s="666"/>
      <c r="X27" s="490"/>
      <c r="Y27" s="490"/>
      <c r="Z27" s="490"/>
      <c r="AA27" s="490"/>
      <c r="AB27" s="490"/>
      <c r="AC27" s="490"/>
      <c r="AD27" s="490"/>
      <c r="AE27" s="490"/>
      <c r="AF27" s="490"/>
      <c r="AG27" s="490"/>
    </row>
    <row r="28" spans="1:54" s="493" customFormat="1" x14ac:dyDescent="0.2">
      <c r="A28" s="243"/>
      <c r="B28" s="243"/>
      <c r="C28" s="243"/>
      <c r="D28" s="243"/>
      <c r="E28" s="243"/>
      <c r="F28" s="243"/>
      <c r="G28" s="243"/>
      <c r="H28" s="243"/>
      <c r="I28" s="243"/>
      <c r="J28" s="243"/>
      <c r="K28" s="243"/>
      <c r="L28" s="243"/>
      <c r="M28" s="243"/>
      <c r="N28" s="243"/>
      <c r="O28" s="243"/>
      <c r="P28" s="243"/>
      <c r="Q28" s="666"/>
      <c r="R28" s="666"/>
      <c r="S28" s="666"/>
      <c r="T28" s="666"/>
      <c r="U28" s="666"/>
      <c r="V28" s="666"/>
      <c r="X28" s="669"/>
      <c r="Y28" s="669"/>
      <c r="Z28" s="490"/>
      <c r="AA28" s="490"/>
      <c r="AB28" s="490"/>
      <c r="AC28" s="490"/>
      <c r="AD28" s="490"/>
      <c r="AE28" s="490"/>
      <c r="AF28" s="490"/>
      <c r="AG28" s="490"/>
    </row>
    <row r="29" spans="1:54" s="493" customFormat="1" hidden="1" x14ac:dyDescent="0.2">
      <c r="A29" s="243"/>
      <c r="B29" s="243"/>
      <c r="C29" s="243"/>
      <c r="D29" s="742" t="s">
        <v>0</v>
      </c>
      <c r="E29" s="738" t="s">
        <v>311</v>
      </c>
      <c r="F29" s="738">
        <f>FirstYear</f>
        <v>2021</v>
      </c>
      <c r="G29" s="738">
        <f>F29+1</f>
        <v>2022</v>
      </c>
      <c r="H29" s="738">
        <f>G29+1</f>
        <v>2023</v>
      </c>
      <c r="I29" s="738">
        <f>H29+1</f>
        <v>2024</v>
      </c>
      <c r="J29" s="738">
        <f>I29+1</f>
        <v>2025</v>
      </c>
      <c r="K29" s="738">
        <f>J29+1</f>
        <v>2026</v>
      </c>
      <c r="L29" s="243"/>
      <c r="O29" s="742" t="s">
        <v>1</v>
      </c>
      <c r="Q29" s="738" t="s">
        <v>311</v>
      </c>
      <c r="R29" s="738">
        <f>FirstYear</f>
        <v>2021</v>
      </c>
      <c r="S29" s="738">
        <f>R29+1</f>
        <v>2022</v>
      </c>
      <c r="T29" s="738">
        <f>S29+1</f>
        <v>2023</v>
      </c>
      <c r="U29" s="738">
        <f>T29+1</f>
        <v>2024</v>
      </c>
      <c r="V29" s="738">
        <f>U29+1</f>
        <v>2025</v>
      </c>
      <c r="X29" s="669"/>
      <c r="Y29" s="669"/>
      <c r="Z29" s="490"/>
      <c r="AA29" s="490"/>
      <c r="AB29" s="490"/>
      <c r="AC29" s="490"/>
      <c r="AD29" s="490"/>
      <c r="AE29" s="490"/>
      <c r="AF29" s="490"/>
      <c r="AG29" s="490"/>
      <c r="AH29"/>
      <c r="AI29"/>
      <c r="AJ29"/>
      <c r="AK29"/>
      <c r="AL29"/>
      <c r="AM29"/>
      <c r="AN29"/>
      <c r="AO29"/>
      <c r="AP29"/>
      <c r="AQ29"/>
      <c r="AR29"/>
      <c r="AS29"/>
      <c r="AT29"/>
      <c r="AU29"/>
      <c r="AV29"/>
      <c r="AW29"/>
      <c r="AX29"/>
      <c r="AY29"/>
      <c r="AZ29"/>
      <c r="BA29"/>
      <c r="BB29"/>
    </row>
    <row r="30" spans="1:54" s="493" customFormat="1" hidden="1" x14ac:dyDescent="0.2">
      <c r="A30" s="243"/>
      <c r="B30" s="243"/>
      <c r="C30" s="243"/>
      <c r="D30" s="243"/>
      <c r="E30" s="739" t="str">
        <f>References!AU7</f>
        <v/>
      </c>
      <c r="F30" s="740">
        <f t="shared" ref="F30:K39" si="7">SUMIFS($Z$114:$Z$442,$Y$114:$Y$442,F$29,$X$114:$X$442,$E30)+SUMIFS($Z$509:$Z$837,$Y$509:$Y$837,F$29,$X$509:$X$837,$E30)</f>
        <v>0</v>
      </c>
      <c r="G30" s="740">
        <f t="shared" si="7"/>
        <v>0</v>
      </c>
      <c r="H30" s="740">
        <f t="shared" si="7"/>
        <v>0</v>
      </c>
      <c r="I30" s="740">
        <f t="shared" si="7"/>
        <v>0</v>
      </c>
      <c r="J30" s="740">
        <f t="shared" si="7"/>
        <v>0</v>
      </c>
      <c r="K30" s="740">
        <f t="shared" si="7"/>
        <v>0</v>
      </c>
      <c r="L30" s="243"/>
      <c r="P30" s="243"/>
      <c r="Q30" s="739" t="str">
        <f t="shared" ref="Q30:Q49" si="8">E30</f>
        <v/>
      </c>
      <c r="R30" s="740">
        <f t="shared" ref="R30:V39" si="9">SUMIFS($AA$114:$AA$442,$Y$114:$Y$442,R$29,$X$114:$X$442,$Q30)+SUMIFS($AA$509:$AA$837,$Y$509:$Y$837,R$29,$X$509:$X$837,$E30)</f>
        <v>0</v>
      </c>
      <c r="S30" s="740">
        <f t="shared" si="9"/>
        <v>0</v>
      </c>
      <c r="T30" s="740">
        <f t="shared" si="9"/>
        <v>0</v>
      </c>
      <c r="U30" s="740">
        <f t="shared" si="9"/>
        <v>0</v>
      </c>
      <c r="V30" s="740">
        <f t="shared" si="9"/>
        <v>0</v>
      </c>
      <c r="X30" s="669"/>
      <c r="Y30" s="669"/>
      <c r="Z30" s="490"/>
      <c r="AA30" s="490"/>
      <c r="AB30" s="490"/>
      <c r="AC30" s="490"/>
      <c r="AD30" s="490"/>
      <c r="AE30" s="490"/>
      <c r="AF30" s="490"/>
      <c r="AG30" s="490"/>
      <c r="AH30"/>
      <c r="AI30"/>
      <c r="AJ30"/>
      <c r="AK30"/>
      <c r="AL30"/>
      <c r="AM30"/>
      <c r="AN30"/>
      <c r="AO30"/>
      <c r="AP30"/>
      <c r="AQ30"/>
      <c r="AR30"/>
      <c r="AS30"/>
      <c r="AT30"/>
      <c r="AU30"/>
      <c r="AV30"/>
      <c r="AW30"/>
      <c r="AX30"/>
      <c r="AY30"/>
      <c r="AZ30"/>
      <c r="BA30"/>
      <c r="BB30"/>
    </row>
    <row r="31" spans="1:54" s="493" customFormat="1" hidden="1" x14ac:dyDescent="0.2">
      <c r="A31" s="243"/>
      <c r="B31" s="243"/>
      <c r="C31" s="243"/>
      <c r="D31" s="243"/>
      <c r="E31" s="739" t="str">
        <f>References!AU8</f>
        <v/>
      </c>
      <c r="F31" s="740">
        <f t="shared" si="7"/>
        <v>0</v>
      </c>
      <c r="G31" s="740">
        <f t="shared" si="7"/>
        <v>0</v>
      </c>
      <c r="H31" s="740">
        <f t="shared" si="7"/>
        <v>0</v>
      </c>
      <c r="I31" s="740">
        <f t="shared" si="7"/>
        <v>0</v>
      </c>
      <c r="J31" s="740">
        <f t="shared" si="7"/>
        <v>0</v>
      </c>
      <c r="K31" s="740">
        <f t="shared" si="7"/>
        <v>0</v>
      </c>
      <c r="L31" s="243"/>
      <c r="P31" s="243"/>
      <c r="Q31" s="739" t="str">
        <f t="shared" si="8"/>
        <v/>
      </c>
      <c r="R31" s="740">
        <f t="shared" si="9"/>
        <v>0</v>
      </c>
      <c r="S31" s="740">
        <f t="shared" si="9"/>
        <v>0</v>
      </c>
      <c r="T31" s="740">
        <f t="shared" si="9"/>
        <v>0</v>
      </c>
      <c r="U31" s="740">
        <f t="shared" si="9"/>
        <v>0</v>
      </c>
      <c r="V31" s="740">
        <f t="shared" si="9"/>
        <v>0</v>
      </c>
      <c r="X31" s="669"/>
      <c r="Y31" s="669"/>
      <c r="Z31" s="490"/>
      <c r="AA31" s="490"/>
      <c r="AB31" s="490"/>
      <c r="AC31" s="490"/>
      <c r="AD31" s="490"/>
      <c r="AE31" s="490"/>
      <c r="AF31" s="490"/>
      <c r="AG31" s="490"/>
      <c r="AH31"/>
      <c r="AI31"/>
      <c r="AJ31"/>
      <c r="AK31"/>
      <c r="AL31"/>
      <c r="AM31"/>
      <c r="AN31"/>
      <c r="AO31"/>
      <c r="AP31"/>
      <c r="AQ31"/>
      <c r="AR31"/>
      <c r="AS31"/>
      <c r="AT31"/>
      <c r="AU31"/>
      <c r="AV31"/>
      <c r="AW31"/>
      <c r="AX31"/>
      <c r="AY31"/>
      <c r="AZ31"/>
      <c r="BA31"/>
      <c r="BB31"/>
    </row>
    <row r="32" spans="1:54" s="493" customFormat="1" hidden="1" x14ac:dyDescent="0.2">
      <c r="A32" s="243"/>
      <c r="B32" s="243"/>
      <c r="C32" s="243"/>
      <c r="D32" s="243"/>
      <c r="E32" s="739" t="str">
        <f>References!AU9</f>
        <v/>
      </c>
      <c r="F32" s="740">
        <f t="shared" si="7"/>
        <v>0</v>
      </c>
      <c r="G32" s="740">
        <f t="shared" si="7"/>
        <v>0</v>
      </c>
      <c r="H32" s="740">
        <f t="shared" si="7"/>
        <v>0</v>
      </c>
      <c r="I32" s="740">
        <f t="shared" si="7"/>
        <v>0</v>
      </c>
      <c r="J32" s="740">
        <f t="shared" si="7"/>
        <v>0</v>
      </c>
      <c r="K32" s="740">
        <f t="shared" si="7"/>
        <v>0</v>
      </c>
      <c r="L32" s="243"/>
      <c r="P32" s="243"/>
      <c r="Q32" s="739" t="str">
        <f t="shared" si="8"/>
        <v/>
      </c>
      <c r="R32" s="740">
        <f t="shared" si="9"/>
        <v>0</v>
      </c>
      <c r="S32" s="740">
        <f t="shared" si="9"/>
        <v>0</v>
      </c>
      <c r="T32" s="740">
        <f t="shared" si="9"/>
        <v>0</v>
      </c>
      <c r="U32" s="740">
        <f t="shared" si="9"/>
        <v>0</v>
      </c>
      <c r="V32" s="740">
        <f t="shared" si="9"/>
        <v>0</v>
      </c>
      <c r="X32" s="669"/>
      <c r="Y32" s="669"/>
      <c r="Z32" s="490"/>
      <c r="AA32" s="490"/>
      <c r="AB32" s="490"/>
      <c r="AC32" s="490"/>
      <c r="AD32" s="490"/>
      <c r="AE32" s="490"/>
      <c r="AF32" s="490"/>
      <c r="AG32" s="490"/>
      <c r="AH32"/>
      <c r="AI32"/>
      <c r="AJ32"/>
      <c r="AK32"/>
      <c r="AL32"/>
      <c r="AM32"/>
      <c r="AN32"/>
      <c r="AO32"/>
      <c r="AP32"/>
      <c r="AQ32"/>
      <c r="AR32"/>
      <c r="AS32"/>
      <c r="AT32"/>
      <c r="AU32"/>
      <c r="AV32"/>
      <c r="AW32"/>
      <c r="AX32"/>
      <c r="AY32"/>
      <c r="AZ32"/>
      <c r="BA32"/>
      <c r="BB32"/>
    </row>
    <row r="33" spans="1:54" s="493" customFormat="1" hidden="1" x14ac:dyDescent="0.2">
      <c r="A33" s="243"/>
      <c r="B33" s="243"/>
      <c r="C33" s="243"/>
      <c r="D33" s="243"/>
      <c r="E33" s="739" t="str">
        <f>References!AU10</f>
        <v/>
      </c>
      <c r="F33" s="740">
        <f t="shared" si="7"/>
        <v>0</v>
      </c>
      <c r="G33" s="740">
        <f t="shared" si="7"/>
        <v>0</v>
      </c>
      <c r="H33" s="740">
        <f t="shared" si="7"/>
        <v>0</v>
      </c>
      <c r="I33" s="740">
        <f t="shared" si="7"/>
        <v>0</v>
      </c>
      <c r="J33" s="740">
        <f t="shared" si="7"/>
        <v>0</v>
      </c>
      <c r="K33" s="740">
        <f t="shared" si="7"/>
        <v>0</v>
      </c>
      <c r="L33" s="243"/>
      <c r="P33" s="243"/>
      <c r="Q33" s="739" t="str">
        <f t="shared" si="8"/>
        <v/>
      </c>
      <c r="R33" s="740">
        <f t="shared" si="9"/>
        <v>0</v>
      </c>
      <c r="S33" s="740">
        <f t="shared" si="9"/>
        <v>0</v>
      </c>
      <c r="T33" s="740">
        <f t="shared" si="9"/>
        <v>0</v>
      </c>
      <c r="U33" s="740">
        <f t="shared" si="9"/>
        <v>0</v>
      </c>
      <c r="V33" s="740">
        <f t="shared" si="9"/>
        <v>0</v>
      </c>
      <c r="X33" s="669"/>
      <c r="Y33" s="669"/>
      <c r="Z33" s="490"/>
      <c r="AA33" s="490"/>
      <c r="AB33" s="490"/>
      <c r="AC33" s="490"/>
      <c r="AD33" s="490"/>
      <c r="AE33" s="490"/>
      <c r="AF33" s="490"/>
      <c r="AG33" s="490"/>
      <c r="AH33"/>
      <c r="AI33"/>
      <c r="AJ33"/>
      <c r="AK33"/>
      <c r="AL33"/>
      <c r="AM33"/>
      <c r="AN33"/>
      <c r="AO33"/>
      <c r="AP33"/>
      <c r="AQ33"/>
      <c r="AR33"/>
      <c r="AS33"/>
      <c r="AT33"/>
      <c r="AU33"/>
      <c r="AV33"/>
      <c r="AW33"/>
      <c r="AX33"/>
      <c r="AY33"/>
      <c r="AZ33"/>
      <c r="BA33"/>
      <c r="BB33"/>
    </row>
    <row r="34" spans="1:54" s="493" customFormat="1" hidden="1" x14ac:dyDescent="0.2">
      <c r="A34" s="243"/>
      <c r="B34" s="243"/>
      <c r="C34" s="243"/>
      <c r="D34" s="243"/>
      <c r="E34" s="739" t="str">
        <f>References!AU11</f>
        <v/>
      </c>
      <c r="F34" s="740">
        <f t="shared" si="7"/>
        <v>0</v>
      </c>
      <c r="G34" s="740">
        <f t="shared" si="7"/>
        <v>0</v>
      </c>
      <c r="H34" s="740">
        <f t="shared" si="7"/>
        <v>0</v>
      </c>
      <c r="I34" s="740">
        <f t="shared" si="7"/>
        <v>0</v>
      </c>
      <c r="J34" s="740">
        <f t="shared" si="7"/>
        <v>0</v>
      </c>
      <c r="K34" s="740">
        <f t="shared" si="7"/>
        <v>0</v>
      </c>
      <c r="L34" s="243"/>
      <c r="P34" s="243"/>
      <c r="Q34" s="739" t="str">
        <f t="shared" si="8"/>
        <v/>
      </c>
      <c r="R34" s="740">
        <f t="shared" si="9"/>
        <v>0</v>
      </c>
      <c r="S34" s="740">
        <f t="shared" si="9"/>
        <v>0</v>
      </c>
      <c r="T34" s="740">
        <f t="shared" si="9"/>
        <v>0</v>
      </c>
      <c r="U34" s="740">
        <f t="shared" si="9"/>
        <v>0</v>
      </c>
      <c r="V34" s="740">
        <f t="shared" si="9"/>
        <v>0</v>
      </c>
      <c r="X34" s="669"/>
      <c r="Y34" s="669"/>
      <c r="Z34" s="490"/>
      <c r="AA34" s="490"/>
      <c r="AB34" s="490"/>
      <c r="AC34" s="490"/>
      <c r="AD34" s="490"/>
      <c r="AE34" s="490"/>
      <c r="AF34" s="490"/>
      <c r="AG34" s="490"/>
      <c r="AH34"/>
      <c r="AI34"/>
      <c r="AJ34"/>
      <c r="AK34"/>
      <c r="AL34"/>
      <c r="AM34"/>
      <c r="AN34"/>
      <c r="AO34"/>
      <c r="AP34"/>
      <c r="AQ34"/>
      <c r="AR34"/>
      <c r="AS34"/>
      <c r="AT34"/>
      <c r="AU34"/>
      <c r="AV34"/>
      <c r="AW34"/>
      <c r="AX34"/>
      <c r="AY34"/>
      <c r="AZ34"/>
      <c r="BA34"/>
      <c r="BB34"/>
    </row>
    <row r="35" spans="1:54" s="493" customFormat="1" hidden="1" x14ac:dyDescent="0.2">
      <c r="A35" s="243"/>
      <c r="B35" s="243"/>
      <c r="C35" s="243"/>
      <c r="D35" s="243"/>
      <c r="E35" s="739" t="str">
        <f>References!AU12</f>
        <v/>
      </c>
      <c r="F35" s="740">
        <f t="shared" si="7"/>
        <v>0</v>
      </c>
      <c r="G35" s="740">
        <f t="shared" si="7"/>
        <v>0</v>
      </c>
      <c r="H35" s="740">
        <f t="shared" si="7"/>
        <v>0</v>
      </c>
      <c r="I35" s="740">
        <f t="shared" si="7"/>
        <v>0</v>
      </c>
      <c r="J35" s="740">
        <f t="shared" si="7"/>
        <v>0</v>
      </c>
      <c r="K35" s="740">
        <f t="shared" si="7"/>
        <v>0</v>
      </c>
      <c r="L35" s="243"/>
      <c r="P35" s="243"/>
      <c r="Q35" s="739" t="str">
        <f t="shared" si="8"/>
        <v/>
      </c>
      <c r="R35" s="740">
        <f t="shared" si="9"/>
        <v>0</v>
      </c>
      <c r="S35" s="740">
        <f t="shared" si="9"/>
        <v>0</v>
      </c>
      <c r="T35" s="740">
        <f t="shared" si="9"/>
        <v>0</v>
      </c>
      <c r="U35" s="740">
        <f t="shared" si="9"/>
        <v>0</v>
      </c>
      <c r="V35" s="740">
        <f t="shared" si="9"/>
        <v>0</v>
      </c>
      <c r="X35" s="669"/>
      <c r="Y35" s="669"/>
      <c r="Z35" s="490"/>
      <c r="AA35" s="490"/>
      <c r="AB35" s="490"/>
      <c r="AC35" s="490"/>
      <c r="AD35" s="490"/>
      <c r="AE35" s="490"/>
      <c r="AF35" s="490"/>
      <c r="AG35" s="490"/>
      <c r="AH35"/>
      <c r="AI35"/>
      <c r="AJ35"/>
      <c r="AK35"/>
      <c r="AL35"/>
      <c r="AM35"/>
      <c r="AN35"/>
      <c r="AO35"/>
      <c r="AP35"/>
      <c r="AQ35"/>
      <c r="AR35"/>
      <c r="AS35"/>
      <c r="AT35"/>
      <c r="AU35"/>
      <c r="AV35"/>
      <c r="AW35"/>
      <c r="AX35"/>
      <c r="AY35"/>
      <c r="AZ35"/>
      <c r="BA35"/>
      <c r="BB35"/>
    </row>
    <row r="36" spans="1:54" s="493" customFormat="1" hidden="1" x14ac:dyDescent="0.2">
      <c r="A36" s="243"/>
      <c r="B36" s="243"/>
      <c r="C36" s="243"/>
      <c r="D36" s="243"/>
      <c r="E36" s="739" t="str">
        <f>References!AU13</f>
        <v/>
      </c>
      <c r="F36" s="740">
        <f t="shared" si="7"/>
        <v>0</v>
      </c>
      <c r="G36" s="740">
        <f t="shared" si="7"/>
        <v>0</v>
      </c>
      <c r="H36" s="740">
        <f t="shared" si="7"/>
        <v>0</v>
      </c>
      <c r="I36" s="740">
        <f t="shared" si="7"/>
        <v>0</v>
      </c>
      <c r="J36" s="740">
        <f t="shared" si="7"/>
        <v>0</v>
      </c>
      <c r="K36" s="740">
        <f t="shared" si="7"/>
        <v>0</v>
      </c>
      <c r="L36" s="243"/>
      <c r="P36" s="243"/>
      <c r="Q36" s="739" t="str">
        <f t="shared" si="8"/>
        <v/>
      </c>
      <c r="R36" s="740">
        <f t="shared" si="9"/>
        <v>0</v>
      </c>
      <c r="S36" s="740">
        <f t="shared" si="9"/>
        <v>0</v>
      </c>
      <c r="T36" s="740">
        <f t="shared" si="9"/>
        <v>0</v>
      </c>
      <c r="U36" s="740">
        <f t="shared" si="9"/>
        <v>0</v>
      </c>
      <c r="V36" s="740">
        <f t="shared" si="9"/>
        <v>0</v>
      </c>
      <c r="X36" s="669"/>
      <c r="Y36" s="669"/>
      <c r="Z36" s="490"/>
      <c r="AA36" s="490"/>
      <c r="AB36" s="490"/>
      <c r="AC36" s="490"/>
      <c r="AD36" s="490"/>
      <c r="AE36" s="490"/>
      <c r="AF36" s="490"/>
      <c r="AG36" s="490"/>
      <c r="AH36"/>
      <c r="AI36"/>
      <c r="AJ36"/>
      <c r="AK36"/>
      <c r="AL36"/>
      <c r="AM36"/>
      <c r="AN36"/>
      <c r="AO36"/>
      <c r="AP36"/>
      <c r="AQ36"/>
      <c r="AR36"/>
      <c r="AS36"/>
      <c r="AT36"/>
      <c r="AU36"/>
      <c r="AV36"/>
      <c r="AW36"/>
      <c r="AX36"/>
      <c r="AY36"/>
      <c r="AZ36"/>
      <c r="BA36"/>
      <c r="BB36"/>
    </row>
    <row r="37" spans="1:54" s="493" customFormat="1" hidden="1" x14ac:dyDescent="0.2">
      <c r="A37" s="243"/>
      <c r="B37" s="243"/>
      <c r="C37" s="243"/>
      <c r="D37" s="243"/>
      <c r="E37" s="739" t="str">
        <f>References!AU14</f>
        <v/>
      </c>
      <c r="F37" s="740">
        <f t="shared" si="7"/>
        <v>0</v>
      </c>
      <c r="G37" s="740">
        <f t="shared" si="7"/>
        <v>0</v>
      </c>
      <c r="H37" s="740">
        <f t="shared" si="7"/>
        <v>0</v>
      </c>
      <c r="I37" s="740">
        <f t="shared" si="7"/>
        <v>0</v>
      </c>
      <c r="J37" s="740">
        <f t="shared" si="7"/>
        <v>0</v>
      </c>
      <c r="K37" s="740">
        <f t="shared" si="7"/>
        <v>0</v>
      </c>
      <c r="L37" s="243"/>
      <c r="P37" s="243"/>
      <c r="Q37" s="739" t="str">
        <f t="shared" si="8"/>
        <v/>
      </c>
      <c r="R37" s="740">
        <f t="shared" si="9"/>
        <v>0</v>
      </c>
      <c r="S37" s="740">
        <f t="shared" si="9"/>
        <v>0</v>
      </c>
      <c r="T37" s="740">
        <f t="shared" si="9"/>
        <v>0</v>
      </c>
      <c r="U37" s="740">
        <f t="shared" si="9"/>
        <v>0</v>
      </c>
      <c r="V37" s="740">
        <f t="shared" si="9"/>
        <v>0</v>
      </c>
      <c r="X37" s="669"/>
      <c r="Y37" s="669"/>
      <c r="Z37" s="490"/>
      <c r="AA37" s="490"/>
      <c r="AB37" s="490"/>
      <c r="AC37" s="490"/>
      <c r="AD37" s="490"/>
      <c r="AE37" s="490"/>
      <c r="AF37" s="490"/>
      <c r="AG37" s="490"/>
      <c r="AH37"/>
      <c r="AI37"/>
      <c r="AJ37"/>
      <c r="AK37"/>
      <c r="AL37"/>
      <c r="AM37"/>
      <c r="AN37"/>
      <c r="AO37"/>
      <c r="AP37"/>
      <c r="AQ37"/>
      <c r="AR37"/>
      <c r="AS37"/>
      <c r="AT37"/>
      <c r="AU37"/>
      <c r="AV37"/>
      <c r="AW37"/>
      <c r="AX37"/>
      <c r="AY37"/>
      <c r="AZ37"/>
      <c r="BA37"/>
      <c r="BB37"/>
    </row>
    <row r="38" spans="1:54" s="493" customFormat="1" hidden="1" x14ac:dyDescent="0.2">
      <c r="A38" s="243"/>
      <c r="B38" s="243"/>
      <c r="C38" s="243"/>
      <c r="D38" s="243"/>
      <c r="E38" s="739" t="str">
        <f>References!AU15</f>
        <v/>
      </c>
      <c r="F38" s="740">
        <f t="shared" si="7"/>
        <v>0</v>
      </c>
      <c r="G38" s="740">
        <f t="shared" si="7"/>
        <v>0</v>
      </c>
      <c r="H38" s="740">
        <f t="shared" si="7"/>
        <v>0</v>
      </c>
      <c r="I38" s="740">
        <f t="shared" si="7"/>
        <v>0</v>
      </c>
      <c r="J38" s="740">
        <f t="shared" si="7"/>
        <v>0</v>
      </c>
      <c r="K38" s="740">
        <f t="shared" si="7"/>
        <v>0</v>
      </c>
      <c r="L38" s="243"/>
      <c r="P38" s="243"/>
      <c r="Q38" s="739" t="str">
        <f t="shared" si="8"/>
        <v/>
      </c>
      <c r="R38" s="740">
        <f t="shared" si="9"/>
        <v>0</v>
      </c>
      <c r="S38" s="740">
        <f t="shared" si="9"/>
        <v>0</v>
      </c>
      <c r="T38" s="740">
        <f t="shared" si="9"/>
        <v>0</v>
      </c>
      <c r="U38" s="740">
        <f t="shared" si="9"/>
        <v>0</v>
      </c>
      <c r="V38" s="740">
        <f t="shared" si="9"/>
        <v>0</v>
      </c>
      <c r="X38" s="669"/>
      <c r="Y38" s="669"/>
      <c r="Z38" s="490"/>
      <c r="AA38" s="490"/>
      <c r="AB38" s="490"/>
      <c r="AC38" s="490"/>
      <c r="AD38" s="490"/>
      <c r="AE38" s="490"/>
      <c r="AF38" s="490"/>
      <c r="AG38" s="490"/>
      <c r="AH38"/>
      <c r="AI38"/>
      <c r="AJ38"/>
      <c r="AK38"/>
      <c r="AL38"/>
      <c r="AM38"/>
      <c r="AN38"/>
      <c r="AO38"/>
      <c r="AP38"/>
      <c r="AQ38"/>
      <c r="AR38"/>
      <c r="AS38"/>
      <c r="AT38"/>
      <c r="AU38"/>
      <c r="AV38"/>
      <c r="AW38"/>
      <c r="AX38"/>
      <c r="AY38"/>
      <c r="AZ38"/>
      <c r="BA38"/>
      <c r="BB38"/>
    </row>
    <row r="39" spans="1:54" s="493" customFormat="1" hidden="1" x14ac:dyDescent="0.2">
      <c r="A39" s="243"/>
      <c r="B39" s="243"/>
      <c r="C39" s="243"/>
      <c r="D39" s="243"/>
      <c r="E39" s="739" t="str">
        <f>References!AU16</f>
        <v/>
      </c>
      <c r="F39" s="740">
        <f t="shared" si="7"/>
        <v>0</v>
      </c>
      <c r="G39" s="740">
        <f t="shared" si="7"/>
        <v>0</v>
      </c>
      <c r="H39" s="740">
        <f t="shared" si="7"/>
        <v>0</v>
      </c>
      <c r="I39" s="740">
        <f t="shared" si="7"/>
        <v>0</v>
      </c>
      <c r="J39" s="740">
        <f t="shared" si="7"/>
        <v>0</v>
      </c>
      <c r="K39" s="740">
        <f t="shared" si="7"/>
        <v>0</v>
      </c>
      <c r="L39" s="243"/>
      <c r="P39" s="243"/>
      <c r="Q39" s="739" t="str">
        <f t="shared" si="8"/>
        <v/>
      </c>
      <c r="R39" s="740">
        <f t="shared" si="9"/>
        <v>0</v>
      </c>
      <c r="S39" s="740">
        <f t="shared" si="9"/>
        <v>0</v>
      </c>
      <c r="T39" s="740">
        <f t="shared" si="9"/>
        <v>0</v>
      </c>
      <c r="U39" s="740">
        <f t="shared" si="9"/>
        <v>0</v>
      </c>
      <c r="V39" s="740">
        <f t="shared" si="9"/>
        <v>0</v>
      </c>
      <c r="X39" s="669"/>
      <c r="Y39" s="669"/>
      <c r="Z39" s="490"/>
      <c r="AA39" s="490"/>
      <c r="AB39" s="490"/>
      <c r="AC39" s="490"/>
      <c r="AD39" s="490"/>
      <c r="AE39" s="490"/>
      <c r="AF39" s="490"/>
      <c r="AG39" s="490"/>
      <c r="AH39"/>
      <c r="AI39"/>
      <c r="AJ39"/>
      <c r="AK39"/>
      <c r="AL39"/>
      <c r="AM39"/>
      <c r="AN39"/>
      <c r="AO39"/>
      <c r="AP39"/>
      <c r="AQ39"/>
      <c r="AR39"/>
      <c r="AS39"/>
      <c r="AT39"/>
      <c r="AU39"/>
      <c r="AV39"/>
      <c r="AW39"/>
      <c r="AX39"/>
      <c r="AY39"/>
      <c r="AZ39"/>
      <c r="BA39"/>
      <c r="BB39"/>
    </row>
    <row r="40" spans="1:54" s="493" customFormat="1" hidden="1" x14ac:dyDescent="0.2">
      <c r="A40" s="243"/>
      <c r="B40" s="243"/>
      <c r="C40" s="243"/>
      <c r="D40" s="243"/>
      <c r="E40" s="739" t="str">
        <f>References!AU17</f>
        <v/>
      </c>
      <c r="F40" s="740">
        <f t="shared" ref="F40:K49" si="10">SUMIFS($Z$114:$Z$442,$Y$114:$Y$442,F$29,$X$114:$X$442,$E40)+SUMIFS($Z$509:$Z$837,$Y$509:$Y$837,F$29,$X$509:$X$837,$E40)</f>
        <v>0</v>
      </c>
      <c r="G40" s="740">
        <f t="shared" si="10"/>
        <v>0</v>
      </c>
      <c r="H40" s="740">
        <f t="shared" si="10"/>
        <v>0</v>
      </c>
      <c r="I40" s="740">
        <f t="shared" si="10"/>
        <v>0</v>
      </c>
      <c r="J40" s="740">
        <f t="shared" si="10"/>
        <v>0</v>
      </c>
      <c r="K40" s="740">
        <f t="shared" si="10"/>
        <v>0</v>
      </c>
      <c r="L40" s="243"/>
      <c r="P40" s="243"/>
      <c r="Q40" s="739" t="str">
        <f t="shared" si="8"/>
        <v/>
      </c>
      <c r="R40" s="740">
        <f t="shared" ref="R40:V49" si="11">SUMIFS($AA$114:$AA$442,$Y$114:$Y$442,R$29,$X$114:$X$442,$Q40)+SUMIFS($AA$509:$AA$837,$Y$509:$Y$837,R$29,$X$509:$X$837,$E40)</f>
        <v>0</v>
      </c>
      <c r="S40" s="740">
        <f t="shared" si="11"/>
        <v>0</v>
      </c>
      <c r="T40" s="740">
        <f t="shared" si="11"/>
        <v>0</v>
      </c>
      <c r="U40" s="740">
        <f t="shared" si="11"/>
        <v>0</v>
      </c>
      <c r="V40" s="740">
        <f t="shared" si="11"/>
        <v>0</v>
      </c>
      <c r="X40" s="669"/>
      <c r="Y40" s="669"/>
      <c r="Z40" s="490"/>
      <c r="AA40" s="490"/>
      <c r="AB40" s="490"/>
      <c r="AC40" s="490"/>
      <c r="AD40" s="490"/>
      <c r="AE40" s="490"/>
      <c r="AF40" s="490"/>
      <c r="AG40" s="490"/>
      <c r="AH40" s="416"/>
      <c r="AI40" s="416"/>
      <c r="AJ40" s="416"/>
      <c r="AK40" s="416"/>
      <c r="AL40" s="416"/>
      <c r="AM40" s="416"/>
      <c r="AN40" s="416"/>
      <c r="AO40" s="416"/>
      <c r="AP40" s="416"/>
      <c r="AQ40" s="416"/>
      <c r="AR40" s="416"/>
      <c r="AS40" s="416"/>
      <c r="AT40" s="416"/>
      <c r="AU40" s="416"/>
      <c r="AV40" s="416"/>
      <c r="AW40" s="416"/>
      <c r="AX40" s="416"/>
      <c r="AY40" s="416"/>
      <c r="AZ40" s="416"/>
      <c r="BA40" s="416"/>
      <c r="BB40" s="416"/>
    </row>
    <row r="41" spans="1:54" s="493" customFormat="1" hidden="1" x14ac:dyDescent="0.2">
      <c r="A41" s="243"/>
      <c r="B41" s="243"/>
      <c r="C41" s="243"/>
      <c r="D41" s="243"/>
      <c r="E41" s="739" t="str">
        <f>References!AU18</f>
        <v/>
      </c>
      <c r="F41" s="740">
        <f t="shared" si="10"/>
        <v>0</v>
      </c>
      <c r="G41" s="740">
        <f t="shared" si="10"/>
        <v>0</v>
      </c>
      <c r="H41" s="740">
        <f t="shared" si="10"/>
        <v>0</v>
      </c>
      <c r="I41" s="740">
        <f t="shared" si="10"/>
        <v>0</v>
      </c>
      <c r="J41" s="740">
        <f t="shared" si="10"/>
        <v>0</v>
      </c>
      <c r="K41" s="740">
        <f t="shared" si="10"/>
        <v>0</v>
      </c>
      <c r="L41" s="243"/>
      <c r="P41" s="243"/>
      <c r="Q41" s="739" t="str">
        <f t="shared" si="8"/>
        <v/>
      </c>
      <c r="R41" s="740">
        <f t="shared" si="11"/>
        <v>0</v>
      </c>
      <c r="S41" s="740">
        <f t="shared" si="11"/>
        <v>0</v>
      </c>
      <c r="T41" s="740">
        <f t="shared" si="11"/>
        <v>0</v>
      </c>
      <c r="U41" s="740">
        <f t="shared" si="11"/>
        <v>0</v>
      </c>
      <c r="V41" s="740">
        <f t="shared" si="11"/>
        <v>0</v>
      </c>
      <c r="X41" s="669"/>
      <c r="Y41" s="669"/>
      <c r="Z41" s="490"/>
      <c r="AA41" s="490"/>
      <c r="AB41" s="490"/>
      <c r="AC41" s="490"/>
      <c r="AD41" s="490"/>
      <c r="AE41" s="490"/>
      <c r="AF41" s="490"/>
      <c r="AG41" s="490"/>
      <c r="AH41" s="416"/>
      <c r="AI41" s="416"/>
      <c r="AJ41" s="416"/>
      <c r="AK41" s="416"/>
      <c r="AL41" s="416"/>
      <c r="AM41" s="416"/>
      <c r="AN41" s="416"/>
      <c r="AO41" s="416"/>
      <c r="AP41" s="416"/>
      <c r="AQ41" s="416"/>
      <c r="AR41" s="416"/>
      <c r="AS41" s="416"/>
      <c r="AT41" s="416"/>
      <c r="AU41" s="416"/>
      <c r="AV41" s="416"/>
      <c r="AW41" s="416"/>
      <c r="AX41" s="416"/>
      <c r="AY41" s="416"/>
      <c r="AZ41" s="416"/>
      <c r="BA41" s="416"/>
      <c r="BB41" s="416"/>
    </row>
    <row r="42" spans="1:54" s="493" customFormat="1" hidden="1" x14ac:dyDescent="0.2">
      <c r="A42" s="243"/>
      <c r="B42" s="243"/>
      <c r="C42" s="243"/>
      <c r="D42" s="243"/>
      <c r="E42" s="739" t="str">
        <f>References!AU19</f>
        <v/>
      </c>
      <c r="F42" s="740">
        <f t="shared" si="10"/>
        <v>0</v>
      </c>
      <c r="G42" s="740">
        <f t="shared" si="10"/>
        <v>0</v>
      </c>
      <c r="H42" s="740">
        <f t="shared" si="10"/>
        <v>0</v>
      </c>
      <c r="I42" s="740">
        <f t="shared" si="10"/>
        <v>0</v>
      </c>
      <c r="J42" s="740">
        <f t="shared" si="10"/>
        <v>0</v>
      </c>
      <c r="K42" s="740">
        <f t="shared" si="10"/>
        <v>0</v>
      </c>
      <c r="L42" s="243"/>
      <c r="P42" s="243"/>
      <c r="Q42" s="739" t="str">
        <f t="shared" si="8"/>
        <v/>
      </c>
      <c r="R42" s="740">
        <f t="shared" si="11"/>
        <v>0</v>
      </c>
      <c r="S42" s="740">
        <f t="shared" si="11"/>
        <v>0</v>
      </c>
      <c r="T42" s="740">
        <f t="shared" si="11"/>
        <v>0</v>
      </c>
      <c r="U42" s="740">
        <f t="shared" si="11"/>
        <v>0</v>
      </c>
      <c r="V42" s="740">
        <f t="shared" si="11"/>
        <v>0</v>
      </c>
      <c r="X42" s="669"/>
      <c r="Y42" s="669"/>
      <c r="Z42" s="490"/>
      <c r="AA42" s="490"/>
      <c r="AB42" s="490"/>
      <c r="AC42" s="490"/>
      <c r="AD42" s="490"/>
      <c r="AE42" s="490"/>
      <c r="AF42" s="490"/>
      <c r="AG42" s="490"/>
      <c r="AH42" s="416"/>
      <c r="AI42" s="416"/>
      <c r="AJ42" s="416"/>
      <c r="AK42" s="416"/>
      <c r="AL42" s="416"/>
      <c r="AM42" s="416"/>
      <c r="AN42" s="416"/>
      <c r="AO42" s="416"/>
      <c r="AP42" s="416"/>
      <c r="AQ42" s="416"/>
      <c r="AR42" s="416"/>
      <c r="AS42" s="416"/>
      <c r="AT42" s="416"/>
      <c r="AU42" s="416"/>
      <c r="AV42" s="416"/>
      <c r="AW42" s="416"/>
      <c r="AX42" s="416"/>
      <c r="AY42" s="416"/>
      <c r="AZ42" s="416"/>
      <c r="BA42" s="416"/>
      <c r="BB42" s="416"/>
    </row>
    <row r="43" spans="1:54" s="493" customFormat="1" hidden="1" x14ac:dyDescent="0.2">
      <c r="A43" s="243"/>
      <c r="B43" s="243"/>
      <c r="C43" s="243"/>
      <c r="D43" s="243"/>
      <c r="E43" s="739" t="str">
        <f>References!AU20</f>
        <v/>
      </c>
      <c r="F43" s="740">
        <f t="shared" si="10"/>
        <v>0</v>
      </c>
      <c r="G43" s="740">
        <f t="shared" si="10"/>
        <v>0</v>
      </c>
      <c r="H43" s="740">
        <f t="shared" si="10"/>
        <v>0</v>
      </c>
      <c r="I43" s="740">
        <f t="shared" si="10"/>
        <v>0</v>
      </c>
      <c r="J43" s="740">
        <f t="shared" si="10"/>
        <v>0</v>
      </c>
      <c r="K43" s="740">
        <f t="shared" si="10"/>
        <v>0</v>
      </c>
      <c r="L43" s="243"/>
      <c r="P43" s="243"/>
      <c r="Q43" s="739" t="str">
        <f t="shared" si="8"/>
        <v/>
      </c>
      <c r="R43" s="740">
        <f t="shared" si="11"/>
        <v>0</v>
      </c>
      <c r="S43" s="740">
        <f t="shared" si="11"/>
        <v>0</v>
      </c>
      <c r="T43" s="740">
        <f t="shared" si="11"/>
        <v>0</v>
      </c>
      <c r="U43" s="740">
        <f t="shared" si="11"/>
        <v>0</v>
      </c>
      <c r="V43" s="740">
        <f t="shared" si="11"/>
        <v>0</v>
      </c>
      <c r="X43" s="669"/>
      <c r="Y43" s="669"/>
      <c r="Z43" s="490"/>
      <c r="AA43" s="490"/>
      <c r="AB43" s="490"/>
      <c r="AC43" s="490"/>
      <c r="AD43" s="490"/>
      <c r="AE43" s="490"/>
      <c r="AF43" s="490"/>
      <c r="AG43" s="490"/>
      <c r="AH43" s="416"/>
      <c r="AI43" s="416"/>
      <c r="AJ43" s="416"/>
      <c r="AK43" s="416"/>
      <c r="AL43" s="416"/>
      <c r="AM43" s="416"/>
      <c r="AN43" s="416"/>
      <c r="AO43" s="416"/>
      <c r="AP43" s="416"/>
      <c r="AQ43" s="416"/>
      <c r="AR43" s="416"/>
      <c r="AS43" s="416"/>
      <c r="AT43" s="416"/>
      <c r="AU43" s="416"/>
      <c r="AV43" s="416"/>
      <c r="AW43" s="416"/>
      <c r="AX43" s="416"/>
      <c r="AY43" s="416"/>
      <c r="AZ43" s="416"/>
      <c r="BA43" s="416"/>
      <c r="BB43" s="416"/>
    </row>
    <row r="44" spans="1:54" s="493" customFormat="1" hidden="1" x14ac:dyDescent="0.2">
      <c r="A44" s="243"/>
      <c r="B44" s="243"/>
      <c r="C44" s="243"/>
      <c r="D44" s="243"/>
      <c r="E44" s="739" t="str">
        <f>References!AU21</f>
        <v/>
      </c>
      <c r="F44" s="740">
        <f t="shared" si="10"/>
        <v>0</v>
      </c>
      <c r="G44" s="740">
        <f t="shared" si="10"/>
        <v>0</v>
      </c>
      <c r="H44" s="740">
        <f t="shared" si="10"/>
        <v>0</v>
      </c>
      <c r="I44" s="740">
        <f t="shared" si="10"/>
        <v>0</v>
      </c>
      <c r="J44" s="740">
        <f t="shared" si="10"/>
        <v>0</v>
      </c>
      <c r="K44" s="740">
        <f t="shared" si="10"/>
        <v>0</v>
      </c>
      <c r="L44" s="243"/>
      <c r="P44" s="243"/>
      <c r="Q44" s="739" t="str">
        <f t="shared" si="8"/>
        <v/>
      </c>
      <c r="R44" s="740">
        <f t="shared" si="11"/>
        <v>0</v>
      </c>
      <c r="S44" s="740">
        <f t="shared" si="11"/>
        <v>0</v>
      </c>
      <c r="T44" s="740">
        <f t="shared" si="11"/>
        <v>0</v>
      </c>
      <c r="U44" s="740">
        <f t="shared" si="11"/>
        <v>0</v>
      </c>
      <c r="V44" s="740">
        <f t="shared" si="11"/>
        <v>0</v>
      </c>
      <c r="X44" s="669"/>
      <c r="Y44" s="669"/>
      <c r="Z44" s="490"/>
      <c r="AA44" s="490"/>
      <c r="AB44" s="490"/>
      <c r="AC44" s="490"/>
      <c r="AD44" s="490"/>
      <c r="AE44" s="490"/>
      <c r="AF44" s="490"/>
      <c r="AG44" s="490"/>
      <c r="AH44" s="416"/>
      <c r="AI44" s="416"/>
      <c r="AJ44" s="416"/>
      <c r="AK44" s="416"/>
      <c r="AL44" s="416"/>
      <c r="AM44" s="416"/>
      <c r="AN44" s="416"/>
      <c r="AO44" s="416"/>
      <c r="AP44" s="416"/>
      <c r="AQ44" s="416"/>
      <c r="AR44" s="416"/>
      <c r="AS44" s="416"/>
      <c r="AT44" s="416"/>
      <c r="AU44" s="416"/>
      <c r="AV44" s="416"/>
      <c r="AW44" s="416"/>
      <c r="AX44" s="416"/>
      <c r="AY44" s="416"/>
      <c r="AZ44" s="416"/>
      <c r="BA44" s="416"/>
      <c r="BB44" s="416"/>
    </row>
    <row r="45" spans="1:54" s="493" customFormat="1" hidden="1" x14ac:dyDescent="0.2">
      <c r="A45" s="243"/>
      <c r="B45" s="243"/>
      <c r="C45" s="243"/>
      <c r="D45" s="243"/>
      <c r="E45" s="739" t="str">
        <f>References!AU22</f>
        <v/>
      </c>
      <c r="F45" s="740">
        <f t="shared" si="10"/>
        <v>0</v>
      </c>
      <c r="G45" s="740">
        <f t="shared" si="10"/>
        <v>0</v>
      </c>
      <c r="H45" s="740">
        <f t="shared" si="10"/>
        <v>0</v>
      </c>
      <c r="I45" s="740">
        <f t="shared" si="10"/>
        <v>0</v>
      </c>
      <c r="J45" s="740">
        <f t="shared" si="10"/>
        <v>0</v>
      </c>
      <c r="K45" s="740">
        <f t="shared" si="10"/>
        <v>0</v>
      </c>
      <c r="L45" s="243"/>
      <c r="P45" s="243"/>
      <c r="Q45" s="739" t="str">
        <f t="shared" si="8"/>
        <v/>
      </c>
      <c r="R45" s="740">
        <f t="shared" si="11"/>
        <v>0</v>
      </c>
      <c r="S45" s="740">
        <f t="shared" si="11"/>
        <v>0</v>
      </c>
      <c r="T45" s="740">
        <f t="shared" si="11"/>
        <v>0</v>
      </c>
      <c r="U45" s="740">
        <f t="shared" si="11"/>
        <v>0</v>
      </c>
      <c r="V45" s="740">
        <f t="shared" si="11"/>
        <v>0</v>
      </c>
      <c r="X45" s="669"/>
      <c r="Y45" s="669"/>
      <c r="Z45" s="490"/>
      <c r="AA45" s="490"/>
      <c r="AB45" s="490"/>
      <c r="AC45" s="490"/>
      <c r="AD45" s="490"/>
      <c r="AE45" s="490"/>
      <c r="AF45" s="490"/>
      <c r="AG45" s="490"/>
      <c r="AH45" s="416"/>
      <c r="AI45" s="416"/>
      <c r="AJ45" s="416"/>
      <c r="AK45" s="416"/>
      <c r="AL45" s="416"/>
      <c r="AM45" s="416"/>
      <c r="AN45" s="416"/>
      <c r="AO45" s="416"/>
      <c r="AP45" s="416"/>
      <c r="AQ45" s="416"/>
      <c r="AR45" s="416"/>
      <c r="AS45" s="416"/>
      <c r="AT45" s="416"/>
      <c r="AU45" s="416"/>
      <c r="AV45" s="416"/>
      <c r="AW45" s="416"/>
      <c r="AX45" s="416"/>
      <c r="AY45" s="416"/>
      <c r="AZ45" s="416"/>
      <c r="BA45" s="416"/>
      <c r="BB45" s="416"/>
    </row>
    <row r="46" spans="1:54" s="493" customFormat="1" hidden="1" x14ac:dyDescent="0.2">
      <c r="A46" s="243"/>
      <c r="B46" s="243"/>
      <c r="C46" s="243"/>
      <c r="D46" s="243"/>
      <c r="E46" s="739" t="str">
        <f>References!AU23</f>
        <v/>
      </c>
      <c r="F46" s="740">
        <f t="shared" si="10"/>
        <v>0</v>
      </c>
      <c r="G46" s="740">
        <f t="shared" si="10"/>
        <v>0</v>
      </c>
      <c r="H46" s="740">
        <f t="shared" si="10"/>
        <v>0</v>
      </c>
      <c r="I46" s="740">
        <f t="shared" si="10"/>
        <v>0</v>
      </c>
      <c r="J46" s="740">
        <f t="shared" si="10"/>
        <v>0</v>
      </c>
      <c r="K46" s="740">
        <f t="shared" si="10"/>
        <v>0</v>
      </c>
      <c r="L46" s="243"/>
      <c r="P46" s="243"/>
      <c r="Q46" s="739" t="str">
        <f t="shared" si="8"/>
        <v/>
      </c>
      <c r="R46" s="740">
        <f t="shared" si="11"/>
        <v>0</v>
      </c>
      <c r="S46" s="740">
        <f t="shared" si="11"/>
        <v>0</v>
      </c>
      <c r="T46" s="740">
        <f t="shared" si="11"/>
        <v>0</v>
      </c>
      <c r="U46" s="740">
        <f t="shared" si="11"/>
        <v>0</v>
      </c>
      <c r="V46" s="740">
        <f t="shared" si="11"/>
        <v>0</v>
      </c>
      <c r="X46" s="669"/>
      <c r="Y46" s="669"/>
      <c r="Z46" s="490"/>
      <c r="AA46" s="490"/>
      <c r="AB46" s="490"/>
      <c r="AC46" s="490"/>
      <c r="AD46" s="490"/>
      <c r="AE46" s="490"/>
      <c r="AF46" s="490"/>
      <c r="AG46" s="490"/>
      <c r="AH46" s="416"/>
      <c r="AI46" s="416"/>
      <c r="AJ46" s="416"/>
      <c r="AK46" s="416"/>
      <c r="AL46" s="416"/>
      <c r="AM46" s="416"/>
      <c r="AN46" s="416"/>
      <c r="AO46" s="416"/>
      <c r="AP46" s="416"/>
      <c r="AQ46" s="416"/>
      <c r="AR46" s="416"/>
      <c r="AS46" s="416"/>
      <c r="AT46" s="416"/>
      <c r="AU46" s="416"/>
      <c r="AV46" s="416"/>
      <c r="AW46" s="416"/>
      <c r="AX46" s="416"/>
      <c r="AY46" s="416"/>
      <c r="AZ46" s="416"/>
      <c r="BA46" s="416"/>
      <c r="BB46" s="416"/>
    </row>
    <row r="47" spans="1:54" s="493" customFormat="1" hidden="1" x14ac:dyDescent="0.2">
      <c r="A47" s="243"/>
      <c r="B47" s="243"/>
      <c r="C47" s="243"/>
      <c r="D47" s="243"/>
      <c r="E47" s="739" t="str">
        <f>References!AU24</f>
        <v/>
      </c>
      <c r="F47" s="740">
        <f t="shared" si="10"/>
        <v>0</v>
      </c>
      <c r="G47" s="740">
        <f t="shared" si="10"/>
        <v>0</v>
      </c>
      <c r="H47" s="740">
        <f t="shared" si="10"/>
        <v>0</v>
      </c>
      <c r="I47" s="740">
        <f t="shared" si="10"/>
        <v>0</v>
      </c>
      <c r="J47" s="740">
        <f t="shared" si="10"/>
        <v>0</v>
      </c>
      <c r="K47" s="740">
        <f t="shared" si="10"/>
        <v>0</v>
      </c>
      <c r="L47" s="243"/>
      <c r="P47" s="243"/>
      <c r="Q47" s="739" t="str">
        <f t="shared" si="8"/>
        <v/>
      </c>
      <c r="R47" s="740">
        <f t="shared" si="11"/>
        <v>0</v>
      </c>
      <c r="S47" s="740">
        <f t="shared" si="11"/>
        <v>0</v>
      </c>
      <c r="T47" s="740">
        <f t="shared" si="11"/>
        <v>0</v>
      </c>
      <c r="U47" s="740">
        <f t="shared" si="11"/>
        <v>0</v>
      </c>
      <c r="V47" s="740">
        <f t="shared" si="11"/>
        <v>0</v>
      </c>
      <c r="X47" s="669"/>
      <c r="Y47" s="669"/>
      <c r="Z47" s="490"/>
      <c r="AA47" s="490"/>
      <c r="AB47" s="490"/>
      <c r="AC47" s="490"/>
      <c r="AD47" s="490"/>
      <c r="AE47" s="490"/>
      <c r="AF47" s="490"/>
      <c r="AG47" s="490"/>
      <c r="AH47" s="416"/>
      <c r="AI47" s="416"/>
      <c r="AJ47" s="416"/>
      <c r="AK47" s="416"/>
      <c r="AL47" s="416"/>
      <c r="AM47" s="416"/>
      <c r="AN47" s="416"/>
      <c r="AO47" s="416"/>
      <c r="AP47" s="416"/>
      <c r="AQ47" s="416"/>
      <c r="AR47" s="416"/>
      <c r="AS47" s="416"/>
      <c r="AT47" s="416"/>
      <c r="AU47" s="416"/>
      <c r="AV47" s="416"/>
      <c r="AW47" s="416"/>
      <c r="AX47" s="416"/>
      <c r="AY47" s="416"/>
      <c r="AZ47" s="416"/>
      <c r="BA47" s="416"/>
      <c r="BB47" s="416"/>
    </row>
    <row r="48" spans="1:54" s="493" customFormat="1" hidden="1" x14ac:dyDescent="0.2">
      <c r="A48" s="243"/>
      <c r="B48" s="243"/>
      <c r="C48" s="243"/>
      <c r="D48" s="243"/>
      <c r="E48" s="739" t="str">
        <f>References!AU25</f>
        <v/>
      </c>
      <c r="F48" s="740">
        <f t="shared" si="10"/>
        <v>0</v>
      </c>
      <c r="G48" s="740">
        <f t="shared" si="10"/>
        <v>0</v>
      </c>
      <c r="H48" s="740">
        <f t="shared" si="10"/>
        <v>0</v>
      </c>
      <c r="I48" s="740">
        <f t="shared" si="10"/>
        <v>0</v>
      </c>
      <c r="J48" s="740">
        <f t="shared" si="10"/>
        <v>0</v>
      </c>
      <c r="K48" s="740">
        <f t="shared" si="10"/>
        <v>0</v>
      </c>
      <c r="L48" s="243"/>
      <c r="P48" s="243"/>
      <c r="Q48" s="739" t="str">
        <f t="shared" si="8"/>
        <v/>
      </c>
      <c r="R48" s="740">
        <f t="shared" si="11"/>
        <v>0</v>
      </c>
      <c r="S48" s="740">
        <f t="shared" si="11"/>
        <v>0</v>
      </c>
      <c r="T48" s="740">
        <f t="shared" si="11"/>
        <v>0</v>
      </c>
      <c r="U48" s="740">
        <f t="shared" si="11"/>
        <v>0</v>
      </c>
      <c r="V48" s="740">
        <f t="shared" si="11"/>
        <v>0</v>
      </c>
      <c r="X48" s="669"/>
      <c r="Y48" s="669"/>
      <c r="Z48" s="490"/>
      <c r="AA48" s="490"/>
      <c r="AB48" s="490"/>
      <c r="AC48" s="490"/>
      <c r="AD48" s="490"/>
      <c r="AE48" s="490"/>
      <c r="AF48" s="490"/>
      <c r="AG48" s="490"/>
      <c r="AH48" s="416"/>
      <c r="AI48" s="416"/>
      <c r="AJ48" s="416"/>
      <c r="AK48" s="416"/>
      <c r="AL48" s="416"/>
      <c r="AM48" s="416"/>
      <c r="AN48" s="416"/>
      <c r="AO48" s="416"/>
      <c r="AP48" s="416"/>
      <c r="AQ48" s="416"/>
      <c r="AR48" s="416"/>
      <c r="AS48" s="416"/>
      <c r="AT48" s="416"/>
      <c r="AU48" s="416"/>
      <c r="AV48" s="416"/>
      <c r="AW48" s="416"/>
      <c r="AX48" s="416"/>
      <c r="AY48" s="416"/>
      <c r="AZ48" s="416"/>
      <c r="BA48" s="416"/>
      <c r="BB48" s="416"/>
    </row>
    <row r="49" spans="1:54" s="493" customFormat="1" hidden="1" x14ac:dyDescent="0.2">
      <c r="A49" s="243"/>
      <c r="B49" s="243"/>
      <c r="C49" s="243"/>
      <c r="D49" s="243"/>
      <c r="E49" s="739" t="str">
        <f>References!AU26</f>
        <v/>
      </c>
      <c r="F49" s="740">
        <f t="shared" si="10"/>
        <v>0</v>
      </c>
      <c r="G49" s="740">
        <f t="shared" si="10"/>
        <v>0</v>
      </c>
      <c r="H49" s="740">
        <f t="shared" si="10"/>
        <v>0</v>
      </c>
      <c r="I49" s="740">
        <f t="shared" si="10"/>
        <v>0</v>
      </c>
      <c r="J49" s="740">
        <f t="shared" si="10"/>
        <v>0</v>
      </c>
      <c r="K49" s="740">
        <f t="shared" si="10"/>
        <v>0</v>
      </c>
      <c r="L49" s="243"/>
      <c r="P49" s="243"/>
      <c r="Q49" s="739" t="str">
        <f t="shared" si="8"/>
        <v/>
      </c>
      <c r="R49" s="740">
        <f t="shared" si="11"/>
        <v>0</v>
      </c>
      <c r="S49" s="740">
        <f t="shared" si="11"/>
        <v>0</v>
      </c>
      <c r="T49" s="740">
        <f t="shared" si="11"/>
        <v>0</v>
      </c>
      <c r="U49" s="740">
        <f t="shared" si="11"/>
        <v>0</v>
      </c>
      <c r="V49" s="740">
        <f t="shared" si="11"/>
        <v>0</v>
      </c>
      <c r="X49" s="669"/>
      <c r="Y49" s="669"/>
      <c r="Z49" s="490"/>
      <c r="AA49" s="490"/>
      <c r="AB49" s="490"/>
      <c r="AC49" s="490"/>
      <c r="AD49" s="490"/>
      <c r="AE49" s="490"/>
      <c r="AF49" s="490"/>
      <c r="AG49" s="490"/>
      <c r="AH49" s="416"/>
      <c r="AI49" s="416"/>
      <c r="AJ49" s="416"/>
      <c r="AK49" s="416"/>
      <c r="AL49" s="416"/>
      <c r="AM49" s="416"/>
      <c r="AN49" s="416"/>
      <c r="AO49" s="416"/>
      <c r="AP49" s="416"/>
      <c r="AQ49" s="416"/>
      <c r="AR49" s="416"/>
      <c r="AS49" s="416"/>
      <c r="AT49" s="416"/>
      <c r="AU49" s="416"/>
      <c r="AV49" s="416"/>
      <c r="AW49" s="416"/>
      <c r="AX49" s="416"/>
      <c r="AY49" s="416"/>
      <c r="AZ49" s="416"/>
      <c r="BA49" s="416"/>
      <c r="BB49" s="416"/>
    </row>
    <row r="50" spans="1:54" s="493" customFormat="1" hidden="1" x14ac:dyDescent="0.2">
      <c r="A50" s="243"/>
      <c r="B50" s="243"/>
      <c r="C50" s="243"/>
      <c r="D50" s="243"/>
      <c r="E50" s="243"/>
      <c r="F50" s="243"/>
      <c r="G50" s="243"/>
      <c r="H50" s="243"/>
      <c r="I50" s="243"/>
      <c r="J50" s="243"/>
      <c r="K50" s="243"/>
      <c r="L50" s="243"/>
      <c r="M50" s="243"/>
      <c r="N50" s="243"/>
      <c r="O50" s="243"/>
      <c r="P50" s="243"/>
      <c r="Q50" s="666"/>
      <c r="R50" s="666"/>
      <c r="S50" s="666"/>
      <c r="T50" s="666"/>
      <c r="U50" s="666"/>
      <c r="V50" s="666"/>
      <c r="X50" s="669"/>
      <c r="Y50" s="669"/>
      <c r="Z50" s="490"/>
      <c r="AA50" s="490"/>
      <c r="AB50" s="490"/>
      <c r="AC50" s="490"/>
      <c r="AD50" s="490"/>
      <c r="AE50" s="490"/>
      <c r="AF50" s="490"/>
      <c r="AG50" s="490"/>
      <c r="AH50"/>
      <c r="AI50"/>
      <c r="AJ50"/>
      <c r="AK50"/>
      <c r="AL50"/>
      <c r="AM50"/>
      <c r="AN50"/>
      <c r="AO50"/>
      <c r="AP50"/>
      <c r="AQ50"/>
      <c r="AR50"/>
      <c r="AS50"/>
      <c r="AT50"/>
      <c r="AU50"/>
      <c r="AV50"/>
      <c r="AW50"/>
      <c r="AX50"/>
      <c r="AY50"/>
      <c r="AZ50"/>
      <c r="BA50"/>
      <c r="BB50"/>
    </row>
    <row r="51" spans="1:54" s="493" customFormat="1" hidden="1" x14ac:dyDescent="0.2">
      <c r="A51" s="243"/>
      <c r="B51" s="243"/>
      <c r="C51" s="243"/>
      <c r="D51" s="742" t="s">
        <v>73</v>
      </c>
      <c r="E51" s="243"/>
      <c r="F51" s="738">
        <f>FirstYear</f>
        <v>2021</v>
      </c>
      <c r="G51" s="738">
        <f>F51+1</f>
        <v>2022</v>
      </c>
      <c r="H51" s="738">
        <f>G51+1</f>
        <v>2023</v>
      </c>
      <c r="I51" s="738">
        <f>H51+1</f>
        <v>2024</v>
      </c>
      <c r="J51" s="738">
        <f>I51+1</f>
        <v>2025</v>
      </c>
      <c r="K51" s="738">
        <f>J51+1</f>
        <v>2026</v>
      </c>
      <c r="L51" s="243"/>
      <c r="M51" s="243"/>
      <c r="N51" s="243"/>
      <c r="O51" s="243"/>
      <c r="P51" s="243"/>
      <c r="Q51" s="666"/>
      <c r="R51" s="666"/>
      <c r="S51" s="666"/>
      <c r="T51" s="666"/>
      <c r="U51" s="666"/>
      <c r="V51" s="666"/>
      <c r="X51" s="669"/>
      <c r="Y51" s="669"/>
      <c r="Z51" s="490"/>
      <c r="AA51" s="490"/>
      <c r="AB51" s="490"/>
      <c r="AC51" s="490"/>
      <c r="AD51" s="490"/>
      <c r="AE51" s="490"/>
      <c r="AF51" s="490"/>
      <c r="AG51" s="490"/>
      <c r="AH51" s="416"/>
      <c r="AI51" s="416"/>
      <c r="AJ51" s="416"/>
      <c r="AK51" s="416"/>
      <c r="AL51" s="416"/>
      <c r="AM51" s="416"/>
      <c r="AN51" s="416"/>
      <c r="AO51" s="416"/>
      <c r="AP51" s="416"/>
      <c r="AQ51" s="416"/>
      <c r="AR51" s="416"/>
      <c r="AS51" s="416"/>
      <c r="AT51" s="416"/>
      <c r="AU51" s="416"/>
      <c r="AV51" s="416"/>
      <c r="AW51" s="416"/>
      <c r="AX51" s="416"/>
      <c r="AY51" s="416"/>
      <c r="AZ51" s="416"/>
      <c r="BA51" s="416"/>
      <c r="BB51" s="416"/>
    </row>
    <row r="52" spans="1:54" s="493" customFormat="1" hidden="1" x14ac:dyDescent="0.2">
      <c r="A52" s="243"/>
      <c r="B52" s="243"/>
      <c r="C52" s="243"/>
      <c r="D52" s="243"/>
      <c r="E52" s="741" t="s">
        <v>343</v>
      </c>
      <c r="F52" s="740">
        <f t="shared" ref="F52:K52" si="12">SUMIF($Y$114:$Y$442,F51,$Z$114:$Z$442)</f>
        <v>0</v>
      </c>
      <c r="G52" s="740">
        <f t="shared" si="12"/>
        <v>0</v>
      </c>
      <c r="H52" s="740">
        <f t="shared" si="12"/>
        <v>0</v>
      </c>
      <c r="I52" s="740">
        <f t="shared" si="12"/>
        <v>0</v>
      </c>
      <c r="J52" s="740">
        <f t="shared" si="12"/>
        <v>0</v>
      </c>
      <c r="K52" s="740">
        <f t="shared" si="12"/>
        <v>0</v>
      </c>
      <c r="L52" s="243"/>
      <c r="M52" s="243"/>
      <c r="N52" s="243"/>
      <c r="O52" s="243"/>
      <c r="P52" s="243"/>
      <c r="Q52" s="666"/>
      <c r="R52" s="666"/>
      <c r="S52" s="666"/>
      <c r="T52" s="666"/>
      <c r="U52" s="666"/>
      <c r="V52" s="666"/>
      <c r="X52" s="669"/>
      <c r="Y52" s="669"/>
      <c r="Z52" s="490"/>
      <c r="AA52" s="490"/>
      <c r="AB52" s="490"/>
      <c r="AC52" s="490"/>
      <c r="AD52" s="490"/>
      <c r="AE52" s="490"/>
      <c r="AF52" s="490"/>
      <c r="AG52" s="490"/>
      <c r="AH52" s="416"/>
      <c r="AI52" s="416"/>
      <c r="AJ52" s="416"/>
      <c r="AK52" s="416"/>
      <c r="AL52" s="416"/>
      <c r="AM52" s="416"/>
      <c r="AN52" s="416"/>
      <c r="AO52" s="416"/>
      <c r="AP52" s="416"/>
      <c r="AQ52" s="416"/>
      <c r="AR52" s="416"/>
      <c r="AS52" s="416"/>
      <c r="AT52" s="416"/>
      <c r="AU52" s="416"/>
      <c r="AV52" s="416"/>
      <c r="AW52" s="416"/>
      <c r="AX52" s="416"/>
      <c r="AY52" s="416"/>
      <c r="AZ52" s="416"/>
      <c r="BA52" s="416"/>
      <c r="BB52" s="416"/>
    </row>
    <row r="53" spans="1:54" s="493" customFormat="1" hidden="1" x14ac:dyDescent="0.2">
      <c r="A53" s="243"/>
      <c r="B53" s="243"/>
      <c r="C53" s="243"/>
      <c r="D53" s="243"/>
      <c r="E53" s="741" t="s">
        <v>344</v>
      </c>
      <c r="F53" s="740">
        <f t="shared" ref="F53:K53" si="13">SUMIF($Y$509:$Y$837,F51,$Z$509:$Z$837)</f>
        <v>0</v>
      </c>
      <c r="G53" s="740">
        <f t="shared" si="13"/>
        <v>0</v>
      </c>
      <c r="H53" s="740">
        <f t="shared" si="13"/>
        <v>0</v>
      </c>
      <c r="I53" s="740">
        <f t="shared" si="13"/>
        <v>0</v>
      </c>
      <c r="J53" s="740">
        <f t="shared" si="13"/>
        <v>0</v>
      </c>
      <c r="K53" s="740">
        <f t="shared" si="13"/>
        <v>0</v>
      </c>
      <c r="L53" s="243"/>
      <c r="M53" s="243"/>
      <c r="N53" s="243"/>
      <c r="O53" s="243"/>
      <c r="P53" s="243"/>
      <c r="Q53" s="666"/>
      <c r="R53" s="666"/>
      <c r="S53" s="666"/>
      <c r="T53" s="666"/>
      <c r="U53" s="666"/>
      <c r="V53" s="666"/>
      <c r="X53" s="669"/>
      <c r="Y53" s="669"/>
      <c r="Z53" s="490"/>
      <c r="AA53" s="490"/>
      <c r="AB53" s="490"/>
      <c r="AC53" s="490"/>
      <c r="AD53" s="490"/>
      <c r="AE53" s="490"/>
      <c r="AF53" s="490"/>
      <c r="AG53" s="490"/>
      <c r="AH53" s="416"/>
      <c r="AI53" s="416"/>
      <c r="AJ53" s="416"/>
      <c r="AK53" s="416"/>
      <c r="AL53" s="416"/>
      <c r="AM53" s="416"/>
      <c r="AN53" s="416"/>
      <c r="AO53" s="416"/>
      <c r="AP53" s="416"/>
      <c r="AQ53" s="416"/>
      <c r="AR53" s="416"/>
      <c r="AS53" s="416"/>
      <c r="AT53" s="416"/>
      <c r="AU53" s="416"/>
      <c r="AV53" s="416"/>
      <c r="AW53" s="416"/>
      <c r="AX53" s="416"/>
      <c r="AY53" s="416"/>
      <c r="AZ53" s="416"/>
      <c r="BA53" s="416"/>
      <c r="BB53" s="416"/>
    </row>
    <row r="54" spans="1:54" s="493" customFormat="1" hidden="1" x14ac:dyDescent="0.2">
      <c r="A54" s="243"/>
      <c r="B54" s="243"/>
      <c r="C54" s="243"/>
      <c r="D54" s="243"/>
      <c r="E54" s="741" t="s">
        <v>345</v>
      </c>
      <c r="F54" s="740">
        <f t="shared" ref="F54:K54" si="14">F53+F52</f>
        <v>0</v>
      </c>
      <c r="G54" s="740">
        <f t="shared" si="14"/>
        <v>0</v>
      </c>
      <c r="H54" s="740">
        <f t="shared" si="14"/>
        <v>0</v>
      </c>
      <c r="I54" s="740">
        <f t="shared" si="14"/>
        <v>0</v>
      </c>
      <c r="J54" s="740">
        <f t="shared" si="14"/>
        <v>0</v>
      </c>
      <c r="K54" s="740">
        <f t="shared" si="14"/>
        <v>0</v>
      </c>
      <c r="L54" s="243"/>
      <c r="M54" s="243"/>
      <c r="N54" s="243"/>
      <c r="O54" s="243"/>
      <c r="P54" s="243"/>
      <c r="Q54" s="666"/>
      <c r="R54" s="666"/>
      <c r="S54" s="666"/>
      <c r="T54" s="666"/>
      <c r="U54" s="666"/>
      <c r="V54" s="666"/>
      <c r="X54" s="669"/>
      <c r="Y54" s="669"/>
      <c r="Z54" s="490"/>
      <c r="AA54" s="490"/>
      <c r="AB54" s="490"/>
      <c r="AC54" s="490"/>
      <c r="AD54" s="490"/>
      <c r="AE54" s="490"/>
      <c r="AF54" s="490"/>
      <c r="AG54" s="490"/>
      <c r="AH54" s="416"/>
      <c r="AI54" s="416"/>
      <c r="AJ54" s="416"/>
      <c r="AK54" s="416"/>
      <c r="AL54" s="416"/>
      <c r="AM54" s="416"/>
      <c r="AN54" s="416"/>
      <c r="AO54" s="416"/>
      <c r="AP54" s="416"/>
      <c r="AQ54" s="416"/>
      <c r="AR54" s="416"/>
      <c r="AS54" s="416"/>
      <c r="AT54" s="416"/>
      <c r="AU54" s="416"/>
      <c r="AV54" s="416"/>
      <c r="AW54" s="416"/>
      <c r="AX54" s="416"/>
      <c r="AY54" s="416"/>
      <c r="AZ54" s="416"/>
      <c r="BA54" s="416"/>
      <c r="BB54" s="416"/>
    </row>
    <row r="55" spans="1:54" s="493" customFormat="1" hidden="1" x14ac:dyDescent="0.2">
      <c r="A55" s="243"/>
      <c r="B55" s="243"/>
      <c r="C55" s="243"/>
      <c r="D55" s="243"/>
      <c r="E55" s="243"/>
      <c r="F55" s="243"/>
      <c r="G55" s="243"/>
      <c r="H55" s="243"/>
      <c r="I55" s="243"/>
      <c r="J55" s="243"/>
      <c r="K55" s="243"/>
      <c r="L55" s="243"/>
      <c r="M55" s="243"/>
      <c r="N55" s="243"/>
      <c r="O55" s="243"/>
      <c r="P55" s="243"/>
      <c r="Q55" s="666"/>
      <c r="R55" s="666"/>
      <c r="S55" s="666"/>
      <c r="T55" s="666"/>
      <c r="U55" s="666"/>
      <c r="V55" s="666"/>
      <c r="X55" s="669"/>
      <c r="Y55" s="669"/>
      <c r="Z55" s="490"/>
      <c r="AA55" s="490"/>
      <c r="AB55" s="490"/>
      <c r="AC55" s="490"/>
      <c r="AD55" s="490"/>
      <c r="AE55" s="490"/>
      <c r="AF55" s="490"/>
      <c r="AG55" s="490"/>
      <c r="AH55" s="416"/>
      <c r="AI55" s="416"/>
      <c r="AJ55" s="416"/>
      <c r="AK55" s="416"/>
      <c r="AL55" s="416"/>
      <c r="AM55" s="416"/>
      <c r="AN55" s="416"/>
      <c r="AO55" s="416"/>
      <c r="AP55" s="416"/>
      <c r="AQ55" s="416"/>
      <c r="AR55" s="416"/>
      <c r="AS55" s="416"/>
      <c r="AT55" s="416"/>
      <c r="AU55" s="416"/>
      <c r="AV55" s="416"/>
      <c r="AW55" s="416"/>
      <c r="AX55" s="416"/>
      <c r="AY55" s="416"/>
      <c r="AZ55" s="416"/>
      <c r="BA55" s="416"/>
      <c r="BB55" s="416"/>
    </row>
    <row r="56" spans="1:54" s="493" customFormat="1" hidden="1" x14ac:dyDescent="0.2">
      <c r="A56" s="243"/>
      <c r="B56" s="243"/>
      <c r="C56" s="243"/>
      <c r="D56" s="243"/>
      <c r="E56" s="243"/>
      <c r="F56" s="243"/>
      <c r="G56" s="243"/>
      <c r="H56" s="243"/>
      <c r="I56" s="243"/>
      <c r="J56" s="243"/>
      <c r="K56" s="243"/>
      <c r="L56" s="243"/>
      <c r="M56" s="243"/>
      <c r="N56" s="243"/>
      <c r="O56" s="243"/>
      <c r="P56" s="243"/>
      <c r="Q56" s="666"/>
      <c r="R56" s="666"/>
      <c r="S56" s="666"/>
      <c r="T56" s="666"/>
      <c r="U56" s="666"/>
      <c r="V56" s="666"/>
      <c r="X56" s="669"/>
      <c r="Y56" s="669"/>
      <c r="Z56" s="490"/>
      <c r="AA56" s="490"/>
      <c r="AB56" s="490"/>
      <c r="AC56" s="490"/>
      <c r="AD56" s="490"/>
      <c r="AE56" s="490"/>
      <c r="AF56" s="490"/>
      <c r="AG56" s="490"/>
      <c r="AH56" s="416"/>
      <c r="AI56" s="416"/>
      <c r="AJ56" s="416"/>
      <c r="AK56" s="416"/>
      <c r="AL56" s="416"/>
      <c r="AM56" s="416"/>
      <c r="AN56" s="416"/>
      <c r="AO56" s="416"/>
      <c r="AP56" s="416"/>
      <c r="AQ56" s="416"/>
      <c r="AR56" s="416"/>
      <c r="AS56" s="416"/>
      <c r="AT56" s="416"/>
      <c r="AU56" s="416"/>
      <c r="AV56" s="416"/>
      <c r="AW56" s="416"/>
      <c r="AX56" s="416"/>
      <c r="AY56" s="416"/>
      <c r="AZ56" s="416"/>
      <c r="BA56" s="416"/>
      <c r="BB56" s="416"/>
    </row>
    <row r="57" spans="1:54" ht="15.75" x14ac:dyDescent="0.2">
      <c r="A57" s="113"/>
      <c r="B57" s="113"/>
      <c r="C57" s="113"/>
      <c r="D57" s="79" t="s">
        <v>875</v>
      </c>
      <c r="E57" s="79"/>
      <c r="F57" s="115"/>
      <c r="G57" s="115"/>
      <c r="H57" s="115"/>
      <c r="I57" s="115"/>
      <c r="J57" s="115"/>
      <c r="K57" s="115"/>
      <c r="L57" s="115"/>
      <c r="M57" s="115"/>
      <c r="N57" s="115"/>
      <c r="O57" s="115"/>
      <c r="P57" s="115"/>
      <c r="Q57" s="115"/>
      <c r="R57" s="115"/>
      <c r="S57" s="115"/>
      <c r="T57" s="115"/>
      <c r="U57" s="115"/>
      <c r="V57" s="115"/>
      <c r="X57" s="491"/>
      <c r="Y57" s="491"/>
      <c r="Z57" s="491"/>
      <c r="AA57" s="491"/>
      <c r="AB57" s="491"/>
      <c r="AC57" s="491"/>
      <c r="AD57" s="491"/>
      <c r="AE57" s="491"/>
      <c r="AF57" s="491"/>
      <c r="AG57" s="491"/>
      <c r="AH57" s="491"/>
      <c r="AI57" s="491"/>
      <c r="AJ57" s="491"/>
      <c r="AK57" s="491"/>
      <c r="AL57" s="491"/>
      <c r="AM57" s="491"/>
      <c r="AN57" s="491"/>
      <c r="AO57" s="491"/>
      <c r="AP57" s="491"/>
      <c r="AQ57" s="491"/>
      <c r="AR57" s="491"/>
      <c r="AS57" s="491"/>
      <c r="AT57" s="491"/>
      <c r="AU57" s="491"/>
      <c r="AV57" s="491"/>
      <c r="AW57" s="491"/>
      <c r="AX57" s="491"/>
      <c r="AY57" s="491"/>
    </row>
    <row r="58" spans="1:54" ht="15.75" hidden="1" outlineLevel="1" x14ac:dyDescent="0.2">
      <c r="A58" s="113"/>
      <c r="B58" s="113"/>
      <c r="C58" s="113"/>
      <c r="D58" s="670"/>
      <c r="E58" s="670"/>
      <c r="F58" s="671"/>
      <c r="G58" s="113"/>
      <c r="H58" s="113"/>
      <c r="I58" s="113"/>
      <c r="J58" s="113"/>
      <c r="K58" s="113"/>
      <c r="L58" s="113"/>
      <c r="M58" s="113"/>
      <c r="N58" s="113"/>
      <c r="O58" s="113"/>
      <c r="P58" s="113"/>
      <c r="Q58" s="113"/>
      <c r="R58" s="113"/>
      <c r="S58" s="113"/>
      <c r="T58" s="113"/>
      <c r="U58" s="113"/>
      <c r="V58" s="113"/>
      <c r="W58" s="491"/>
      <c r="X58" s="491"/>
      <c r="Y58" s="491"/>
      <c r="Z58" s="491"/>
      <c r="AA58" s="491"/>
      <c r="AB58" s="491"/>
      <c r="AC58" s="491"/>
      <c r="AD58" s="491"/>
      <c r="AE58" s="491"/>
      <c r="AF58" s="491"/>
      <c r="AG58" s="491"/>
      <c r="AH58" s="491"/>
      <c r="AI58" s="491"/>
      <c r="AJ58" s="491"/>
      <c r="AK58" s="491"/>
      <c r="AL58" s="491"/>
      <c r="AM58" s="491"/>
      <c r="AN58" s="491"/>
      <c r="AO58" s="491"/>
      <c r="AP58" s="491"/>
      <c r="AQ58" s="491"/>
      <c r="AR58" s="491"/>
      <c r="AS58" s="491"/>
      <c r="AT58" s="491"/>
      <c r="AU58" s="491"/>
      <c r="AV58" s="491"/>
      <c r="AW58" s="491"/>
      <c r="AX58" s="491"/>
      <c r="AY58" s="491"/>
    </row>
    <row r="59" spans="1:54" hidden="1" outlineLevel="1" x14ac:dyDescent="0.2">
      <c r="A59" s="113"/>
      <c r="B59" s="113"/>
      <c r="C59" s="113"/>
      <c r="D59" s="243" t="s">
        <v>851</v>
      </c>
      <c r="E59" s="243"/>
      <c r="F59" s="671"/>
      <c r="G59" s="113"/>
      <c r="H59" s="113"/>
      <c r="I59" s="113"/>
      <c r="J59" s="113"/>
      <c r="K59" s="113"/>
      <c r="L59" s="113"/>
      <c r="M59" s="113"/>
      <c r="N59" s="113"/>
      <c r="O59" s="113"/>
      <c r="P59" s="113"/>
      <c r="Q59" s="113"/>
      <c r="R59" s="113"/>
      <c r="S59" s="113"/>
      <c r="T59" s="113"/>
      <c r="U59" s="113"/>
      <c r="V59" s="113"/>
      <c r="W59" s="491"/>
      <c r="X59" s="491"/>
      <c r="Y59" s="491"/>
      <c r="Z59" s="491"/>
      <c r="AA59" s="491"/>
      <c r="AB59" s="491"/>
      <c r="AC59" s="491"/>
      <c r="AD59" s="491"/>
      <c r="AE59" s="491"/>
      <c r="AF59" s="491"/>
      <c r="AG59" s="491"/>
      <c r="AH59" s="491"/>
      <c r="AI59" s="491"/>
      <c r="AJ59" s="491"/>
      <c r="AK59" s="491"/>
      <c r="AL59" s="491"/>
      <c r="AM59" s="491"/>
      <c r="AN59" s="491"/>
      <c r="AO59" s="491"/>
      <c r="AP59" s="491"/>
      <c r="AQ59" s="491"/>
      <c r="AR59" s="491"/>
      <c r="AS59" s="491"/>
      <c r="AT59" s="491"/>
      <c r="AU59" s="491"/>
      <c r="AV59" s="491"/>
      <c r="AW59" s="491"/>
      <c r="AX59" s="491"/>
      <c r="AY59" s="491"/>
    </row>
    <row r="60" spans="1:54" hidden="1" outlineLevel="1" x14ac:dyDescent="0.2">
      <c r="A60" s="113"/>
      <c r="B60" s="113"/>
      <c r="C60" s="113"/>
      <c r="D60" s="243" t="s">
        <v>233</v>
      </c>
      <c r="E60" s="243"/>
      <c r="F60" s="671"/>
      <c r="G60" s="113"/>
      <c r="H60" s="113"/>
      <c r="I60" s="113"/>
      <c r="J60" s="113"/>
      <c r="K60" s="113"/>
      <c r="L60" s="113"/>
      <c r="M60" s="113"/>
      <c r="N60" s="113"/>
      <c r="O60" s="113"/>
      <c r="P60" s="113"/>
      <c r="Q60" s="113"/>
      <c r="R60" s="113"/>
      <c r="S60" s="113"/>
      <c r="T60" s="113"/>
      <c r="U60" s="113"/>
      <c r="V60" s="113"/>
      <c r="W60" s="491"/>
      <c r="X60" s="491"/>
      <c r="Y60" s="491"/>
      <c r="Z60" s="491"/>
      <c r="AA60" s="491"/>
      <c r="AB60" s="491"/>
      <c r="AC60" s="491"/>
      <c r="AD60" s="491"/>
      <c r="AE60" s="491"/>
      <c r="AF60" s="491"/>
      <c r="AG60" s="491"/>
      <c r="AH60" s="491"/>
      <c r="AI60" s="242">
        <v>1</v>
      </c>
      <c r="AJ60" s="242">
        <v>2</v>
      </c>
      <c r="AK60" s="242">
        <v>3</v>
      </c>
      <c r="AL60" s="242">
        <v>4</v>
      </c>
      <c r="AM60" s="242">
        <v>5</v>
      </c>
      <c r="AN60" s="242">
        <v>6</v>
      </c>
      <c r="AP60" s="242">
        <v>1</v>
      </c>
      <c r="AQ60" s="242">
        <v>2</v>
      </c>
      <c r="AR60" s="242">
        <v>3</v>
      </c>
      <c r="AS60" s="242">
        <v>4</v>
      </c>
      <c r="AT60" s="242">
        <v>5</v>
      </c>
      <c r="AU60" s="242">
        <v>6</v>
      </c>
      <c r="AV60" s="491"/>
      <c r="AW60" s="491"/>
      <c r="AX60" s="491"/>
      <c r="AY60" s="491"/>
    </row>
    <row r="61" spans="1:54" hidden="1" outlineLevel="1" x14ac:dyDescent="0.2">
      <c r="A61" s="113"/>
      <c r="B61" s="113"/>
      <c r="C61" s="113"/>
      <c r="D61" s="243"/>
      <c r="E61" s="243"/>
      <c r="F61" s="671"/>
      <c r="G61" s="113"/>
      <c r="H61" s="113"/>
      <c r="I61" s="113"/>
      <c r="J61" s="113"/>
      <c r="K61" s="113"/>
      <c r="L61" s="113"/>
      <c r="M61" s="113"/>
      <c r="N61" s="113"/>
      <c r="O61" s="113"/>
      <c r="P61" s="113"/>
      <c r="Q61" s="491"/>
      <c r="R61" s="491"/>
      <c r="S61" s="491"/>
      <c r="T61" s="491"/>
      <c r="U61" s="491"/>
      <c r="V61" s="491"/>
      <c r="W61" s="490"/>
      <c r="X61" s="490"/>
      <c r="Y61" s="490"/>
      <c r="Z61" s="490"/>
      <c r="AA61" s="490"/>
      <c r="AB61" s="491"/>
      <c r="AC61" s="491"/>
      <c r="AD61" s="491"/>
      <c r="AE61" s="491"/>
      <c r="AF61" s="491"/>
      <c r="AG61" s="491"/>
      <c r="AH61" s="491"/>
      <c r="AI61" s="855" t="str">
        <f>AH112</f>
        <v/>
      </c>
      <c r="AJ61" s="855"/>
      <c r="AK61" s="855"/>
      <c r="AL61" s="855"/>
      <c r="AM61" s="855"/>
      <c r="AN61" s="855"/>
      <c r="AP61" s="855" t="str">
        <f>AO112</f>
        <v/>
      </c>
      <c r="AQ61" s="855"/>
      <c r="AR61" s="855"/>
      <c r="AS61" s="855"/>
      <c r="AT61" s="855"/>
      <c r="AU61" s="855"/>
      <c r="AV61" s="491"/>
      <c r="AW61" s="491"/>
      <c r="AX61" s="491"/>
      <c r="AY61" s="491"/>
    </row>
    <row r="62" spans="1:54" ht="38.25" hidden="1" outlineLevel="1" x14ac:dyDescent="0.2">
      <c r="A62" s="113"/>
      <c r="B62" s="113"/>
      <c r="C62" s="113"/>
      <c r="D62" s="67" t="s">
        <v>307</v>
      </c>
      <c r="E62" s="897" t="s">
        <v>810</v>
      </c>
      <c r="F62" s="897"/>
      <c r="G62" s="67" t="s">
        <v>34</v>
      </c>
      <c r="H62" s="67" t="s">
        <v>75</v>
      </c>
      <c r="I62" s="67" t="s">
        <v>431</v>
      </c>
      <c r="J62" s="67" t="s">
        <v>76</v>
      </c>
      <c r="K62" s="67" t="s">
        <v>756</v>
      </c>
      <c r="L62" s="67" t="s">
        <v>1254</v>
      </c>
      <c r="M62" s="67" t="str">
        <f>"Number of services / patient / " &amp; IF(TxDuration=3,"course","year")</f>
        <v>Number of services / patient / year</v>
      </c>
      <c r="N62" s="67" t="s">
        <v>1255</v>
      </c>
      <c r="O62" s="504" t="s">
        <v>234</v>
      </c>
      <c r="P62" s="67" t="s">
        <v>56</v>
      </c>
      <c r="Q62" s="67" t="s">
        <v>364</v>
      </c>
      <c r="R62" s="897" t="s">
        <v>1191</v>
      </c>
      <c r="S62" s="897"/>
      <c r="T62" s="897"/>
      <c r="U62" s="897"/>
      <c r="V62" s="897"/>
      <c r="X62" s="491"/>
      <c r="AB62" s="229" t="s">
        <v>310</v>
      </c>
      <c r="AC62" s="229" t="s">
        <v>308</v>
      </c>
      <c r="AD62" s="229" t="s">
        <v>309</v>
      </c>
      <c r="AE62" s="229" t="s">
        <v>291</v>
      </c>
      <c r="AF62" s="229" t="s">
        <v>949</v>
      </c>
      <c r="AG62" s="492" t="s">
        <v>1192</v>
      </c>
      <c r="AH62" s="491"/>
      <c r="AI62" s="229">
        <f>FirstYear</f>
        <v>2021</v>
      </c>
      <c r="AJ62" s="229">
        <f>AI62+1</f>
        <v>2022</v>
      </c>
      <c r="AK62" s="229">
        <f>AJ62+1</f>
        <v>2023</v>
      </c>
      <c r="AL62" s="229">
        <f>AK62+1</f>
        <v>2024</v>
      </c>
      <c r="AM62" s="229">
        <f>AL62+1</f>
        <v>2025</v>
      </c>
      <c r="AN62" s="229">
        <f>AM62+1</f>
        <v>2026</v>
      </c>
      <c r="AP62" s="229">
        <f>FirstYear</f>
        <v>2021</v>
      </c>
      <c r="AQ62" s="229">
        <f>AP62+1</f>
        <v>2022</v>
      </c>
      <c r="AR62" s="229">
        <f>AQ62+1</f>
        <v>2023</v>
      </c>
      <c r="AS62" s="229">
        <f>AR62+1</f>
        <v>2024</v>
      </c>
      <c r="AT62" s="229">
        <f>AS62+1</f>
        <v>2025</v>
      </c>
      <c r="AU62" s="229">
        <f>AT62+1</f>
        <v>2026</v>
      </c>
      <c r="AV62" s="491"/>
      <c r="AW62" s="491"/>
      <c r="AX62" s="491"/>
      <c r="AY62" s="491"/>
    </row>
    <row r="63" spans="1:54" hidden="1" outlineLevel="1" x14ac:dyDescent="0.2">
      <c r="A63" s="113"/>
      <c r="B63" s="113"/>
      <c r="C63" s="242">
        <v>1</v>
      </c>
      <c r="D63" s="484"/>
      <c r="E63" s="833"/>
      <c r="F63" s="900"/>
      <c r="G63" s="51" t="str">
        <f t="shared" ref="G63:G72" si="15">IFERROR(INDEX(ServiceSplitPublic,K63),"")</f>
        <v/>
      </c>
      <c r="H63" s="51" t="str">
        <f t="shared" ref="H63:H72" si="16">IFERROR(INDEX(ServiceSplitPrivate,K63),"")</f>
        <v/>
      </c>
      <c r="I63" s="152"/>
      <c r="J63" s="51" t="str">
        <f t="shared" ref="J63:J72" si="17">IF(I63&lt;&gt;"",1-I63,"")</f>
        <v/>
      </c>
      <c r="K63" s="360"/>
      <c r="L63" s="360"/>
      <c r="M63" s="499"/>
      <c r="N63" s="499"/>
      <c r="O63" s="500"/>
      <c r="P63" s="501"/>
      <c r="Q63" s="244"/>
      <c r="R63" s="888"/>
      <c r="S63" s="888"/>
      <c r="T63" s="888"/>
      <c r="U63" s="888"/>
      <c r="V63" s="888"/>
      <c r="AB63" s="71" t="str">
        <f t="shared" ref="AB63:AB82" si="18">IF(INDEX(MBSIncItems,C63,1)&lt;&gt;"",INDEX(MBSIncItems,C63,1) &amp; " - " &amp; INDEX(MBSIncItems,C63,2),MsgNotUsed)</f>
        <v>** NOT USED **</v>
      </c>
      <c r="AC63" s="242">
        <v>1</v>
      </c>
      <c r="AD63" s="242">
        <f t="shared" ref="AD63:AD82" si="19">IF(L63="Per patient",1,IF(L63="Per script",2,0))</f>
        <v>0</v>
      </c>
      <c r="AE63" s="470">
        <f t="shared" ref="AE63:AE82" si="20">IFERROR(VLOOKUP(P63,TPShortCode,2,FALSE)-1,0)</f>
        <v>0</v>
      </c>
      <c r="AF63" s="470">
        <f t="shared" ref="AF63:AF82" si="21">CHOOSE(AD63+1,0,M63,N63)</f>
        <v>0</v>
      </c>
      <c r="AG63" s="611">
        <f t="shared" ref="AG63:AG82" ca="1" si="22">IFERROR(MATCH(R63,DTGPops,0),0)</f>
        <v>0</v>
      </c>
      <c r="AH63" s="491"/>
      <c r="AI63" s="514">
        <f t="shared" ref="AI63:AN78" ca="1" si="23">IF($AG63&lt;&gt;0,INDEX(PxTxPhase1Adj,$AG63,AI$60),0)</f>
        <v>0</v>
      </c>
      <c r="AJ63" s="514">
        <f t="shared" ca="1" si="23"/>
        <v>0</v>
      </c>
      <c r="AK63" s="514">
        <f t="shared" ca="1" si="23"/>
        <v>0</v>
      </c>
      <c r="AL63" s="514">
        <f t="shared" ca="1" si="23"/>
        <v>0</v>
      </c>
      <c r="AM63" s="514">
        <f t="shared" ca="1" si="23"/>
        <v>0</v>
      </c>
      <c r="AN63" s="514">
        <f t="shared" ca="1" si="23"/>
        <v>0</v>
      </c>
      <c r="AP63" s="514">
        <f t="shared" ref="AP63:AU78" ca="1" si="24">IF($AG63&lt;&gt;0,INDEX(PxTxPhase2Adj,$AG63,AP$60),0)</f>
        <v>0</v>
      </c>
      <c r="AQ63" s="514">
        <f t="shared" ca="1" si="24"/>
        <v>0</v>
      </c>
      <c r="AR63" s="514">
        <f t="shared" ca="1" si="24"/>
        <v>0</v>
      </c>
      <c r="AS63" s="514">
        <f t="shared" ca="1" si="24"/>
        <v>0</v>
      </c>
      <c r="AT63" s="514">
        <f t="shared" ca="1" si="24"/>
        <v>0</v>
      </c>
      <c r="AU63" s="514">
        <f t="shared" ca="1" si="24"/>
        <v>0</v>
      </c>
      <c r="AV63" s="491"/>
      <c r="AW63" s="491"/>
      <c r="AX63" s="491"/>
      <c r="AY63" s="491"/>
    </row>
    <row r="64" spans="1:54" hidden="1" outlineLevel="1" x14ac:dyDescent="0.2">
      <c r="A64" s="113"/>
      <c r="B64" s="113"/>
      <c r="C64" s="242">
        <v>2</v>
      </c>
      <c r="D64" s="484"/>
      <c r="E64" s="837"/>
      <c r="F64" s="899"/>
      <c r="G64" s="51" t="str">
        <f t="shared" si="15"/>
        <v/>
      </c>
      <c r="H64" s="51" t="str">
        <f t="shared" si="16"/>
        <v/>
      </c>
      <c r="I64" s="152"/>
      <c r="J64" s="51" t="str">
        <f t="shared" si="17"/>
        <v/>
      </c>
      <c r="K64" s="360"/>
      <c r="L64" s="360"/>
      <c r="M64" s="499"/>
      <c r="N64" s="499"/>
      <c r="O64" s="500"/>
      <c r="P64" s="501"/>
      <c r="Q64" s="244"/>
      <c r="R64" s="888"/>
      <c r="S64" s="888"/>
      <c r="T64" s="888"/>
      <c r="U64" s="888"/>
      <c r="V64" s="888"/>
      <c r="AB64" s="71" t="str">
        <f t="shared" si="18"/>
        <v>** NOT USED **</v>
      </c>
      <c r="AC64" s="242">
        <f>AC63</f>
        <v>1</v>
      </c>
      <c r="AD64" s="242">
        <f t="shared" si="19"/>
        <v>0</v>
      </c>
      <c r="AE64" s="470">
        <f t="shared" si="20"/>
        <v>0</v>
      </c>
      <c r="AF64" s="470">
        <f t="shared" si="21"/>
        <v>0</v>
      </c>
      <c r="AG64" s="634">
        <f t="shared" ca="1" si="22"/>
        <v>0</v>
      </c>
      <c r="AH64" s="491"/>
      <c r="AI64" s="514">
        <f t="shared" ca="1" si="23"/>
        <v>0</v>
      </c>
      <c r="AJ64" s="514">
        <f t="shared" ca="1" si="23"/>
        <v>0</v>
      </c>
      <c r="AK64" s="514">
        <f t="shared" ca="1" si="23"/>
        <v>0</v>
      </c>
      <c r="AL64" s="514">
        <f t="shared" ca="1" si="23"/>
        <v>0</v>
      </c>
      <c r="AM64" s="514">
        <f t="shared" ca="1" si="23"/>
        <v>0</v>
      </c>
      <c r="AN64" s="514">
        <f t="shared" ca="1" si="23"/>
        <v>0</v>
      </c>
      <c r="AP64" s="514">
        <f t="shared" ca="1" si="24"/>
        <v>0</v>
      </c>
      <c r="AQ64" s="514">
        <f t="shared" ca="1" si="24"/>
        <v>0</v>
      </c>
      <c r="AR64" s="514">
        <f t="shared" ca="1" si="24"/>
        <v>0</v>
      </c>
      <c r="AS64" s="514">
        <f t="shared" ca="1" si="24"/>
        <v>0</v>
      </c>
      <c r="AT64" s="514">
        <f t="shared" ca="1" si="24"/>
        <v>0</v>
      </c>
      <c r="AU64" s="514">
        <f t="shared" ca="1" si="24"/>
        <v>0</v>
      </c>
      <c r="AV64" s="491"/>
      <c r="AW64" s="491"/>
      <c r="AX64" s="491"/>
      <c r="AY64" s="491"/>
    </row>
    <row r="65" spans="1:54" hidden="1" outlineLevel="1" x14ac:dyDescent="0.2">
      <c r="A65" s="113"/>
      <c r="B65" s="113"/>
      <c r="C65" s="242">
        <v>3</v>
      </c>
      <c r="D65" s="484"/>
      <c r="E65" s="837"/>
      <c r="F65" s="837"/>
      <c r="G65" s="51" t="str">
        <f t="shared" si="15"/>
        <v/>
      </c>
      <c r="H65" s="51" t="str">
        <f t="shared" si="16"/>
        <v/>
      </c>
      <c r="I65" s="152"/>
      <c r="J65" s="51" t="str">
        <f t="shared" si="17"/>
        <v/>
      </c>
      <c r="K65" s="360"/>
      <c r="L65" s="360"/>
      <c r="M65" s="499"/>
      <c r="N65" s="499"/>
      <c r="O65" s="500"/>
      <c r="P65" s="501"/>
      <c r="Q65" s="244"/>
      <c r="R65" s="888"/>
      <c r="S65" s="888"/>
      <c r="T65" s="888"/>
      <c r="U65" s="888"/>
      <c r="V65" s="888"/>
      <c r="AB65" s="71" t="str">
        <f t="shared" si="18"/>
        <v>** NOT USED **</v>
      </c>
      <c r="AC65" s="242">
        <f t="shared" ref="AC65:AC82" si="25">AC64</f>
        <v>1</v>
      </c>
      <c r="AD65" s="242">
        <f t="shared" si="19"/>
        <v>0</v>
      </c>
      <c r="AE65" s="470">
        <f t="shared" si="20"/>
        <v>0</v>
      </c>
      <c r="AF65" s="470">
        <f t="shared" si="21"/>
        <v>0</v>
      </c>
      <c r="AG65" s="634">
        <f t="shared" ca="1" si="22"/>
        <v>0</v>
      </c>
      <c r="AI65" s="514">
        <f t="shared" ca="1" si="23"/>
        <v>0</v>
      </c>
      <c r="AJ65" s="514">
        <f t="shared" ca="1" si="23"/>
        <v>0</v>
      </c>
      <c r="AK65" s="514">
        <f t="shared" ca="1" si="23"/>
        <v>0</v>
      </c>
      <c r="AL65" s="514">
        <f t="shared" ca="1" si="23"/>
        <v>0</v>
      </c>
      <c r="AM65" s="514">
        <f t="shared" ca="1" si="23"/>
        <v>0</v>
      </c>
      <c r="AN65" s="514">
        <f t="shared" ca="1" si="23"/>
        <v>0</v>
      </c>
      <c r="AP65" s="514">
        <f t="shared" ca="1" si="24"/>
        <v>0</v>
      </c>
      <c r="AQ65" s="514">
        <f t="shared" ca="1" si="24"/>
        <v>0</v>
      </c>
      <c r="AR65" s="514">
        <f t="shared" ca="1" si="24"/>
        <v>0</v>
      </c>
      <c r="AS65" s="514">
        <f t="shared" ca="1" si="24"/>
        <v>0</v>
      </c>
      <c r="AT65" s="514">
        <f t="shared" ca="1" si="24"/>
        <v>0</v>
      </c>
      <c r="AU65" s="514">
        <f t="shared" ca="1" si="24"/>
        <v>0</v>
      </c>
      <c r="AV65" s="491"/>
      <c r="AW65" s="491"/>
      <c r="AX65" s="491"/>
      <c r="AY65" s="491"/>
    </row>
    <row r="66" spans="1:54" hidden="1" outlineLevel="1" x14ac:dyDescent="0.2">
      <c r="A66" s="113"/>
      <c r="B66" s="113"/>
      <c r="C66" s="242">
        <v>4</v>
      </c>
      <c r="D66" s="484"/>
      <c r="E66" s="837"/>
      <c r="F66" s="837"/>
      <c r="G66" s="51" t="str">
        <f t="shared" si="15"/>
        <v/>
      </c>
      <c r="H66" s="51" t="str">
        <f t="shared" si="16"/>
        <v/>
      </c>
      <c r="I66" s="152"/>
      <c r="J66" s="51" t="str">
        <f t="shared" si="17"/>
        <v/>
      </c>
      <c r="K66" s="360"/>
      <c r="L66" s="360"/>
      <c r="M66" s="499"/>
      <c r="N66" s="499"/>
      <c r="O66" s="500"/>
      <c r="P66" s="501"/>
      <c r="Q66" s="244"/>
      <c r="R66" s="888"/>
      <c r="S66" s="888"/>
      <c r="T66" s="888"/>
      <c r="U66" s="888"/>
      <c r="V66" s="888"/>
      <c r="AB66" s="71" t="str">
        <f t="shared" si="18"/>
        <v>** NOT USED **</v>
      </c>
      <c r="AC66" s="242">
        <f t="shared" si="25"/>
        <v>1</v>
      </c>
      <c r="AD66" s="242">
        <f t="shared" si="19"/>
        <v>0</v>
      </c>
      <c r="AE66" s="470">
        <f t="shared" si="20"/>
        <v>0</v>
      </c>
      <c r="AF66" s="470">
        <f t="shared" si="21"/>
        <v>0</v>
      </c>
      <c r="AG66" s="634">
        <f t="shared" ca="1" si="22"/>
        <v>0</v>
      </c>
      <c r="AI66" s="514">
        <f t="shared" ca="1" si="23"/>
        <v>0</v>
      </c>
      <c r="AJ66" s="514">
        <f t="shared" ca="1" si="23"/>
        <v>0</v>
      </c>
      <c r="AK66" s="514">
        <f t="shared" ca="1" si="23"/>
        <v>0</v>
      </c>
      <c r="AL66" s="514">
        <f t="shared" ca="1" si="23"/>
        <v>0</v>
      </c>
      <c r="AM66" s="514">
        <f t="shared" ca="1" si="23"/>
        <v>0</v>
      </c>
      <c r="AN66" s="514">
        <f t="shared" ca="1" si="23"/>
        <v>0</v>
      </c>
      <c r="AP66" s="514">
        <f t="shared" ca="1" si="24"/>
        <v>0</v>
      </c>
      <c r="AQ66" s="514">
        <f t="shared" ca="1" si="24"/>
        <v>0</v>
      </c>
      <c r="AR66" s="514">
        <f t="shared" ca="1" si="24"/>
        <v>0</v>
      </c>
      <c r="AS66" s="514">
        <f t="shared" ca="1" si="24"/>
        <v>0</v>
      </c>
      <c r="AT66" s="514">
        <f t="shared" ca="1" si="24"/>
        <v>0</v>
      </c>
      <c r="AU66" s="514">
        <f t="shared" ca="1" si="24"/>
        <v>0</v>
      </c>
      <c r="AV66" s="491"/>
      <c r="AW66" s="491"/>
      <c r="AX66" s="491"/>
      <c r="AY66" s="491"/>
    </row>
    <row r="67" spans="1:54" hidden="1" outlineLevel="1" x14ac:dyDescent="0.2">
      <c r="A67" s="113"/>
      <c r="B67" s="113"/>
      <c r="C67" s="242">
        <v>5</v>
      </c>
      <c r="D67" s="484"/>
      <c r="E67" s="837"/>
      <c r="F67" s="837"/>
      <c r="G67" s="51" t="str">
        <f t="shared" si="15"/>
        <v/>
      </c>
      <c r="H67" s="51" t="str">
        <f t="shared" si="16"/>
        <v/>
      </c>
      <c r="I67" s="152"/>
      <c r="J67" s="51" t="str">
        <f t="shared" si="17"/>
        <v/>
      </c>
      <c r="K67" s="360"/>
      <c r="L67" s="360"/>
      <c r="M67" s="499"/>
      <c r="N67" s="499"/>
      <c r="O67" s="500"/>
      <c r="P67" s="501"/>
      <c r="Q67" s="244"/>
      <c r="R67" s="888"/>
      <c r="S67" s="888"/>
      <c r="T67" s="888"/>
      <c r="U67" s="888"/>
      <c r="V67" s="888"/>
      <c r="AB67" s="71" t="str">
        <f t="shared" si="18"/>
        <v>** NOT USED **</v>
      </c>
      <c r="AC67" s="242">
        <f t="shared" si="25"/>
        <v>1</v>
      </c>
      <c r="AD67" s="242">
        <f t="shared" si="19"/>
        <v>0</v>
      </c>
      <c r="AE67" s="470">
        <f t="shared" si="20"/>
        <v>0</v>
      </c>
      <c r="AF67" s="470">
        <f t="shared" si="21"/>
        <v>0</v>
      </c>
      <c r="AG67" s="634">
        <f t="shared" ca="1" si="22"/>
        <v>0</v>
      </c>
      <c r="AI67" s="514">
        <f t="shared" ca="1" si="23"/>
        <v>0</v>
      </c>
      <c r="AJ67" s="514">
        <f t="shared" ca="1" si="23"/>
        <v>0</v>
      </c>
      <c r="AK67" s="514">
        <f t="shared" ca="1" si="23"/>
        <v>0</v>
      </c>
      <c r="AL67" s="514">
        <f t="shared" ca="1" si="23"/>
        <v>0</v>
      </c>
      <c r="AM67" s="514">
        <f t="shared" ca="1" si="23"/>
        <v>0</v>
      </c>
      <c r="AN67" s="514">
        <f t="shared" ca="1" si="23"/>
        <v>0</v>
      </c>
      <c r="AP67" s="514">
        <f t="shared" ca="1" si="24"/>
        <v>0</v>
      </c>
      <c r="AQ67" s="514">
        <f t="shared" ca="1" si="24"/>
        <v>0</v>
      </c>
      <c r="AR67" s="514">
        <f t="shared" ca="1" si="24"/>
        <v>0</v>
      </c>
      <c r="AS67" s="514">
        <f t="shared" ca="1" si="24"/>
        <v>0</v>
      </c>
      <c r="AT67" s="514">
        <f t="shared" ca="1" si="24"/>
        <v>0</v>
      </c>
      <c r="AU67" s="514">
        <f t="shared" ca="1" si="24"/>
        <v>0</v>
      </c>
      <c r="AV67" s="491"/>
      <c r="AW67" s="491"/>
      <c r="AX67" s="491"/>
      <c r="AY67" s="491"/>
    </row>
    <row r="68" spans="1:54" hidden="1" outlineLevel="1" x14ac:dyDescent="0.2">
      <c r="A68" s="113"/>
      <c r="B68" s="113"/>
      <c r="C68" s="242">
        <v>6</v>
      </c>
      <c r="D68" s="484"/>
      <c r="E68" s="837"/>
      <c r="F68" s="837"/>
      <c r="G68" s="51" t="str">
        <f t="shared" si="15"/>
        <v/>
      </c>
      <c r="H68" s="51" t="str">
        <f t="shared" si="16"/>
        <v/>
      </c>
      <c r="I68" s="152"/>
      <c r="J68" s="51" t="str">
        <f t="shared" si="17"/>
        <v/>
      </c>
      <c r="K68" s="360"/>
      <c r="L68" s="360"/>
      <c r="M68" s="499"/>
      <c r="N68" s="499"/>
      <c r="O68" s="500"/>
      <c r="P68" s="501"/>
      <c r="Q68" s="244"/>
      <c r="R68" s="888"/>
      <c r="S68" s="888"/>
      <c r="T68" s="888"/>
      <c r="U68" s="888"/>
      <c r="V68" s="888"/>
      <c r="AB68" s="71" t="str">
        <f t="shared" si="18"/>
        <v>** NOT USED **</v>
      </c>
      <c r="AC68" s="242">
        <f t="shared" si="25"/>
        <v>1</v>
      </c>
      <c r="AD68" s="242">
        <f t="shared" si="19"/>
        <v>0</v>
      </c>
      <c r="AE68" s="470">
        <f t="shared" si="20"/>
        <v>0</v>
      </c>
      <c r="AF68" s="470">
        <f t="shared" si="21"/>
        <v>0</v>
      </c>
      <c r="AG68" s="634">
        <f t="shared" ca="1" si="22"/>
        <v>0</v>
      </c>
      <c r="AI68" s="514">
        <f t="shared" ca="1" si="23"/>
        <v>0</v>
      </c>
      <c r="AJ68" s="514">
        <f t="shared" ca="1" si="23"/>
        <v>0</v>
      </c>
      <c r="AK68" s="514">
        <f t="shared" ca="1" si="23"/>
        <v>0</v>
      </c>
      <c r="AL68" s="514">
        <f t="shared" ca="1" si="23"/>
        <v>0</v>
      </c>
      <c r="AM68" s="514">
        <f t="shared" ca="1" si="23"/>
        <v>0</v>
      </c>
      <c r="AN68" s="514">
        <f t="shared" ca="1" si="23"/>
        <v>0</v>
      </c>
      <c r="AP68" s="514">
        <f t="shared" ca="1" si="24"/>
        <v>0</v>
      </c>
      <c r="AQ68" s="514">
        <f t="shared" ca="1" si="24"/>
        <v>0</v>
      </c>
      <c r="AR68" s="514">
        <f t="shared" ca="1" si="24"/>
        <v>0</v>
      </c>
      <c r="AS68" s="514">
        <f t="shared" ca="1" si="24"/>
        <v>0</v>
      </c>
      <c r="AT68" s="514">
        <f t="shared" ca="1" si="24"/>
        <v>0</v>
      </c>
      <c r="AU68" s="514">
        <f t="shared" ca="1" si="24"/>
        <v>0</v>
      </c>
      <c r="AV68" s="491"/>
      <c r="AW68" s="491"/>
      <c r="AX68" s="491"/>
      <c r="AY68" s="491"/>
    </row>
    <row r="69" spans="1:54" hidden="1" outlineLevel="1" x14ac:dyDescent="0.2">
      <c r="A69" s="113"/>
      <c r="B69" s="113"/>
      <c r="C69" s="242">
        <v>7</v>
      </c>
      <c r="D69" s="484"/>
      <c r="E69" s="837"/>
      <c r="F69" s="837"/>
      <c r="G69" s="51" t="str">
        <f t="shared" si="15"/>
        <v/>
      </c>
      <c r="H69" s="51" t="str">
        <f t="shared" si="16"/>
        <v/>
      </c>
      <c r="I69" s="152"/>
      <c r="J69" s="51" t="str">
        <f t="shared" si="17"/>
        <v/>
      </c>
      <c r="K69" s="360"/>
      <c r="L69" s="360"/>
      <c r="M69" s="499"/>
      <c r="N69" s="499"/>
      <c r="O69" s="500"/>
      <c r="P69" s="501"/>
      <c r="Q69" s="244"/>
      <c r="R69" s="888"/>
      <c r="S69" s="888"/>
      <c r="T69" s="888"/>
      <c r="U69" s="888"/>
      <c r="V69" s="888"/>
      <c r="AB69" s="71" t="str">
        <f t="shared" si="18"/>
        <v>** NOT USED **</v>
      </c>
      <c r="AC69" s="242">
        <f t="shared" si="25"/>
        <v>1</v>
      </c>
      <c r="AD69" s="242">
        <f t="shared" si="19"/>
        <v>0</v>
      </c>
      <c r="AE69" s="470">
        <f t="shared" si="20"/>
        <v>0</v>
      </c>
      <c r="AF69" s="470">
        <f t="shared" si="21"/>
        <v>0</v>
      </c>
      <c r="AG69" s="634">
        <f t="shared" ca="1" si="22"/>
        <v>0</v>
      </c>
      <c r="AI69" s="514">
        <f t="shared" ca="1" si="23"/>
        <v>0</v>
      </c>
      <c r="AJ69" s="514">
        <f t="shared" ca="1" si="23"/>
        <v>0</v>
      </c>
      <c r="AK69" s="514">
        <f t="shared" ca="1" si="23"/>
        <v>0</v>
      </c>
      <c r="AL69" s="514">
        <f t="shared" ca="1" si="23"/>
        <v>0</v>
      </c>
      <c r="AM69" s="514">
        <f t="shared" ca="1" si="23"/>
        <v>0</v>
      </c>
      <c r="AN69" s="514">
        <f t="shared" ca="1" si="23"/>
        <v>0</v>
      </c>
      <c r="AP69" s="514">
        <f t="shared" ca="1" si="24"/>
        <v>0</v>
      </c>
      <c r="AQ69" s="514">
        <f t="shared" ca="1" si="24"/>
        <v>0</v>
      </c>
      <c r="AR69" s="514">
        <f t="shared" ca="1" si="24"/>
        <v>0</v>
      </c>
      <c r="AS69" s="514">
        <f t="shared" ca="1" si="24"/>
        <v>0</v>
      </c>
      <c r="AT69" s="514">
        <f t="shared" ca="1" si="24"/>
        <v>0</v>
      </c>
      <c r="AU69" s="514">
        <f t="shared" ca="1" si="24"/>
        <v>0</v>
      </c>
      <c r="AV69" s="491"/>
      <c r="AW69" s="491"/>
      <c r="AX69" s="491"/>
      <c r="AY69" s="491"/>
    </row>
    <row r="70" spans="1:54" hidden="1" outlineLevel="1" x14ac:dyDescent="0.2">
      <c r="A70" s="113"/>
      <c r="B70" s="113"/>
      <c r="C70" s="242">
        <v>8</v>
      </c>
      <c r="D70" s="484"/>
      <c r="E70" s="837"/>
      <c r="F70" s="837"/>
      <c r="G70" s="51" t="str">
        <f t="shared" si="15"/>
        <v/>
      </c>
      <c r="H70" s="51" t="str">
        <f t="shared" si="16"/>
        <v/>
      </c>
      <c r="I70" s="152"/>
      <c r="J70" s="51" t="str">
        <f t="shared" si="17"/>
        <v/>
      </c>
      <c r="K70" s="360"/>
      <c r="L70" s="360"/>
      <c r="M70" s="499"/>
      <c r="N70" s="499"/>
      <c r="O70" s="500"/>
      <c r="P70" s="501"/>
      <c r="Q70" s="244"/>
      <c r="R70" s="888"/>
      <c r="S70" s="888"/>
      <c r="T70" s="888"/>
      <c r="U70" s="888"/>
      <c r="V70" s="888"/>
      <c r="AB70" s="71" t="str">
        <f t="shared" si="18"/>
        <v>** NOT USED **</v>
      </c>
      <c r="AC70" s="242">
        <f t="shared" si="25"/>
        <v>1</v>
      </c>
      <c r="AD70" s="242">
        <f t="shared" si="19"/>
        <v>0</v>
      </c>
      <c r="AE70" s="470">
        <f t="shared" si="20"/>
        <v>0</v>
      </c>
      <c r="AF70" s="470">
        <f t="shared" si="21"/>
        <v>0</v>
      </c>
      <c r="AG70" s="634">
        <f t="shared" ca="1" si="22"/>
        <v>0</v>
      </c>
      <c r="AI70" s="514">
        <f t="shared" ca="1" si="23"/>
        <v>0</v>
      </c>
      <c r="AJ70" s="514">
        <f t="shared" ca="1" si="23"/>
        <v>0</v>
      </c>
      <c r="AK70" s="514">
        <f t="shared" ca="1" si="23"/>
        <v>0</v>
      </c>
      <c r="AL70" s="514">
        <f t="shared" ca="1" si="23"/>
        <v>0</v>
      </c>
      <c r="AM70" s="514">
        <f t="shared" ca="1" si="23"/>
        <v>0</v>
      </c>
      <c r="AN70" s="514">
        <f t="shared" ca="1" si="23"/>
        <v>0</v>
      </c>
      <c r="AP70" s="514">
        <f t="shared" ca="1" si="24"/>
        <v>0</v>
      </c>
      <c r="AQ70" s="514">
        <f t="shared" ca="1" si="24"/>
        <v>0</v>
      </c>
      <c r="AR70" s="514">
        <f t="shared" ca="1" si="24"/>
        <v>0</v>
      </c>
      <c r="AS70" s="514">
        <f t="shared" ca="1" si="24"/>
        <v>0</v>
      </c>
      <c r="AT70" s="514">
        <f t="shared" ca="1" si="24"/>
        <v>0</v>
      </c>
      <c r="AU70" s="514">
        <f t="shared" ca="1" si="24"/>
        <v>0</v>
      </c>
      <c r="AV70" s="491"/>
      <c r="AW70" s="491"/>
      <c r="AX70" s="491"/>
      <c r="AY70" s="491"/>
    </row>
    <row r="71" spans="1:54" hidden="1" outlineLevel="1" x14ac:dyDescent="0.2">
      <c r="A71" s="113"/>
      <c r="B71" s="113"/>
      <c r="C71" s="242">
        <v>9</v>
      </c>
      <c r="D71" s="484"/>
      <c r="E71" s="837"/>
      <c r="F71" s="837"/>
      <c r="G71" s="51" t="str">
        <f t="shared" si="15"/>
        <v/>
      </c>
      <c r="H71" s="51" t="str">
        <f t="shared" si="16"/>
        <v/>
      </c>
      <c r="I71" s="152"/>
      <c r="J71" s="51" t="str">
        <f t="shared" si="17"/>
        <v/>
      </c>
      <c r="K71" s="360"/>
      <c r="L71" s="360"/>
      <c r="M71" s="499"/>
      <c r="N71" s="499"/>
      <c r="O71" s="500"/>
      <c r="P71" s="501"/>
      <c r="Q71" s="244"/>
      <c r="R71" s="888"/>
      <c r="S71" s="888"/>
      <c r="T71" s="888"/>
      <c r="U71" s="888"/>
      <c r="V71" s="888"/>
      <c r="AB71" s="71" t="str">
        <f t="shared" si="18"/>
        <v>** NOT USED **</v>
      </c>
      <c r="AC71" s="242">
        <f t="shared" si="25"/>
        <v>1</v>
      </c>
      <c r="AD71" s="242">
        <f t="shared" si="19"/>
        <v>0</v>
      </c>
      <c r="AE71" s="470">
        <f t="shared" si="20"/>
        <v>0</v>
      </c>
      <c r="AF71" s="470">
        <f t="shared" si="21"/>
        <v>0</v>
      </c>
      <c r="AG71" s="634">
        <f t="shared" ca="1" si="22"/>
        <v>0</v>
      </c>
      <c r="AI71" s="514">
        <f t="shared" ca="1" si="23"/>
        <v>0</v>
      </c>
      <c r="AJ71" s="514">
        <f t="shared" ca="1" si="23"/>
        <v>0</v>
      </c>
      <c r="AK71" s="514">
        <f t="shared" ca="1" si="23"/>
        <v>0</v>
      </c>
      <c r="AL71" s="514">
        <f t="shared" ca="1" si="23"/>
        <v>0</v>
      </c>
      <c r="AM71" s="514">
        <f t="shared" ca="1" si="23"/>
        <v>0</v>
      </c>
      <c r="AN71" s="514">
        <f t="shared" ca="1" si="23"/>
        <v>0</v>
      </c>
      <c r="AP71" s="514">
        <f t="shared" ca="1" si="24"/>
        <v>0</v>
      </c>
      <c r="AQ71" s="514">
        <f t="shared" ca="1" si="24"/>
        <v>0</v>
      </c>
      <c r="AR71" s="514">
        <f t="shared" ca="1" si="24"/>
        <v>0</v>
      </c>
      <c r="AS71" s="514">
        <f t="shared" ca="1" si="24"/>
        <v>0</v>
      </c>
      <c r="AT71" s="514">
        <f t="shared" ca="1" si="24"/>
        <v>0</v>
      </c>
      <c r="AU71" s="514">
        <f t="shared" ca="1" si="24"/>
        <v>0</v>
      </c>
      <c r="AV71" s="491"/>
      <c r="AW71" s="491"/>
      <c r="AX71" s="491"/>
      <c r="AY71" s="491"/>
    </row>
    <row r="72" spans="1:54" hidden="1" outlineLevel="1" x14ac:dyDescent="0.2">
      <c r="A72" s="113"/>
      <c r="B72" s="113"/>
      <c r="C72" s="242">
        <v>10</v>
      </c>
      <c r="D72" s="484"/>
      <c r="E72" s="837"/>
      <c r="F72" s="837"/>
      <c r="G72" s="51" t="str">
        <f t="shared" si="15"/>
        <v/>
      </c>
      <c r="H72" s="51" t="str">
        <f t="shared" si="16"/>
        <v/>
      </c>
      <c r="I72" s="152"/>
      <c r="J72" s="51" t="str">
        <f t="shared" si="17"/>
        <v/>
      </c>
      <c r="K72" s="360"/>
      <c r="L72" s="360"/>
      <c r="M72" s="499"/>
      <c r="N72" s="499"/>
      <c r="O72" s="500"/>
      <c r="P72" s="501"/>
      <c r="Q72" s="244"/>
      <c r="R72" s="888"/>
      <c r="S72" s="888"/>
      <c r="T72" s="888"/>
      <c r="U72" s="888"/>
      <c r="V72" s="888"/>
      <c r="AB72" s="71" t="str">
        <f t="shared" si="18"/>
        <v>** NOT USED **</v>
      </c>
      <c r="AC72" s="242">
        <f t="shared" si="25"/>
        <v>1</v>
      </c>
      <c r="AD72" s="242">
        <f t="shared" si="19"/>
        <v>0</v>
      </c>
      <c r="AE72" s="470">
        <f t="shared" si="20"/>
        <v>0</v>
      </c>
      <c r="AF72" s="470">
        <f t="shared" si="21"/>
        <v>0</v>
      </c>
      <c r="AG72" s="634">
        <f t="shared" ca="1" si="22"/>
        <v>0</v>
      </c>
      <c r="AI72" s="514">
        <f t="shared" ca="1" si="23"/>
        <v>0</v>
      </c>
      <c r="AJ72" s="514">
        <f t="shared" ca="1" si="23"/>
        <v>0</v>
      </c>
      <c r="AK72" s="514">
        <f t="shared" ca="1" si="23"/>
        <v>0</v>
      </c>
      <c r="AL72" s="514">
        <f t="shared" ca="1" si="23"/>
        <v>0</v>
      </c>
      <c r="AM72" s="514">
        <f t="shared" ca="1" si="23"/>
        <v>0</v>
      </c>
      <c r="AN72" s="514">
        <f t="shared" ca="1" si="23"/>
        <v>0</v>
      </c>
      <c r="AP72" s="514">
        <f t="shared" ca="1" si="24"/>
        <v>0</v>
      </c>
      <c r="AQ72" s="514">
        <f t="shared" ca="1" si="24"/>
        <v>0</v>
      </c>
      <c r="AR72" s="514">
        <f t="shared" ca="1" si="24"/>
        <v>0</v>
      </c>
      <c r="AS72" s="514">
        <f t="shared" ca="1" si="24"/>
        <v>0</v>
      </c>
      <c r="AT72" s="514">
        <f t="shared" ca="1" si="24"/>
        <v>0</v>
      </c>
      <c r="AU72" s="514">
        <f t="shared" ca="1" si="24"/>
        <v>0</v>
      </c>
      <c r="AV72" s="491"/>
      <c r="AW72" s="491"/>
      <c r="AX72" s="491"/>
      <c r="AY72" s="491"/>
    </row>
    <row r="73" spans="1:54" hidden="1" outlineLevel="1" x14ac:dyDescent="0.2">
      <c r="A73" s="113"/>
      <c r="B73" s="113"/>
      <c r="C73" s="242">
        <v>11</v>
      </c>
      <c r="D73" s="734"/>
      <c r="E73" s="837"/>
      <c r="F73" s="837"/>
      <c r="G73" s="51" t="str">
        <f t="shared" ref="G73:G82" si="26">IFERROR(INDEX(ServiceSplitPublic,K73),"")</f>
        <v/>
      </c>
      <c r="H73" s="51" t="str">
        <f t="shared" ref="H73:H82" si="27">IFERROR(INDEX(ServiceSplitPrivate,K73),"")</f>
        <v/>
      </c>
      <c r="I73" s="152"/>
      <c r="J73" s="51" t="str">
        <f t="shared" ref="J73:J82" si="28">IF(I73&lt;&gt;"",1-I73,"")</f>
        <v/>
      </c>
      <c r="K73" s="360"/>
      <c r="L73" s="360"/>
      <c r="M73" s="499"/>
      <c r="N73" s="499"/>
      <c r="O73" s="500"/>
      <c r="P73" s="501"/>
      <c r="Q73" s="244"/>
      <c r="R73" s="888"/>
      <c r="S73" s="888"/>
      <c r="T73" s="888"/>
      <c r="U73" s="888"/>
      <c r="V73" s="888"/>
      <c r="W73" s="491"/>
      <c r="X73" s="491"/>
      <c r="Z73" s="491"/>
      <c r="AA73" s="491"/>
      <c r="AB73" s="71" t="str">
        <f t="shared" si="18"/>
        <v>** NOT USED **</v>
      </c>
      <c r="AC73" s="242">
        <f t="shared" si="25"/>
        <v>1</v>
      </c>
      <c r="AD73" s="242">
        <f t="shared" si="19"/>
        <v>0</v>
      </c>
      <c r="AE73" s="470">
        <f t="shared" si="20"/>
        <v>0</v>
      </c>
      <c r="AF73" s="470">
        <f t="shared" si="21"/>
        <v>0</v>
      </c>
      <c r="AG73" s="735">
        <f t="shared" ca="1" si="22"/>
        <v>0</v>
      </c>
      <c r="AH73" s="491"/>
      <c r="AI73" s="514">
        <f t="shared" ca="1" si="23"/>
        <v>0</v>
      </c>
      <c r="AJ73" s="514">
        <f t="shared" ca="1" si="23"/>
        <v>0</v>
      </c>
      <c r="AK73" s="514">
        <f t="shared" ca="1" si="23"/>
        <v>0</v>
      </c>
      <c r="AL73" s="514">
        <f t="shared" ca="1" si="23"/>
        <v>0</v>
      </c>
      <c r="AM73" s="514">
        <f t="shared" ca="1" si="23"/>
        <v>0</v>
      </c>
      <c r="AN73" s="514">
        <f t="shared" ca="1" si="23"/>
        <v>0</v>
      </c>
      <c r="AP73" s="514">
        <f t="shared" ca="1" si="24"/>
        <v>0</v>
      </c>
      <c r="AQ73" s="514">
        <f t="shared" ca="1" si="24"/>
        <v>0</v>
      </c>
      <c r="AR73" s="514">
        <f t="shared" ca="1" si="24"/>
        <v>0</v>
      </c>
      <c r="AS73" s="514">
        <f t="shared" ca="1" si="24"/>
        <v>0</v>
      </c>
      <c r="AT73" s="514">
        <f t="shared" ca="1" si="24"/>
        <v>0</v>
      </c>
      <c r="AU73" s="514">
        <f t="shared" ca="1" si="24"/>
        <v>0</v>
      </c>
      <c r="AV73" s="491"/>
      <c r="AW73" s="491"/>
      <c r="AX73" s="491"/>
      <c r="AY73" s="491"/>
      <c r="AZ73" s="491"/>
      <c r="BA73" s="491"/>
      <c r="BB73" s="491"/>
    </row>
    <row r="74" spans="1:54" hidden="1" outlineLevel="1" x14ac:dyDescent="0.2">
      <c r="A74" s="113"/>
      <c r="B74" s="113"/>
      <c r="C74" s="242">
        <v>12</v>
      </c>
      <c r="D74" s="734"/>
      <c r="E74" s="837"/>
      <c r="F74" s="837"/>
      <c r="G74" s="51" t="str">
        <f t="shared" si="26"/>
        <v/>
      </c>
      <c r="H74" s="51" t="str">
        <f t="shared" si="27"/>
        <v/>
      </c>
      <c r="I74" s="152"/>
      <c r="J74" s="51" t="str">
        <f t="shared" si="28"/>
        <v/>
      </c>
      <c r="K74" s="360"/>
      <c r="L74" s="360"/>
      <c r="M74" s="499"/>
      <c r="N74" s="499"/>
      <c r="O74" s="500"/>
      <c r="P74" s="501"/>
      <c r="Q74" s="244"/>
      <c r="R74" s="888"/>
      <c r="S74" s="888"/>
      <c r="T74" s="888"/>
      <c r="U74" s="888"/>
      <c r="V74" s="888"/>
      <c r="W74" s="491"/>
      <c r="X74" s="491"/>
      <c r="Z74" s="491"/>
      <c r="AA74" s="491"/>
      <c r="AB74" s="71" t="str">
        <f t="shared" si="18"/>
        <v>** NOT USED **</v>
      </c>
      <c r="AC74" s="242">
        <f t="shared" si="25"/>
        <v>1</v>
      </c>
      <c r="AD74" s="242">
        <f t="shared" si="19"/>
        <v>0</v>
      </c>
      <c r="AE74" s="470">
        <f t="shared" si="20"/>
        <v>0</v>
      </c>
      <c r="AF74" s="470">
        <f t="shared" si="21"/>
        <v>0</v>
      </c>
      <c r="AG74" s="735">
        <f t="shared" ca="1" si="22"/>
        <v>0</v>
      </c>
      <c r="AH74" s="491"/>
      <c r="AI74" s="514">
        <f t="shared" ca="1" si="23"/>
        <v>0</v>
      </c>
      <c r="AJ74" s="514">
        <f t="shared" ca="1" si="23"/>
        <v>0</v>
      </c>
      <c r="AK74" s="514">
        <f t="shared" ca="1" si="23"/>
        <v>0</v>
      </c>
      <c r="AL74" s="514">
        <f t="shared" ca="1" si="23"/>
        <v>0</v>
      </c>
      <c r="AM74" s="514">
        <f t="shared" ca="1" si="23"/>
        <v>0</v>
      </c>
      <c r="AN74" s="514">
        <f t="shared" ca="1" si="23"/>
        <v>0</v>
      </c>
      <c r="AP74" s="514">
        <f t="shared" ca="1" si="24"/>
        <v>0</v>
      </c>
      <c r="AQ74" s="514">
        <f t="shared" ca="1" si="24"/>
        <v>0</v>
      </c>
      <c r="AR74" s="514">
        <f t="shared" ca="1" si="24"/>
        <v>0</v>
      </c>
      <c r="AS74" s="514">
        <f t="shared" ca="1" si="24"/>
        <v>0</v>
      </c>
      <c r="AT74" s="514">
        <f t="shared" ca="1" si="24"/>
        <v>0</v>
      </c>
      <c r="AU74" s="514">
        <f t="shared" ca="1" si="24"/>
        <v>0</v>
      </c>
      <c r="AV74" s="491"/>
      <c r="AW74" s="491"/>
      <c r="AX74" s="491"/>
      <c r="AY74" s="491"/>
      <c r="AZ74" s="491"/>
      <c r="BA74" s="491"/>
      <c r="BB74" s="491"/>
    </row>
    <row r="75" spans="1:54" hidden="1" outlineLevel="1" x14ac:dyDescent="0.2">
      <c r="A75" s="113"/>
      <c r="B75" s="113"/>
      <c r="C75" s="242">
        <v>13</v>
      </c>
      <c r="D75" s="734"/>
      <c r="E75" s="837"/>
      <c r="F75" s="837"/>
      <c r="G75" s="51" t="str">
        <f t="shared" si="26"/>
        <v/>
      </c>
      <c r="H75" s="51" t="str">
        <f t="shared" si="27"/>
        <v/>
      </c>
      <c r="I75" s="152"/>
      <c r="J75" s="51" t="str">
        <f t="shared" si="28"/>
        <v/>
      </c>
      <c r="K75" s="360"/>
      <c r="L75" s="360"/>
      <c r="M75" s="499"/>
      <c r="N75" s="499"/>
      <c r="O75" s="500"/>
      <c r="P75" s="501"/>
      <c r="Q75" s="244"/>
      <c r="R75" s="888"/>
      <c r="S75" s="888"/>
      <c r="T75" s="888"/>
      <c r="U75" s="888"/>
      <c r="V75" s="888"/>
      <c r="W75" s="491"/>
      <c r="X75" s="491"/>
      <c r="Z75" s="491"/>
      <c r="AA75" s="491"/>
      <c r="AB75" s="71" t="str">
        <f t="shared" si="18"/>
        <v>** NOT USED **</v>
      </c>
      <c r="AC75" s="242">
        <f t="shared" si="25"/>
        <v>1</v>
      </c>
      <c r="AD75" s="242">
        <f t="shared" si="19"/>
        <v>0</v>
      </c>
      <c r="AE75" s="470">
        <f t="shared" si="20"/>
        <v>0</v>
      </c>
      <c r="AF75" s="470">
        <f t="shared" si="21"/>
        <v>0</v>
      </c>
      <c r="AG75" s="735">
        <f t="shared" ca="1" si="22"/>
        <v>0</v>
      </c>
      <c r="AH75" s="491"/>
      <c r="AI75" s="514">
        <f t="shared" ca="1" si="23"/>
        <v>0</v>
      </c>
      <c r="AJ75" s="514">
        <f t="shared" ca="1" si="23"/>
        <v>0</v>
      </c>
      <c r="AK75" s="514">
        <f t="shared" ca="1" si="23"/>
        <v>0</v>
      </c>
      <c r="AL75" s="514">
        <f t="shared" ca="1" si="23"/>
        <v>0</v>
      </c>
      <c r="AM75" s="514">
        <f t="shared" ca="1" si="23"/>
        <v>0</v>
      </c>
      <c r="AN75" s="514">
        <f t="shared" ca="1" si="23"/>
        <v>0</v>
      </c>
      <c r="AP75" s="514">
        <f t="shared" ca="1" si="24"/>
        <v>0</v>
      </c>
      <c r="AQ75" s="514">
        <f t="shared" ca="1" si="24"/>
        <v>0</v>
      </c>
      <c r="AR75" s="514">
        <f t="shared" ca="1" si="24"/>
        <v>0</v>
      </c>
      <c r="AS75" s="514">
        <f t="shared" ca="1" si="24"/>
        <v>0</v>
      </c>
      <c r="AT75" s="514">
        <f t="shared" ca="1" si="24"/>
        <v>0</v>
      </c>
      <c r="AU75" s="514">
        <f t="shared" ca="1" si="24"/>
        <v>0</v>
      </c>
      <c r="AV75" s="491"/>
      <c r="AW75" s="491"/>
      <c r="AX75" s="491"/>
      <c r="AY75" s="491"/>
      <c r="AZ75" s="491"/>
      <c r="BA75" s="491"/>
      <c r="BB75" s="491"/>
    </row>
    <row r="76" spans="1:54" hidden="1" outlineLevel="1" x14ac:dyDescent="0.2">
      <c r="A76" s="113"/>
      <c r="B76" s="113"/>
      <c r="C76" s="242">
        <v>14</v>
      </c>
      <c r="D76" s="734"/>
      <c r="E76" s="837"/>
      <c r="F76" s="837"/>
      <c r="G76" s="51" t="str">
        <f t="shared" si="26"/>
        <v/>
      </c>
      <c r="H76" s="51" t="str">
        <f t="shared" si="27"/>
        <v/>
      </c>
      <c r="I76" s="152"/>
      <c r="J76" s="51" t="str">
        <f t="shared" si="28"/>
        <v/>
      </c>
      <c r="K76" s="360"/>
      <c r="L76" s="360"/>
      <c r="M76" s="499"/>
      <c r="N76" s="499"/>
      <c r="O76" s="500"/>
      <c r="P76" s="501"/>
      <c r="Q76" s="244"/>
      <c r="R76" s="888"/>
      <c r="S76" s="888"/>
      <c r="T76" s="888"/>
      <c r="U76" s="888"/>
      <c r="V76" s="888"/>
      <c r="W76" s="491"/>
      <c r="X76" s="491"/>
      <c r="Z76" s="491"/>
      <c r="AA76" s="491"/>
      <c r="AB76" s="71" t="str">
        <f t="shared" si="18"/>
        <v>** NOT USED **</v>
      </c>
      <c r="AC76" s="242">
        <f t="shared" si="25"/>
        <v>1</v>
      </c>
      <c r="AD76" s="242">
        <f t="shared" si="19"/>
        <v>0</v>
      </c>
      <c r="AE76" s="470">
        <f t="shared" si="20"/>
        <v>0</v>
      </c>
      <c r="AF76" s="470">
        <f t="shared" si="21"/>
        <v>0</v>
      </c>
      <c r="AG76" s="735">
        <f t="shared" ca="1" si="22"/>
        <v>0</v>
      </c>
      <c r="AH76" s="491"/>
      <c r="AI76" s="514">
        <f t="shared" ca="1" si="23"/>
        <v>0</v>
      </c>
      <c r="AJ76" s="514">
        <f t="shared" ca="1" si="23"/>
        <v>0</v>
      </c>
      <c r="AK76" s="514">
        <f t="shared" ca="1" si="23"/>
        <v>0</v>
      </c>
      <c r="AL76" s="514">
        <f t="shared" ca="1" si="23"/>
        <v>0</v>
      </c>
      <c r="AM76" s="514">
        <f t="shared" ca="1" si="23"/>
        <v>0</v>
      </c>
      <c r="AN76" s="514">
        <f t="shared" ca="1" si="23"/>
        <v>0</v>
      </c>
      <c r="AP76" s="514">
        <f t="shared" ca="1" si="24"/>
        <v>0</v>
      </c>
      <c r="AQ76" s="514">
        <f t="shared" ca="1" si="24"/>
        <v>0</v>
      </c>
      <c r="AR76" s="514">
        <f t="shared" ca="1" si="24"/>
        <v>0</v>
      </c>
      <c r="AS76" s="514">
        <f t="shared" ca="1" si="24"/>
        <v>0</v>
      </c>
      <c r="AT76" s="514">
        <f t="shared" ca="1" si="24"/>
        <v>0</v>
      </c>
      <c r="AU76" s="514">
        <f t="shared" ca="1" si="24"/>
        <v>0</v>
      </c>
      <c r="AV76" s="491"/>
      <c r="AW76" s="491"/>
      <c r="AX76" s="491"/>
      <c r="AY76" s="491"/>
      <c r="AZ76" s="491"/>
      <c r="BA76" s="491"/>
      <c r="BB76" s="491"/>
    </row>
    <row r="77" spans="1:54" hidden="1" outlineLevel="1" x14ac:dyDescent="0.2">
      <c r="A77" s="113"/>
      <c r="B77" s="113"/>
      <c r="C77" s="242">
        <v>15</v>
      </c>
      <c r="D77" s="734"/>
      <c r="E77" s="837"/>
      <c r="F77" s="837"/>
      <c r="G77" s="51" t="str">
        <f t="shared" si="26"/>
        <v/>
      </c>
      <c r="H77" s="51" t="str">
        <f t="shared" si="27"/>
        <v/>
      </c>
      <c r="I77" s="152"/>
      <c r="J77" s="51" t="str">
        <f t="shared" si="28"/>
        <v/>
      </c>
      <c r="K77" s="360"/>
      <c r="L77" s="360"/>
      <c r="M77" s="499"/>
      <c r="N77" s="499"/>
      <c r="O77" s="500"/>
      <c r="P77" s="501"/>
      <c r="Q77" s="244"/>
      <c r="R77" s="888"/>
      <c r="S77" s="888"/>
      <c r="T77" s="888"/>
      <c r="U77" s="888"/>
      <c r="V77" s="888"/>
      <c r="W77" s="491"/>
      <c r="X77" s="491"/>
      <c r="Z77" s="491"/>
      <c r="AA77" s="491"/>
      <c r="AB77" s="71" t="str">
        <f t="shared" si="18"/>
        <v>** NOT USED **</v>
      </c>
      <c r="AC77" s="242">
        <f t="shared" si="25"/>
        <v>1</v>
      </c>
      <c r="AD77" s="242">
        <f t="shared" si="19"/>
        <v>0</v>
      </c>
      <c r="AE77" s="470">
        <f t="shared" si="20"/>
        <v>0</v>
      </c>
      <c r="AF77" s="470">
        <f t="shared" si="21"/>
        <v>0</v>
      </c>
      <c r="AG77" s="735">
        <f t="shared" ca="1" si="22"/>
        <v>0</v>
      </c>
      <c r="AH77" s="491"/>
      <c r="AI77" s="514">
        <f t="shared" ca="1" si="23"/>
        <v>0</v>
      </c>
      <c r="AJ77" s="514">
        <f t="shared" ca="1" si="23"/>
        <v>0</v>
      </c>
      <c r="AK77" s="514">
        <f t="shared" ca="1" si="23"/>
        <v>0</v>
      </c>
      <c r="AL77" s="514">
        <f t="shared" ca="1" si="23"/>
        <v>0</v>
      </c>
      <c r="AM77" s="514">
        <f t="shared" ca="1" si="23"/>
        <v>0</v>
      </c>
      <c r="AN77" s="514">
        <f t="shared" ca="1" si="23"/>
        <v>0</v>
      </c>
      <c r="AP77" s="514">
        <f t="shared" ca="1" si="24"/>
        <v>0</v>
      </c>
      <c r="AQ77" s="514">
        <f t="shared" ca="1" si="24"/>
        <v>0</v>
      </c>
      <c r="AR77" s="514">
        <f t="shared" ca="1" si="24"/>
        <v>0</v>
      </c>
      <c r="AS77" s="514">
        <f t="shared" ca="1" si="24"/>
        <v>0</v>
      </c>
      <c r="AT77" s="514">
        <f t="shared" ca="1" si="24"/>
        <v>0</v>
      </c>
      <c r="AU77" s="514">
        <f t="shared" ca="1" si="24"/>
        <v>0</v>
      </c>
      <c r="AV77" s="491"/>
      <c r="AW77" s="491"/>
      <c r="AX77" s="491"/>
      <c r="AY77" s="491"/>
      <c r="AZ77" s="491"/>
      <c r="BA77" s="491"/>
      <c r="BB77" s="491"/>
    </row>
    <row r="78" spans="1:54" hidden="1" outlineLevel="1" x14ac:dyDescent="0.2">
      <c r="A78" s="113"/>
      <c r="B78" s="113"/>
      <c r="C78" s="242">
        <v>16</v>
      </c>
      <c r="D78" s="734"/>
      <c r="E78" s="837"/>
      <c r="F78" s="837"/>
      <c r="G78" s="51" t="str">
        <f t="shared" si="26"/>
        <v/>
      </c>
      <c r="H78" s="51" t="str">
        <f t="shared" si="27"/>
        <v/>
      </c>
      <c r="I78" s="152"/>
      <c r="J78" s="51" t="str">
        <f t="shared" si="28"/>
        <v/>
      </c>
      <c r="K78" s="360"/>
      <c r="L78" s="360"/>
      <c r="M78" s="499"/>
      <c r="N78" s="499"/>
      <c r="O78" s="500"/>
      <c r="P78" s="501"/>
      <c r="Q78" s="244"/>
      <c r="R78" s="888"/>
      <c r="S78" s="888"/>
      <c r="T78" s="888"/>
      <c r="U78" s="888"/>
      <c r="V78" s="888"/>
      <c r="W78" s="491"/>
      <c r="X78" s="491"/>
      <c r="Z78" s="491"/>
      <c r="AA78" s="491"/>
      <c r="AB78" s="71" t="str">
        <f t="shared" si="18"/>
        <v>** NOT USED **</v>
      </c>
      <c r="AC78" s="242">
        <f t="shared" si="25"/>
        <v>1</v>
      </c>
      <c r="AD78" s="242">
        <f t="shared" si="19"/>
        <v>0</v>
      </c>
      <c r="AE78" s="470">
        <f t="shared" si="20"/>
        <v>0</v>
      </c>
      <c r="AF78" s="470">
        <f t="shared" si="21"/>
        <v>0</v>
      </c>
      <c r="AG78" s="735">
        <f t="shared" ca="1" si="22"/>
        <v>0</v>
      </c>
      <c r="AH78" s="491"/>
      <c r="AI78" s="514">
        <f t="shared" ca="1" si="23"/>
        <v>0</v>
      </c>
      <c r="AJ78" s="514">
        <f t="shared" ca="1" si="23"/>
        <v>0</v>
      </c>
      <c r="AK78" s="514">
        <f t="shared" ca="1" si="23"/>
        <v>0</v>
      </c>
      <c r="AL78" s="514">
        <f t="shared" ca="1" si="23"/>
        <v>0</v>
      </c>
      <c r="AM78" s="514">
        <f t="shared" ca="1" si="23"/>
        <v>0</v>
      </c>
      <c r="AN78" s="514">
        <f t="shared" ca="1" si="23"/>
        <v>0</v>
      </c>
      <c r="AP78" s="514">
        <f t="shared" ca="1" si="24"/>
        <v>0</v>
      </c>
      <c r="AQ78" s="514">
        <f t="shared" ca="1" si="24"/>
        <v>0</v>
      </c>
      <c r="AR78" s="514">
        <f t="shared" ca="1" si="24"/>
        <v>0</v>
      </c>
      <c r="AS78" s="514">
        <f t="shared" ca="1" si="24"/>
        <v>0</v>
      </c>
      <c r="AT78" s="514">
        <f t="shared" ca="1" si="24"/>
        <v>0</v>
      </c>
      <c r="AU78" s="514">
        <f t="shared" ca="1" si="24"/>
        <v>0</v>
      </c>
      <c r="AV78" s="491"/>
      <c r="AW78" s="491"/>
      <c r="AX78" s="491"/>
      <c r="AY78" s="491"/>
      <c r="AZ78" s="491"/>
      <c r="BA78" s="491"/>
      <c r="BB78" s="491"/>
    </row>
    <row r="79" spans="1:54" hidden="1" outlineLevel="1" x14ac:dyDescent="0.2">
      <c r="A79" s="113"/>
      <c r="B79" s="113"/>
      <c r="C79" s="242">
        <v>17</v>
      </c>
      <c r="D79" s="734"/>
      <c r="E79" s="837"/>
      <c r="F79" s="837"/>
      <c r="G79" s="51" t="str">
        <f t="shared" si="26"/>
        <v/>
      </c>
      <c r="H79" s="51" t="str">
        <f t="shared" si="27"/>
        <v/>
      </c>
      <c r="I79" s="152"/>
      <c r="J79" s="51" t="str">
        <f t="shared" si="28"/>
        <v/>
      </c>
      <c r="K79" s="360"/>
      <c r="L79" s="360"/>
      <c r="M79" s="499"/>
      <c r="N79" s="499"/>
      <c r="O79" s="500"/>
      <c r="P79" s="501"/>
      <c r="Q79" s="244"/>
      <c r="R79" s="888"/>
      <c r="S79" s="888"/>
      <c r="T79" s="888"/>
      <c r="U79" s="888"/>
      <c r="V79" s="888"/>
      <c r="W79" s="491"/>
      <c r="X79" s="491"/>
      <c r="Z79" s="491"/>
      <c r="AA79" s="491"/>
      <c r="AB79" s="71" t="str">
        <f t="shared" si="18"/>
        <v>** NOT USED **</v>
      </c>
      <c r="AC79" s="242">
        <f t="shared" si="25"/>
        <v>1</v>
      </c>
      <c r="AD79" s="242">
        <f t="shared" si="19"/>
        <v>0</v>
      </c>
      <c r="AE79" s="470">
        <f t="shared" si="20"/>
        <v>0</v>
      </c>
      <c r="AF79" s="470">
        <f t="shared" si="21"/>
        <v>0</v>
      </c>
      <c r="AG79" s="735">
        <f t="shared" ca="1" si="22"/>
        <v>0</v>
      </c>
      <c r="AH79" s="491"/>
      <c r="AI79" s="514">
        <f t="shared" ref="AI79:AN82" ca="1" si="29">IF($AG79&lt;&gt;0,INDEX(PxTxPhase1Adj,$AG79,AI$60),0)</f>
        <v>0</v>
      </c>
      <c r="AJ79" s="514">
        <f t="shared" ca="1" si="29"/>
        <v>0</v>
      </c>
      <c r="AK79" s="514">
        <f t="shared" ca="1" si="29"/>
        <v>0</v>
      </c>
      <c r="AL79" s="514">
        <f t="shared" ca="1" si="29"/>
        <v>0</v>
      </c>
      <c r="AM79" s="514">
        <f t="shared" ca="1" si="29"/>
        <v>0</v>
      </c>
      <c r="AN79" s="514">
        <f t="shared" ca="1" si="29"/>
        <v>0</v>
      </c>
      <c r="AP79" s="514">
        <f t="shared" ref="AP79:AU82" ca="1" si="30">IF($AG79&lt;&gt;0,INDEX(PxTxPhase2Adj,$AG79,AP$60),0)</f>
        <v>0</v>
      </c>
      <c r="AQ79" s="514">
        <f t="shared" ca="1" si="30"/>
        <v>0</v>
      </c>
      <c r="AR79" s="514">
        <f t="shared" ca="1" si="30"/>
        <v>0</v>
      </c>
      <c r="AS79" s="514">
        <f t="shared" ca="1" si="30"/>
        <v>0</v>
      </c>
      <c r="AT79" s="514">
        <f t="shared" ca="1" si="30"/>
        <v>0</v>
      </c>
      <c r="AU79" s="514">
        <f t="shared" ca="1" si="30"/>
        <v>0</v>
      </c>
      <c r="AV79" s="491"/>
      <c r="AW79" s="491"/>
      <c r="AX79" s="491"/>
      <c r="AY79" s="491"/>
      <c r="AZ79" s="491"/>
      <c r="BA79" s="491"/>
      <c r="BB79" s="491"/>
    </row>
    <row r="80" spans="1:54" hidden="1" outlineLevel="1" x14ac:dyDescent="0.2">
      <c r="A80" s="113"/>
      <c r="B80" s="113"/>
      <c r="C80" s="242">
        <v>18</v>
      </c>
      <c r="D80" s="734"/>
      <c r="E80" s="837"/>
      <c r="F80" s="837"/>
      <c r="G80" s="51" t="str">
        <f t="shared" si="26"/>
        <v/>
      </c>
      <c r="H80" s="51" t="str">
        <f t="shared" si="27"/>
        <v/>
      </c>
      <c r="I80" s="152"/>
      <c r="J80" s="51" t="str">
        <f t="shared" si="28"/>
        <v/>
      </c>
      <c r="K80" s="360"/>
      <c r="L80" s="360"/>
      <c r="M80" s="499"/>
      <c r="N80" s="499"/>
      <c r="O80" s="500"/>
      <c r="P80" s="501"/>
      <c r="Q80" s="244"/>
      <c r="R80" s="888"/>
      <c r="S80" s="888"/>
      <c r="T80" s="888"/>
      <c r="U80" s="888"/>
      <c r="V80" s="888"/>
      <c r="W80" s="491"/>
      <c r="X80" s="491"/>
      <c r="Z80" s="491"/>
      <c r="AA80" s="491"/>
      <c r="AB80" s="71" t="str">
        <f t="shared" si="18"/>
        <v>** NOT USED **</v>
      </c>
      <c r="AC80" s="242">
        <f t="shared" si="25"/>
        <v>1</v>
      </c>
      <c r="AD80" s="242">
        <f t="shared" si="19"/>
        <v>0</v>
      </c>
      <c r="AE80" s="470">
        <f t="shared" si="20"/>
        <v>0</v>
      </c>
      <c r="AF80" s="470">
        <f t="shared" si="21"/>
        <v>0</v>
      </c>
      <c r="AG80" s="735">
        <f t="shared" ca="1" si="22"/>
        <v>0</v>
      </c>
      <c r="AH80" s="491"/>
      <c r="AI80" s="514">
        <f t="shared" ca="1" si="29"/>
        <v>0</v>
      </c>
      <c r="AJ80" s="514">
        <f t="shared" ca="1" si="29"/>
        <v>0</v>
      </c>
      <c r="AK80" s="514">
        <f t="shared" ca="1" si="29"/>
        <v>0</v>
      </c>
      <c r="AL80" s="514">
        <f t="shared" ca="1" si="29"/>
        <v>0</v>
      </c>
      <c r="AM80" s="514">
        <f t="shared" ca="1" si="29"/>
        <v>0</v>
      </c>
      <c r="AN80" s="514">
        <f t="shared" ca="1" si="29"/>
        <v>0</v>
      </c>
      <c r="AP80" s="514">
        <f t="shared" ca="1" si="30"/>
        <v>0</v>
      </c>
      <c r="AQ80" s="514">
        <f t="shared" ca="1" si="30"/>
        <v>0</v>
      </c>
      <c r="AR80" s="514">
        <f t="shared" ca="1" si="30"/>
        <v>0</v>
      </c>
      <c r="AS80" s="514">
        <f t="shared" ca="1" si="30"/>
        <v>0</v>
      </c>
      <c r="AT80" s="514">
        <f t="shared" ca="1" si="30"/>
        <v>0</v>
      </c>
      <c r="AU80" s="514">
        <f t="shared" ca="1" si="30"/>
        <v>0</v>
      </c>
      <c r="AV80" s="491"/>
      <c r="AW80" s="491"/>
      <c r="AX80" s="491"/>
      <c r="AY80" s="491"/>
      <c r="AZ80" s="491"/>
      <c r="BA80" s="491"/>
      <c r="BB80" s="491"/>
    </row>
    <row r="81" spans="1:54" hidden="1" outlineLevel="1" x14ac:dyDescent="0.2">
      <c r="A81" s="113"/>
      <c r="B81" s="113"/>
      <c r="C81" s="242">
        <v>19</v>
      </c>
      <c r="D81" s="734"/>
      <c r="E81" s="837"/>
      <c r="F81" s="837"/>
      <c r="G81" s="51" t="str">
        <f t="shared" si="26"/>
        <v/>
      </c>
      <c r="H81" s="51" t="str">
        <f t="shared" si="27"/>
        <v/>
      </c>
      <c r="I81" s="152"/>
      <c r="J81" s="51" t="str">
        <f t="shared" si="28"/>
        <v/>
      </c>
      <c r="K81" s="360"/>
      <c r="L81" s="360"/>
      <c r="M81" s="499"/>
      <c r="N81" s="499"/>
      <c r="O81" s="500"/>
      <c r="P81" s="501"/>
      <c r="Q81" s="244"/>
      <c r="R81" s="888"/>
      <c r="S81" s="888"/>
      <c r="T81" s="888"/>
      <c r="U81" s="888"/>
      <c r="V81" s="888"/>
      <c r="W81" s="491"/>
      <c r="X81" s="491"/>
      <c r="Z81" s="491"/>
      <c r="AA81" s="491"/>
      <c r="AB81" s="71" t="str">
        <f t="shared" si="18"/>
        <v>** NOT USED **</v>
      </c>
      <c r="AC81" s="242">
        <f t="shared" si="25"/>
        <v>1</v>
      </c>
      <c r="AD81" s="242">
        <f t="shared" si="19"/>
        <v>0</v>
      </c>
      <c r="AE81" s="470">
        <f t="shared" si="20"/>
        <v>0</v>
      </c>
      <c r="AF81" s="470">
        <f t="shared" si="21"/>
        <v>0</v>
      </c>
      <c r="AG81" s="735">
        <f t="shared" ca="1" si="22"/>
        <v>0</v>
      </c>
      <c r="AH81" s="491"/>
      <c r="AI81" s="514">
        <f t="shared" ca="1" si="29"/>
        <v>0</v>
      </c>
      <c r="AJ81" s="514">
        <f t="shared" ca="1" si="29"/>
        <v>0</v>
      </c>
      <c r="AK81" s="514">
        <f t="shared" ca="1" si="29"/>
        <v>0</v>
      </c>
      <c r="AL81" s="514">
        <f t="shared" ca="1" si="29"/>
        <v>0</v>
      </c>
      <c r="AM81" s="514">
        <f t="shared" ca="1" si="29"/>
        <v>0</v>
      </c>
      <c r="AN81" s="514">
        <f t="shared" ca="1" si="29"/>
        <v>0</v>
      </c>
      <c r="AP81" s="514">
        <f t="shared" ca="1" si="30"/>
        <v>0</v>
      </c>
      <c r="AQ81" s="514">
        <f t="shared" ca="1" si="30"/>
        <v>0</v>
      </c>
      <c r="AR81" s="514">
        <f t="shared" ca="1" si="30"/>
        <v>0</v>
      </c>
      <c r="AS81" s="514">
        <f t="shared" ca="1" si="30"/>
        <v>0</v>
      </c>
      <c r="AT81" s="514">
        <f t="shared" ca="1" si="30"/>
        <v>0</v>
      </c>
      <c r="AU81" s="514">
        <f t="shared" ca="1" si="30"/>
        <v>0</v>
      </c>
      <c r="AV81" s="491"/>
      <c r="AW81" s="491"/>
      <c r="AX81" s="491"/>
      <c r="AY81" s="491"/>
      <c r="AZ81" s="491"/>
      <c r="BA81" s="491"/>
      <c r="BB81" s="491"/>
    </row>
    <row r="82" spans="1:54" hidden="1" outlineLevel="1" x14ac:dyDescent="0.2">
      <c r="A82" s="113"/>
      <c r="B82" s="113"/>
      <c r="C82" s="242">
        <v>20</v>
      </c>
      <c r="D82" s="734"/>
      <c r="E82" s="837"/>
      <c r="F82" s="837"/>
      <c r="G82" s="51" t="str">
        <f t="shared" si="26"/>
        <v/>
      </c>
      <c r="H82" s="51" t="str">
        <f t="shared" si="27"/>
        <v/>
      </c>
      <c r="I82" s="152"/>
      <c r="J82" s="51" t="str">
        <f t="shared" si="28"/>
        <v/>
      </c>
      <c r="K82" s="360"/>
      <c r="L82" s="360"/>
      <c r="M82" s="499"/>
      <c r="N82" s="499"/>
      <c r="O82" s="500"/>
      <c r="P82" s="501"/>
      <c r="Q82" s="244"/>
      <c r="R82" s="888"/>
      <c r="S82" s="888"/>
      <c r="T82" s="888"/>
      <c r="U82" s="888"/>
      <c r="V82" s="888"/>
      <c r="W82" s="491"/>
      <c r="X82" s="491"/>
      <c r="Z82" s="491"/>
      <c r="AA82" s="491"/>
      <c r="AB82" s="71" t="str">
        <f t="shared" si="18"/>
        <v>** NOT USED **</v>
      </c>
      <c r="AC82" s="242">
        <f t="shared" si="25"/>
        <v>1</v>
      </c>
      <c r="AD82" s="242">
        <f t="shared" si="19"/>
        <v>0</v>
      </c>
      <c r="AE82" s="470">
        <f t="shared" si="20"/>
        <v>0</v>
      </c>
      <c r="AF82" s="470">
        <f t="shared" si="21"/>
        <v>0</v>
      </c>
      <c r="AG82" s="735">
        <f t="shared" ca="1" si="22"/>
        <v>0</v>
      </c>
      <c r="AH82" s="491"/>
      <c r="AI82" s="514">
        <f t="shared" ca="1" si="29"/>
        <v>0</v>
      </c>
      <c r="AJ82" s="514">
        <f t="shared" ca="1" si="29"/>
        <v>0</v>
      </c>
      <c r="AK82" s="514">
        <f t="shared" ca="1" si="29"/>
        <v>0</v>
      </c>
      <c r="AL82" s="514">
        <f t="shared" ca="1" si="29"/>
        <v>0</v>
      </c>
      <c r="AM82" s="514">
        <f t="shared" ca="1" si="29"/>
        <v>0</v>
      </c>
      <c r="AN82" s="514">
        <f t="shared" ca="1" si="29"/>
        <v>0</v>
      </c>
      <c r="AP82" s="514">
        <f t="shared" ca="1" si="30"/>
        <v>0</v>
      </c>
      <c r="AQ82" s="514">
        <f t="shared" ca="1" si="30"/>
        <v>0</v>
      </c>
      <c r="AR82" s="514">
        <f t="shared" ca="1" si="30"/>
        <v>0</v>
      </c>
      <c r="AS82" s="514">
        <f t="shared" ca="1" si="30"/>
        <v>0</v>
      </c>
      <c r="AT82" s="514">
        <f t="shared" ca="1" si="30"/>
        <v>0</v>
      </c>
      <c r="AU82" s="514">
        <f t="shared" ca="1" si="30"/>
        <v>0</v>
      </c>
      <c r="AV82" s="491"/>
      <c r="AW82" s="491"/>
      <c r="AX82" s="491"/>
      <c r="AY82" s="491"/>
      <c r="AZ82" s="491"/>
      <c r="BA82" s="491"/>
      <c r="BB82" s="491"/>
    </row>
    <row r="83" spans="1:54" hidden="1" outlineLevel="1" x14ac:dyDescent="0.2">
      <c r="A83" s="113"/>
      <c r="B83" s="113"/>
      <c r="C83" s="113"/>
      <c r="D83" s="490"/>
      <c r="E83" s="490"/>
      <c r="F83" s="490"/>
      <c r="G83" s="490"/>
      <c r="H83" s="490"/>
      <c r="I83" s="490"/>
      <c r="J83" s="490"/>
      <c r="K83" s="490"/>
      <c r="L83" s="490"/>
      <c r="M83" s="490"/>
      <c r="N83" s="490"/>
      <c r="O83" s="490"/>
      <c r="P83" s="490"/>
      <c r="Q83" s="113"/>
      <c r="R83" s="113"/>
      <c r="S83" s="113"/>
      <c r="T83" s="113"/>
      <c r="U83" s="113"/>
      <c r="V83" s="113"/>
      <c r="W83" s="491"/>
      <c r="X83" s="491"/>
      <c r="Y83" s="491"/>
      <c r="Z83" s="491"/>
      <c r="AA83" s="491"/>
      <c r="AB83" s="491"/>
      <c r="AC83" s="491"/>
      <c r="AD83" s="491"/>
      <c r="AE83" s="491"/>
      <c r="AF83" s="491"/>
      <c r="AG83" s="491"/>
      <c r="AH83" s="491"/>
      <c r="AI83" s="491"/>
      <c r="AJ83" s="491"/>
      <c r="AK83" s="491"/>
      <c r="AL83" s="491"/>
      <c r="AM83" s="491"/>
      <c r="AN83" s="491"/>
      <c r="AO83" s="491"/>
      <c r="AP83" s="491"/>
      <c r="AQ83" s="491"/>
      <c r="AR83" s="491"/>
      <c r="AS83" s="491"/>
      <c r="AT83" s="491"/>
      <c r="AU83" s="491"/>
      <c r="AV83" s="491"/>
      <c r="AW83" s="491"/>
      <c r="AX83" s="491"/>
      <c r="AY83" s="491"/>
      <c r="AZ83" s="491"/>
      <c r="BA83" s="491"/>
      <c r="BB83" s="491"/>
    </row>
    <row r="84" spans="1:54" hidden="1" outlineLevel="1" x14ac:dyDescent="0.2">
      <c r="A84" s="113"/>
      <c r="B84" s="113"/>
      <c r="C84" s="113"/>
      <c r="D84" s="490"/>
      <c r="E84" s="490"/>
      <c r="F84" s="490"/>
      <c r="G84" s="490"/>
      <c r="H84" s="490"/>
      <c r="I84" s="490"/>
      <c r="J84" s="490"/>
      <c r="K84" s="490"/>
      <c r="L84" s="490"/>
      <c r="M84" s="490"/>
      <c r="N84" s="490"/>
      <c r="O84" s="490"/>
      <c r="P84" s="490"/>
      <c r="Q84" s="490"/>
      <c r="R84" s="490"/>
      <c r="S84" s="490"/>
      <c r="T84" s="490"/>
      <c r="U84" s="490"/>
      <c r="V84" s="490"/>
      <c r="W84" s="491"/>
      <c r="X84" s="491"/>
      <c r="Y84" s="491"/>
      <c r="Z84" s="491"/>
      <c r="AA84" s="491"/>
      <c r="AB84" s="491"/>
      <c r="AC84" s="491"/>
      <c r="AD84" s="491"/>
      <c r="AE84" s="491"/>
      <c r="AF84" s="491"/>
      <c r="AG84" s="491"/>
      <c r="AH84" s="491"/>
      <c r="AI84" s="491"/>
      <c r="AJ84" s="491"/>
      <c r="AK84" s="491"/>
      <c r="AL84" s="491"/>
      <c r="AM84" s="491"/>
      <c r="AN84" s="491"/>
      <c r="AO84" s="491"/>
      <c r="AP84" s="491"/>
      <c r="AQ84" s="491"/>
      <c r="AR84" s="491"/>
      <c r="AS84" s="491"/>
      <c r="AT84" s="491"/>
      <c r="AU84" s="491"/>
      <c r="AV84" s="491"/>
      <c r="AW84" s="491"/>
      <c r="AX84" s="491"/>
      <c r="AY84" s="491"/>
      <c r="AZ84" s="491"/>
      <c r="BA84" s="491"/>
      <c r="BB84" s="491"/>
    </row>
    <row r="85" spans="1:54" ht="15.75" hidden="1" outlineLevel="1" x14ac:dyDescent="0.2">
      <c r="A85" s="113"/>
      <c r="B85" s="113"/>
      <c r="C85" s="113"/>
      <c r="D85" s="79" t="s">
        <v>876</v>
      </c>
      <c r="E85" s="494"/>
      <c r="F85" s="115"/>
      <c r="G85" s="115"/>
      <c r="H85" s="115"/>
      <c r="I85" s="115"/>
      <c r="J85" s="115"/>
      <c r="K85" s="115"/>
      <c r="L85" s="115"/>
      <c r="M85" s="115"/>
      <c r="N85" s="115"/>
      <c r="O85" s="115"/>
      <c r="P85" s="115"/>
      <c r="Q85" s="115"/>
      <c r="R85" s="115"/>
      <c r="S85" s="115"/>
      <c r="T85" s="115"/>
      <c r="U85" s="115"/>
      <c r="V85" s="115"/>
      <c r="W85" s="491"/>
      <c r="X85" s="491"/>
      <c r="Y85" s="491"/>
      <c r="Z85" s="491"/>
      <c r="AA85" s="491"/>
      <c r="AB85" s="491"/>
      <c r="AC85" s="491"/>
      <c r="AD85" s="491"/>
      <c r="AE85" s="491"/>
      <c r="AF85" s="491"/>
      <c r="AG85" s="491"/>
      <c r="AH85" s="491"/>
      <c r="AI85" s="491"/>
      <c r="AJ85" s="491"/>
      <c r="AK85" s="491"/>
      <c r="AL85" s="491"/>
      <c r="AM85" s="491"/>
      <c r="AN85" s="491"/>
      <c r="AO85" s="491"/>
      <c r="AP85" s="491"/>
      <c r="AQ85" s="491"/>
      <c r="AR85" s="491"/>
      <c r="AS85" s="491"/>
      <c r="AT85" s="491"/>
      <c r="AU85" s="491"/>
      <c r="AV85" s="491"/>
      <c r="AW85" s="491"/>
      <c r="AX85" s="491"/>
      <c r="AY85" s="491"/>
      <c r="AZ85" s="491"/>
      <c r="BA85" s="491"/>
      <c r="BB85" s="491"/>
    </row>
    <row r="86" spans="1:54" ht="13.5" hidden="1" outlineLevel="1" thickBot="1" x14ac:dyDescent="0.25">
      <c r="A86" s="113"/>
      <c r="B86" s="113"/>
      <c r="C86" s="113"/>
      <c r="D86" s="113"/>
      <c r="E86" s="113"/>
      <c r="F86" s="113"/>
      <c r="G86" s="113"/>
      <c r="H86" s="113"/>
      <c r="I86" s="113"/>
      <c r="J86" s="113"/>
      <c r="K86" s="113"/>
      <c r="L86" s="113"/>
      <c r="M86" s="113"/>
      <c r="N86" s="113"/>
      <c r="O86" s="113"/>
      <c r="P86" s="113"/>
      <c r="Q86" s="113"/>
      <c r="R86" s="113"/>
      <c r="S86" s="113"/>
      <c r="T86" s="113"/>
      <c r="U86" s="113"/>
      <c r="V86" s="113"/>
      <c r="W86" s="491"/>
      <c r="X86" s="491"/>
      <c r="Y86" s="491"/>
      <c r="Z86" s="491"/>
      <c r="AA86" s="491"/>
      <c r="AB86" s="491"/>
      <c r="AC86" s="491"/>
      <c r="AD86" s="491"/>
      <c r="AE86" s="491"/>
      <c r="AF86" s="491"/>
      <c r="AG86" s="491"/>
      <c r="AH86" s="491"/>
      <c r="AI86" s="491"/>
      <c r="AJ86" s="491"/>
      <c r="AK86" s="491"/>
      <c r="AL86" s="491"/>
      <c r="AM86" s="491"/>
      <c r="AN86" s="491"/>
      <c r="AO86" s="491"/>
      <c r="AP86" s="491"/>
      <c r="AQ86" s="491"/>
      <c r="AR86" s="491"/>
      <c r="AS86" s="491"/>
      <c r="AT86" s="491"/>
      <c r="AU86" s="491"/>
      <c r="AV86" s="491"/>
      <c r="AW86" s="491"/>
      <c r="AX86" s="491"/>
      <c r="AY86" s="491"/>
      <c r="AZ86" s="491"/>
      <c r="BA86" s="491"/>
      <c r="BB86" s="491"/>
    </row>
    <row r="87" spans="1:54" ht="25.5" hidden="1" outlineLevel="1" x14ac:dyDescent="0.2">
      <c r="A87" s="113"/>
      <c r="B87" s="113"/>
      <c r="C87" s="113"/>
      <c r="D87" s="897" t="s">
        <v>311</v>
      </c>
      <c r="E87" s="897"/>
      <c r="F87" s="897"/>
      <c r="G87" s="897" t="s">
        <v>852</v>
      </c>
      <c r="H87" s="898"/>
      <c r="I87" s="898"/>
      <c r="J87" s="67" t="s">
        <v>314</v>
      </c>
      <c r="K87" s="113"/>
      <c r="L87" s="113"/>
      <c r="M87" s="113"/>
      <c r="N87" s="113"/>
      <c r="O87" s="113"/>
      <c r="P87" s="113"/>
      <c r="Q87" s="113"/>
      <c r="R87" s="113"/>
      <c r="W87" s="491"/>
      <c r="X87" s="725"/>
      <c r="Y87" s="229" t="s">
        <v>247</v>
      </c>
      <c r="Z87" s="229" t="s">
        <v>815</v>
      </c>
      <c r="AA87" s="229" t="str">
        <f>"Fee @ " &amp; TEXT(MBSRebateRate,"00%")</f>
        <v>Fee @ 80%</v>
      </c>
      <c r="AB87" s="491"/>
      <c r="AC87" s="491"/>
      <c r="AD87" s="491"/>
      <c r="AE87" s="491"/>
      <c r="AF87" s="491"/>
      <c r="AG87" s="491"/>
      <c r="AH87" s="901" t="s">
        <v>225</v>
      </c>
      <c r="AI87" s="902"/>
      <c r="AJ87" s="902"/>
      <c r="AK87" s="902"/>
      <c r="AL87" s="902"/>
      <c r="AM87" s="902"/>
      <c r="AN87" s="902"/>
      <c r="AO87" s="902"/>
      <c r="AP87" s="902"/>
      <c r="AQ87" s="902"/>
      <c r="AR87" s="902"/>
      <c r="AS87" s="902"/>
      <c r="AT87" s="902"/>
      <c r="AU87" s="902"/>
      <c r="AV87" s="902"/>
      <c r="AW87" s="902"/>
      <c r="AX87" s="902"/>
      <c r="AY87" s="902"/>
      <c r="AZ87" s="902"/>
      <c r="BA87" s="902"/>
      <c r="BB87" s="903"/>
    </row>
    <row r="88" spans="1:54" ht="13.5" hidden="1" outlineLevel="1" thickBot="1" x14ac:dyDescent="0.25">
      <c r="A88" s="113"/>
      <c r="B88" s="113"/>
      <c r="C88" s="242">
        <v>1</v>
      </c>
      <c r="D88" s="886" t="str">
        <f t="shared" ref="D88:D97" si="31">INDEX(MBSIncNames,C88)</f>
        <v>** NOT USED **</v>
      </c>
      <c r="E88" s="886"/>
      <c r="F88" s="886"/>
      <c r="G88" s="887"/>
      <c r="H88" s="888"/>
      <c r="I88" s="888"/>
      <c r="J88" s="68" t="str">
        <f t="shared" ref="J88:J98" si="32">IF(AD63=2,IF(AND(D88&lt;&gt;MsgNotUsed,G88=""),"All scripts","Specific medicine"),IF(AD63=1,"All patients",""))</f>
        <v/>
      </c>
      <c r="K88" s="113"/>
      <c r="L88" s="113"/>
      <c r="M88" s="113"/>
      <c r="N88" s="113"/>
      <c r="O88" s="113"/>
      <c r="P88" s="113"/>
      <c r="Q88" s="113"/>
      <c r="R88" s="113"/>
      <c r="W88" s="491"/>
      <c r="X88" s="726"/>
      <c r="Y88" s="242">
        <f t="shared" ref="Y88:Y98" si="33">IF(OR(D88=MsgNotUsed,AD63=1),0,1)</f>
        <v>0</v>
      </c>
      <c r="Z88" s="242" t="str">
        <f t="shared" ref="Z88:Z107" si="34">IF(G88&lt;&gt;"",MATCH(G88,NamesNewTx,0),IF(J88="All scripts",21,""))</f>
        <v/>
      </c>
      <c r="AA88" s="756">
        <f t="shared" ref="AA88:AA107" si="35">O63*MBSRebateRate</f>
        <v>0</v>
      </c>
      <c r="AB88" s="491"/>
      <c r="AC88" s="491"/>
      <c r="AD88" s="491"/>
      <c r="AE88" s="491"/>
      <c r="AF88" s="491"/>
      <c r="AG88" s="491"/>
      <c r="AH88" s="904" t="str">
        <f>TxPhase1PxTotal</f>
        <v/>
      </c>
      <c r="AI88" s="905"/>
      <c r="AJ88" s="905"/>
      <c r="AK88" s="905"/>
      <c r="AL88" s="905"/>
      <c r="AM88" s="905"/>
      <c r="AN88" s="906"/>
      <c r="AO88" s="907" t="str">
        <f>TxPhase2PxTotal</f>
        <v/>
      </c>
      <c r="AP88" s="905"/>
      <c r="AQ88" s="905"/>
      <c r="AR88" s="905"/>
      <c r="AS88" s="905"/>
      <c r="AT88" s="905"/>
      <c r="AU88" s="906"/>
      <c r="AV88" s="907" t="s">
        <v>427</v>
      </c>
      <c r="AW88" s="905"/>
      <c r="AX88" s="905"/>
      <c r="AY88" s="905"/>
      <c r="AZ88" s="905"/>
      <c r="BA88" s="905"/>
      <c r="BB88" s="910"/>
    </row>
    <row r="89" spans="1:54" hidden="1" outlineLevel="1" x14ac:dyDescent="0.2">
      <c r="A89" s="113"/>
      <c r="B89" s="113"/>
      <c r="C89" s="242">
        <v>2</v>
      </c>
      <c r="D89" s="886" t="str">
        <f t="shared" si="31"/>
        <v>** NOT USED **</v>
      </c>
      <c r="E89" s="886"/>
      <c r="F89" s="886"/>
      <c r="G89" s="887"/>
      <c r="H89" s="888"/>
      <c r="I89" s="888"/>
      <c r="J89" s="68" t="str">
        <f t="shared" si="32"/>
        <v/>
      </c>
      <c r="K89" s="113"/>
      <c r="L89" s="113"/>
      <c r="M89" s="113"/>
      <c r="N89" s="113"/>
      <c r="O89" s="113"/>
      <c r="P89" s="113"/>
      <c r="Q89" s="113"/>
      <c r="R89" s="113"/>
      <c r="W89" s="491"/>
      <c r="X89" s="726"/>
      <c r="Y89" s="242">
        <f t="shared" si="33"/>
        <v>0</v>
      </c>
      <c r="Z89" s="242" t="str">
        <f t="shared" si="34"/>
        <v/>
      </c>
      <c r="AA89" s="756">
        <f t="shared" si="35"/>
        <v>0</v>
      </c>
      <c r="AB89" s="491"/>
      <c r="AC89" s="491"/>
      <c r="AD89" s="491"/>
      <c r="AE89" s="491"/>
      <c r="AF89" s="491"/>
      <c r="AG89" s="491"/>
      <c r="AH89" s="379"/>
      <c r="AI89" s="380">
        <f>FirstYear</f>
        <v>2021</v>
      </c>
      <c r="AJ89" s="380">
        <f>AI89+1</f>
        <v>2022</v>
      </c>
      <c r="AK89" s="380">
        <f>AJ89+1</f>
        <v>2023</v>
      </c>
      <c r="AL89" s="380">
        <f>AK89+1</f>
        <v>2024</v>
      </c>
      <c r="AM89" s="380">
        <f>AL89+1</f>
        <v>2025</v>
      </c>
      <c r="AN89" s="381">
        <f>AM89+1</f>
        <v>2026</v>
      </c>
      <c r="AO89" s="744"/>
      <c r="AP89" s="380">
        <f>FirstYear</f>
        <v>2021</v>
      </c>
      <c r="AQ89" s="380">
        <f>AP89+1</f>
        <v>2022</v>
      </c>
      <c r="AR89" s="380">
        <f>AQ89+1</f>
        <v>2023</v>
      </c>
      <c r="AS89" s="380">
        <f>AR89+1</f>
        <v>2024</v>
      </c>
      <c r="AT89" s="380">
        <f>AS89+1</f>
        <v>2025</v>
      </c>
      <c r="AU89" s="747">
        <f>AT89+1</f>
        <v>2026</v>
      </c>
      <c r="AV89" s="379"/>
      <c r="AW89" s="380">
        <f>FirstYear</f>
        <v>2021</v>
      </c>
      <c r="AX89" s="380">
        <f>AW89+1</f>
        <v>2022</v>
      </c>
      <c r="AY89" s="380">
        <f>AX89+1</f>
        <v>2023</v>
      </c>
      <c r="AZ89" s="380">
        <f>AY89+1</f>
        <v>2024</v>
      </c>
      <c r="BA89" s="380">
        <f>AZ89+1</f>
        <v>2025</v>
      </c>
      <c r="BB89" s="381">
        <f>BA89+1</f>
        <v>2026</v>
      </c>
    </row>
    <row r="90" spans="1:54" hidden="1" outlineLevel="1" x14ac:dyDescent="0.2">
      <c r="A90" s="113"/>
      <c r="B90" s="113"/>
      <c r="C90" s="242">
        <v>3</v>
      </c>
      <c r="D90" s="886" t="str">
        <f t="shared" si="31"/>
        <v>** NOT USED **</v>
      </c>
      <c r="E90" s="886"/>
      <c r="F90" s="886"/>
      <c r="G90" s="887"/>
      <c r="H90" s="888"/>
      <c r="I90" s="888"/>
      <c r="J90" s="68" t="str">
        <f t="shared" si="32"/>
        <v/>
      </c>
      <c r="K90" s="113"/>
      <c r="L90" s="113"/>
      <c r="M90" s="113"/>
      <c r="N90" s="113"/>
      <c r="O90" s="113"/>
      <c r="P90" s="113"/>
      <c r="Q90" s="113"/>
      <c r="R90" s="113"/>
      <c r="W90" s="491"/>
      <c r="X90" s="726"/>
      <c r="Y90" s="242">
        <f t="shared" si="33"/>
        <v>0</v>
      </c>
      <c r="Z90" s="242" t="str">
        <f t="shared" si="34"/>
        <v/>
      </c>
      <c r="AA90" s="756">
        <f t="shared" si="35"/>
        <v>0</v>
      </c>
      <c r="AB90" s="491"/>
      <c r="AC90" s="491"/>
      <c r="AD90" s="491"/>
      <c r="AE90" s="491"/>
      <c r="AF90" s="491"/>
      <c r="AG90" s="491"/>
      <c r="AH90" s="516">
        <v>1</v>
      </c>
      <c r="AI90" s="514">
        <f t="shared" ref="AI90:AN94" si="36">IF(OR(ScriptSourceCode=1,ScriptSourceCode=3),AI63-AI114,0)</f>
        <v>0</v>
      </c>
      <c r="AJ90" s="514">
        <f t="shared" si="36"/>
        <v>0</v>
      </c>
      <c r="AK90" s="514">
        <f t="shared" si="36"/>
        <v>0</v>
      </c>
      <c r="AL90" s="514">
        <f t="shared" si="36"/>
        <v>0</v>
      </c>
      <c r="AM90" s="514">
        <f t="shared" si="36"/>
        <v>0</v>
      </c>
      <c r="AN90" s="515">
        <f t="shared" si="36"/>
        <v>0</v>
      </c>
      <c r="AO90" s="750"/>
      <c r="AP90" s="514">
        <f t="shared" ref="AP90:AU94" si="37">IF(OR(ScriptSourceCode=1,ScriptSourceCode=3),AP63-AP114,0)</f>
        <v>0</v>
      </c>
      <c r="AQ90" s="514">
        <f t="shared" si="37"/>
        <v>0</v>
      </c>
      <c r="AR90" s="514">
        <f t="shared" si="37"/>
        <v>0</v>
      </c>
      <c r="AS90" s="514">
        <f t="shared" si="37"/>
        <v>0</v>
      </c>
      <c r="AT90" s="514">
        <f t="shared" si="37"/>
        <v>0</v>
      </c>
      <c r="AU90" s="748">
        <f t="shared" si="37"/>
        <v>0</v>
      </c>
      <c r="AV90" s="378"/>
      <c r="AW90" s="514">
        <f t="shared" ref="AW90:AW95" si="38">AI90+AP90</f>
        <v>0</v>
      </c>
      <c r="AX90" s="514">
        <f t="shared" ref="AX90:AX95" si="39">AJ90+AQ90</f>
        <v>0</v>
      </c>
      <c r="AY90" s="514">
        <f t="shared" ref="AY90:AY95" si="40">AK90+AR90</f>
        <v>0</v>
      </c>
      <c r="AZ90" s="514">
        <f t="shared" ref="AZ90:AZ95" si="41">AL90+AS90</f>
        <v>0</v>
      </c>
      <c r="BA90" s="514">
        <f t="shared" ref="BA90:BA95" si="42">AM90+AT90</f>
        <v>0</v>
      </c>
      <c r="BB90" s="515">
        <f t="shared" ref="BB90:BB95" si="43">AN90+AU90</f>
        <v>0</v>
      </c>
    </row>
    <row r="91" spans="1:54" hidden="1" outlineLevel="1" x14ac:dyDescent="0.2">
      <c r="A91" s="113"/>
      <c r="B91" s="113"/>
      <c r="C91" s="242">
        <v>4</v>
      </c>
      <c r="D91" s="886" t="str">
        <f t="shared" si="31"/>
        <v>** NOT USED **</v>
      </c>
      <c r="E91" s="886"/>
      <c r="F91" s="886"/>
      <c r="G91" s="887"/>
      <c r="H91" s="888"/>
      <c r="I91" s="888"/>
      <c r="J91" s="68" t="str">
        <f t="shared" si="32"/>
        <v/>
      </c>
      <c r="K91" s="113"/>
      <c r="L91" s="113"/>
      <c r="M91" s="113"/>
      <c r="N91" s="113"/>
      <c r="O91" s="113"/>
      <c r="P91" s="113"/>
      <c r="Q91" s="113"/>
      <c r="R91" s="113"/>
      <c r="W91" s="491"/>
      <c r="X91" s="726"/>
      <c r="Y91" s="242">
        <f t="shared" si="33"/>
        <v>0</v>
      </c>
      <c r="Z91" s="242" t="str">
        <f t="shared" si="34"/>
        <v/>
      </c>
      <c r="AA91" s="756">
        <f t="shared" si="35"/>
        <v>0</v>
      </c>
      <c r="AB91" s="491"/>
      <c r="AC91" s="491"/>
      <c r="AD91" s="491"/>
      <c r="AE91" s="491"/>
      <c r="AF91" s="491"/>
      <c r="AG91" s="491"/>
      <c r="AH91" s="516">
        <v>2</v>
      </c>
      <c r="AI91" s="514">
        <f t="shared" si="36"/>
        <v>0</v>
      </c>
      <c r="AJ91" s="514">
        <f t="shared" si="36"/>
        <v>0</v>
      </c>
      <c r="AK91" s="514">
        <f t="shared" si="36"/>
        <v>0</v>
      </c>
      <c r="AL91" s="514">
        <f t="shared" si="36"/>
        <v>0</v>
      </c>
      <c r="AM91" s="514">
        <f t="shared" si="36"/>
        <v>0</v>
      </c>
      <c r="AN91" s="515">
        <f t="shared" si="36"/>
        <v>0</v>
      </c>
      <c r="AO91" s="745"/>
      <c r="AP91" s="514">
        <f t="shared" si="37"/>
        <v>0</v>
      </c>
      <c r="AQ91" s="514">
        <f t="shared" si="37"/>
        <v>0</v>
      </c>
      <c r="AR91" s="514">
        <f t="shared" si="37"/>
        <v>0</v>
      </c>
      <c r="AS91" s="514">
        <f t="shared" si="37"/>
        <v>0</v>
      </c>
      <c r="AT91" s="514">
        <f t="shared" si="37"/>
        <v>0</v>
      </c>
      <c r="AU91" s="748">
        <f t="shared" si="37"/>
        <v>0</v>
      </c>
      <c r="AV91" s="516"/>
      <c r="AW91" s="514">
        <f t="shared" si="38"/>
        <v>0</v>
      </c>
      <c r="AX91" s="514">
        <f t="shared" si="39"/>
        <v>0</v>
      </c>
      <c r="AY91" s="514">
        <f t="shared" si="40"/>
        <v>0</v>
      </c>
      <c r="AZ91" s="514">
        <f t="shared" si="41"/>
        <v>0</v>
      </c>
      <c r="BA91" s="514">
        <f t="shared" si="42"/>
        <v>0</v>
      </c>
      <c r="BB91" s="515">
        <f t="shared" si="43"/>
        <v>0</v>
      </c>
    </row>
    <row r="92" spans="1:54" hidden="1" outlineLevel="1" x14ac:dyDescent="0.2">
      <c r="A92" s="113"/>
      <c r="B92" s="113"/>
      <c r="C92" s="242">
        <v>5</v>
      </c>
      <c r="D92" s="886" t="str">
        <f t="shared" si="31"/>
        <v>** NOT USED **</v>
      </c>
      <c r="E92" s="886"/>
      <c r="F92" s="886"/>
      <c r="G92" s="887"/>
      <c r="H92" s="888"/>
      <c r="I92" s="888"/>
      <c r="J92" s="68" t="str">
        <f t="shared" si="32"/>
        <v/>
      </c>
      <c r="K92" s="113"/>
      <c r="L92" s="113"/>
      <c r="M92" s="113"/>
      <c r="N92" s="113"/>
      <c r="O92" s="113"/>
      <c r="P92" s="113"/>
      <c r="Q92" s="113"/>
      <c r="R92" s="113"/>
      <c r="W92" s="491"/>
      <c r="X92" s="726"/>
      <c r="Y92" s="242">
        <f t="shared" si="33"/>
        <v>0</v>
      </c>
      <c r="Z92" s="242" t="str">
        <f t="shared" si="34"/>
        <v/>
      </c>
      <c r="AA92" s="756">
        <f t="shared" si="35"/>
        <v>0</v>
      </c>
      <c r="AB92" s="491"/>
      <c r="AC92" s="491"/>
      <c r="AD92" s="491"/>
      <c r="AE92" s="491"/>
      <c r="AF92" s="491"/>
      <c r="AG92" s="491"/>
      <c r="AH92" s="516">
        <v>3</v>
      </c>
      <c r="AI92" s="514">
        <f t="shared" si="36"/>
        <v>0</v>
      </c>
      <c r="AJ92" s="514">
        <f t="shared" si="36"/>
        <v>0</v>
      </c>
      <c r="AK92" s="514">
        <f t="shared" si="36"/>
        <v>0</v>
      </c>
      <c r="AL92" s="514">
        <f t="shared" si="36"/>
        <v>0</v>
      </c>
      <c r="AM92" s="514">
        <f t="shared" si="36"/>
        <v>0</v>
      </c>
      <c r="AN92" s="515">
        <f t="shared" si="36"/>
        <v>0</v>
      </c>
      <c r="AO92" s="745"/>
      <c r="AP92" s="514">
        <f t="shared" si="37"/>
        <v>0</v>
      </c>
      <c r="AQ92" s="514">
        <f t="shared" si="37"/>
        <v>0</v>
      </c>
      <c r="AR92" s="514">
        <f t="shared" si="37"/>
        <v>0</v>
      </c>
      <c r="AS92" s="514">
        <f t="shared" si="37"/>
        <v>0</v>
      </c>
      <c r="AT92" s="514">
        <f t="shared" si="37"/>
        <v>0</v>
      </c>
      <c r="AU92" s="748">
        <f t="shared" si="37"/>
        <v>0</v>
      </c>
      <c r="AV92" s="516"/>
      <c r="AW92" s="514">
        <f t="shared" si="38"/>
        <v>0</v>
      </c>
      <c r="AX92" s="514">
        <f t="shared" si="39"/>
        <v>0</v>
      </c>
      <c r="AY92" s="514">
        <f t="shared" si="40"/>
        <v>0</v>
      </c>
      <c r="AZ92" s="514">
        <f t="shared" si="41"/>
        <v>0</v>
      </c>
      <c r="BA92" s="514">
        <f t="shared" si="42"/>
        <v>0</v>
      </c>
      <c r="BB92" s="515">
        <f t="shared" si="43"/>
        <v>0</v>
      </c>
    </row>
    <row r="93" spans="1:54" hidden="1" outlineLevel="1" x14ac:dyDescent="0.2">
      <c r="A93" s="113"/>
      <c r="B93" s="113"/>
      <c r="C93" s="242">
        <v>6</v>
      </c>
      <c r="D93" s="886" t="str">
        <f t="shared" si="31"/>
        <v>** NOT USED **</v>
      </c>
      <c r="E93" s="886"/>
      <c r="F93" s="886"/>
      <c r="G93" s="887"/>
      <c r="H93" s="888"/>
      <c r="I93" s="888"/>
      <c r="J93" s="68" t="str">
        <f t="shared" si="32"/>
        <v/>
      </c>
      <c r="K93" s="113"/>
      <c r="L93" s="113"/>
      <c r="M93" s="113"/>
      <c r="N93" s="113"/>
      <c r="O93" s="113"/>
      <c r="P93" s="113"/>
      <c r="Q93" s="113"/>
      <c r="R93" s="113"/>
      <c r="W93" s="491"/>
      <c r="X93" s="726"/>
      <c r="Y93" s="242">
        <f t="shared" si="33"/>
        <v>0</v>
      </c>
      <c r="Z93" s="242" t="str">
        <f t="shared" si="34"/>
        <v/>
      </c>
      <c r="AA93" s="756">
        <f t="shared" si="35"/>
        <v>0</v>
      </c>
      <c r="AB93" s="491"/>
      <c r="AC93" s="491"/>
      <c r="AD93" s="491"/>
      <c r="AE93" s="491"/>
      <c r="AF93" s="491"/>
      <c r="AG93" s="491"/>
      <c r="AH93" s="516">
        <v>4</v>
      </c>
      <c r="AI93" s="514">
        <f t="shared" si="36"/>
        <v>0</v>
      </c>
      <c r="AJ93" s="514">
        <f t="shared" si="36"/>
        <v>0</v>
      </c>
      <c r="AK93" s="514">
        <f t="shared" si="36"/>
        <v>0</v>
      </c>
      <c r="AL93" s="514">
        <f t="shared" si="36"/>
        <v>0</v>
      </c>
      <c r="AM93" s="514">
        <f t="shared" si="36"/>
        <v>0</v>
      </c>
      <c r="AN93" s="515">
        <f t="shared" si="36"/>
        <v>0</v>
      </c>
      <c r="AO93" s="745"/>
      <c r="AP93" s="514">
        <f t="shared" si="37"/>
        <v>0</v>
      </c>
      <c r="AQ93" s="514">
        <f t="shared" si="37"/>
        <v>0</v>
      </c>
      <c r="AR93" s="514">
        <f t="shared" si="37"/>
        <v>0</v>
      </c>
      <c r="AS93" s="514">
        <f t="shared" si="37"/>
        <v>0</v>
      </c>
      <c r="AT93" s="514">
        <f t="shared" si="37"/>
        <v>0</v>
      </c>
      <c r="AU93" s="748">
        <f t="shared" si="37"/>
        <v>0</v>
      </c>
      <c r="AV93" s="516"/>
      <c r="AW93" s="514">
        <f t="shared" si="38"/>
        <v>0</v>
      </c>
      <c r="AX93" s="514">
        <f t="shared" si="39"/>
        <v>0</v>
      </c>
      <c r="AY93" s="514">
        <f t="shared" si="40"/>
        <v>0</v>
      </c>
      <c r="AZ93" s="514">
        <f t="shared" si="41"/>
        <v>0</v>
      </c>
      <c r="BA93" s="514">
        <f t="shared" si="42"/>
        <v>0</v>
      </c>
      <c r="BB93" s="515">
        <f t="shared" si="43"/>
        <v>0</v>
      </c>
    </row>
    <row r="94" spans="1:54" hidden="1" outlineLevel="1" x14ac:dyDescent="0.2">
      <c r="A94" s="113"/>
      <c r="B94" s="113"/>
      <c r="C94" s="242">
        <v>7</v>
      </c>
      <c r="D94" s="886" t="str">
        <f t="shared" si="31"/>
        <v>** NOT USED **</v>
      </c>
      <c r="E94" s="886"/>
      <c r="F94" s="886"/>
      <c r="G94" s="887"/>
      <c r="H94" s="888"/>
      <c r="I94" s="888"/>
      <c r="J94" s="68" t="str">
        <f t="shared" si="32"/>
        <v/>
      </c>
      <c r="K94" s="113"/>
      <c r="L94" s="113"/>
      <c r="M94" s="113"/>
      <c r="N94" s="113"/>
      <c r="O94" s="113"/>
      <c r="P94" s="113"/>
      <c r="Q94" s="113"/>
      <c r="R94" s="113"/>
      <c r="W94" s="491"/>
      <c r="X94" s="726"/>
      <c r="Y94" s="242">
        <f t="shared" si="33"/>
        <v>0</v>
      </c>
      <c r="Z94" s="242" t="str">
        <f t="shared" si="34"/>
        <v/>
      </c>
      <c r="AA94" s="756">
        <f t="shared" si="35"/>
        <v>0</v>
      </c>
      <c r="AB94" s="491"/>
      <c r="AC94" s="491"/>
      <c r="AD94" s="491"/>
      <c r="AE94" s="491"/>
      <c r="AF94" s="491"/>
      <c r="AG94" s="491"/>
      <c r="AH94" s="516">
        <v>5</v>
      </c>
      <c r="AI94" s="514">
        <f t="shared" si="36"/>
        <v>0</v>
      </c>
      <c r="AJ94" s="514">
        <f t="shared" si="36"/>
        <v>0</v>
      </c>
      <c r="AK94" s="514">
        <f t="shared" si="36"/>
        <v>0</v>
      </c>
      <c r="AL94" s="514">
        <f t="shared" si="36"/>
        <v>0</v>
      </c>
      <c r="AM94" s="514">
        <f t="shared" si="36"/>
        <v>0</v>
      </c>
      <c r="AN94" s="515">
        <f t="shared" si="36"/>
        <v>0</v>
      </c>
      <c r="AO94" s="745"/>
      <c r="AP94" s="514">
        <f t="shared" si="37"/>
        <v>0</v>
      </c>
      <c r="AQ94" s="514">
        <f t="shared" si="37"/>
        <v>0</v>
      </c>
      <c r="AR94" s="514">
        <f t="shared" si="37"/>
        <v>0</v>
      </c>
      <c r="AS94" s="514">
        <f t="shared" si="37"/>
        <v>0</v>
      </c>
      <c r="AT94" s="514">
        <f t="shared" si="37"/>
        <v>0</v>
      </c>
      <c r="AU94" s="748">
        <f t="shared" si="37"/>
        <v>0</v>
      </c>
      <c r="AV94" s="516"/>
      <c r="AW94" s="514">
        <f t="shared" si="38"/>
        <v>0</v>
      </c>
      <c r="AX94" s="514">
        <f t="shared" si="39"/>
        <v>0</v>
      </c>
      <c r="AY94" s="514">
        <f t="shared" si="40"/>
        <v>0</v>
      </c>
      <c r="AZ94" s="514">
        <f t="shared" si="41"/>
        <v>0</v>
      </c>
      <c r="BA94" s="514">
        <f t="shared" si="42"/>
        <v>0</v>
      </c>
      <c r="BB94" s="515">
        <f t="shared" si="43"/>
        <v>0</v>
      </c>
    </row>
    <row r="95" spans="1:54" hidden="1" outlineLevel="1" x14ac:dyDescent="0.2">
      <c r="A95" s="113"/>
      <c r="B95" s="113"/>
      <c r="C95" s="242">
        <v>8</v>
      </c>
      <c r="D95" s="886" t="str">
        <f t="shared" si="31"/>
        <v>** NOT USED **</v>
      </c>
      <c r="E95" s="886"/>
      <c r="F95" s="886"/>
      <c r="G95" s="887"/>
      <c r="H95" s="888"/>
      <c r="I95" s="888"/>
      <c r="J95" s="68" t="str">
        <f t="shared" si="32"/>
        <v/>
      </c>
      <c r="K95" s="113"/>
      <c r="L95" s="113"/>
      <c r="M95" s="113"/>
      <c r="N95" s="113"/>
      <c r="O95" s="113"/>
      <c r="P95" s="113"/>
      <c r="Q95" s="113"/>
      <c r="R95" s="113"/>
      <c r="W95" s="491"/>
      <c r="X95" s="726"/>
      <c r="Y95" s="242">
        <f t="shared" si="33"/>
        <v>0</v>
      </c>
      <c r="Z95" s="242" t="str">
        <f t="shared" si="34"/>
        <v/>
      </c>
      <c r="AA95" s="756">
        <f t="shared" si="35"/>
        <v>0</v>
      </c>
      <c r="AB95" s="491"/>
      <c r="AC95" s="491"/>
      <c r="AD95" s="491"/>
      <c r="AE95" s="491"/>
      <c r="AF95" s="491"/>
      <c r="AG95" s="491"/>
      <c r="AH95" s="516">
        <v>6</v>
      </c>
      <c r="AI95" s="514">
        <f t="shared" ref="AI95:AN108" si="44">IF(OR(ScriptSourceCode=1,ScriptSourceCode=3),AI68-AI120,0)</f>
        <v>0</v>
      </c>
      <c r="AJ95" s="514">
        <f t="shared" si="44"/>
        <v>0</v>
      </c>
      <c r="AK95" s="514">
        <f t="shared" si="44"/>
        <v>0</v>
      </c>
      <c r="AL95" s="514">
        <f t="shared" si="44"/>
        <v>0</v>
      </c>
      <c r="AM95" s="514">
        <f t="shared" si="44"/>
        <v>0</v>
      </c>
      <c r="AN95" s="515">
        <f t="shared" si="44"/>
        <v>0</v>
      </c>
      <c r="AO95" s="745"/>
      <c r="AP95" s="514">
        <f t="shared" ref="AP95:AU108" si="45">IF(OR(ScriptSourceCode=1,ScriptSourceCode=3),AP68-AP120,0)</f>
        <v>0</v>
      </c>
      <c r="AQ95" s="514">
        <f t="shared" si="45"/>
        <v>0</v>
      </c>
      <c r="AR95" s="514">
        <f t="shared" si="45"/>
        <v>0</v>
      </c>
      <c r="AS95" s="514">
        <f t="shared" si="45"/>
        <v>0</v>
      </c>
      <c r="AT95" s="514">
        <f t="shared" si="45"/>
        <v>0</v>
      </c>
      <c r="AU95" s="748">
        <f t="shared" si="45"/>
        <v>0</v>
      </c>
      <c r="AV95" s="516"/>
      <c r="AW95" s="514">
        <f t="shared" si="38"/>
        <v>0</v>
      </c>
      <c r="AX95" s="514">
        <f t="shared" si="39"/>
        <v>0</v>
      </c>
      <c r="AY95" s="514">
        <f t="shared" si="40"/>
        <v>0</v>
      </c>
      <c r="AZ95" s="514">
        <f t="shared" si="41"/>
        <v>0</v>
      </c>
      <c r="BA95" s="514">
        <f t="shared" si="42"/>
        <v>0</v>
      </c>
      <c r="BB95" s="515">
        <f t="shared" si="43"/>
        <v>0</v>
      </c>
    </row>
    <row r="96" spans="1:54" hidden="1" outlineLevel="1" x14ac:dyDescent="0.2">
      <c r="A96" s="113"/>
      <c r="B96" s="113"/>
      <c r="C96" s="242">
        <v>9</v>
      </c>
      <c r="D96" s="886" t="str">
        <f t="shared" si="31"/>
        <v>** NOT USED **</v>
      </c>
      <c r="E96" s="886"/>
      <c r="F96" s="886"/>
      <c r="G96" s="887"/>
      <c r="H96" s="888"/>
      <c r="I96" s="888"/>
      <c r="J96" s="68" t="str">
        <f t="shared" si="32"/>
        <v/>
      </c>
      <c r="K96" s="113"/>
      <c r="L96" s="113"/>
      <c r="M96" s="113"/>
      <c r="N96" s="113"/>
      <c r="O96" s="113"/>
      <c r="P96" s="113"/>
      <c r="Q96" s="113"/>
      <c r="R96" s="113"/>
      <c r="W96" s="491"/>
      <c r="X96" s="726"/>
      <c r="Y96" s="242">
        <f t="shared" si="33"/>
        <v>0</v>
      </c>
      <c r="Z96" s="242" t="str">
        <f t="shared" si="34"/>
        <v/>
      </c>
      <c r="AA96" s="756">
        <f t="shared" si="35"/>
        <v>0</v>
      </c>
      <c r="AB96" s="491"/>
      <c r="AC96" s="491"/>
      <c r="AD96" s="491"/>
      <c r="AE96" s="491"/>
      <c r="AF96" s="491"/>
      <c r="AG96" s="491"/>
      <c r="AH96" s="516">
        <v>7</v>
      </c>
      <c r="AI96" s="514">
        <f t="shared" si="44"/>
        <v>0</v>
      </c>
      <c r="AJ96" s="514">
        <f t="shared" si="44"/>
        <v>0</v>
      </c>
      <c r="AK96" s="514">
        <f t="shared" si="44"/>
        <v>0</v>
      </c>
      <c r="AL96" s="514">
        <f t="shared" si="44"/>
        <v>0</v>
      </c>
      <c r="AM96" s="514">
        <f t="shared" si="44"/>
        <v>0</v>
      </c>
      <c r="AN96" s="515">
        <f t="shared" si="44"/>
        <v>0</v>
      </c>
      <c r="AO96" s="745"/>
      <c r="AP96" s="514">
        <f t="shared" si="45"/>
        <v>0</v>
      </c>
      <c r="AQ96" s="514">
        <f t="shared" si="45"/>
        <v>0</v>
      </c>
      <c r="AR96" s="514">
        <f t="shared" si="45"/>
        <v>0</v>
      </c>
      <c r="AS96" s="514">
        <f t="shared" si="45"/>
        <v>0</v>
      </c>
      <c r="AT96" s="514">
        <f t="shared" si="45"/>
        <v>0</v>
      </c>
      <c r="AU96" s="748">
        <f t="shared" si="45"/>
        <v>0</v>
      </c>
      <c r="AV96" s="516"/>
      <c r="AW96" s="514">
        <f t="shared" ref="AW96:BB99" si="46">AI96+AP96</f>
        <v>0</v>
      </c>
      <c r="AX96" s="514">
        <f t="shared" si="46"/>
        <v>0</v>
      </c>
      <c r="AY96" s="514">
        <f t="shared" si="46"/>
        <v>0</v>
      </c>
      <c r="AZ96" s="514">
        <f t="shared" si="46"/>
        <v>0</v>
      </c>
      <c r="BA96" s="514">
        <f t="shared" si="46"/>
        <v>0</v>
      </c>
      <c r="BB96" s="515">
        <f t="shared" si="46"/>
        <v>0</v>
      </c>
    </row>
    <row r="97" spans="1:54" hidden="1" outlineLevel="1" x14ac:dyDescent="0.2">
      <c r="A97" s="113"/>
      <c r="B97" s="113"/>
      <c r="C97" s="242">
        <v>10</v>
      </c>
      <c r="D97" s="886" t="str">
        <f t="shared" si="31"/>
        <v>** NOT USED **</v>
      </c>
      <c r="E97" s="886"/>
      <c r="F97" s="886"/>
      <c r="G97" s="887"/>
      <c r="H97" s="888"/>
      <c r="I97" s="888"/>
      <c r="J97" s="68" t="str">
        <f t="shared" si="32"/>
        <v/>
      </c>
      <c r="K97" s="113"/>
      <c r="L97" s="113"/>
      <c r="M97" s="113"/>
      <c r="N97" s="113"/>
      <c r="O97" s="113"/>
      <c r="P97" s="113"/>
      <c r="Q97" s="113"/>
      <c r="R97" s="113"/>
      <c r="W97" s="491"/>
      <c r="X97" s="726"/>
      <c r="Y97" s="242">
        <f t="shared" si="33"/>
        <v>0</v>
      </c>
      <c r="Z97" s="242" t="str">
        <f t="shared" si="34"/>
        <v/>
      </c>
      <c r="AA97" s="756">
        <f t="shared" si="35"/>
        <v>0</v>
      </c>
      <c r="AB97" s="491"/>
      <c r="AC97" s="491"/>
      <c r="AD97" s="491"/>
      <c r="AE97" s="491"/>
      <c r="AF97" s="491"/>
      <c r="AG97" s="491"/>
      <c r="AH97" s="516">
        <v>8</v>
      </c>
      <c r="AI97" s="514">
        <f t="shared" si="44"/>
        <v>0</v>
      </c>
      <c r="AJ97" s="514">
        <f t="shared" si="44"/>
        <v>0</v>
      </c>
      <c r="AK97" s="514">
        <f t="shared" si="44"/>
        <v>0</v>
      </c>
      <c r="AL97" s="514">
        <f t="shared" si="44"/>
        <v>0</v>
      </c>
      <c r="AM97" s="514">
        <f t="shared" si="44"/>
        <v>0</v>
      </c>
      <c r="AN97" s="515">
        <f t="shared" si="44"/>
        <v>0</v>
      </c>
      <c r="AO97" s="745"/>
      <c r="AP97" s="514">
        <f t="shared" si="45"/>
        <v>0</v>
      </c>
      <c r="AQ97" s="514">
        <f t="shared" si="45"/>
        <v>0</v>
      </c>
      <c r="AR97" s="514">
        <f t="shared" si="45"/>
        <v>0</v>
      </c>
      <c r="AS97" s="514">
        <f t="shared" si="45"/>
        <v>0</v>
      </c>
      <c r="AT97" s="514">
        <f t="shared" si="45"/>
        <v>0</v>
      </c>
      <c r="AU97" s="748">
        <f t="shared" si="45"/>
        <v>0</v>
      </c>
      <c r="AV97" s="516"/>
      <c r="AW97" s="514">
        <f t="shared" si="46"/>
        <v>0</v>
      </c>
      <c r="AX97" s="514">
        <f t="shared" si="46"/>
        <v>0</v>
      </c>
      <c r="AY97" s="514">
        <f t="shared" si="46"/>
        <v>0</v>
      </c>
      <c r="AZ97" s="514">
        <f t="shared" si="46"/>
        <v>0</v>
      </c>
      <c r="BA97" s="514">
        <f t="shared" si="46"/>
        <v>0</v>
      </c>
      <c r="BB97" s="515">
        <f t="shared" si="46"/>
        <v>0</v>
      </c>
    </row>
    <row r="98" spans="1:54" hidden="1" outlineLevel="1" x14ac:dyDescent="0.2">
      <c r="A98" s="113"/>
      <c r="B98" s="113"/>
      <c r="C98" s="242">
        <v>11</v>
      </c>
      <c r="D98" s="886" t="str">
        <f t="shared" ref="D98:D107" si="47">INDEX(MBSIncNames,C98)</f>
        <v>** NOT USED **</v>
      </c>
      <c r="E98" s="886"/>
      <c r="F98" s="886"/>
      <c r="G98" s="887"/>
      <c r="H98" s="888"/>
      <c r="I98" s="888"/>
      <c r="J98" s="68" t="str">
        <f t="shared" si="32"/>
        <v/>
      </c>
      <c r="K98" s="113"/>
      <c r="L98" s="113"/>
      <c r="M98" s="113"/>
      <c r="N98" s="113"/>
      <c r="O98" s="113"/>
      <c r="P98" s="113"/>
      <c r="Q98" s="113"/>
      <c r="R98" s="113"/>
      <c r="W98" s="491"/>
      <c r="X98" s="491"/>
      <c r="Y98" s="242">
        <f t="shared" si="33"/>
        <v>0</v>
      </c>
      <c r="Z98" s="242" t="str">
        <f t="shared" si="34"/>
        <v/>
      </c>
      <c r="AA98" s="756">
        <f t="shared" si="35"/>
        <v>0</v>
      </c>
      <c r="AB98" s="491"/>
      <c r="AC98" s="491"/>
      <c r="AD98" s="491"/>
      <c r="AE98" s="491"/>
      <c r="AF98" s="491"/>
      <c r="AG98" s="491"/>
      <c r="AH98" s="516">
        <v>9</v>
      </c>
      <c r="AI98" s="514">
        <f t="shared" si="44"/>
        <v>0</v>
      </c>
      <c r="AJ98" s="514">
        <f t="shared" si="44"/>
        <v>0</v>
      </c>
      <c r="AK98" s="514">
        <f t="shared" si="44"/>
        <v>0</v>
      </c>
      <c r="AL98" s="514">
        <f t="shared" si="44"/>
        <v>0</v>
      </c>
      <c r="AM98" s="514">
        <f t="shared" si="44"/>
        <v>0</v>
      </c>
      <c r="AN98" s="515">
        <f t="shared" si="44"/>
        <v>0</v>
      </c>
      <c r="AO98" s="745"/>
      <c r="AP98" s="514">
        <f t="shared" si="45"/>
        <v>0</v>
      </c>
      <c r="AQ98" s="514">
        <f t="shared" si="45"/>
        <v>0</v>
      </c>
      <c r="AR98" s="514">
        <f t="shared" si="45"/>
        <v>0</v>
      </c>
      <c r="AS98" s="514">
        <f t="shared" si="45"/>
        <v>0</v>
      </c>
      <c r="AT98" s="514">
        <f t="shared" si="45"/>
        <v>0</v>
      </c>
      <c r="AU98" s="748">
        <f t="shared" si="45"/>
        <v>0</v>
      </c>
      <c r="AV98" s="516"/>
      <c r="AW98" s="514">
        <f t="shared" si="46"/>
        <v>0</v>
      </c>
      <c r="AX98" s="514">
        <f t="shared" si="46"/>
        <v>0</v>
      </c>
      <c r="AY98" s="514">
        <f t="shared" si="46"/>
        <v>0</v>
      </c>
      <c r="AZ98" s="514">
        <f t="shared" si="46"/>
        <v>0</v>
      </c>
      <c r="BA98" s="514">
        <f t="shared" si="46"/>
        <v>0</v>
      </c>
      <c r="BB98" s="515">
        <f t="shared" si="46"/>
        <v>0</v>
      </c>
    </row>
    <row r="99" spans="1:54" hidden="1" outlineLevel="1" x14ac:dyDescent="0.2">
      <c r="A99" s="113"/>
      <c r="B99" s="113"/>
      <c r="C99" s="242">
        <v>12</v>
      </c>
      <c r="D99" s="886" t="str">
        <f t="shared" si="47"/>
        <v>** NOT USED **</v>
      </c>
      <c r="E99" s="886"/>
      <c r="F99" s="886"/>
      <c r="G99" s="887"/>
      <c r="H99" s="888"/>
      <c r="I99" s="888"/>
      <c r="J99" s="68" t="str">
        <f t="shared" ref="J99:J107" si="48">IF(AD84=2,IF(AND(D99&lt;&gt;MsgNotUsed,G99=""),"All scripts","Specific medicine"),IF(AD84=1,"All patients",""))</f>
        <v/>
      </c>
      <c r="K99" s="113"/>
      <c r="L99" s="113"/>
      <c r="M99" s="113"/>
      <c r="N99" s="113"/>
      <c r="O99" s="113"/>
      <c r="P99" s="113"/>
      <c r="Q99" s="113"/>
      <c r="R99" s="113"/>
      <c r="W99" s="491"/>
      <c r="X99" s="491"/>
      <c r="Y99" s="242">
        <f t="shared" ref="Y99:Y107" si="49">IF(OR(D99=MsgNotUsed,AD84=1),0,1)</f>
        <v>0</v>
      </c>
      <c r="Z99" s="242" t="str">
        <f t="shared" si="34"/>
        <v/>
      </c>
      <c r="AA99" s="756">
        <f t="shared" si="35"/>
        <v>0</v>
      </c>
      <c r="AB99" s="491"/>
      <c r="AC99" s="491"/>
      <c r="AD99" s="491"/>
      <c r="AE99" s="491"/>
      <c r="AF99" s="491"/>
      <c r="AG99" s="491"/>
      <c r="AH99" s="516">
        <v>10</v>
      </c>
      <c r="AI99" s="514">
        <f t="shared" si="44"/>
        <v>0</v>
      </c>
      <c r="AJ99" s="514">
        <f t="shared" si="44"/>
        <v>0</v>
      </c>
      <c r="AK99" s="514">
        <f t="shared" si="44"/>
        <v>0</v>
      </c>
      <c r="AL99" s="514">
        <f t="shared" si="44"/>
        <v>0</v>
      </c>
      <c r="AM99" s="514">
        <f t="shared" si="44"/>
        <v>0</v>
      </c>
      <c r="AN99" s="515">
        <f t="shared" si="44"/>
        <v>0</v>
      </c>
      <c r="AO99" s="745"/>
      <c r="AP99" s="514">
        <f t="shared" si="45"/>
        <v>0</v>
      </c>
      <c r="AQ99" s="514">
        <f t="shared" si="45"/>
        <v>0</v>
      </c>
      <c r="AR99" s="514">
        <f t="shared" si="45"/>
        <v>0</v>
      </c>
      <c r="AS99" s="514">
        <f t="shared" si="45"/>
        <v>0</v>
      </c>
      <c r="AT99" s="514">
        <f t="shared" si="45"/>
        <v>0</v>
      </c>
      <c r="AU99" s="748">
        <f t="shared" si="45"/>
        <v>0</v>
      </c>
      <c r="AV99" s="516"/>
      <c r="AW99" s="514">
        <f t="shared" si="46"/>
        <v>0</v>
      </c>
      <c r="AX99" s="514">
        <f t="shared" si="46"/>
        <v>0</v>
      </c>
      <c r="AY99" s="514">
        <f t="shared" si="46"/>
        <v>0</v>
      </c>
      <c r="AZ99" s="514">
        <f t="shared" si="46"/>
        <v>0</v>
      </c>
      <c r="BA99" s="514">
        <f t="shared" si="46"/>
        <v>0</v>
      </c>
      <c r="BB99" s="515">
        <f t="shared" si="46"/>
        <v>0</v>
      </c>
    </row>
    <row r="100" spans="1:54" hidden="1" outlineLevel="1" x14ac:dyDescent="0.2">
      <c r="A100" s="113"/>
      <c r="B100" s="113"/>
      <c r="C100" s="242">
        <v>13</v>
      </c>
      <c r="D100" s="886" t="str">
        <f t="shared" si="47"/>
        <v>** NOT USED **</v>
      </c>
      <c r="E100" s="886"/>
      <c r="F100" s="886"/>
      <c r="G100" s="887"/>
      <c r="H100" s="888"/>
      <c r="I100" s="888"/>
      <c r="J100" s="68" t="str">
        <f t="shared" si="48"/>
        <v/>
      </c>
      <c r="K100" s="113"/>
      <c r="L100" s="113"/>
      <c r="M100" s="113"/>
      <c r="N100" s="113"/>
      <c r="O100" s="113"/>
      <c r="P100" s="113"/>
      <c r="Q100" s="113"/>
      <c r="R100" s="113"/>
      <c r="W100" s="491"/>
      <c r="X100" s="491"/>
      <c r="Y100" s="242">
        <f t="shared" si="49"/>
        <v>0</v>
      </c>
      <c r="Z100" s="242" t="str">
        <f t="shared" si="34"/>
        <v/>
      </c>
      <c r="AA100" s="756">
        <f t="shared" si="35"/>
        <v>0</v>
      </c>
      <c r="AB100" s="491"/>
      <c r="AC100" s="491"/>
      <c r="AD100" s="491"/>
      <c r="AE100" s="491"/>
      <c r="AF100" s="491"/>
      <c r="AG100" s="491"/>
      <c r="AH100" s="516">
        <v>11</v>
      </c>
      <c r="AI100" s="514">
        <f t="shared" si="44"/>
        <v>0</v>
      </c>
      <c r="AJ100" s="514">
        <f t="shared" si="44"/>
        <v>0</v>
      </c>
      <c r="AK100" s="514">
        <f t="shared" si="44"/>
        <v>0</v>
      </c>
      <c r="AL100" s="514">
        <f t="shared" si="44"/>
        <v>0</v>
      </c>
      <c r="AM100" s="514">
        <f t="shared" si="44"/>
        <v>0</v>
      </c>
      <c r="AN100" s="515">
        <f t="shared" si="44"/>
        <v>0</v>
      </c>
      <c r="AO100" s="745"/>
      <c r="AP100" s="514">
        <f t="shared" si="45"/>
        <v>0</v>
      </c>
      <c r="AQ100" s="514">
        <f t="shared" si="45"/>
        <v>0</v>
      </c>
      <c r="AR100" s="514">
        <f t="shared" si="45"/>
        <v>0</v>
      </c>
      <c r="AS100" s="514">
        <f t="shared" si="45"/>
        <v>0</v>
      </c>
      <c r="AT100" s="514">
        <f t="shared" si="45"/>
        <v>0</v>
      </c>
      <c r="AU100" s="748">
        <f t="shared" si="45"/>
        <v>0</v>
      </c>
      <c r="AV100" s="516"/>
      <c r="AW100" s="514">
        <f t="shared" ref="AW100:AW109" si="50">AI100+AP100</f>
        <v>0</v>
      </c>
      <c r="AX100" s="514">
        <f t="shared" ref="AX100:AX109" si="51">AJ100+AQ100</f>
        <v>0</v>
      </c>
      <c r="AY100" s="514">
        <f t="shared" ref="AY100:AY109" si="52">AK100+AR100</f>
        <v>0</v>
      </c>
      <c r="AZ100" s="514">
        <f t="shared" ref="AZ100:AZ109" si="53">AL100+AS100</f>
        <v>0</v>
      </c>
      <c r="BA100" s="514">
        <f t="shared" ref="BA100:BA109" si="54">AM100+AT100</f>
        <v>0</v>
      </c>
      <c r="BB100" s="515">
        <f t="shared" ref="BB100:BB109" si="55">AN100+AU100</f>
        <v>0</v>
      </c>
    </row>
    <row r="101" spans="1:54" hidden="1" outlineLevel="1" x14ac:dyDescent="0.2">
      <c r="A101" s="113"/>
      <c r="B101" s="113"/>
      <c r="C101" s="242">
        <v>14</v>
      </c>
      <c r="D101" s="886" t="str">
        <f t="shared" si="47"/>
        <v>** NOT USED **</v>
      </c>
      <c r="E101" s="886"/>
      <c r="F101" s="886"/>
      <c r="G101" s="887"/>
      <c r="H101" s="888"/>
      <c r="I101" s="888"/>
      <c r="J101" s="68" t="str">
        <f t="shared" si="48"/>
        <v/>
      </c>
      <c r="K101" s="113"/>
      <c r="L101" s="113"/>
      <c r="M101" s="113"/>
      <c r="N101" s="113"/>
      <c r="O101" s="113"/>
      <c r="P101" s="113"/>
      <c r="Q101" s="113"/>
      <c r="R101" s="113"/>
      <c r="W101" s="491"/>
      <c r="X101" s="491"/>
      <c r="Y101" s="242">
        <f t="shared" si="49"/>
        <v>0</v>
      </c>
      <c r="Z101" s="242" t="str">
        <f t="shared" si="34"/>
        <v/>
      </c>
      <c r="AA101" s="756">
        <f t="shared" si="35"/>
        <v>0</v>
      </c>
      <c r="AB101" s="491"/>
      <c r="AC101" s="491"/>
      <c r="AD101" s="491"/>
      <c r="AE101" s="491"/>
      <c r="AF101" s="491"/>
      <c r="AG101" s="491"/>
      <c r="AH101" s="516">
        <v>12</v>
      </c>
      <c r="AI101" s="514">
        <f t="shared" si="44"/>
        <v>0</v>
      </c>
      <c r="AJ101" s="514">
        <f t="shared" si="44"/>
        <v>0</v>
      </c>
      <c r="AK101" s="514">
        <f t="shared" si="44"/>
        <v>0</v>
      </c>
      <c r="AL101" s="514">
        <f t="shared" si="44"/>
        <v>0</v>
      </c>
      <c r="AM101" s="514">
        <f t="shared" si="44"/>
        <v>0</v>
      </c>
      <c r="AN101" s="515">
        <f t="shared" si="44"/>
        <v>0</v>
      </c>
      <c r="AO101" s="745"/>
      <c r="AP101" s="514">
        <f t="shared" si="45"/>
        <v>0</v>
      </c>
      <c r="AQ101" s="514">
        <f t="shared" si="45"/>
        <v>0</v>
      </c>
      <c r="AR101" s="514">
        <f t="shared" si="45"/>
        <v>0</v>
      </c>
      <c r="AS101" s="514">
        <f t="shared" si="45"/>
        <v>0</v>
      </c>
      <c r="AT101" s="514">
        <f t="shared" si="45"/>
        <v>0</v>
      </c>
      <c r="AU101" s="748">
        <f t="shared" si="45"/>
        <v>0</v>
      </c>
      <c r="AV101" s="516"/>
      <c r="AW101" s="514">
        <f t="shared" si="50"/>
        <v>0</v>
      </c>
      <c r="AX101" s="514">
        <f t="shared" si="51"/>
        <v>0</v>
      </c>
      <c r="AY101" s="514">
        <f t="shared" si="52"/>
        <v>0</v>
      </c>
      <c r="AZ101" s="514">
        <f t="shared" si="53"/>
        <v>0</v>
      </c>
      <c r="BA101" s="514">
        <f t="shared" si="54"/>
        <v>0</v>
      </c>
      <c r="BB101" s="515">
        <f t="shared" si="55"/>
        <v>0</v>
      </c>
    </row>
    <row r="102" spans="1:54" hidden="1" outlineLevel="1" x14ac:dyDescent="0.2">
      <c r="A102" s="113"/>
      <c r="B102" s="113"/>
      <c r="C102" s="242">
        <v>15</v>
      </c>
      <c r="D102" s="886" t="str">
        <f t="shared" si="47"/>
        <v>** NOT USED **</v>
      </c>
      <c r="E102" s="886"/>
      <c r="F102" s="886"/>
      <c r="G102" s="887"/>
      <c r="H102" s="888"/>
      <c r="I102" s="888"/>
      <c r="J102" s="68" t="str">
        <f t="shared" si="48"/>
        <v/>
      </c>
      <c r="K102" s="113"/>
      <c r="L102" s="113"/>
      <c r="M102" s="113"/>
      <c r="N102" s="113"/>
      <c r="O102" s="113"/>
      <c r="P102" s="113"/>
      <c r="Q102" s="113"/>
      <c r="R102" s="113"/>
      <c r="W102" s="491"/>
      <c r="X102" s="491"/>
      <c r="Y102" s="242">
        <f t="shared" si="49"/>
        <v>0</v>
      </c>
      <c r="Z102" s="242" t="str">
        <f t="shared" si="34"/>
        <v/>
      </c>
      <c r="AA102" s="756">
        <f t="shared" si="35"/>
        <v>0</v>
      </c>
      <c r="AB102" s="491"/>
      <c r="AC102" s="491"/>
      <c r="AD102" s="491"/>
      <c r="AE102" s="491"/>
      <c r="AF102" s="491"/>
      <c r="AG102" s="491"/>
      <c r="AH102" s="516">
        <v>13</v>
      </c>
      <c r="AI102" s="514">
        <f t="shared" si="44"/>
        <v>0</v>
      </c>
      <c r="AJ102" s="514">
        <f t="shared" si="44"/>
        <v>0</v>
      </c>
      <c r="AK102" s="514">
        <f t="shared" si="44"/>
        <v>0</v>
      </c>
      <c r="AL102" s="514">
        <f t="shared" si="44"/>
        <v>0</v>
      </c>
      <c r="AM102" s="514">
        <f t="shared" si="44"/>
        <v>0</v>
      </c>
      <c r="AN102" s="515">
        <f t="shared" si="44"/>
        <v>0</v>
      </c>
      <c r="AO102" s="745"/>
      <c r="AP102" s="514">
        <f t="shared" si="45"/>
        <v>0</v>
      </c>
      <c r="AQ102" s="514">
        <f t="shared" si="45"/>
        <v>0</v>
      </c>
      <c r="AR102" s="514">
        <f t="shared" si="45"/>
        <v>0</v>
      </c>
      <c r="AS102" s="514">
        <f t="shared" si="45"/>
        <v>0</v>
      </c>
      <c r="AT102" s="514">
        <f t="shared" si="45"/>
        <v>0</v>
      </c>
      <c r="AU102" s="748">
        <f t="shared" si="45"/>
        <v>0</v>
      </c>
      <c r="AV102" s="516"/>
      <c r="AW102" s="514">
        <f t="shared" si="50"/>
        <v>0</v>
      </c>
      <c r="AX102" s="514">
        <f t="shared" si="51"/>
        <v>0</v>
      </c>
      <c r="AY102" s="514">
        <f t="shared" si="52"/>
        <v>0</v>
      </c>
      <c r="AZ102" s="514">
        <f t="shared" si="53"/>
        <v>0</v>
      </c>
      <c r="BA102" s="514">
        <f t="shared" si="54"/>
        <v>0</v>
      </c>
      <c r="BB102" s="515">
        <f t="shared" si="55"/>
        <v>0</v>
      </c>
    </row>
    <row r="103" spans="1:54" hidden="1" outlineLevel="1" x14ac:dyDescent="0.2">
      <c r="A103" s="113"/>
      <c r="B103" s="113"/>
      <c r="C103" s="242">
        <v>16</v>
      </c>
      <c r="D103" s="886" t="str">
        <f t="shared" si="47"/>
        <v>** NOT USED **</v>
      </c>
      <c r="E103" s="886"/>
      <c r="F103" s="886"/>
      <c r="G103" s="887"/>
      <c r="H103" s="888"/>
      <c r="I103" s="888"/>
      <c r="J103" s="68" t="str">
        <f t="shared" si="48"/>
        <v/>
      </c>
      <c r="K103" s="113"/>
      <c r="L103" s="113"/>
      <c r="M103" s="113"/>
      <c r="N103" s="113"/>
      <c r="O103" s="113"/>
      <c r="P103" s="113"/>
      <c r="Q103" s="113"/>
      <c r="R103" s="113"/>
      <c r="W103" s="491"/>
      <c r="X103" s="491"/>
      <c r="Y103" s="242">
        <f t="shared" si="49"/>
        <v>0</v>
      </c>
      <c r="Z103" s="242" t="str">
        <f t="shared" si="34"/>
        <v/>
      </c>
      <c r="AA103" s="756">
        <f t="shared" si="35"/>
        <v>0</v>
      </c>
      <c r="AB103" s="491"/>
      <c r="AC103" s="491"/>
      <c r="AD103" s="491"/>
      <c r="AE103" s="491"/>
      <c r="AF103" s="491"/>
      <c r="AG103" s="491"/>
      <c r="AH103" s="516">
        <v>14</v>
      </c>
      <c r="AI103" s="514">
        <f t="shared" si="44"/>
        <v>0</v>
      </c>
      <c r="AJ103" s="514">
        <f t="shared" si="44"/>
        <v>0</v>
      </c>
      <c r="AK103" s="514">
        <f t="shared" si="44"/>
        <v>0</v>
      </c>
      <c r="AL103" s="514">
        <f t="shared" si="44"/>
        <v>0</v>
      </c>
      <c r="AM103" s="514">
        <f t="shared" si="44"/>
        <v>0</v>
      </c>
      <c r="AN103" s="515">
        <f t="shared" si="44"/>
        <v>0</v>
      </c>
      <c r="AO103" s="745"/>
      <c r="AP103" s="514">
        <f t="shared" si="45"/>
        <v>0</v>
      </c>
      <c r="AQ103" s="514">
        <f t="shared" si="45"/>
        <v>0</v>
      </c>
      <c r="AR103" s="514">
        <f t="shared" si="45"/>
        <v>0</v>
      </c>
      <c r="AS103" s="514">
        <f t="shared" si="45"/>
        <v>0</v>
      </c>
      <c r="AT103" s="514">
        <f t="shared" si="45"/>
        <v>0</v>
      </c>
      <c r="AU103" s="748">
        <f t="shared" si="45"/>
        <v>0</v>
      </c>
      <c r="AV103" s="516"/>
      <c r="AW103" s="514">
        <f t="shared" si="50"/>
        <v>0</v>
      </c>
      <c r="AX103" s="514">
        <f t="shared" si="51"/>
        <v>0</v>
      </c>
      <c r="AY103" s="514">
        <f t="shared" si="52"/>
        <v>0</v>
      </c>
      <c r="AZ103" s="514">
        <f t="shared" si="53"/>
        <v>0</v>
      </c>
      <c r="BA103" s="514">
        <f t="shared" si="54"/>
        <v>0</v>
      </c>
      <c r="BB103" s="515">
        <f t="shared" si="55"/>
        <v>0</v>
      </c>
    </row>
    <row r="104" spans="1:54" hidden="1" outlineLevel="1" x14ac:dyDescent="0.2">
      <c r="A104" s="113"/>
      <c r="B104" s="113"/>
      <c r="C104" s="242">
        <v>17</v>
      </c>
      <c r="D104" s="886" t="str">
        <f t="shared" si="47"/>
        <v>** NOT USED **</v>
      </c>
      <c r="E104" s="886"/>
      <c r="F104" s="886"/>
      <c r="G104" s="887"/>
      <c r="H104" s="888"/>
      <c r="I104" s="888"/>
      <c r="J104" s="68" t="str">
        <f t="shared" si="48"/>
        <v/>
      </c>
      <c r="K104" s="113"/>
      <c r="L104" s="113"/>
      <c r="M104" s="113"/>
      <c r="N104" s="113"/>
      <c r="O104" s="113"/>
      <c r="P104" s="113"/>
      <c r="Q104" s="113"/>
      <c r="R104" s="113"/>
      <c r="W104" s="491"/>
      <c r="X104" s="491"/>
      <c r="Y104" s="242">
        <f t="shared" si="49"/>
        <v>0</v>
      </c>
      <c r="Z104" s="242" t="str">
        <f t="shared" si="34"/>
        <v/>
      </c>
      <c r="AA104" s="756">
        <f t="shared" si="35"/>
        <v>0</v>
      </c>
      <c r="AB104" s="491"/>
      <c r="AC104" s="491"/>
      <c r="AD104" s="491"/>
      <c r="AE104" s="491"/>
      <c r="AF104" s="491"/>
      <c r="AG104" s="491"/>
      <c r="AH104" s="516">
        <v>15</v>
      </c>
      <c r="AI104" s="514">
        <f t="shared" si="44"/>
        <v>0</v>
      </c>
      <c r="AJ104" s="514">
        <f t="shared" si="44"/>
        <v>0</v>
      </c>
      <c r="AK104" s="514">
        <f t="shared" si="44"/>
        <v>0</v>
      </c>
      <c r="AL104" s="514">
        <f t="shared" si="44"/>
        <v>0</v>
      </c>
      <c r="AM104" s="514">
        <f t="shared" si="44"/>
        <v>0</v>
      </c>
      <c r="AN104" s="515">
        <f t="shared" si="44"/>
        <v>0</v>
      </c>
      <c r="AO104" s="745"/>
      <c r="AP104" s="514">
        <f t="shared" si="45"/>
        <v>0</v>
      </c>
      <c r="AQ104" s="514">
        <f t="shared" si="45"/>
        <v>0</v>
      </c>
      <c r="AR104" s="514">
        <f t="shared" si="45"/>
        <v>0</v>
      </c>
      <c r="AS104" s="514">
        <f t="shared" si="45"/>
        <v>0</v>
      </c>
      <c r="AT104" s="514">
        <f t="shared" si="45"/>
        <v>0</v>
      </c>
      <c r="AU104" s="748">
        <f t="shared" si="45"/>
        <v>0</v>
      </c>
      <c r="AV104" s="516"/>
      <c r="AW104" s="514">
        <f t="shared" si="50"/>
        <v>0</v>
      </c>
      <c r="AX104" s="514">
        <f t="shared" si="51"/>
        <v>0</v>
      </c>
      <c r="AY104" s="514">
        <f t="shared" si="52"/>
        <v>0</v>
      </c>
      <c r="AZ104" s="514">
        <f t="shared" si="53"/>
        <v>0</v>
      </c>
      <c r="BA104" s="514">
        <f t="shared" si="54"/>
        <v>0</v>
      </c>
      <c r="BB104" s="515">
        <f t="shared" si="55"/>
        <v>0</v>
      </c>
    </row>
    <row r="105" spans="1:54" hidden="1" outlineLevel="1" x14ac:dyDescent="0.2">
      <c r="A105" s="113"/>
      <c r="B105" s="113"/>
      <c r="C105" s="242">
        <v>18</v>
      </c>
      <c r="D105" s="886" t="str">
        <f t="shared" si="47"/>
        <v>** NOT USED **</v>
      </c>
      <c r="E105" s="886"/>
      <c r="F105" s="886"/>
      <c r="G105" s="887"/>
      <c r="H105" s="888"/>
      <c r="I105" s="888"/>
      <c r="J105" s="68" t="str">
        <f t="shared" si="48"/>
        <v/>
      </c>
      <c r="K105" s="113"/>
      <c r="L105" s="113"/>
      <c r="M105" s="113"/>
      <c r="N105" s="113"/>
      <c r="O105" s="113"/>
      <c r="P105" s="113"/>
      <c r="Q105" s="113"/>
      <c r="R105" s="113"/>
      <c r="W105" s="491"/>
      <c r="X105" s="491"/>
      <c r="Y105" s="242">
        <f t="shared" si="49"/>
        <v>0</v>
      </c>
      <c r="Z105" s="242" t="str">
        <f t="shared" si="34"/>
        <v/>
      </c>
      <c r="AA105" s="756">
        <f t="shared" si="35"/>
        <v>0</v>
      </c>
      <c r="AB105" s="491"/>
      <c r="AC105" s="491"/>
      <c r="AD105" s="491"/>
      <c r="AE105" s="491"/>
      <c r="AF105" s="491"/>
      <c r="AG105" s="491"/>
      <c r="AH105" s="516">
        <v>16</v>
      </c>
      <c r="AI105" s="514">
        <f t="shared" si="44"/>
        <v>0</v>
      </c>
      <c r="AJ105" s="514">
        <f t="shared" si="44"/>
        <v>0</v>
      </c>
      <c r="AK105" s="514">
        <f t="shared" si="44"/>
        <v>0</v>
      </c>
      <c r="AL105" s="514">
        <f t="shared" si="44"/>
        <v>0</v>
      </c>
      <c r="AM105" s="514">
        <f t="shared" si="44"/>
        <v>0</v>
      </c>
      <c r="AN105" s="515">
        <f t="shared" si="44"/>
        <v>0</v>
      </c>
      <c r="AO105" s="745"/>
      <c r="AP105" s="514">
        <f t="shared" si="45"/>
        <v>0</v>
      </c>
      <c r="AQ105" s="514">
        <f t="shared" si="45"/>
        <v>0</v>
      </c>
      <c r="AR105" s="514">
        <f t="shared" si="45"/>
        <v>0</v>
      </c>
      <c r="AS105" s="514">
        <f t="shared" si="45"/>
        <v>0</v>
      </c>
      <c r="AT105" s="514">
        <f t="shared" si="45"/>
        <v>0</v>
      </c>
      <c r="AU105" s="748">
        <f t="shared" si="45"/>
        <v>0</v>
      </c>
      <c r="AV105" s="516"/>
      <c r="AW105" s="514">
        <f t="shared" si="50"/>
        <v>0</v>
      </c>
      <c r="AX105" s="514">
        <f t="shared" si="51"/>
        <v>0</v>
      </c>
      <c r="AY105" s="514">
        <f t="shared" si="52"/>
        <v>0</v>
      </c>
      <c r="AZ105" s="514">
        <f t="shared" si="53"/>
        <v>0</v>
      </c>
      <c r="BA105" s="514">
        <f t="shared" si="54"/>
        <v>0</v>
      </c>
      <c r="BB105" s="515">
        <f t="shared" si="55"/>
        <v>0</v>
      </c>
    </row>
    <row r="106" spans="1:54" hidden="1" outlineLevel="1" x14ac:dyDescent="0.2">
      <c r="A106" s="113"/>
      <c r="B106" s="113"/>
      <c r="C106" s="242">
        <v>19</v>
      </c>
      <c r="D106" s="886" t="str">
        <f t="shared" si="47"/>
        <v>** NOT USED **</v>
      </c>
      <c r="E106" s="886"/>
      <c r="F106" s="886"/>
      <c r="G106" s="887"/>
      <c r="H106" s="888"/>
      <c r="I106" s="888"/>
      <c r="J106" s="68" t="str">
        <f t="shared" si="48"/>
        <v/>
      </c>
      <c r="K106" s="113"/>
      <c r="L106" s="113"/>
      <c r="M106" s="113"/>
      <c r="N106" s="113"/>
      <c r="O106" s="113"/>
      <c r="P106" s="113"/>
      <c r="Q106" s="113"/>
      <c r="R106" s="113"/>
      <c r="W106" s="491"/>
      <c r="X106" s="491"/>
      <c r="Y106" s="242">
        <f t="shared" si="49"/>
        <v>0</v>
      </c>
      <c r="Z106" s="242" t="str">
        <f t="shared" si="34"/>
        <v/>
      </c>
      <c r="AA106" s="756">
        <f t="shared" si="35"/>
        <v>0</v>
      </c>
      <c r="AB106" s="491"/>
      <c r="AC106" s="491"/>
      <c r="AD106" s="491"/>
      <c r="AE106" s="491"/>
      <c r="AF106" s="491"/>
      <c r="AG106" s="491"/>
      <c r="AH106" s="516">
        <v>17</v>
      </c>
      <c r="AI106" s="514">
        <f t="shared" si="44"/>
        <v>0</v>
      </c>
      <c r="AJ106" s="514">
        <f t="shared" si="44"/>
        <v>0</v>
      </c>
      <c r="AK106" s="514">
        <f t="shared" si="44"/>
        <v>0</v>
      </c>
      <c r="AL106" s="514">
        <f t="shared" si="44"/>
        <v>0</v>
      </c>
      <c r="AM106" s="514">
        <f t="shared" si="44"/>
        <v>0</v>
      </c>
      <c r="AN106" s="515">
        <f t="shared" si="44"/>
        <v>0</v>
      </c>
      <c r="AO106" s="745"/>
      <c r="AP106" s="514">
        <f t="shared" si="45"/>
        <v>0</v>
      </c>
      <c r="AQ106" s="514">
        <f t="shared" si="45"/>
        <v>0</v>
      </c>
      <c r="AR106" s="514">
        <f t="shared" si="45"/>
        <v>0</v>
      </c>
      <c r="AS106" s="514">
        <f t="shared" si="45"/>
        <v>0</v>
      </c>
      <c r="AT106" s="514">
        <f t="shared" si="45"/>
        <v>0</v>
      </c>
      <c r="AU106" s="748">
        <f t="shared" si="45"/>
        <v>0</v>
      </c>
      <c r="AV106" s="516"/>
      <c r="AW106" s="514">
        <f t="shared" si="50"/>
        <v>0</v>
      </c>
      <c r="AX106" s="514">
        <f t="shared" si="51"/>
        <v>0</v>
      </c>
      <c r="AY106" s="514">
        <f t="shared" si="52"/>
        <v>0</v>
      </c>
      <c r="AZ106" s="514">
        <f t="shared" si="53"/>
        <v>0</v>
      </c>
      <c r="BA106" s="514">
        <f t="shared" si="54"/>
        <v>0</v>
      </c>
      <c r="BB106" s="515">
        <f t="shared" si="55"/>
        <v>0</v>
      </c>
    </row>
    <row r="107" spans="1:54" hidden="1" outlineLevel="1" x14ac:dyDescent="0.2">
      <c r="A107" s="113"/>
      <c r="B107" s="113"/>
      <c r="C107" s="242">
        <v>20</v>
      </c>
      <c r="D107" s="886" t="str">
        <f t="shared" si="47"/>
        <v>** NOT USED **</v>
      </c>
      <c r="E107" s="886"/>
      <c r="F107" s="886"/>
      <c r="G107" s="887"/>
      <c r="H107" s="888"/>
      <c r="I107" s="888"/>
      <c r="J107" s="68" t="str">
        <f t="shared" si="48"/>
        <v/>
      </c>
      <c r="K107" s="113"/>
      <c r="L107" s="113"/>
      <c r="M107" s="113"/>
      <c r="N107" s="113"/>
      <c r="O107" s="113"/>
      <c r="P107" s="113"/>
      <c r="Q107" s="113"/>
      <c r="R107" s="113"/>
      <c r="W107" s="491"/>
      <c r="X107" s="491"/>
      <c r="Y107" s="242">
        <f t="shared" si="49"/>
        <v>0</v>
      </c>
      <c r="Z107" s="242" t="str">
        <f t="shared" si="34"/>
        <v/>
      </c>
      <c r="AA107" s="756">
        <f t="shared" si="35"/>
        <v>0</v>
      </c>
      <c r="AB107" s="491"/>
      <c r="AC107" s="491"/>
      <c r="AD107" s="491"/>
      <c r="AE107" s="491"/>
      <c r="AF107" s="491"/>
      <c r="AG107" s="491"/>
      <c r="AH107" s="516">
        <v>18</v>
      </c>
      <c r="AI107" s="514">
        <f t="shared" si="44"/>
        <v>0</v>
      </c>
      <c r="AJ107" s="514">
        <f t="shared" si="44"/>
        <v>0</v>
      </c>
      <c r="AK107" s="514">
        <f t="shared" si="44"/>
        <v>0</v>
      </c>
      <c r="AL107" s="514">
        <f t="shared" si="44"/>
        <v>0</v>
      </c>
      <c r="AM107" s="514">
        <f t="shared" si="44"/>
        <v>0</v>
      </c>
      <c r="AN107" s="515">
        <f t="shared" si="44"/>
        <v>0</v>
      </c>
      <c r="AO107" s="745"/>
      <c r="AP107" s="514">
        <f t="shared" si="45"/>
        <v>0</v>
      </c>
      <c r="AQ107" s="514">
        <f t="shared" si="45"/>
        <v>0</v>
      </c>
      <c r="AR107" s="514">
        <f t="shared" si="45"/>
        <v>0</v>
      </c>
      <c r="AS107" s="514">
        <f t="shared" si="45"/>
        <v>0</v>
      </c>
      <c r="AT107" s="514">
        <f t="shared" si="45"/>
        <v>0</v>
      </c>
      <c r="AU107" s="748">
        <f t="shared" si="45"/>
        <v>0</v>
      </c>
      <c r="AV107" s="516"/>
      <c r="AW107" s="514">
        <f t="shared" si="50"/>
        <v>0</v>
      </c>
      <c r="AX107" s="514">
        <f t="shared" si="51"/>
        <v>0</v>
      </c>
      <c r="AY107" s="514">
        <f t="shared" si="52"/>
        <v>0</v>
      </c>
      <c r="AZ107" s="514">
        <f t="shared" si="53"/>
        <v>0</v>
      </c>
      <c r="BA107" s="514">
        <f t="shared" si="54"/>
        <v>0</v>
      </c>
      <c r="BB107" s="515">
        <f t="shared" si="55"/>
        <v>0</v>
      </c>
    </row>
    <row r="108" spans="1:54" hidden="1" outlineLevel="1" x14ac:dyDescent="0.2">
      <c r="A108" s="113"/>
      <c r="B108" s="113"/>
      <c r="C108" s="113"/>
      <c r="D108" s="673"/>
      <c r="E108" s="673"/>
      <c r="F108" s="113"/>
      <c r="G108" s="113"/>
      <c r="H108" s="113"/>
      <c r="I108" s="113"/>
      <c r="J108" s="113"/>
      <c r="K108" s="113"/>
      <c r="L108" s="113"/>
      <c r="M108" s="113"/>
      <c r="N108" s="113"/>
      <c r="O108" s="113"/>
      <c r="P108" s="113"/>
      <c r="Q108" s="113"/>
      <c r="R108" s="113"/>
      <c r="S108" s="113"/>
      <c r="T108" s="113"/>
      <c r="U108" s="113"/>
      <c r="V108" s="113"/>
      <c r="W108" s="491"/>
      <c r="X108" s="491"/>
      <c r="Y108"/>
      <c r="Z108"/>
      <c r="AA108" s="491"/>
      <c r="AB108" s="491"/>
      <c r="AC108" s="491"/>
      <c r="AD108" s="491"/>
      <c r="AE108" s="491"/>
      <c r="AF108" s="491"/>
      <c r="AG108" s="491"/>
      <c r="AH108" s="516">
        <v>19</v>
      </c>
      <c r="AI108" s="514">
        <f t="shared" si="44"/>
        <v>0</v>
      </c>
      <c r="AJ108" s="514">
        <f t="shared" si="44"/>
        <v>0</v>
      </c>
      <c r="AK108" s="514">
        <f t="shared" si="44"/>
        <v>0</v>
      </c>
      <c r="AL108" s="514">
        <f t="shared" si="44"/>
        <v>0</v>
      </c>
      <c r="AM108" s="514">
        <f t="shared" si="44"/>
        <v>0</v>
      </c>
      <c r="AN108" s="515">
        <f t="shared" si="44"/>
        <v>0</v>
      </c>
      <c r="AO108" s="745"/>
      <c r="AP108" s="514">
        <f t="shared" si="45"/>
        <v>0</v>
      </c>
      <c r="AQ108" s="514">
        <f t="shared" si="45"/>
        <v>0</v>
      </c>
      <c r="AR108" s="514">
        <f t="shared" si="45"/>
        <v>0</v>
      </c>
      <c r="AS108" s="514">
        <f t="shared" si="45"/>
        <v>0</v>
      </c>
      <c r="AT108" s="514">
        <f t="shared" si="45"/>
        <v>0</v>
      </c>
      <c r="AU108" s="748">
        <f t="shared" si="45"/>
        <v>0</v>
      </c>
      <c r="AV108" s="516"/>
      <c r="AW108" s="514">
        <f t="shared" si="50"/>
        <v>0</v>
      </c>
      <c r="AX108" s="514">
        <f t="shared" si="51"/>
        <v>0</v>
      </c>
      <c r="AY108" s="514">
        <f t="shared" si="52"/>
        <v>0</v>
      </c>
      <c r="AZ108" s="514">
        <f t="shared" si="53"/>
        <v>0</v>
      </c>
      <c r="BA108" s="514">
        <f t="shared" si="54"/>
        <v>0</v>
      </c>
      <c r="BB108" s="515">
        <f t="shared" si="55"/>
        <v>0</v>
      </c>
    </row>
    <row r="109" spans="1:54" ht="13.5" hidden="1" outlineLevel="1" thickBot="1" x14ac:dyDescent="0.25">
      <c r="A109" s="243"/>
      <c r="B109" s="243"/>
      <c r="C109" s="243"/>
      <c r="D109" s="243" t="s">
        <v>306</v>
      </c>
      <c r="E109" s="243"/>
      <c r="F109" s="243"/>
      <c r="G109" s="243"/>
      <c r="H109" s="243"/>
      <c r="I109" s="243"/>
      <c r="J109" s="243"/>
      <c r="K109" s="243"/>
      <c r="L109" s="243"/>
      <c r="M109" s="243"/>
      <c r="N109" s="243"/>
      <c r="O109" s="243"/>
      <c r="P109" s="243"/>
      <c r="Q109" s="243"/>
      <c r="R109" s="243"/>
      <c r="S109" s="243"/>
      <c r="T109" s="243"/>
      <c r="U109" s="243"/>
      <c r="V109" s="243"/>
      <c r="W109" s="491"/>
      <c r="X109" s="490"/>
      <c r="Y109" s="490"/>
      <c r="Z109" s="490"/>
      <c r="AA109" s="490"/>
      <c r="AB109" s="490"/>
      <c r="AC109" s="490"/>
      <c r="AD109" s="490"/>
      <c r="AE109" s="490"/>
      <c r="AF109" s="490"/>
      <c r="AG109" s="490"/>
      <c r="AH109" s="519">
        <v>20</v>
      </c>
      <c r="AI109" s="517">
        <f t="shared" ref="AI109:AN109" si="56">IF(OR(ScriptSourceCode=1,ScriptSourceCode=3),AI82-AI138,0)</f>
        <v>0</v>
      </c>
      <c r="AJ109" s="517">
        <f t="shared" si="56"/>
        <v>0</v>
      </c>
      <c r="AK109" s="517">
        <f t="shared" si="56"/>
        <v>0</v>
      </c>
      <c r="AL109" s="517">
        <f t="shared" si="56"/>
        <v>0</v>
      </c>
      <c r="AM109" s="517">
        <f t="shared" si="56"/>
        <v>0</v>
      </c>
      <c r="AN109" s="518">
        <f t="shared" si="56"/>
        <v>0</v>
      </c>
      <c r="AO109" s="746"/>
      <c r="AP109" s="517">
        <f t="shared" ref="AP109:AU109" si="57">IF(OR(ScriptSourceCode=1,ScriptSourceCode=3),AP82-AP138,0)</f>
        <v>0</v>
      </c>
      <c r="AQ109" s="517">
        <f t="shared" si="57"/>
        <v>0</v>
      </c>
      <c r="AR109" s="517">
        <f t="shared" si="57"/>
        <v>0</v>
      </c>
      <c r="AS109" s="517">
        <f t="shared" si="57"/>
        <v>0</v>
      </c>
      <c r="AT109" s="517">
        <f t="shared" si="57"/>
        <v>0</v>
      </c>
      <c r="AU109" s="749">
        <f t="shared" si="57"/>
        <v>0</v>
      </c>
      <c r="AV109" s="519"/>
      <c r="AW109" s="517">
        <f t="shared" si="50"/>
        <v>0</v>
      </c>
      <c r="AX109" s="517">
        <f t="shared" si="51"/>
        <v>0</v>
      </c>
      <c r="AY109" s="517">
        <f t="shared" si="52"/>
        <v>0</v>
      </c>
      <c r="AZ109" s="517">
        <f t="shared" si="53"/>
        <v>0</v>
      </c>
      <c r="BA109" s="517">
        <f t="shared" si="54"/>
        <v>0</v>
      </c>
      <c r="BB109" s="518">
        <f t="shared" si="55"/>
        <v>0</v>
      </c>
    </row>
    <row r="110" spans="1:54" ht="13.5" hidden="1" outlineLevel="1" collapsed="1" thickBot="1" x14ac:dyDescent="0.25">
      <c r="A110" s="243"/>
      <c r="B110" s="243"/>
      <c r="C110" s="243"/>
      <c r="D110" s="243"/>
      <c r="E110" s="243"/>
      <c r="F110" s="243"/>
      <c r="G110" s="243"/>
      <c r="H110" s="243"/>
      <c r="I110" s="243"/>
      <c r="J110" s="243"/>
      <c r="K110" s="243"/>
      <c r="L110" s="243"/>
      <c r="M110" s="243"/>
      <c r="N110" s="243"/>
      <c r="O110" s="243"/>
      <c r="P110" s="243"/>
      <c r="Q110" s="243"/>
      <c r="R110" s="243"/>
      <c r="S110" s="243"/>
      <c r="T110" s="243"/>
      <c r="U110" s="243"/>
      <c r="V110" s="243"/>
      <c r="W110" s="491"/>
      <c r="X110" s="490"/>
      <c r="Y110" s="490"/>
      <c r="Z110" s="490"/>
      <c r="AA110" s="490"/>
      <c r="AB110" s="490"/>
      <c r="AC110" s="490"/>
      <c r="AD110" s="490"/>
      <c r="AE110" s="490"/>
      <c r="AF110" s="490"/>
      <c r="AG110" s="490"/>
    </row>
    <row r="111" spans="1:54" ht="15.75" hidden="1" outlineLevel="1" x14ac:dyDescent="0.2">
      <c r="A111" s="243"/>
      <c r="B111" s="243"/>
      <c r="C111" s="242">
        <v>1</v>
      </c>
      <c r="D111" s="79" t="str">
        <f>INDEX(MBSIncNames,C111)</f>
        <v>** NOT USED **</v>
      </c>
      <c r="E111" s="79"/>
      <c r="F111" s="115"/>
      <c r="G111" s="115"/>
      <c r="H111" s="115"/>
      <c r="I111" s="115"/>
      <c r="J111" s="821" t="str">
        <f>IF(D111&lt;&gt;MsgNotUsed,"Co-payment group " &amp; K63,"")</f>
        <v/>
      </c>
      <c r="K111" s="821"/>
      <c r="L111" s="115"/>
      <c r="M111" s="115"/>
      <c r="N111" s="115"/>
      <c r="O111" s="115"/>
      <c r="P111" s="115"/>
      <c r="Q111" s="115"/>
      <c r="R111" s="115"/>
      <c r="S111" s="115"/>
      <c r="T111" s="115"/>
      <c r="U111" s="115"/>
      <c r="V111" s="115"/>
      <c r="W111" s="491"/>
      <c r="X111" s="490"/>
      <c r="Y111" s="490"/>
      <c r="Z111" s="490"/>
      <c r="AA111" s="490"/>
      <c r="AB111" s="490"/>
      <c r="AC111" s="490"/>
      <c r="AD111" s="490"/>
      <c r="AE111" s="490"/>
      <c r="AF111" s="490"/>
      <c r="AG111" s="490"/>
      <c r="AH111" s="901" t="s">
        <v>226</v>
      </c>
      <c r="AI111" s="902"/>
      <c r="AJ111" s="902"/>
      <c r="AK111" s="902"/>
      <c r="AL111" s="902"/>
      <c r="AM111" s="902"/>
      <c r="AN111" s="902"/>
      <c r="AO111" s="902"/>
      <c r="AP111" s="902"/>
      <c r="AQ111" s="902"/>
      <c r="AR111" s="902"/>
      <c r="AS111" s="902"/>
      <c r="AT111" s="902"/>
      <c r="AU111" s="902"/>
      <c r="AV111" s="902"/>
      <c r="AW111" s="902"/>
      <c r="AX111" s="902"/>
      <c r="AY111" s="902"/>
      <c r="AZ111" s="902"/>
      <c r="BA111" s="902"/>
      <c r="BB111" s="903"/>
    </row>
    <row r="112" spans="1:54" s="493" customFormat="1" ht="13.5" hidden="1" outlineLevel="2" thickBot="1" x14ac:dyDescent="0.25">
      <c r="A112" s="243"/>
      <c r="B112" s="243"/>
      <c r="C112" s="243"/>
      <c r="D112" s="243"/>
      <c r="E112" s="243"/>
      <c r="F112" s="495">
        <v>2</v>
      </c>
      <c r="G112" s="495">
        <v>3</v>
      </c>
      <c r="H112" s="495">
        <v>4</v>
      </c>
      <c r="I112" s="495">
        <v>5</v>
      </c>
      <c r="J112" s="495">
        <v>6</v>
      </c>
      <c r="K112" s="495">
        <v>7</v>
      </c>
      <c r="L112" s="495"/>
      <c r="M112" s="243"/>
      <c r="N112" s="243"/>
      <c r="O112" s="243"/>
      <c r="P112" s="243"/>
      <c r="Q112" s="243"/>
      <c r="R112" s="243"/>
      <c r="S112" s="243"/>
      <c r="T112" s="243"/>
      <c r="U112" s="243"/>
      <c r="V112" s="243"/>
      <c r="W112" s="490"/>
      <c r="X112" s="490"/>
      <c r="Y112" s="490"/>
      <c r="Z112" s="490"/>
      <c r="AA112" s="490"/>
      <c r="AB112" s="490"/>
      <c r="AC112" s="490"/>
      <c r="AD112" s="490"/>
      <c r="AE112" s="490"/>
      <c r="AF112" s="490"/>
      <c r="AG112" s="490"/>
      <c r="AH112" s="904" t="str">
        <f>TxPhase1PxTotal</f>
        <v/>
      </c>
      <c r="AI112" s="905"/>
      <c r="AJ112" s="905"/>
      <c r="AK112" s="905"/>
      <c r="AL112" s="905"/>
      <c r="AM112" s="905"/>
      <c r="AN112" s="906"/>
      <c r="AO112" s="907" t="str">
        <f>TxPhase2PxTotal</f>
        <v/>
      </c>
      <c r="AP112" s="905"/>
      <c r="AQ112" s="905"/>
      <c r="AR112" s="905"/>
      <c r="AS112" s="905"/>
      <c r="AT112" s="905"/>
      <c r="AU112" s="906"/>
      <c r="AV112" s="908" t="s">
        <v>427</v>
      </c>
      <c r="AW112" s="908"/>
      <c r="AX112" s="908"/>
      <c r="AY112" s="908"/>
      <c r="AZ112" s="908"/>
      <c r="BA112" s="908"/>
      <c r="BB112" s="909"/>
    </row>
    <row r="113" spans="1:54" ht="15" hidden="1" outlineLevel="2" x14ac:dyDescent="0.2">
      <c r="A113" s="243"/>
      <c r="B113" s="243"/>
      <c r="C113" s="243"/>
      <c r="D113" s="663" t="s">
        <v>0</v>
      </c>
      <c r="E113" s="663"/>
      <c r="F113" s="483">
        <f>FirstYear</f>
        <v>2021</v>
      </c>
      <c r="G113" s="483">
        <f>F113+1</f>
        <v>2022</v>
      </c>
      <c r="H113" s="483">
        <f>G113+1</f>
        <v>2023</v>
      </c>
      <c r="I113" s="483">
        <f>H113+1</f>
        <v>2024</v>
      </c>
      <c r="J113" s="483">
        <f>I113+1</f>
        <v>2025</v>
      </c>
      <c r="K113" s="483">
        <f>J113+1</f>
        <v>2026</v>
      </c>
      <c r="L113" s="491"/>
      <c r="M113" s="113"/>
      <c r="N113" s="679"/>
      <c r="O113" s="679"/>
      <c r="P113" s="679"/>
      <c r="Q113" s="674"/>
      <c r="R113" s="674"/>
      <c r="S113" s="674"/>
      <c r="T113" s="674"/>
      <c r="U113" s="674"/>
      <c r="V113" s="674"/>
      <c r="W113" s="491"/>
      <c r="X113" s="674"/>
      <c r="Y113" s="674"/>
      <c r="Z113" s="674"/>
      <c r="AA113" s="674"/>
      <c r="AB113" s="674"/>
      <c r="AC113" s="490"/>
      <c r="AD113" s="490"/>
      <c r="AE113" s="490"/>
      <c r="AF113" s="490"/>
      <c r="AG113" s="490"/>
      <c r="AH113" s="379"/>
      <c r="AI113" s="380">
        <f>FirstYear</f>
        <v>2021</v>
      </c>
      <c r="AJ113" s="380">
        <f>AI113+1</f>
        <v>2022</v>
      </c>
      <c r="AK113" s="380">
        <f>AJ113+1</f>
        <v>2023</v>
      </c>
      <c r="AL113" s="380">
        <f>AK113+1</f>
        <v>2024</v>
      </c>
      <c r="AM113" s="380">
        <f>AL113+1</f>
        <v>2025</v>
      </c>
      <c r="AN113" s="381">
        <f>AM113+1</f>
        <v>2026</v>
      </c>
      <c r="AO113" s="744"/>
      <c r="AP113" s="380">
        <f>FirstYear</f>
        <v>2021</v>
      </c>
      <c r="AQ113" s="380">
        <f>AP113+1</f>
        <v>2022</v>
      </c>
      <c r="AR113" s="380">
        <f>AQ113+1</f>
        <v>2023</v>
      </c>
      <c r="AS113" s="380">
        <f>AR113+1</f>
        <v>2024</v>
      </c>
      <c r="AT113" s="380">
        <f>AS113+1</f>
        <v>2025</v>
      </c>
      <c r="AU113" s="747">
        <f>AT113+1</f>
        <v>2026</v>
      </c>
      <c r="AV113" s="379"/>
      <c r="AW113" s="380">
        <f>FirstYear</f>
        <v>2021</v>
      </c>
      <c r="AX113" s="380">
        <f>AW113+1</f>
        <v>2022</v>
      </c>
      <c r="AY113" s="380">
        <f>AX113+1</f>
        <v>2023</v>
      </c>
      <c r="AZ113" s="380">
        <f>AY113+1</f>
        <v>2024</v>
      </c>
      <c r="BA113" s="380">
        <f>AZ113+1</f>
        <v>2025</v>
      </c>
      <c r="BB113" s="381">
        <f>BA113+1</f>
        <v>2026</v>
      </c>
    </row>
    <row r="114" spans="1:54" s="493" customFormat="1" hidden="1" outlineLevel="2" x14ac:dyDescent="0.2">
      <c r="A114" s="243"/>
      <c r="B114" s="243"/>
      <c r="C114" s="243"/>
      <c r="D114" s="243"/>
      <c r="E114" s="433" t="s">
        <v>951</v>
      </c>
      <c r="F114" s="283">
        <f t="shared" ref="F114:K114" si="58">F115*INDEX(MBSIncCalc,$C111,3)</f>
        <v>0</v>
      </c>
      <c r="G114" s="283">
        <f t="shared" si="58"/>
        <v>0</v>
      </c>
      <c r="H114" s="283">
        <f t="shared" si="58"/>
        <v>0</v>
      </c>
      <c r="I114" s="283">
        <f t="shared" si="58"/>
        <v>0</v>
      </c>
      <c r="J114" s="283">
        <f t="shared" si="58"/>
        <v>0</v>
      </c>
      <c r="K114" s="283">
        <f t="shared" si="58"/>
        <v>0</v>
      </c>
      <c r="L114" s="490"/>
      <c r="M114" s="680"/>
      <c r="N114" s="664"/>
      <c r="O114" s="664"/>
      <c r="P114" s="664"/>
      <c r="Q114" s="681"/>
      <c r="R114" s="681"/>
      <c r="S114" s="681"/>
      <c r="T114" s="681"/>
      <c r="U114" s="681"/>
      <c r="V114" s="681"/>
      <c r="X114" s="561">
        <f>INDEX(MBSIncItems,C111,1)</f>
        <v>0</v>
      </c>
      <c r="Y114" s="561">
        <f>FirstYear</f>
        <v>2021</v>
      </c>
      <c r="Z114" s="560">
        <f>IF(F115&lt;&gt;0,F115-F117,0)</f>
        <v>0</v>
      </c>
      <c r="AA114" s="560">
        <f>IF(F123&lt;&gt;0,F123-F125,0)</f>
        <v>0</v>
      </c>
      <c r="AC114" s="490"/>
      <c r="AD114" s="490"/>
      <c r="AE114" s="490"/>
      <c r="AF114" s="490"/>
      <c r="AG114" s="490"/>
      <c r="AH114" s="516">
        <v>1</v>
      </c>
      <c r="AI114" s="514">
        <f t="shared" ref="AI114:AN123" si="59">IF(OR(ScriptSourceCode=1,ScriptSourceCode=3),IF($AG63&lt;&gt;0,ROUND(AI63*INDEX(PxTxPhase1Adj,$AG63,9),0),0),0)</f>
        <v>0</v>
      </c>
      <c r="AJ114" s="514">
        <f t="shared" si="59"/>
        <v>0</v>
      </c>
      <c r="AK114" s="514">
        <f t="shared" si="59"/>
        <v>0</v>
      </c>
      <c r="AL114" s="514">
        <f t="shared" si="59"/>
        <v>0</v>
      </c>
      <c r="AM114" s="514">
        <f t="shared" si="59"/>
        <v>0</v>
      </c>
      <c r="AN114" s="515">
        <f t="shared" si="59"/>
        <v>0</v>
      </c>
      <c r="AO114" s="745"/>
      <c r="AP114" s="514">
        <f t="shared" ref="AP114:AU123" si="60">IF(OR(ScriptSourceCode=1,ScriptSourceCode=3),IF($AG63&lt;&gt;0,ROUND(AP63*INDEX(PxTxPhase1Adj,$AG63,9),0),0),0)</f>
        <v>0</v>
      </c>
      <c r="AQ114" s="514">
        <f t="shared" si="60"/>
        <v>0</v>
      </c>
      <c r="AR114" s="514">
        <f t="shared" si="60"/>
        <v>0</v>
      </c>
      <c r="AS114" s="514">
        <f t="shared" si="60"/>
        <v>0</v>
      </c>
      <c r="AT114" s="514">
        <f t="shared" si="60"/>
        <v>0</v>
      </c>
      <c r="AU114" s="748">
        <f t="shared" si="60"/>
        <v>0</v>
      </c>
      <c r="AV114" s="516"/>
      <c r="AW114" s="514">
        <f t="shared" ref="AW114:BB116" si="61">AI114+AP114</f>
        <v>0</v>
      </c>
      <c r="AX114" s="514">
        <f t="shared" si="61"/>
        <v>0</v>
      </c>
      <c r="AY114" s="514">
        <f t="shared" si="61"/>
        <v>0</v>
      </c>
      <c r="AZ114" s="514">
        <f t="shared" si="61"/>
        <v>0</v>
      </c>
      <c r="BA114" s="514">
        <f t="shared" si="61"/>
        <v>0</v>
      </c>
      <c r="BB114" s="515">
        <f t="shared" si="61"/>
        <v>0</v>
      </c>
    </row>
    <row r="115" spans="1:54" s="493" customFormat="1" hidden="1" outlineLevel="2" x14ac:dyDescent="0.2">
      <c r="A115" s="243"/>
      <c r="B115" s="672"/>
      <c r="C115" s="242" t="str">
        <f>INDEX(MBSIncCalc,C111,2)</f>
        <v/>
      </c>
      <c r="D115" s="243"/>
      <c r="E115" s="62" t="s">
        <v>1310</v>
      </c>
      <c r="F115" s="63">
        <f t="shared" ref="F115" si="62">IF(INDEX(MBSIncRate,$C111,2)=2,IFERROR(INDEX(PBSScriptsNew,$C115,F112),0),IFERROR(INDEX(MBSPBSInc,$C111,INDEX(MBSIncRate,$C111,3)*7+F112),0) * IFERROR(INDEX(MBSIncPopSplit,$C111),0)) * INDEX(MBSIncRate,$C111,1) * INDEX(MBSIncRate,$C111,4)</f>
        <v>0</v>
      </c>
      <c r="G115" s="63">
        <f t="shared" ref="G115:K115" si="63">IF(INDEX(MBSIncRate,$C111,2)=2,IFERROR(INDEX(PBSScriptsNew,$C115,G112),0),IFERROR(INDEX(MBSPBSInc,$C111,INDEX(MBSIncRate,$C111,3)*7+G112),0) * IFERROR(INDEX(MBSIncPopSplit,$C111),0)) * INDEX(MBSIncRate,$C111,1) * INDEX(MBSIncRate,$C111,4)</f>
        <v>0</v>
      </c>
      <c r="H115" s="63">
        <f t="shared" si="63"/>
        <v>0</v>
      </c>
      <c r="I115" s="63">
        <f t="shared" si="63"/>
        <v>0</v>
      </c>
      <c r="J115" s="63">
        <f t="shared" si="63"/>
        <v>0</v>
      </c>
      <c r="K115" s="63">
        <f t="shared" si="63"/>
        <v>0</v>
      </c>
      <c r="L115" s="490"/>
      <c r="O115" s="664"/>
      <c r="P115" s="664"/>
      <c r="Q115" s="681"/>
      <c r="R115" s="681"/>
      <c r="S115" s="681"/>
      <c r="T115" s="681"/>
      <c r="U115" s="681"/>
      <c r="V115" s="681"/>
      <c r="X115" s="561">
        <f>X114</f>
        <v>0</v>
      </c>
      <c r="Y115" s="561">
        <f>Y114+1</f>
        <v>2022</v>
      </c>
      <c r="Z115" s="560">
        <f>IF(G115&lt;&gt;0,G115-G117,0)</f>
        <v>0</v>
      </c>
      <c r="AA115" s="560">
        <f>IF(G123&lt;&gt;0,G123-G125,0)</f>
        <v>0</v>
      </c>
      <c r="AC115" s="490"/>
      <c r="AD115" s="490"/>
      <c r="AE115" s="490"/>
      <c r="AF115" s="490"/>
      <c r="AG115" s="490"/>
      <c r="AH115" s="516">
        <v>2</v>
      </c>
      <c r="AI115" s="514">
        <f t="shared" si="59"/>
        <v>0</v>
      </c>
      <c r="AJ115" s="514">
        <f t="shared" si="59"/>
        <v>0</v>
      </c>
      <c r="AK115" s="514">
        <f t="shared" si="59"/>
        <v>0</v>
      </c>
      <c r="AL115" s="514">
        <f t="shared" si="59"/>
        <v>0</v>
      </c>
      <c r="AM115" s="514">
        <f t="shared" si="59"/>
        <v>0</v>
      </c>
      <c r="AN115" s="515">
        <f t="shared" si="59"/>
        <v>0</v>
      </c>
      <c r="AO115" s="745"/>
      <c r="AP115" s="514">
        <f t="shared" si="60"/>
        <v>0</v>
      </c>
      <c r="AQ115" s="514">
        <f t="shared" si="60"/>
        <v>0</v>
      </c>
      <c r="AR115" s="514">
        <f t="shared" si="60"/>
        <v>0</v>
      </c>
      <c r="AS115" s="514">
        <f t="shared" si="60"/>
        <v>0</v>
      </c>
      <c r="AT115" s="514">
        <f t="shared" si="60"/>
        <v>0</v>
      </c>
      <c r="AU115" s="748">
        <f t="shared" si="60"/>
        <v>0</v>
      </c>
      <c r="AV115" s="516"/>
      <c r="AW115" s="514">
        <f t="shared" si="61"/>
        <v>0</v>
      </c>
      <c r="AX115" s="514">
        <f t="shared" si="61"/>
        <v>0</v>
      </c>
      <c r="AY115" s="514">
        <f t="shared" si="61"/>
        <v>0</v>
      </c>
      <c r="AZ115" s="514">
        <f t="shared" si="61"/>
        <v>0</v>
      </c>
      <c r="BA115" s="514">
        <f t="shared" si="61"/>
        <v>0</v>
      </c>
      <c r="BB115" s="515">
        <f t="shared" si="61"/>
        <v>0</v>
      </c>
    </row>
    <row r="116" spans="1:54" s="493" customFormat="1" hidden="1" outlineLevel="2" x14ac:dyDescent="0.2">
      <c r="A116" s="243"/>
      <c r="B116" s="242">
        <v>5</v>
      </c>
      <c r="C116" s="242">
        <v>6</v>
      </c>
      <c r="D116" s="243"/>
      <c r="E116" s="496" t="s">
        <v>1307</v>
      </c>
      <c r="F116" s="63" t="str">
        <f t="shared" ref="F116:K116" si="64">IFERROR(F115*INDEX(MBSIncItems,$C111,$B116)*INDEX(MBSIncItems,$C111,$C116),"")</f>
        <v/>
      </c>
      <c r="G116" s="63" t="str">
        <f t="shared" si="64"/>
        <v/>
      </c>
      <c r="H116" s="63" t="str">
        <f t="shared" si="64"/>
        <v/>
      </c>
      <c r="I116" s="63" t="str">
        <f t="shared" si="64"/>
        <v/>
      </c>
      <c r="J116" s="63" t="str">
        <f t="shared" si="64"/>
        <v/>
      </c>
      <c r="K116" s="63" t="str">
        <f t="shared" si="64"/>
        <v/>
      </c>
      <c r="L116" s="490"/>
      <c r="O116" s="682"/>
      <c r="P116" s="754"/>
      <c r="Q116" s="681"/>
      <c r="R116" s="681"/>
      <c r="S116" s="681"/>
      <c r="T116" s="681"/>
      <c r="U116" s="681"/>
      <c r="V116" s="681"/>
      <c r="X116" s="561">
        <f t="shared" ref="X116:X119" si="65">X115</f>
        <v>0</v>
      </c>
      <c r="Y116" s="561">
        <f>Y115+1</f>
        <v>2023</v>
      </c>
      <c r="Z116" s="560">
        <f>IF(H115&lt;&gt;0,H115-H117,0)</f>
        <v>0</v>
      </c>
      <c r="AA116" s="560">
        <f>IF(H123&lt;&gt;0,H123-H125,0)</f>
        <v>0</v>
      </c>
      <c r="AC116" s="490"/>
      <c r="AD116" s="490"/>
      <c r="AE116" s="490"/>
      <c r="AF116" s="490"/>
      <c r="AG116" s="490"/>
      <c r="AH116" s="516">
        <v>3</v>
      </c>
      <c r="AI116" s="514">
        <f t="shared" si="59"/>
        <v>0</v>
      </c>
      <c r="AJ116" s="514">
        <f t="shared" si="59"/>
        <v>0</v>
      </c>
      <c r="AK116" s="514">
        <f t="shared" si="59"/>
        <v>0</v>
      </c>
      <c r="AL116" s="514">
        <f t="shared" si="59"/>
        <v>0</v>
      </c>
      <c r="AM116" s="514">
        <f t="shared" si="59"/>
        <v>0</v>
      </c>
      <c r="AN116" s="515">
        <f t="shared" si="59"/>
        <v>0</v>
      </c>
      <c r="AO116" s="745"/>
      <c r="AP116" s="514">
        <f t="shared" si="60"/>
        <v>0</v>
      </c>
      <c r="AQ116" s="514">
        <f t="shared" si="60"/>
        <v>0</v>
      </c>
      <c r="AR116" s="514">
        <f t="shared" si="60"/>
        <v>0</v>
      </c>
      <c r="AS116" s="514">
        <f t="shared" si="60"/>
        <v>0</v>
      </c>
      <c r="AT116" s="514">
        <f t="shared" si="60"/>
        <v>0</v>
      </c>
      <c r="AU116" s="748">
        <f t="shared" si="60"/>
        <v>0</v>
      </c>
      <c r="AV116" s="516"/>
      <c r="AW116" s="514">
        <f t="shared" si="61"/>
        <v>0</v>
      </c>
      <c r="AX116" s="514">
        <f t="shared" si="61"/>
        <v>0</v>
      </c>
      <c r="AY116" s="514">
        <f t="shared" si="61"/>
        <v>0</v>
      </c>
      <c r="AZ116" s="514">
        <f t="shared" si="61"/>
        <v>0</v>
      </c>
      <c r="BA116" s="514">
        <f t="shared" si="61"/>
        <v>0</v>
      </c>
      <c r="BB116" s="515">
        <f t="shared" si="61"/>
        <v>0</v>
      </c>
    </row>
    <row r="117" spans="1:54" s="493" customFormat="1" hidden="1" outlineLevel="2" x14ac:dyDescent="0.2">
      <c r="A117"/>
      <c r="B117" s="242">
        <v>4</v>
      </c>
      <c r="C117" s="242">
        <v>6</v>
      </c>
      <c r="D117" s="243"/>
      <c r="E117" s="496" t="s">
        <v>1306</v>
      </c>
      <c r="F117" s="63" t="str">
        <f t="shared" ref="F117:K117" si="66">IFERROR(F115*INDEX(MBSIncItems,$C111,$B117)*INDEX(MBSIncItems,$C111,$C117),"")</f>
        <v/>
      </c>
      <c r="G117" s="63" t="str">
        <f t="shared" si="66"/>
        <v/>
      </c>
      <c r="H117" s="63" t="str">
        <f t="shared" si="66"/>
        <v/>
      </c>
      <c r="I117" s="63" t="str">
        <f t="shared" si="66"/>
        <v/>
      </c>
      <c r="J117" s="63" t="str">
        <f t="shared" si="66"/>
        <v/>
      </c>
      <c r="K117" s="63" t="str">
        <f t="shared" si="66"/>
        <v/>
      </c>
      <c r="L117"/>
      <c r="M117"/>
      <c r="N117"/>
      <c r="O117"/>
      <c r="P117"/>
      <c r="Q117"/>
      <c r="R117"/>
      <c r="S117"/>
      <c r="T117"/>
      <c r="U117"/>
      <c r="V117"/>
      <c r="X117" s="561">
        <f t="shared" si="65"/>
        <v>0</v>
      </c>
      <c r="Y117" s="561">
        <f>Y116+1</f>
        <v>2024</v>
      </c>
      <c r="Z117" s="560">
        <f>IF(I115&lt;&gt;0,I115-I117,0)</f>
        <v>0</v>
      </c>
      <c r="AA117" s="560">
        <f>IF(I123&lt;&gt;0,I123-I125,0)</f>
        <v>0</v>
      </c>
      <c r="AC117" s="490"/>
      <c r="AD117" s="490"/>
      <c r="AE117" s="490"/>
      <c r="AF117" s="490"/>
      <c r="AG117" s="490"/>
      <c r="AH117" s="516">
        <v>4</v>
      </c>
      <c r="AI117" s="514">
        <f t="shared" si="59"/>
        <v>0</v>
      </c>
      <c r="AJ117" s="514">
        <f t="shared" si="59"/>
        <v>0</v>
      </c>
      <c r="AK117" s="514">
        <f t="shared" si="59"/>
        <v>0</v>
      </c>
      <c r="AL117" s="514">
        <f t="shared" si="59"/>
        <v>0</v>
      </c>
      <c r="AM117" s="514">
        <f t="shared" si="59"/>
        <v>0</v>
      </c>
      <c r="AN117" s="515">
        <f t="shared" si="59"/>
        <v>0</v>
      </c>
      <c r="AO117" s="745"/>
      <c r="AP117" s="514">
        <f t="shared" si="60"/>
        <v>0</v>
      </c>
      <c r="AQ117" s="514">
        <f t="shared" si="60"/>
        <v>0</v>
      </c>
      <c r="AR117" s="514">
        <f t="shared" si="60"/>
        <v>0</v>
      </c>
      <c r="AS117" s="514">
        <f t="shared" si="60"/>
        <v>0</v>
      </c>
      <c r="AT117" s="514">
        <f t="shared" si="60"/>
        <v>0</v>
      </c>
      <c r="AU117" s="748">
        <f t="shared" si="60"/>
        <v>0</v>
      </c>
      <c r="AV117" s="516"/>
      <c r="AW117" s="514">
        <f t="shared" ref="AW117:BB123" si="67">AI117+AP117</f>
        <v>0</v>
      </c>
      <c r="AX117" s="514">
        <f t="shared" si="67"/>
        <v>0</v>
      </c>
      <c r="AY117" s="514">
        <f t="shared" si="67"/>
        <v>0</v>
      </c>
      <c r="AZ117" s="514">
        <f t="shared" si="67"/>
        <v>0</v>
      </c>
      <c r="BA117" s="514">
        <f t="shared" si="67"/>
        <v>0</v>
      </c>
      <c r="BB117" s="515">
        <f t="shared" si="67"/>
        <v>0</v>
      </c>
    </row>
    <row r="118" spans="1:54" s="493" customFormat="1" hidden="1" outlineLevel="2" x14ac:dyDescent="0.2">
      <c r="A118" s="243"/>
      <c r="B118" s="242"/>
      <c r="C118" s="242">
        <v>7</v>
      </c>
      <c r="D118" s="243"/>
      <c r="E118" s="497" t="s">
        <v>1308</v>
      </c>
      <c r="F118" s="63" t="str">
        <f t="shared" ref="F118:K118" si="68">IFERROR(F115*INDEX(MBSIncItems,$C111,$C118),"")</f>
        <v/>
      </c>
      <c r="G118" s="63" t="str">
        <f t="shared" si="68"/>
        <v/>
      </c>
      <c r="H118" s="63" t="str">
        <f t="shared" si="68"/>
        <v/>
      </c>
      <c r="I118" s="63" t="str">
        <f t="shared" si="68"/>
        <v/>
      </c>
      <c r="J118" s="63" t="str">
        <f t="shared" si="68"/>
        <v/>
      </c>
      <c r="K118" s="63" t="str">
        <f t="shared" si="68"/>
        <v/>
      </c>
      <c r="L118" s="490"/>
      <c r="O118" s="682"/>
      <c r="P118" s="754"/>
      <c r="Q118" s="681"/>
      <c r="R118" s="681"/>
      <c r="S118" s="681"/>
      <c r="T118" s="681"/>
      <c r="U118" s="681"/>
      <c r="V118" s="681"/>
      <c r="X118" s="561">
        <f t="shared" si="65"/>
        <v>0</v>
      </c>
      <c r="Y118" s="561">
        <f>Y117+1</f>
        <v>2025</v>
      </c>
      <c r="Z118" s="560">
        <f>IF(J115&lt;&gt;0,J115-J117,0)</f>
        <v>0</v>
      </c>
      <c r="AA118" s="560">
        <f>IF(J123&lt;&gt;0,J123-J125,0)</f>
        <v>0</v>
      </c>
      <c r="AC118" s="490"/>
      <c r="AD118" s="490"/>
      <c r="AE118" s="490"/>
      <c r="AF118" s="490"/>
      <c r="AG118" s="490"/>
      <c r="AH118" s="516">
        <v>5</v>
      </c>
      <c r="AI118" s="514">
        <f t="shared" si="59"/>
        <v>0</v>
      </c>
      <c r="AJ118" s="514">
        <f t="shared" si="59"/>
        <v>0</v>
      </c>
      <c r="AK118" s="514">
        <f t="shared" si="59"/>
        <v>0</v>
      </c>
      <c r="AL118" s="514">
        <f t="shared" si="59"/>
        <v>0</v>
      </c>
      <c r="AM118" s="514">
        <f t="shared" si="59"/>
        <v>0</v>
      </c>
      <c r="AN118" s="515">
        <f t="shared" si="59"/>
        <v>0</v>
      </c>
      <c r="AO118" s="745"/>
      <c r="AP118" s="514">
        <f t="shared" si="60"/>
        <v>0</v>
      </c>
      <c r="AQ118" s="514">
        <f t="shared" si="60"/>
        <v>0</v>
      </c>
      <c r="AR118" s="514">
        <f t="shared" si="60"/>
        <v>0</v>
      </c>
      <c r="AS118" s="514">
        <f t="shared" si="60"/>
        <v>0</v>
      </c>
      <c r="AT118" s="514">
        <f t="shared" si="60"/>
        <v>0</v>
      </c>
      <c r="AU118" s="748">
        <f t="shared" si="60"/>
        <v>0</v>
      </c>
      <c r="AV118" s="516"/>
      <c r="AW118" s="514">
        <f t="shared" si="67"/>
        <v>0</v>
      </c>
      <c r="AX118" s="514">
        <f t="shared" si="67"/>
        <v>0</v>
      </c>
      <c r="AY118" s="514">
        <f t="shared" si="67"/>
        <v>0</v>
      </c>
      <c r="AZ118" s="514">
        <f t="shared" si="67"/>
        <v>0</v>
      </c>
      <c r="BA118" s="514">
        <f t="shared" si="67"/>
        <v>0</v>
      </c>
      <c r="BB118" s="515">
        <f t="shared" si="67"/>
        <v>0</v>
      </c>
    </row>
    <row r="119" spans="1:54" s="493" customFormat="1" hidden="1" outlineLevel="2" x14ac:dyDescent="0.2">
      <c r="A119" s="243"/>
      <c r="L119" s="490"/>
      <c r="O119" s="682"/>
      <c r="P119" s="682"/>
      <c r="Q119" s="681"/>
      <c r="R119" s="681"/>
      <c r="S119" s="681"/>
      <c r="T119" s="681"/>
      <c r="U119" s="681"/>
      <c r="V119" s="681"/>
      <c r="X119" s="561">
        <f t="shared" si="65"/>
        <v>0</v>
      </c>
      <c r="Y119" s="561">
        <f>Y118+1</f>
        <v>2026</v>
      </c>
      <c r="Z119" s="560">
        <f>IF(K115&lt;&gt;0,K115-K117,0)</f>
        <v>0</v>
      </c>
      <c r="AA119" s="560">
        <f>IF(K123&lt;&gt;0,K123-K125,0)</f>
        <v>0</v>
      </c>
      <c r="AB119" s="675"/>
      <c r="AC119" s="490"/>
      <c r="AD119" s="490"/>
      <c r="AE119" s="490"/>
      <c r="AF119" s="490"/>
      <c r="AG119" s="490"/>
      <c r="AH119" s="516">
        <v>6</v>
      </c>
      <c r="AI119" s="514">
        <f t="shared" si="59"/>
        <v>0</v>
      </c>
      <c r="AJ119" s="514">
        <f t="shared" si="59"/>
        <v>0</v>
      </c>
      <c r="AK119" s="514">
        <f t="shared" si="59"/>
        <v>0</v>
      </c>
      <c r="AL119" s="514">
        <f t="shared" si="59"/>
        <v>0</v>
      </c>
      <c r="AM119" s="514">
        <f t="shared" si="59"/>
        <v>0</v>
      </c>
      <c r="AN119" s="515">
        <f t="shared" si="59"/>
        <v>0</v>
      </c>
      <c r="AO119" s="745"/>
      <c r="AP119" s="514">
        <f t="shared" si="60"/>
        <v>0</v>
      </c>
      <c r="AQ119" s="514">
        <f t="shared" si="60"/>
        <v>0</v>
      </c>
      <c r="AR119" s="514">
        <f t="shared" si="60"/>
        <v>0</v>
      </c>
      <c r="AS119" s="514">
        <f t="shared" si="60"/>
        <v>0</v>
      </c>
      <c r="AT119" s="514">
        <f t="shared" si="60"/>
        <v>0</v>
      </c>
      <c r="AU119" s="748">
        <f t="shared" si="60"/>
        <v>0</v>
      </c>
      <c r="AV119" s="516"/>
      <c r="AW119" s="514">
        <f t="shared" ref="AW119" si="69">AI119+AP119</f>
        <v>0</v>
      </c>
      <c r="AX119" s="514">
        <f t="shared" ref="AX119" si="70">AJ119+AQ119</f>
        <v>0</v>
      </c>
      <c r="AY119" s="514">
        <f t="shared" ref="AY119" si="71">AK119+AR119</f>
        <v>0</v>
      </c>
      <c r="AZ119" s="514">
        <f t="shared" ref="AZ119" si="72">AL119+AS119</f>
        <v>0</v>
      </c>
      <c r="BA119" s="514">
        <f t="shared" ref="BA119" si="73">AM119+AT119</f>
        <v>0</v>
      </c>
      <c r="BB119" s="515">
        <f t="shared" ref="BB119" si="74">AN119+AU119</f>
        <v>0</v>
      </c>
    </row>
    <row r="120" spans="1:54" s="493" customFormat="1" hidden="1" outlineLevel="2" x14ac:dyDescent="0.2">
      <c r="A120" s="243"/>
      <c r="B120" s="243"/>
      <c r="C120" s="243"/>
      <c r="D120" s="677"/>
      <c r="E120" s="677"/>
      <c r="F120" s="495">
        <v>2</v>
      </c>
      <c r="G120" s="495">
        <v>3</v>
      </c>
      <c r="H120" s="495">
        <v>4</v>
      </c>
      <c r="I120" s="495">
        <v>5</v>
      </c>
      <c r="J120" s="495">
        <v>6</v>
      </c>
      <c r="K120" s="495">
        <v>7</v>
      </c>
      <c r="L120" s="490"/>
      <c r="M120" s="243"/>
      <c r="N120" s="678"/>
      <c r="O120" s="678"/>
      <c r="P120" s="678"/>
      <c r="Q120" s="673"/>
      <c r="R120" s="673"/>
      <c r="S120" s="673"/>
      <c r="T120" s="673"/>
      <c r="U120" s="673"/>
      <c r="V120" s="673"/>
      <c r="W120" s="490"/>
      <c r="X120" s="676"/>
      <c r="Y120" s="676"/>
      <c r="Z120" s="676"/>
      <c r="AA120" s="676"/>
      <c r="AB120" s="676"/>
      <c r="AC120" s="490"/>
      <c r="AD120" s="490"/>
      <c r="AE120" s="490"/>
      <c r="AF120" s="490"/>
      <c r="AG120" s="490"/>
      <c r="AH120" s="516">
        <v>7</v>
      </c>
      <c r="AI120" s="514">
        <f t="shared" si="59"/>
        <v>0</v>
      </c>
      <c r="AJ120" s="514">
        <f t="shared" si="59"/>
        <v>0</v>
      </c>
      <c r="AK120" s="514">
        <f t="shared" si="59"/>
        <v>0</v>
      </c>
      <c r="AL120" s="514">
        <f t="shared" si="59"/>
        <v>0</v>
      </c>
      <c r="AM120" s="514">
        <f t="shared" si="59"/>
        <v>0</v>
      </c>
      <c r="AN120" s="515">
        <f t="shared" si="59"/>
        <v>0</v>
      </c>
      <c r="AO120" s="745"/>
      <c r="AP120" s="514">
        <f t="shared" si="60"/>
        <v>0</v>
      </c>
      <c r="AQ120" s="514">
        <f t="shared" si="60"/>
        <v>0</v>
      </c>
      <c r="AR120" s="514">
        <f t="shared" si="60"/>
        <v>0</v>
      </c>
      <c r="AS120" s="514">
        <f t="shared" si="60"/>
        <v>0</v>
      </c>
      <c r="AT120" s="514">
        <f t="shared" si="60"/>
        <v>0</v>
      </c>
      <c r="AU120" s="748">
        <f t="shared" si="60"/>
        <v>0</v>
      </c>
      <c r="AV120" s="516"/>
      <c r="AW120" s="514">
        <f t="shared" si="67"/>
        <v>0</v>
      </c>
      <c r="AX120" s="514">
        <f t="shared" si="67"/>
        <v>0</v>
      </c>
      <c r="AY120" s="514">
        <f t="shared" si="67"/>
        <v>0</v>
      </c>
      <c r="AZ120" s="514">
        <f t="shared" si="67"/>
        <v>0</v>
      </c>
      <c r="BA120" s="514">
        <f t="shared" si="67"/>
        <v>0</v>
      </c>
      <c r="BB120" s="515">
        <f t="shared" si="67"/>
        <v>0</v>
      </c>
    </row>
    <row r="121" spans="1:54" ht="15.75" hidden="1" outlineLevel="2" x14ac:dyDescent="0.2">
      <c r="A121" s="243"/>
      <c r="B121" s="243"/>
      <c r="C121" s="243"/>
      <c r="D121" s="663" t="s">
        <v>1</v>
      </c>
      <c r="E121" s="663"/>
      <c r="F121" s="483">
        <f>FirstYear</f>
        <v>2021</v>
      </c>
      <c r="G121" s="483">
        <f>F121+1</f>
        <v>2022</v>
      </c>
      <c r="H121" s="483">
        <f>G121+1</f>
        <v>2023</v>
      </c>
      <c r="I121" s="483">
        <f>H121+1</f>
        <v>2024</v>
      </c>
      <c r="J121" s="483">
        <f>I121+1</f>
        <v>2025</v>
      </c>
      <c r="K121" s="483">
        <f>J121+1</f>
        <v>2026</v>
      </c>
      <c r="L121" s="491"/>
      <c r="M121" s="243"/>
      <c r="N121" s="685"/>
      <c r="O121" s="685"/>
      <c r="P121" s="685"/>
      <c r="Q121" s="673"/>
      <c r="R121" s="673"/>
      <c r="S121" s="673"/>
      <c r="T121" s="673"/>
      <c r="U121" s="673"/>
      <c r="V121" s="673"/>
      <c r="W121" s="491"/>
      <c r="X121" s="676"/>
      <c r="Y121" s="676"/>
      <c r="Z121" s="676"/>
      <c r="AA121" s="676"/>
      <c r="AB121" s="676"/>
      <c r="AC121" s="490"/>
      <c r="AD121" s="490"/>
      <c r="AE121" s="490"/>
      <c r="AF121" s="490"/>
      <c r="AG121" s="490"/>
      <c r="AH121" s="516">
        <v>8</v>
      </c>
      <c r="AI121" s="514">
        <f t="shared" si="59"/>
        <v>0</v>
      </c>
      <c r="AJ121" s="514">
        <f t="shared" si="59"/>
        <v>0</v>
      </c>
      <c r="AK121" s="514">
        <f t="shared" si="59"/>
        <v>0</v>
      </c>
      <c r="AL121" s="514">
        <f t="shared" si="59"/>
        <v>0</v>
      </c>
      <c r="AM121" s="514">
        <f t="shared" si="59"/>
        <v>0</v>
      </c>
      <c r="AN121" s="515">
        <f t="shared" si="59"/>
        <v>0</v>
      </c>
      <c r="AO121" s="745"/>
      <c r="AP121" s="514">
        <f t="shared" si="60"/>
        <v>0</v>
      </c>
      <c r="AQ121" s="514">
        <f t="shared" si="60"/>
        <v>0</v>
      </c>
      <c r="AR121" s="514">
        <f t="shared" si="60"/>
        <v>0</v>
      </c>
      <c r="AS121" s="514">
        <f t="shared" si="60"/>
        <v>0</v>
      </c>
      <c r="AT121" s="514">
        <f t="shared" si="60"/>
        <v>0</v>
      </c>
      <c r="AU121" s="748">
        <f t="shared" si="60"/>
        <v>0</v>
      </c>
      <c r="AV121" s="516"/>
      <c r="AW121" s="514">
        <f t="shared" si="67"/>
        <v>0</v>
      </c>
      <c r="AX121" s="514">
        <f t="shared" si="67"/>
        <v>0</v>
      </c>
      <c r="AY121" s="514">
        <f t="shared" si="67"/>
        <v>0</v>
      </c>
      <c r="AZ121" s="514">
        <f t="shared" si="67"/>
        <v>0</v>
      </c>
      <c r="BA121" s="514">
        <f t="shared" si="67"/>
        <v>0</v>
      </c>
      <c r="BB121" s="515">
        <f t="shared" si="67"/>
        <v>0</v>
      </c>
    </row>
    <row r="122" spans="1:54" s="493" customFormat="1" hidden="1" outlineLevel="2" x14ac:dyDescent="0.2">
      <c r="A122" s="243"/>
      <c r="B122" s="243"/>
      <c r="C122" s="243"/>
      <c r="D122" s="243"/>
      <c r="E122" s="433" t="s">
        <v>951</v>
      </c>
      <c r="F122" s="283">
        <f t="shared" ref="F122:K122" si="75">F123*INDEX(MBSIncCalc,$C111,3)</f>
        <v>0</v>
      </c>
      <c r="G122" s="283">
        <f t="shared" si="75"/>
        <v>0</v>
      </c>
      <c r="H122" s="283">
        <f t="shared" si="75"/>
        <v>0</v>
      </c>
      <c r="I122" s="283">
        <f t="shared" si="75"/>
        <v>0</v>
      </c>
      <c r="J122" s="283">
        <f t="shared" si="75"/>
        <v>0</v>
      </c>
      <c r="K122" s="283">
        <f t="shared" si="75"/>
        <v>0</v>
      </c>
      <c r="L122" s="490"/>
      <c r="M122" s="615"/>
      <c r="N122" s="615"/>
      <c r="O122" s="678"/>
      <c r="P122" s="678"/>
      <c r="Q122" s="673"/>
      <c r="R122" s="673"/>
      <c r="S122" s="673"/>
      <c r="T122" s="673"/>
      <c r="U122" s="673"/>
      <c r="V122" s="673"/>
      <c r="W122" s="490"/>
      <c r="X122" s="676"/>
      <c r="Y122" s="676"/>
      <c r="Z122" s="676"/>
      <c r="AA122" s="676"/>
      <c r="AB122" s="676"/>
      <c r="AC122" s="490"/>
      <c r="AD122" s="490"/>
      <c r="AE122" s="490"/>
      <c r="AF122" s="490"/>
      <c r="AG122" s="490"/>
      <c r="AH122" s="516">
        <v>9</v>
      </c>
      <c r="AI122" s="514">
        <f t="shared" si="59"/>
        <v>0</v>
      </c>
      <c r="AJ122" s="514">
        <f t="shared" si="59"/>
        <v>0</v>
      </c>
      <c r="AK122" s="514">
        <f t="shared" si="59"/>
        <v>0</v>
      </c>
      <c r="AL122" s="514">
        <f t="shared" si="59"/>
        <v>0</v>
      </c>
      <c r="AM122" s="514">
        <f t="shared" si="59"/>
        <v>0</v>
      </c>
      <c r="AN122" s="515">
        <f t="shared" si="59"/>
        <v>0</v>
      </c>
      <c r="AO122" s="745"/>
      <c r="AP122" s="514">
        <f t="shared" si="60"/>
        <v>0</v>
      </c>
      <c r="AQ122" s="514">
        <f t="shared" si="60"/>
        <v>0</v>
      </c>
      <c r="AR122" s="514">
        <f t="shared" si="60"/>
        <v>0</v>
      </c>
      <c r="AS122" s="514">
        <f t="shared" si="60"/>
        <v>0</v>
      </c>
      <c r="AT122" s="514">
        <f t="shared" si="60"/>
        <v>0</v>
      </c>
      <c r="AU122" s="748">
        <f t="shared" si="60"/>
        <v>0</v>
      </c>
      <c r="AV122" s="516"/>
      <c r="AW122" s="514">
        <f t="shared" si="67"/>
        <v>0</v>
      </c>
      <c r="AX122" s="514">
        <f t="shared" si="67"/>
        <v>0</v>
      </c>
      <c r="AY122" s="514">
        <f t="shared" si="67"/>
        <v>0</v>
      </c>
      <c r="AZ122" s="514">
        <f t="shared" si="67"/>
        <v>0</v>
      </c>
      <c r="BA122" s="514">
        <f t="shared" si="67"/>
        <v>0</v>
      </c>
      <c r="BB122" s="515">
        <f t="shared" si="67"/>
        <v>0</v>
      </c>
    </row>
    <row r="123" spans="1:54" s="493" customFormat="1" hidden="1" outlineLevel="2" x14ac:dyDescent="0.2">
      <c r="A123" s="243"/>
      <c r="B123" s="672"/>
      <c r="C123" s="242" t="str">
        <f>C115</f>
        <v/>
      </c>
      <c r="D123" s="243"/>
      <c r="E123" s="62" t="s">
        <v>1310</v>
      </c>
      <c r="F123" s="63">
        <f t="shared" ref="F123" si="76">IF(INDEX(MBSIncRate,$C111,2)=2,IFERROR(INDEX(RPBSScriptsNew,$C123,F120),0),IFERROR(INDEX(MBSRPBSInc,$C111,INDEX(MBSIncRate,$C111,3)*7+F120),0) * IFERROR(INDEX(MBSIncPopSplit,$C111),0)) * INDEX(MBSIncRate,$C111,1) * INDEX(MBSIncRate,$C111,4)</f>
        <v>0</v>
      </c>
      <c r="G123" s="63">
        <f t="shared" ref="G123:K123" si="77">IF(INDEX(MBSIncRate,$C111,2)=2,IFERROR(INDEX(RPBSScriptsNew,$C123,G120),0),IFERROR(INDEX(MBSRPBSInc,$C111,INDEX(MBSIncRate,$C111,3)*7+G120),0) * IFERROR(INDEX(MBSIncPopSplit,$C111),0)) * INDEX(MBSIncRate,$C111,1) * INDEX(MBSIncRate,$C111,4)</f>
        <v>0</v>
      </c>
      <c r="H123" s="63">
        <f t="shared" si="77"/>
        <v>0</v>
      </c>
      <c r="I123" s="63">
        <f t="shared" si="77"/>
        <v>0</v>
      </c>
      <c r="J123" s="63">
        <f t="shared" si="77"/>
        <v>0</v>
      </c>
      <c r="K123" s="63">
        <f t="shared" si="77"/>
        <v>0</v>
      </c>
      <c r="L123" s="490"/>
      <c r="M123" s="243"/>
      <c r="N123" s="753"/>
      <c r="O123" s="678"/>
      <c r="P123" s="678"/>
      <c r="Q123" s="673"/>
      <c r="R123" s="673"/>
      <c r="S123" s="673"/>
      <c r="T123" s="673"/>
      <c r="U123" s="673"/>
      <c r="V123" s="673"/>
      <c r="W123" s="490"/>
      <c r="X123" s="676"/>
      <c r="Y123" s="676"/>
      <c r="Z123" s="676"/>
      <c r="AA123" s="676"/>
      <c r="AB123" s="676"/>
      <c r="AC123" s="490"/>
      <c r="AD123" s="490"/>
      <c r="AE123" s="490"/>
      <c r="AF123" s="490"/>
      <c r="AG123" s="490"/>
      <c r="AH123" s="516">
        <v>10</v>
      </c>
      <c r="AI123" s="514">
        <f t="shared" si="59"/>
        <v>0</v>
      </c>
      <c r="AJ123" s="514">
        <f t="shared" si="59"/>
        <v>0</v>
      </c>
      <c r="AK123" s="514">
        <f t="shared" si="59"/>
        <v>0</v>
      </c>
      <c r="AL123" s="514">
        <f t="shared" si="59"/>
        <v>0</v>
      </c>
      <c r="AM123" s="514">
        <f t="shared" si="59"/>
        <v>0</v>
      </c>
      <c r="AN123" s="515">
        <f t="shared" si="59"/>
        <v>0</v>
      </c>
      <c r="AO123" s="745"/>
      <c r="AP123" s="514">
        <f t="shared" si="60"/>
        <v>0</v>
      </c>
      <c r="AQ123" s="514">
        <f t="shared" si="60"/>
        <v>0</v>
      </c>
      <c r="AR123" s="514">
        <f t="shared" si="60"/>
        <v>0</v>
      </c>
      <c r="AS123" s="514">
        <f t="shared" si="60"/>
        <v>0</v>
      </c>
      <c r="AT123" s="514">
        <f t="shared" si="60"/>
        <v>0</v>
      </c>
      <c r="AU123" s="748">
        <f t="shared" si="60"/>
        <v>0</v>
      </c>
      <c r="AV123" s="516"/>
      <c r="AW123" s="514">
        <f t="shared" si="67"/>
        <v>0</v>
      </c>
      <c r="AX123" s="514">
        <f t="shared" si="67"/>
        <v>0</v>
      </c>
      <c r="AY123" s="514">
        <f t="shared" si="67"/>
        <v>0</v>
      </c>
      <c r="AZ123" s="514">
        <f t="shared" si="67"/>
        <v>0</v>
      </c>
      <c r="BA123" s="514">
        <f t="shared" si="67"/>
        <v>0</v>
      </c>
      <c r="BB123" s="515">
        <f t="shared" si="67"/>
        <v>0</v>
      </c>
    </row>
    <row r="124" spans="1:54" s="493" customFormat="1" hidden="1" outlineLevel="2" x14ac:dyDescent="0.2">
      <c r="A124" s="243"/>
      <c r="B124" s="242">
        <v>5</v>
      </c>
      <c r="C124" s="242">
        <v>6</v>
      </c>
      <c r="D124" s="243"/>
      <c r="E124" s="496" t="s">
        <v>1307</v>
      </c>
      <c r="F124" s="63" t="str">
        <f t="shared" ref="F124:K124" si="78">IFERROR(F123*INDEX(MBSIncItems,$C111,$B124)*INDEX(MBSIncItems,$C111,$C124),"")</f>
        <v/>
      </c>
      <c r="G124" s="63" t="str">
        <f t="shared" si="78"/>
        <v/>
      </c>
      <c r="H124" s="63" t="str">
        <f t="shared" si="78"/>
        <v/>
      </c>
      <c r="I124" s="63" t="str">
        <f t="shared" si="78"/>
        <v/>
      </c>
      <c r="J124" s="63" t="str">
        <f t="shared" si="78"/>
        <v/>
      </c>
      <c r="K124" s="63" t="str">
        <f t="shared" si="78"/>
        <v/>
      </c>
      <c r="L124" s="490"/>
      <c r="M124" s="683"/>
      <c r="N124" s="753"/>
      <c r="O124" s="678"/>
      <c r="P124" s="678"/>
      <c r="Q124" s="673"/>
      <c r="R124" s="673"/>
      <c r="S124" s="673"/>
      <c r="T124" s="673"/>
      <c r="U124" s="673"/>
      <c r="V124" s="673"/>
      <c r="W124" s="490"/>
      <c r="X124" s="676"/>
      <c r="Y124" s="676"/>
      <c r="Z124" s="676"/>
      <c r="AA124" s="676"/>
      <c r="AB124" s="676"/>
      <c r="AC124" s="490"/>
      <c r="AD124" s="490"/>
      <c r="AE124" s="490"/>
      <c r="AF124" s="490"/>
      <c r="AG124" s="490"/>
      <c r="AH124" s="516">
        <v>11</v>
      </c>
      <c r="AI124" s="514">
        <f t="shared" ref="AI124:AN133" si="79">IF(OR(ScriptSourceCode=1,ScriptSourceCode=3),IF($AG73&lt;&gt;0,ROUND(AI73*INDEX(PxTxPhase1Adj,$AG73,9),0),0),0)</f>
        <v>0</v>
      </c>
      <c r="AJ124" s="514">
        <f t="shared" si="79"/>
        <v>0</v>
      </c>
      <c r="AK124" s="514">
        <f t="shared" si="79"/>
        <v>0</v>
      </c>
      <c r="AL124" s="514">
        <f t="shared" si="79"/>
        <v>0</v>
      </c>
      <c r="AM124" s="514">
        <f t="shared" si="79"/>
        <v>0</v>
      </c>
      <c r="AN124" s="515">
        <f t="shared" si="79"/>
        <v>0</v>
      </c>
      <c r="AO124" s="745"/>
      <c r="AP124" s="514">
        <f t="shared" ref="AP124:AU133" si="80">IF(OR(ScriptSourceCode=1,ScriptSourceCode=3),IF($AG73&lt;&gt;0,ROUND(AP73*INDEX(PxTxPhase1Adj,$AG73,9),0),0),0)</f>
        <v>0</v>
      </c>
      <c r="AQ124" s="514">
        <f t="shared" si="80"/>
        <v>0</v>
      </c>
      <c r="AR124" s="514">
        <f t="shared" si="80"/>
        <v>0</v>
      </c>
      <c r="AS124" s="514">
        <f t="shared" si="80"/>
        <v>0</v>
      </c>
      <c r="AT124" s="514">
        <f t="shared" si="80"/>
        <v>0</v>
      </c>
      <c r="AU124" s="748">
        <f t="shared" si="80"/>
        <v>0</v>
      </c>
      <c r="AV124" s="516"/>
      <c r="AW124" s="514">
        <f t="shared" ref="AW124:AW133" si="81">AI124+AP124</f>
        <v>0</v>
      </c>
      <c r="AX124" s="514">
        <f t="shared" ref="AX124:AX133" si="82">AJ124+AQ124</f>
        <v>0</v>
      </c>
      <c r="AY124" s="514">
        <f t="shared" ref="AY124:AY133" si="83">AK124+AR124</f>
        <v>0</v>
      </c>
      <c r="AZ124" s="514">
        <f t="shared" ref="AZ124:AZ133" si="84">AL124+AS124</f>
        <v>0</v>
      </c>
      <c r="BA124" s="514">
        <f t="shared" ref="BA124:BA133" si="85">AM124+AT124</f>
        <v>0</v>
      </c>
      <c r="BB124" s="515">
        <f t="shared" ref="BB124:BB133" si="86">AN124+AU124</f>
        <v>0</v>
      </c>
    </row>
    <row r="125" spans="1:54" s="493" customFormat="1" hidden="1" outlineLevel="2" x14ac:dyDescent="0.2">
      <c r="A125" s="243"/>
      <c r="B125" s="242">
        <v>4</v>
      </c>
      <c r="C125" s="242">
        <v>6</v>
      </c>
      <c r="D125" s="243"/>
      <c r="E125" s="496" t="s">
        <v>1306</v>
      </c>
      <c r="F125" s="63" t="str">
        <f t="shared" ref="F125:K125" si="87">IFERROR(F123*INDEX(MBSIncItems,$C111,$B125)*INDEX(MBSIncItems,$C111,$C125),"")</f>
        <v/>
      </c>
      <c r="G125" s="63" t="str">
        <f t="shared" si="87"/>
        <v/>
      </c>
      <c r="H125" s="63" t="str">
        <f t="shared" si="87"/>
        <v/>
      </c>
      <c r="I125" s="63" t="str">
        <f t="shared" si="87"/>
        <v/>
      </c>
      <c r="J125" s="63" t="str">
        <f t="shared" si="87"/>
        <v/>
      </c>
      <c r="K125" s="63" t="str">
        <f t="shared" si="87"/>
        <v/>
      </c>
      <c r="L125" s="490"/>
      <c r="M125" s="684"/>
      <c r="N125" s="682"/>
      <c r="O125" s="678"/>
      <c r="P125" s="678"/>
      <c r="Q125" s="673"/>
      <c r="R125" s="673"/>
      <c r="S125" s="673"/>
      <c r="T125" s="673"/>
      <c r="U125" s="673"/>
      <c r="V125" s="673"/>
      <c r="W125" s="490"/>
      <c r="X125" s="676"/>
      <c r="Y125" s="676"/>
      <c r="Z125" s="676"/>
      <c r="AA125" s="676"/>
      <c r="AB125" s="676"/>
      <c r="AC125" s="490"/>
      <c r="AD125" s="490"/>
      <c r="AE125" s="490"/>
      <c r="AF125" s="490"/>
      <c r="AG125" s="490"/>
      <c r="AH125" s="516">
        <v>12</v>
      </c>
      <c r="AI125" s="514">
        <f t="shared" si="79"/>
        <v>0</v>
      </c>
      <c r="AJ125" s="514">
        <f t="shared" si="79"/>
        <v>0</v>
      </c>
      <c r="AK125" s="514">
        <f t="shared" si="79"/>
        <v>0</v>
      </c>
      <c r="AL125" s="514">
        <f t="shared" si="79"/>
        <v>0</v>
      </c>
      <c r="AM125" s="514">
        <f t="shared" si="79"/>
        <v>0</v>
      </c>
      <c r="AN125" s="515">
        <f t="shared" si="79"/>
        <v>0</v>
      </c>
      <c r="AO125" s="745"/>
      <c r="AP125" s="514">
        <f t="shared" si="80"/>
        <v>0</v>
      </c>
      <c r="AQ125" s="514">
        <f t="shared" si="80"/>
        <v>0</v>
      </c>
      <c r="AR125" s="514">
        <f t="shared" si="80"/>
        <v>0</v>
      </c>
      <c r="AS125" s="514">
        <f t="shared" si="80"/>
        <v>0</v>
      </c>
      <c r="AT125" s="514">
        <f t="shared" si="80"/>
        <v>0</v>
      </c>
      <c r="AU125" s="748">
        <f t="shared" si="80"/>
        <v>0</v>
      </c>
      <c r="AV125" s="516"/>
      <c r="AW125" s="514">
        <f t="shared" si="81"/>
        <v>0</v>
      </c>
      <c r="AX125" s="514">
        <f t="shared" si="82"/>
        <v>0</v>
      </c>
      <c r="AY125" s="514">
        <f t="shared" si="83"/>
        <v>0</v>
      </c>
      <c r="AZ125" s="514">
        <f t="shared" si="84"/>
        <v>0</v>
      </c>
      <c r="BA125" s="514">
        <f t="shared" si="85"/>
        <v>0</v>
      </c>
      <c r="BB125" s="515">
        <f t="shared" si="86"/>
        <v>0</v>
      </c>
    </row>
    <row r="126" spans="1:54" s="493" customFormat="1" hidden="1" outlineLevel="2" x14ac:dyDescent="0.2">
      <c r="A126" s="243"/>
      <c r="B126" s="242"/>
      <c r="C126" s="242">
        <v>7</v>
      </c>
      <c r="D126" s="243"/>
      <c r="E126" s="497" t="s">
        <v>1308</v>
      </c>
      <c r="F126" s="63" t="str">
        <f t="shared" ref="F126:K126" si="88">IFERROR(F123*INDEX(MBSIncItems,$C111,$C126),"")</f>
        <v/>
      </c>
      <c r="G126" s="63" t="str">
        <f t="shared" si="88"/>
        <v/>
      </c>
      <c r="H126" s="63" t="str">
        <f t="shared" si="88"/>
        <v/>
      </c>
      <c r="I126" s="63" t="str">
        <f t="shared" si="88"/>
        <v/>
      </c>
      <c r="J126" s="63" t="str">
        <f t="shared" si="88"/>
        <v/>
      </c>
      <c r="K126" s="63" t="str">
        <f t="shared" si="88"/>
        <v/>
      </c>
      <c r="L126" s="490"/>
      <c r="M126" s="684"/>
      <c r="N126" s="682"/>
      <c r="O126" s="678"/>
      <c r="P126" s="678"/>
      <c r="Q126" s="673"/>
      <c r="R126" s="673"/>
      <c r="S126" s="673"/>
      <c r="T126" s="673"/>
      <c r="U126" s="673"/>
      <c r="V126" s="673"/>
      <c r="W126" s="490"/>
      <c r="X126" s="676"/>
      <c r="Y126" s="676"/>
      <c r="Z126" s="676"/>
      <c r="AA126" s="676"/>
      <c r="AB126" s="676"/>
      <c r="AC126" s="490"/>
      <c r="AD126" s="490"/>
      <c r="AE126" s="490"/>
      <c r="AF126" s="490"/>
      <c r="AG126" s="490"/>
      <c r="AH126" s="516">
        <v>13</v>
      </c>
      <c r="AI126" s="514">
        <f t="shared" si="79"/>
        <v>0</v>
      </c>
      <c r="AJ126" s="514">
        <f t="shared" si="79"/>
        <v>0</v>
      </c>
      <c r="AK126" s="514">
        <f t="shared" si="79"/>
        <v>0</v>
      </c>
      <c r="AL126" s="514">
        <f t="shared" si="79"/>
        <v>0</v>
      </c>
      <c r="AM126" s="514">
        <f t="shared" si="79"/>
        <v>0</v>
      </c>
      <c r="AN126" s="515">
        <f t="shared" si="79"/>
        <v>0</v>
      </c>
      <c r="AO126" s="745"/>
      <c r="AP126" s="514">
        <f t="shared" si="80"/>
        <v>0</v>
      </c>
      <c r="AQ126" s="514">
        <f t="shared" si="80"/>
        <v>0</v>
      </c>
      <c r="AR126" s="514">
        <f t="shared" si="80"/>
        <v>0</v>
      </c>
      <c r="AS126" s="514">
        <f t="shared" si="80"/>
        <v>0</v>
      </c>
      <c r="AT126" s="514">
        <f t="shared" si="80"/>
        <v>0</v>
      </c>
      <c r="AU126" s="748">
        <f t="shared" si="80"/>
        <v>0</v>
      </c>
      <c r="AV126" s="516"/>
      <c r="AW126" s="514">
        <f t="shared" si="81"/>
        <v>0</v>
      </c>
      <c r="AX126" s="514">
        <f t="shared" si="82"/>
        <v>0</v>
      </c>
      <c r="AY126" s="514">
        <f t="shared" si="83"/>
        <v>0</v>
      </c>
      <c r="AZ126" s="514">
        <f t="shared" si="84"/>
        <v>0</v>
      </c>
      <c r="BA126" s="514">
        <f t="shared" si="85"/>
        <v>0</v>
      </c>
      <c r="BB126" s="515">
        <f t="shared" si="86"/>
        <v>0</v>
      </c>
    </row>
    <row r="127" spans="1:54" s="493" customFormat="1" hidden="1" outlineLevel="1" x14ac:dyDescent="0.2">
      <c r="A127" s="243"/>
      <c r="L127" s="490"/>
      <c r="M127" s="243"/>
      <c r="N127" s="678"/>
      <c r="O127" s="678"/>
      <c r="P127" s="678"/>
      <c r="Q127" s="673"/>
      <c r="R127" s="673"/>
      <c r="S127" s="673"/>
      <c r="T127" s="673"/>
      <c r="U127" s="673"/>
      <c r="V127" s="673"/>
      <c r="W127" s="490"/>
      <c r="X127" s="676"/>
      <c r="Y127" s="676"/>
      <c r="Z127" s="676"/>
      <c r="AA127" s="676"/>
      <c r="AB127" s="676"/>
      <c r="AC127" s="490"/>
      <c r="AD127" s="490"/>
      <c r="AE127" s="490"/>
      <c r="AF127" s="490"/>
      <c r="AG127" s="490"/>
      <c r="AH127" s="516">
        <v>14</v>
      </c>
      <c r="AI127" s="514">
        <f t="shared" si="79"/>
        <v>0</v>
      </c>
      <c r="AJ127" s="514">
        <f t="shared" si="79"/>
        <v>0</v>
      </c>
      <c r="AK127" s="514">
        <f t="shared" si="79"/>
        <v>0</v>
      </c>
      <c r="AL127" s="514">
        <f t="shared" si="79"/>
        <v>0</v>
      </c>
      <c r="AM127" s="514">
        <f t="shared" si="79"/>
        <v>0</v>
      </c>
      <c r="AN127" s="515">
        <f t="shared" si="79"/>
        <v>0</v>
      </c>
      <c r="AO127" s="745"/>
      <c r="AP127" s="514">
        <f t="shared" si="80"/>
        <v>0</v>
      </c>
      <c r="AQ127" s="514">
        <f t="shared" si="80"/>
        <v>0</v>
      </c>
      <c r="AR127" s="514">
        <f t="shared" si="80"/>
        <v>0</v>
      </c>
      <c r="AS127" s="514">
        <f t="shared" si="80"/>
        <v>0</v>
      </c>
      <c r="AT127" s="514">
        <f t="shared" si="80"/>
        <v>0</v>
      </c>
      <c r="AU127" s="748">
        <f t="shared" si="80"/>
        <v>0</v>
      </c>
      <c r="AV127" s="516"/>
      <c r="AW127" s="514">
        <f t="shared" si="81"/>
        <v>0</v>
      </c>
      <c r="AX127" s="514">
        <f t="shared" si="82"/>
        <v>0</v>
      </c>
      <c r="AY127" s="514">
        <f t="shared" si="83"/>
        <v>0</v>
      </c>
      <c r="AZ127" s="514">
        <f t="shared" si="84"/>
        <v>0</v>
      </c>
      <c r="BA127" s="514">
        <f t="shared" si="85"/>
        <v>0</v>
      </c>
      <c r="BB127" s="515">
        <f t="shared" si="86"/>
        <v>0</v>
      </c>
    </row>
    <row r="128" spans="1:54" s="493" customFormat="1" ht="15.75" hidden="1" outlineLevel="1" collapsed="1" x14ac:dyDescent="0.2">
      <c r="A128" s="243"/>
      <c r="B128" s="243"/>
      <c r="C128" s="242">
        <v>2</v>
      </c>
      <c r="D128" s="79" t="str">
        <f>INDEX(MBSIncNames,C128)</f>
        <v>** NOT USED **</v>
      </c>
      <c r="E128" s="79"/>
      <c r="F128" s="115"/>
      <c r="G128" s="115"/>
      <c r="H128" s="115"/>
      <c r="I128" s="115"/>
      <c r="J128" s="821" t="str">
        <f>IF(D128&lt;&gt;MsgNotUsed,"Co-payment group " &amp; K64,"")</f>
        <v/>
      </c>
      <c r="K128" s="821"/>
      <c r="L128" s="115"/>
      <c r="M128" s="115"/>
      <c r="N128" s="115"/>
      <c r="O128" s="115"/>
      <c r="P128" s="115"/>
      <c r="Q128" s="115"/>
      <c r="R128" s="115"/>
      <c r="S128" s="115"/>
      <c r="T128" s="115"/>
      <c r="U128" s="115"/>
      <c r="V128" s="115"/>
      <c r="W128" s="491"/>
      <c r="X128" s="490"/>
      <c r="Y128" s="490"/>
      <c r="Z128" s="490"/>
      <c r="AA128" s="490"/>
      <c r="AB128" s="676"/>
      <c r="AC128" s="490"/>
      <c r="AD128" s="490"/>
      <c r="AE128" s="490"/>
      <c r="AF128" s="490"/>
      <c r="AG128" s="490"/>
      <c r="AH128" s="516">
        <v>15</v>
      </c>
      <c r="AI128" s="514">
        <f t="shared" si="79"/>
        <v>0</v>
      </c>
      <c r="AJ128" s="514">
        <f t="shared" si="79"/>
        <v>0</v>
      </c>
      <c r="AK128" s="514">
        <f t="shared" si="79"/>
        <v>0</v>
      </c>
      <c r="AL128" s="514">
        <f t="shared" si="79"/>
        <v>0</v>
      </c>
      <c r="AM128" s="514">
        <f t="shared" si="79"/>
        <v>0</v>
      </c>
      <c r="AN128" s="515">
        <f t="shared" si="79"/>
        <v>0</v>
      </c>
      <c r="AO128" s="745"/>
      <c r="AP128" s="514">
        <f t="shared" si="80"/>
        <v>0</v>
      </c>
      <c r="AQ128" s="514">
        <f t="shared" si="80"/>
        <v>0</v>
      </c>
      <c r="AR128" s="514">
        <f t="shared" si="80"/>
        <v>0</v>
      </c>
      <c r="AS128" s="514">
        <f t="shared" si="80"/>
        <v>0</v>
      </c>
      <c r="AT128" s="514">
        <f t="shared" si="80"/>
        <v>0</v>
      </c>
      <c r="AU128" s="748">
        <f t="shared" si="80"/>
        <v>0</v>
      </c>
      <c r="AV128" s="516"/>
      <c r="AW128" s="514">
        <f t="shared" si="81"/>
        <v>0</v>
      </c>
      <c r="AX128" s="514">
        <f t="shared" si="82"/>
        <v>0</v>
      </c>
      <c r="AY128" s="514">
        <f t="shared" si="83"/>
        <v>0</v>
      </c>
      <c r="AZ128" s="514">
        <f t="shared" si="84"/>
        <v>0</v>
      </c>
      <c r="BA128" s="514">
        <f t="shared" si="85"/>
        <v>0</v>
      </c>
      <c r="BB128" s="515">
        <f t="shared" si="86"/>
        <v>0</v>
      </c>
    </row>
    <row r="129" spans="1:54" hidden="1" outlineLevel="2" x14ac:dyDescent="0.2">
      <c r="A129" s="243"/>
      <c r="B129" s="243"/>
      <c r="C129" s="243"/>
      <c r="D129" s="243"/>
      <c r="E129" s="243"/>
      <c r="F129" s="495">
        <v>2</v>
      </c>
      <c r="G129" s="495">
        <v>3</v>
      </c>
      <c r="H129" s="495">
        <v>4</v>
      </c>
      <c r="I129" s="495">
        <v>5</v>
      </c>
      <c r="J129" s="495">
        <v>6</v>
      </c>
      <c r="K129" s="495">
        <v>7</v>
      </c>
      <c r="L129" s="495"/>
      <c r="M129" s="243"/>
      <c r="N129" s="243"/>
      <c r="O129" s="243"/>
      <c r="P129" s="243"/>
      <c r="Q129" s="243"/>
      <c r="R129" s="243"/>
      <c r="S129" s="243"/>
      <c r="T129" s="243"/>
      <c r="U129" s="243"/>
      <c r="V129" s="243"/>
      <c r="W129" s="490"/>
      <c r="X129" s="490"/>
      <c r="Y129" s="490"/>
      <c r="Z129" s="490"/>
      <c r="AA129" s="490"/>
      <c r="AB129" s="676"/>
      <c r="AC129" s="490"/>
      <c r="AD129" s="490"/>
      <c r="AE129" s="490"/>
      <c r="AF129" s="490"/>
      <c r="AG129" s="490"/>
      <c r="AH129" s="516">
        <v>16</v>
      </c>
      <c r="AI129" s="514">
        <f t="shared" si="79"/>
        <v>0</v>
      </c>
      <c r="AJ129" s="514">
        <f t="shared" si="79"/>
        <v>0</v>
      </c>
      <c r="AK129" s="514">
        <f t="shared" si="79"/>
        <v>0</v>
      </c>
      <c r="AL129" s="514">
        <f t="shared" si="79"/>
        <v>0</v>
      </c>
      <c r="AM129" s="514">
        <f t="shared" si="79"/>
        <v>0</v>
      </c>
      <c r="AN129" s="515">
        <f t="shared" si="79"/>
        <v>0</v>
      </c>
      <c r="AO129" s="745"/>
      <c r="AP129" s="514">
        <f t="shared" si="80"/>
        <v>0</v>
      </c>
      <c r="AQ129" s="514">
        <f t="shared" si="80"/>
        <v>0</v>
      </c>
      <c r="AR129" s="514">
        <f t="shared" si="80"/>
        <v>0</v>
      </c>
      <c r="AS129" s="514">
        <f t="shared" si="80"/>
        <v>0</v>
      </c>
      <c r="AT129" s="514">
        <f t="shared" si="80"/>
        <v>0</v>
      </c>
      <c r="AU129" s="748">
        <f t="shared" si="80"/>
        <v>0</v>
      </c>
      <c r="AV129" s="516"/>
      <c r="AW129" s="514">
        <f t="shared" si="81"/>
        <v>0</v>
      </c>
      <c r="AX129" s="514">
        <f t="shared" si="82"/>
        <v>0</v>
      </c>
      <c r="AY129" s="514">
        <f t="shared" si="83"/>
        <v>0</v>
      </c>
      <c r="AZ129" s="514">
        <f t="shared" si="84"/>
        <v>0</v>
      </c>
      <c r="BA129" s="514">
        <f t="shared" si="85"/>
        <v>0</v>
      </c>
      <c r="BB129" s="515">
        <f t="shared" si="86"/>
        <v>0</v>
      </c>
    </row>
    <row r="130" spans="1:54" s="493" customFormat="1" ht="15" hidden="1" outlineLevel="2" x14ac:dyDescent="0.2">
      <c r="A130" s="243"/>
      <c r="B130" s="243"/>
      <c r="C130" s="243"/>
      <c r="D130" s="663" t="s">
        <v>0</v>
      </c>
      <c r="E130" s="663"/>
      <c r="F130" s="751">
        <f>FirstYear</f>
        <v>2021</v>
      </c>
      <c r="G130" s="751">
        <f>F130+1</f>
        <v>2022</v>
      </c>
      <c r="H130" s="751">
        <f>G130+1</f>
        <v>2023</v>
      </c>
      <c r="I130" s="751">
        <f>H130+1</f>
        <v>2024</v>
      </c>
      <c r="J130" s="751">
        <f>I130+1</f>
        <v>2025</v>
      </c>
      <c r="K130" s="751">
        <f>J130+1</f>
        <v>2026</v>
      </c>
      <c r="L130" s="491"/>
      <c r="M130" s="113"/>
      <c r="N130" s="679"/>
      <c r="O130" s="679"/>
      <c r="P130" s="679"/>
      <c r="Q130" s="674"/>
      <c r="R130" s="674"/>
      <c r="S130" s="674"/>
      <c r="T130" s="674"/>
      <c r="U130" s="674"/>
      <c r="V130" s="674"/>
      <c r="W130" s="491"/>
      <c r="X130" s="674"/>
      <c r="Y130" s="674"/>
      <c r="Z130" s="674"/>
      <c r="AA130" s="674"/>
      <c r="AB130" s="676"/>
      <c r="AC130" s="490"/>
      <c r="AD130" s="490"/>
      <c r="AE130" s="490"/>
      <c r="AF130" s="490"/>
      <c r="AG130" s="490"/>
      <c r="AH130" s="516">
        <v>17</v>
      </c>
      <c r="AI130" s="514">
        <f t="shared" si="79"/>
        <v>0</v>
      </c>
      <c r="AJ130" s="514">
        <f t="shared" si="79"/>
        <v>0</v>
      </c>
      <c r="AK130" s="514">
        <f t="shared" si="79"/>
        <v>0</v>
      </c>
      <c r="AL130" s="514">
        <f t="shared" si="79"/>
        <v>0</v>
      </c>
      <c r="AM130" s="514">
        <f t="shared" si="79"/>
        <v>0</v>
      </c>
      <c r="AN130" s="515">
        <f t="shared" si="79"/>
        <v>0</v>
      </c>
      <c r="AO130" s="745"/>
      <c r="AP130" s="514">
        <f t="shared" si="80"/>
        <v>0</v>
      </c>
      <c r="AQ130" s="514">
        <f t="shared" si="80"/>
        <v>0</v>
      </c>
      <c r="AR130" s="514">
        <f t="shared" si="80"/>
        <v>0</v>
      </c>
      <c r="AS130" s="514">
        <f t="shared" si="80"/>
        <v>0</v>
      </c>
      <c r="AT130" s="514">
        <f t="shared" si="80"/>
        <v>0</v>
      </c>
      <c r="AU130" s="748">
        <f t="shared" si="80"/>
        <v>0</v>
      </c>
      <c r="AV130" s="516"/>
      <c r="AW130" s="514">
        <f t="shared" si="81"/>
        <v>0</v>
      </c>
      <c r="AX130" s="514">
        <f t="shared" si="82"/>
        <v>0</v>
      </c>
      <c r="AY130" s="514">
        <f t="shared" si="83"/>
        <v>0</v>
      </c>
      <c r="AZ130" s="514">
        <f t="shared" si="84"/>
        <v>0</v>
      </c>
      <c r="BA130" s="514">
        <f t="shared" si="85"/>
        <v>0</v>
      </c>
      <c r="BB130" s="515">
        <f t="shared" si="86"/>
        <v>0</v>
      </c>
    </row>
    <row r="131" spans="1:54" hidden="1" outlineLevel="2" x14ac:dyDescent="0.2">
      <c r="A131" s="243"/>
      <c r="B131" s="243"/>
      <c r="C131" s="243"/>
      <c r="D131" s="243"/>
      <c r="E131" s="433" t="s">
        <v>951</v>
      </c>
      <c r="F131" s="283">
        <f t="shared" ref="F131:K131" si="89">F132*INDEX(MBSIncCalc,$C128,3)</f>
        <v>0</v>
      </c>
      <c r="G131" s="283">
        <f t="shared" si="89"/>
        <v>0</v>
      </c>
      <c r="H131" s="283">
        <f t="shared" si="89"/>
        <v>0</v>
      </c>
      <c r="I131" s="283">
        <f t="shared" si="89"/>
        <v>0</v>
      </c>
      <c r="J131" s="283">
        <f t="shared" si="89"/>
        <v>0</v>
      </c>
      <c r="K131" s="283">
        <f t="shared" si="89"/>
        <v>0</v>
      </c>
      <c r="L131" s="490"/>
      <c r="M131" s="680"/>
      <c r="N131" s="664"/>
      <c r="O131" s="664"/>
      <c r="P131" s="664"/>
      <c r="Q131" s="681"/>
      <c r="R131" s="681"/>
      <c r="S131" s="681"/>
      <c r="T131" s="681"/>
      <c r="U131" s="681"/>
      <c r="V131" s="681"/>
      <c r="W131" s="493"/>
      <c r="X131" s="561">
        <f>INDEX(MBSIncItems,C128,1)</f>
        <v>0</v>
      </c>
      <c r="Y131" s="561">
        <f>FirstYear</f>
        <v>2021</v>
      </c>
      <c r="Z131" s="560">
        <f>IF(F132&lt;&gt;0,F132-F134,0)</f>
        <v>0</v>
      </c>
      <c r="AA131" s="560">
        <f>IF(F140&lt;&gt;0,F140-F142,0)</f>
        <v>0</v>
      </c>
      <c r="AB131" s="674"/>
      <c r="AC131" s="490"/>
      <c r="AD131" s="490"/>
      <c r="AE131" s="490"/>
      <c r="AF131" s="490"/>
      <c r="AG131" s="490"/>
      <c r="AH131" s="516">
        <v>18</v>
      </c>
      <c r="AI131" s="514">
        <f t="shared" si="79"/>
        <v>0</v>
      </c>
      <c r="AJ131" s="514">
        <f t="shared" si="79"/>
        <v>0</v>
      </c>
      <c r="AK131" s="514">
        <f t="shared" si="79"/>
        <v>0</v>
      </c>
      <c r="AL131" s="514">
        <f t="shared" si="79"/>
        <v>0</v>
      </c>
      <c r="AM131" s="514">
        <f t="shared" si="79"/>
        <v>0</v>
      </c>
      <c r="AN131" s="515">
        <f t="shared" si="79"/>
        <v>0</v>
      </c>
      <c r="AO131" s="745"/>
      <c r="AP131" s="514">
        <f t="shared" si="80"/>
        <v>0</v>
      </c>
      <c r="AQ131" s="514">
        <f t="shared" si="80"/>
        <v>0</v>
      </c>
      <c r="AR131" s="514">
        <f t="shared" si="80"/>
        <v>0</v>
      </c>
      <c r="AS131" s="514">
        <f t="shared" si="80"/>
        <v>0</v>
      </c>
      <c r="AT131" s="514">
        <f t="shared" si="80"/>
        <v>0</v>
      </c>
      <c r="AU131" s="748">
        <f t="shared" si="80"/>
        <v>0</v>
      </c>
      <c r="AV131" s="516"/>
      <c r="AW131" s="514">
        <f t="shared" si="81"/>
        <v>0</v>
      </c>
      <c r="AX131" s="514">
        <f t="shared" si="82"/>
        <v>0</v>
      </c>
      <c r="AY131" s="514">
        <f t="shared" si="83"/>
        <v>0</v>
      </c>
      <c r="AZ131" s="514">
        <f t="shared" si="84"/>
        <v>0</v>
      </c>
      <c r="BA131" s="514">
        <f t="shared" si="85"/>
        <v>0</v>
      </c>
      <c r="BB131" s="515">
        <f t="shared" si="86"/>
        <v>0</v>
      </c>
    </row>
    <row r="132" spans="1:54" s="493" customFormat="1" hidden="1" outlineLevel="2" x14ac:dyDescent="0.2">
      <c r="A132" s="243"/>
      <c r="B132" s="672"/>
      <c r="C132" s="242" t="str">
        <f>INDEX(MBSIncCalc,C128,2)</f>
        <v/>
      </c>
      <c r="D132" s="243"/>
      <c r="E132" s="62" t="s">
        <v>1310</v>
      </c>
      <c r="F132" s="63">
        <f t="shared" ref="F132:K132" si="90">IF(INDEX(MBSIncRate,$C128,2)=2,IFERROR(INDEX(PBSScriptsNew,$C132,F129),0),IFERROR(INDEX(MBSPBSInc,$C128,INDEX(MBSIncRate,$C128,3)*7+F129),0) * IFERROR(INDEX(MBSIncPopSplit,$C128),0)) * INDEX(MBSIncRate,$C128,1) * INDEX(MBSIncRate,$C128,4)</f>
        <v>0</v>
      </c>
      <c r="G132" s="63">
        <f t="shared" si="90"/>
        <v>0</v>
      </c>
      <c r="H132" s="63">
        <f t="shared" si="90"/>
        <v>0</v>
      </c>
      <c r="I132" s="63">
        <f t="shared" si="90"/>
        <v>0</v>
      </c>
      <c r="J132" s="63">
        <f t="shared" si="90"/>
        <v>0</v>
      </c>
      <c r="K132" s="63">
        <f t="shared" si="90"/>
        <v>0</v>
      </c>
      <c r="L132" s="490"/>
      <c r="O132" s="664"/>
      <c r="P132" s="664"/>
      <c r="Q132" s="681"/>
      <c r="R132" s="681"/>
      <c r="S132" s="681"/>
      <c r="T132" s="681"/>
      <c r="U132" s="681"/>
      <c r="V132" s="681"/>
      <c r="X132" s="561">
        <f>X131</f>
        <v>0</v>
      </c>
      <c r="Y132" s="561">
        <f>Y131+1</f>
        <v>2022</v>
      </c>
      <c r="Z132" s="560">
        <f>IF(G132&lt;&gt;0,G132-G134,0)</f>
        <v>0</v>
      </c>
      <c r="AA132" s="560">
        <f>IF(G140&lt;&gt;0,G140-G142,0)</f>
        <v>0</v>
      </c>
      <c r="AB132" s="674"/>
      <c r="AC132" s="490"/>
      <c r="AD132" s="490"/>
      <c r="AE132" s="490"/>
      <c r="AF132" s="490"/>
      <c r="AG132" s="490"/>
      <c r="AH132" s="516">
        <v>19</v>
      </c>
      <c r="AI132" s="514">
        <f t="shared" si="79"/>
        <v>0</v>
      </c>
      <c r="AJ132" s="514">
        <f t="shared" si="79"/>
        <v>0</v>
      </c>
      <c r="AK132" s="514">
        <f t="shared" si="79"/>
        <v>0</v>
      </c>
      <c r="AL132" s="514">
        <f t="shared" si="79"/>
        <v>0</v>
      </c>
      <c r="AM132" s="514">
        <f t="shared" si="79"/>
        <v>0</v>
      </c>
      <c r="AN132" s="515">
        <f t="shared" si="79"/>
        <v>0</v>
      </c>
      <c r="AO132" s="745"/>
      <c r="AP132" s="514">
        <f t="shared" si="80"/>
        <v>0</v>
      </c>
      <c r="AQ132" s="514">
        <f t="shared" si="80"/>
        <v>0</v>
      </c>
      <c r="AR132" s="514">
        <f t="shared" si="80"/>
        <v>0</v>
      </c>
      <c r="AS132" s="514">
        <f t="shared" si="80"/>
        <v>0</v>
      </c>
      <c r="AT132" s="514">
        <f t="shared" si="80"/>
        <v>0</v>
      </c>
      <c r="AU132" s="748">
        <f t="shared" si="80"/>
        <v>0</v>
      </c>
      <c r="AV132" s="516"/>
      <c r="AW132" s="514">
        <f t="shared" si="81"/>
        <v>0</v>
      </c>
      <c r="AX132" s="514">
        <f t="shared" si="82"/>
        <v>0</v>
      </c>
      <c r="AY132" s="514">
        <f t="shared" si="83"/>
        <v>0</v>
      </c>
      <c r="AZ132" s="514">
        <f t="shared" si="84"/>
        <v>0</v>
      </c>
      <c r="BA132" s="514">
        <f t="shared" si="85"/>
        <v>0</v>
      </c>
      <c r="BB132" s="515">
        <f t="shared" si="86"/>
        <v>0</v>
      </c>
    </row>
    <row r="133" spans="1:54" s="493" customFormat="1" ht="13.5" hidden="1" outlineLevel="2" thickBot="1" x14ac:dyDescent="0.25">
      <c r="A133" s="243"/>
      <c r="B133" s="242">
        <v>5</v>
      </c>
      <c r="C133" s="242">
        <v>6</v>
      </c>
      <c r="D133" s="243"/>
      <c r="E133" s="496" t="s">
        <v>1307</v>
      </c>
      <c r="F133" s="63" t="str">
        <f t="shared" ref="F133:K133" si="91">IFERROR(F132*INDEX(MBSIncItems,$C128,$B133)*INDEX(MBSIncItems,$C128,$C133),"")</f>
        <v/>
      </c>
      <c r="G133" s="63" t="str">
        <f t="shared" si="91"/>
        <v/>
      </c>
      <c r="H133" s="63" t="str">
        <f t="shared" si="91"/>
        <v/>
      </c>
      <c r="I133" s="63" t="str">
        <f t="shared" si="91"/>
        <v/>
      </c>
      <c r="J133" s="63" t="str">
        <f t="shared" si="91"/>
        <v/>
      </c>
      <c r="K133" s="63" t="str">
        <f t="shared" si="91"/>
        <v/>
      </c>
      <c r="L133" s="490"/>
      <c r="O133" s="682"/>
      <c r="P133" s="754"/>
      <c r="Q133" s="681"/>
      <c r="R133" s="681"/>
      <c r="S133" s="681"/>
      <c r="T133" s="681"/>
      <c r="U133" s="681"/>
      <c r="V133" s="681"/>
      <c r="X133" s="561">
        <f t="shared" ref="X133:X136" si="92">X132</f>
        <v>0</v>
      </c>
      <c r="Y133" s="561">
        <f>Y132+1</f>
        <v>2023</v>
      </c>
      <c r="Z133" s="560">
        <f>IF(H132&lt;&gt;0,H132-H134,0)</f>
        <v>0</v>
      </c>
      <c r="AA133" s="560">
        <f>IF(H140&lt;&gt;0,H140-H142,0)</f>
        <v>0</v>
      </c>
      <c r="AB133" s="675"/>
      <c r="AC133" s="490"/>
      <c r="AD133" s="490"/>
      <c r="AE133" s="490"/>
      <c r="AF133" s="490"/>
      <c r="AG133" s="490"/>
      <c r="AH133" s="519">
        <v>20</v>
      </c>
      <c r="AI133" s="517">
        <f t="shared" si="79"/>
        <v>0</v>
      </c>
      <c r="AJ133" s="517">
        <f t="shared" si="79"/>
        <v>0</v>
      </c>
      <c r="AK133" s="517">
        <f t="shared" si="79"/>
        <v>0</v>
      </c>
      <c r="AL133" s="517">
        <f t="shared" si="79"/>
        <v>0</v>
      </c>
      <c r="AM133" s="517">
        <f t="shared" si="79"/>
        <v>0</v>
      </c>
      <c r="AN133" s="518">
        <f t="shared" si="79"/>
        <v>0</v>
      </c>
      <c r="AO133" s="746"/>
      <c r="AP133" s="517">
        <f t="shared" si="80"/>
        <v>0</v>
      </c>
      <c r="AQ133" s="517">
        <f t="shared" si="80"/>
        <v>0</v>
      </c>
      <c r="AR133" s="517">
        <f t="shared" si="80"/>
        <v>0</v>
      </c>
      <c r="AS133" s="517">
        <f t="shared" si="80"/>
        <v>0</v>
      </c>
      <c r="AT133" s="517">
        <f t="shared" si="80"/>
        <v>0</v>
      </c>
      <c r="AU133" s="749">
        <f t="shared" si="80"/>
        <v>0</v>
      </c>
      <c r="AV133" s="519"/>
      <c r="AW133" s="517">
        <f t="shared" si="81"/>
        <v>0</v>
      </c>
      <c r="AX133" s="517">
        <f t="shared" si="82"/>
        <v>0</v>
      </c>
      <c r="AY133" s="517">
        <f t="shared" si="83"/>
        <v>0</v>
      </c>
      <c r="AZ133" s="517">
        <f t="shared" si="84"/>
        <v>0</v>
      </c>
      <c r="BA133" s="517">
        <f t="shared" si="85"/>
        <v>0</v>
      </c>
      <c r="BB133" s="518">
        <f t="shared" si="86"/>
        <v>0</v>
      </c>
    </row>
    <row r="134" spans="1:54" s="493" customFormat="1" hidden="1" outlineLevel="2" x14ac:dyDescent="0.2">
      <c r="A134" s="416"/>
      <c r="B134" s="242">
        <v>4</v>
      </c>
      <c r="C134" s="242">
        <v>6</v>
      </c>
      <c r="D134" s="243"/>
      <c r="E134" s="496" t="s">
        <v>1306</v>
      </c>
      <c r="F134" s="63" t="str">
        <f t="shared" ref="F134:K134" si="93">IFERROR(F132*INDEX(MBSIncItems,$C128,$B134)*INDEX(MBSIncItems,$C128,$C134),"")</f>
        <v/>
      </c>
      <c r="G134" s="63" t="str">
        <f t="shared" si="93"/>
        <v/>
      </c>
      <c r="H134" s="63" t="str">
        <f t="shared" si="93"/>
        <v/>
      </c>
      <c r="I134" s="63" t="str">
        <f t="shared" si="93"/>
        <v/>
      </c>
      <c r="J134" s="63" t="str">
        <f t="shared" si="93"/>
        <v/>
      </c>
      <c r="K134" s="63" t="str">
        <f t="shared" si="93"/>
        <v/>
      </c>
      <c r="L134" s="416"/>
      <c r="M134" s="416"/>
      <c r="N134" s="416"/>
      <c r="O134" s="416"/>
      <c r="P134" s="416"/>
      <c r="Q134" s="416"/>
      <c r="R134" s="416"/>
      <c r="S134" s="416"/>
      <c r="T134" s="416"/>
      <c r="U134" s="416"/>
      <c r="V134" s="416"/>
      <c r="X134" s="561">
        <f t="shared" si="92"/>
        <v>0</v>
      </c>
      <c r="Y134" s="561">
        <f>Y133+1</f>
        <v>2024</v>
      </c>
      <c r="Z134" s="560">
        <f>IF(I132&lt;&gt;0,I132-I134,0)</f>
        <v>0</v>
      </c>
      <c r="AA134" s="560">
        <f>IF(I140&lt;&gt;0,I140-I142,0)</f>
        <v>0</v>
      </c>
      <c r="AB134" s="675"/>
      <c r="AC134" s="490"/>
      <c r="AD134" s="490"/>
      <c r="AE134" s="490"/>
      <c r="AF134" s="490"/>
      <c r="AG134" s="490"/>
    </row>
    <row r="135" spans="1:54" s="493" customFormat="1" hidden="1" outlineLevel="2" x14ac:dyDescent="0.2">
      <c r="A135" s="243"/>
      <c r="B135" s="242"/>
      <c r="C135" s="242">
        <v>7</v>
      </c>
      <c r="D135" s="243"/>
      <c r="E135" s="497" t="s">
        <v>1308</v>
      </c>
      <c r="F135" s="63" t="str">
        <f t="shared" ref="F135:K135" si="94">IFERROR(F132*INDEX(MBSIncItems,$C128,$C135),"")</f>
        <v/>
      </c>
      <c r="G135" s="63" t="str">
        <f t="shared" si="94"/>
        <v/>
      </c>
      <c r="H135" s="63" t="str">
        <f t="shared" si="94"/>
        <v/>
      </c>
      <c r="I135" s="63" t="str">
        <f t="shared" si="94"/>
        <v/>
      </c>
      <c r="J135" s="63" t="str">
        <f t="shared" si="94"/>
        <v/>
      </c>
      <c r="K135" s="63" t="str">
        <f t="shared" si="94"/>
        <v/>
      </c>
      <c r="L135" s="490"/>
      <c r="O135" s="682"/>
      <c r="P135" s="754"/>
      <c r="Q135" s="681"/>
      <c r="R135" s="681"/>
      <c r="S135" s="681"/>
      <c r="T135" s="681"/>
      <c r="U135" s="681"/>
      <c r="V135" s="681"/>
      <c r="X135" s="561">
        <f t="shared" si="92"/>
        <v>0</v>
      </c>
      <c r="Y135" s="561">
        <f>Y134+1</f>
        <v>2025</v>
      </c>
      <c r="Z135" s="560">
        <f>IF(J132&lt;&gt;0,J132-J134,0)</f>
        <v>0</v>
      </c>
      <c r="AA135" s="560">
        <f>IF(J140&lt;&gt;0,J140-J142,0)</f>
        <v>0</v>
      </c>
      <c r="AB135" s="675"/>
      <c r="AC135" s="490"/>
      <c r="AD135" s="490"/>
      <c r="AE135" s="490"/>
      <c r="AF135" s="490"/>
      <c r="AG135" s="490"/>
    </row>
    <row r="136" spans="1:54" s="493" customFormat="1" hidden="1" outlineLevel="2" x14ac:dyDescent="0.2">
      <c r="A136" s="243"/>
      <c r="L136" s="490"/>
      <c r="O136" s="682"/>
      <c r="P136" s="682"/>
      <c r="Q136" s="681"/>
      <c r="R136" s="681"/>
      <c r="S136" s="681"/>
      <c r="T136" s="681"/>
      <c r="U136" s="681"/>
      <c r="V136" s="681"/>
      <c r="X136" s="561">
        <f t="shared" si="92"/>
        <v>0</v>
      </c>
      <c r="Y136" s="561">
        <f>Y135+1</f>
        <v>2026</v>
      </c>
      <c r="Z136" s="560">
        <f>IF(K132&lt;&gt;0,K132-K134,0)</f>
        <v>0</v>
      </c>
      <c r="AA136" s="560">
        <f>IF(K140&lt;&gt;0,K140-K142,0)</f>
        <v>0</v>
      </c>
      <c r="AB136" s="675"/>
      <c r="AC136" s="490"/>
      <c r="AD136" s="490"/>
      <c r="AE136" s="490"/>
      <c r="AF136" s="490"/>
      <c r="AG136" s="490"/>
    </row>
    <row r="137" spans="1:54" s="493" customFormat="1" hidden="1" outlineLevel="2" x14ac:dyDescent="0.2">
      <c r="A137" s="243"/>
      <c r="B137" s="243"/>
      <c r="C137" s="243"/>
      <c r="D137" s="677"/>
      <c r="E137" s="677"/>
      <c r="F137" s="495">
        <v>2</v>
      </c>
      <c r="G137" s="495">
        <v>3</v>
      </c>
      <c r="H137" s="495">
        <v>4</v>
      </c>
      <c r="I137" s="495">
        <v>5</v>
      </c>
      <c r="J137" s="495">
        <v>6</v>
      </c>
      <c r="K137" s="495">
        <v>7</v>
      </c>
      <c r="L137" s="490"/>
      <c r="M137" s="243"/>
      <c r="N137" s="678"/>
      <c r="O137" s="678"/>
      <c r="P137" s="678"/>
      <c r="Q137" s="673"/>
      <c r="R137" s="673"/>
      <c r="S137" s="673"/>
      <c r="T137" s="673"/>
      <c r="U137" s="673"/>
      <c r="V137" s="673"/>
      <c r="W137" s="490"/>
      <c r="X137" s="676"/>
      <c r="Y137" s="676"/>
      <c r="Z137" s="676"/>
      <c r="AA137" s="676"/>
      <c r="AB137" s="675"/>
      <c r="AC137" s="490"/>
      <c r="AD137" s="490"/>
      <c r="AE137" s="490"/>
      <c r="AF137" s="490"/>
      <c r="AG137" s="490"/>
    </row>
    <row r="138" spans="1:54" s="493" customFormat="1" ht="15.75" hidden="1" outlineLevel="2" x14ac:dyDescent="0.2">
      <c r="A138" s="243"/>
      <c r="B138" s="243"/>
      <c r="C138" s="243"/>
      <c r="D138" s="663" t="s">
        <v>1</v>
      </c>
      <c r="E138" s="663"/>
      <c r="F138" s="751">
        <f>FirstYear</f>
        <v>2021</v>
      </c>
      <c r="G138" s="751">
        <f>F138+1</f>
        <v>2022</v>
      </c>
      <c r="H138" s="751">
        <f>G138+1</f>
        <v>2023</v>
      </c>
      <c r="I138" s="751">
        <f>H138+1</f>
        <v>2024</v>
      </c>
      <c r="J138" s="751">
        <f>I138+1</f>
        <v>2025</v>
      </c>
      <c r="K138" s="751">
        <f>J138+1</f>
        <v>2026</v>
      </c>
      <c r="L138" s="491"/>
      <c r="M138" s="243"/>
      <c r="N138" s="685"/>
      <c r="O138" s="685"/>
      <c r="P138" s="685"/>
      <c r="Q138" s="673"/>
      <c r="R138" s="673"/>
      <c r="S138" s="673"/>
      <c r="T138" s="673"/>
      <c r="U138" s="673"/>
      <c r="V138" s="673"/>
      <c r="W138" s="491"/>
      <c r="X138" s="676"/>
      <c r="Y138" s="676"/>
      <c r="Z138" s="676"/>
      <c r="AA138" s="676"/>
      <c r="AB138" s="676"/>
      <c r="AC138" s="490"/>
      <c r="AD138" s="490"/>
      <c r="AE138" s="490"/>
      <c r="AF138" s="490"/>
      <c r="AG138" s="490"/>
      <c r="AH138" s="490"/>
      <c r="AI138" s="490"/>
      <c r="AJ138" s="490"/>
      <c r="AK138" s="490"/>
      <c r="AL138" s="490"/>
      <c r="AM138" s="490"/>
      <c r="AN138" s="490"/>
      <c r="AO138" s="490"/>
      <c r="AP138" s="490"/>
      <c r="AQ138" s="490"/>
      <c r="AR138" s="490"/>
      <c r="AS138" s="490"/>
      <c r="AT138" s="490"/>
      <c r="AU138" s="490"/>
      <c r="AV138" s="490"/>
      <c r="AW138" s="490"/>
      <c r="AX138" s="490"/>
      <c r="AY138" s="490"/>
      <c r="AZ138" s="490"/>
      <c r="BA138" s="490"/>
      <c r="BB138" s="490"/>
    </row>
    <row r="139" spans="1:54" hidden="1" outlineLevel="2" x14ac:dyDescent="0.2">
      <c r="A139" s="243"/>
      <c r="B139" s="243"/>
      <c r="C139" s="243"/>
      <c r="D139" s="243"/>
      <c r="E139" s="433" t="s">
        <v>951</v>
      </c>
      <c r="F139" s="283">
        <f t="shared" ref="F139:K139" si="95">F140*INDEX(MBSIncCalc,$C128,3)</f>
        <v>0</v>
      </c>
      <c r="G139" s="283">
        <f t="shared" si="95"/>
        <v>0</v>
      </c>
      <c r="H139" s="283">
        <f t="shared" si="95"/>
        <v>0</v>
      </c>
      <c r="I139" s="283">
        <f t="shared" si="95"/>
        <v>0</v>
      </c>
      <c r="J139" s="283">
        <f t="shared" si="95"/>
        <v>0</v>
      </c>
      <c r="K139" s="283">
        <f t="shared" si="95"/>
        <v>0</v>
      </c>
      <c r="L139" s="490"/>
      <c r="M139" s="615"/>
      <c r="N139" s="615"/>
      <c r="O139" s="678"/>
      <c r="P139" s="678"/>
      <c r="Q139" s="673"/>
      <c r="R139" s="673"/>
      <c r="S139" s="673"/>
      <c r="T139" s="673"/>
      <c r="U139" s="673"/>
      <c r="V139" s="673"/>
      <c r="W139" s="490"/>
      <c r="X139" s="676"/>
      <c r="Y139" s="676"/>
      <c r="Z139" s="676"/>
      <c r="AA139" s="676"/>
      <c r="AB139" s="676"/>
      <c r="AC139" s="490"/>
      <c r="AD139" s="490"/>
      <c r="AE139" s="490"/>
      <c r="AF139" s="490"/>
      <c r="AG139" s="490"/>
      <c r="AH139" s="490"/>
      <c r="AI139" s="490"/>
      <c r="AJ139" s="490"/>
      <c r="AK139" s="490"/>
      <c r="AL139" s="490"/>
      <c r="AM139" s="490"/>
      <c r="AN139" s="490"/>
      <c r="AO139" s="490"/>
      <c r="AP139" s="490"/>
      <c r="AQ139" s="490"/>
      <c r="AR139" s="490"/>
      <c r="AS139" s="490"/>
      <c r="AT139" s="490"/>
      <c r="AU139" s="490"/>
      <c r="AV139" s="490"/>
      <c r="AW139" s="490"/>
      <c r="AX139" s="490"/>
      <c r="AY139" s="490"/>
      <c r="AZ139" s="491"/>
      <c r="BA139" s="491"/>
      <c r="BB139" s="491"/>
    </row>
    <row r="140" spans="1:54" s="493" customFormat="1" hidden="1" outlineLevel="2" x14ac:dyDescent="0.2">
      <c r="A140" s="243"/>
      <c r="B140" s="672"/>
      <c r="C140" s="242" t="str">
        <f>C132</f>
        <v/>
      </c>
      <c r="D140" s="243"/>
      <c r="E140" s="62" t="s">
        <v>1310</v>
      </c>
      <c r="F140" s="63">
        <f t="shared" ref="F140:K140" si="96">IF(INDEX(MBSIncRate,$C128,2)=2,IFERROR(INDEX(RPBSScriptsNew,$C140,F137),0),IFERROR(INDEX(MBSRPBSInc,$C128,INDEX(MBSIncRate,$C128,3)*7+F137),0) * IFERROR(INDEX(MBSIncPopSplit,$C128),0)) * INDEX(MBSIncRate,$C128,1) * INDEX(MBSIncRate,$C128,4)</f>
        <v>0</v>
      </c>
      <c r="G140" s="63">
        <f t="shared" si="96"/>
        <v>0</v>
      </c>
      <c r="H140" s="63">
        <f t="shared" si="96"/>
        <v>0</v>
      </c>
      <c r="I140" s="63">
        <f t="shared" si="96"/>
        <v>0</v>
      </c>
      <c r="J140" s="63">
        <f t="shared" si="96"/>
        <v>0</v>
      </c>
      <c r="K140" s="63">
        <f t="shared" si="96"/>
        <v>0</v>
      </c>
      <c r="L140" s="490"/>
      <c r="M140" s="243"/>
      <c r="N140" s="753"/>
      <c r="O140" s="678"/>
      <c r="P140" s="678"/>
      <c r="Q140" s="673"/>
      <c r="R140" s="673"/>
      <c r="S140" s="673"/>
      <c r="T140" s="673"/>
      <c r="U140" s="673"/>
      <c r="V140" s="673"/>
      <c r="W140" s="490"/>
      <c r="X140" s="676"/>
      <c r="Y140" s="676"/>
      <c r="Z140" s="676"/>
      <c r="AA140" s="676"/>
      <c r="AB140" s="676"/>
      <c r="AC140" s="490"/>
      <c r="AD140" s="490"/>
      <c r="AE140" s="490"/>
      <c r="AF140" s="490"/>
      <c r="AG140" s="490"/>
      <c r="AH140" s="490"/>
      <c r="AI140" s="490"/>
      <c r="AJ140" s="490"/>
      <c r="AK140" s="490"/>
      <c r="AL140" s="490"/>
      <c r="AM140" s="490"/>
      <c r="AN140" s="490"/>
      <c r="AO140" s="490"/>
      <c r="AP140" s="490"/>
      <c r="AQ140" s="490"/>
      <c r="AR140" s="490"/>
      <c r="AS140" s="490"/>
      <c r="AT140" s="490"/>
      <c r="AU140" s="490"/>
      <c r="AV140" s="490"/>
      <c r="AW140" s="490"/>
      <c r="AX140" s="490"/>
      <c r="AY140" s="490"/>
      <c r="AZ140" s="490"/>
      <c r="BA140" s="490"/>
      <c r="BB140" s="490"/>
    </row>
    <row r="141" spans="1:54" s="493" customFormat="1" hidden="1" outlineLevel="2" x14ac:dyDescent="0.2">
      <c r="A141" s="243"/>
      <c r="B141" s="242">
        <v>5</v>
      </c>
      <c r="C141" s="242">
        <v>6</v>
      </c>
      <c r="D141" s="243"/>
      <c r="E141" s="496" t="s">
        <v>1307</v>
      </c>
      <c r="F141" s="63" t="str">
        <f t="shared" ref="F141:K141" si="97">IFERROR(F140*INDEX(MBSIncItems,$C128,$B141)*INDEX(MBSIncItems,$C128,$C141),"")</f>
        <v/>
      </c>
      <c r="G141" s="63" t="str">
        <f t="shared" si="97"/>
        <v/>
      </c>
      <c r="H141" s="63" t="str">
        <f t="shared" si="97"/>
        <v/>
      </c>
      <c r="I141" s="63" t="str">
        <f t="shared" si="97"/>
        <v/>
      </c>
      <c r="J141" s="63" t="str">
        <f t="shared" si="97"/>
        <v/>
      </c>
      <c r="K141" s="63" t="str">
        <f t="shared" si="97"/>
        <v/>
      </c>
      <c r="L141" s="490"/>
      <c r="M141" s="683"/>
      <c r="N141" s="753"/>
      <c r="O141" s="678"/>
      <c r="P141" s="678"/>
      <c r="Q141" s="673"/>
      <c r="R141" s="673"/>
      <c r="S141" s="673"/>
      <c r="T141" s="673"/>
      <c r="U141" s="673"/>
      <c r="V141" s="673"/>
      <c r="W141" s="490"/>
      <c r="X141" s="676"/>
      <c r="Y141" s="676"/>
      <c r="Z141" s="676"/>
      <c r="AA141" s="676"/>
      <c r="AB141" s="676"/>
      <c r="AC141" s="490"/>
      <c r="AD141" s="490"/>
      <c r="AE141" s="490"/>
      <c r="AF141" s="490"/>
      <c r="AG141" s="490"/>
      <c r="AH141" s="490"/>
      <c r="AI141" s="490"/>
      <c r="AJ141" s="490"/>
      <c r="AK141" s="490"/>
      <c r="AL141" s="490"/>
      <c r="AM141" s="490"/>
      <c r="AN141" s="490"/>
      <c r="AO141" s="490"/>
      <c r="AP141" s="490"/>
      <c r="AQ141" s="490"/>
      <c r="AR141" s="490"/>
      <c r="AS141" s="490"/>
      <c r="AT141" s="490"/>
      <c r="AU141" s="490"/>
      <c r="AV141" s="490"/>
      <c r="AW141" s="490"/>
      <c r="AX141" s="490"/>
      <c r="AY141" s="490"/>
      <c r="AZ141" s="490"/>
      <c r="BA141" s="490"/>
      <c r="BB141" s="490"/>
    </row>
    <row r="142" spans="1:54" s="493" customFormat="1" hidden="1" outlineLevel="2" x14ac:dyDescent="0.2">
      <c r="A142" s="243"/>
      <c r="B142" s="242">
        <v>4</v>
      </c>
      <c r="C142" s="242">
        <v>6</v>
      </c>
      <c r="D142" s="243"/>
      <c r="E142" s="496" t="s">
        <v>1306</v>
      </c>
      <c r="F142" s="63" t="str">
        <f t="shared" ref="F142:K142" si="98">IFERROR(F140*INDEX(MBSIncItems,$C128,$B142)*INDEX(MBSIncItems,$C128,$C142),"")</f>
        <v/>
      </c>
      <c r="G142" s="63" t="str">
        <f t="shared" si="98"/>
        <v/>
      </c>
      <c r="H142" s="63" t="str">
        <f t="shared" si="98"/>
        <v/>
      </c>
      <c r="I142" s="63" t="str">
        <f t="shared" si="98"/>
        <v/>
      </c>
      <c r="J142" s="63" t="str">
        <f t="shared" si="98"/>
        <v/>
      </c>
      <c r="K142" s="63" t="str">
        <f t="shared" si="98"/>
        <v/>
      </c>
      <c r="L142" s="490"/>
      <c r="M142" s="684"/>
      <c r="N142" s="682"/>
      <c r="O142" s="678"/>
      <c r="P142" s="678"/>
      <c r="Q142" s="673"/>
      <c r="R142" s="673"/>
      <c r="S142" s="673"/>
      <c r="T142" s="673"/>
      <c r="U142" s="673"/>
      <c r="V142" s="673"/>
      <c r="W142" s="490"/>
      <c r="X142" s="676"/>
      <c r="Y142" s="676"/>
      <c r="Z142" s="676"/>
      <c r="AA142" s="676"/>
      <c r="AB142" s="676"/>
      <c r="AC142" s="490"/>
      <c r="AD142" s="490"/>
      <c r="AE142" s="490"/>
      <c r="AF142" s="490"/>
      <c r="AG142" s="490"/>
      <c r="AH142" s="490"/>
      <c r="AI142" s="490"/>
      <c r="AJ142" s="490"/>
      <c r="AK142" s="490"/>
      <c r="AL142" s="490"/>
      <c r="AM142" s="490"/>
      <c r="AN142" s="490"/>
      <c r="AO142" s="490"/>
      <c r="AP142" s="490"/>
      <c r="AQ142" s="490"/>
      <c r="AR142" s="490"/>
      <c r="AS142" s="490"/>
      <c r="AT142" s="490"/>
      <c r="AU142" s="490"/>
      <c r="AV142" s="490"/>
      <c r="AW142" s="490"/>
      <c r="AX142" s="490"/>
      <c r="AY142" s="490"/>
      <c r="AZ142" s="490"/>
      <c r="BA142" s="490"/>
      <c r="BB142" s="490"/>
    </row>
    <row r="143" spans="1:54" s="493" customFormat="1" hidden="1" outlineLevel="2" x14ac:dyDescent="0.2">
      <c r="A143" s="243"/>
      <c r="B143" s="242"/>
      <c r="C143" s="242">
        <v>7</v>
      </c>
      <c r="D143" s="243"/>
      <c r="E143" s="497" t="s">
        <v>1308</v>
      </c>
      <c r="F143" s="63" t="str">
        <f t="shared" ref="F143:K143" si="99">IFERROR(F140*INDEX(MBSIncItems,$C128,$C143),"")</f>
        <v/>
      </c>
      <c r="G143" s="63" t="str">
        <f t="shared" si="99"/>
        <v/>
      </c>
      <c r="H143" s="63" t="str">
        <f t="shared" si="99"/>
        <v/>
      </c>
      <c r="I143" s="63" t="str">
        <f t="shared" si="99"/>
        <v/>
      </c>
      <c r="J143" s="63" t="str">
        <f t="shared" si="99"/>
        <v/>
      </c>
      <c r="K143" s="63" t="str">
        <f t="shared" si="99"/>
        <v/>
      </c>
      <c r="L143" s="490"/>
      <c r="M143" s="684"/>
      <c r="N143" s="682"/>
      <c r="O143" s="678"/>
      <c r="P143" s="678"/>
      <c r="Q143" s="673"/>
      <c r="R143" s="673"/>
      <c r="S143" s="673"/>
      <c r="T143" s="673"/>
      <c r="U143" s="673"/>
      <c r="V143" s="673"/>
      <c r="W143" s="490"/>
      <c r="X143" s="676"/>
      <c r="Y143" s="676"/>
      <c r="Z143" s="676"/>
      <c r="AA143" s="676"/>
      <c r="AB143" s="676"/>
      <c r="AC143" s="490"/>
      <c r="AD143" s="490"/>
      <c r="AE143" s="490"/>
      <c r="AF143" s="490"/>
      <c r="AG143" s="490"/>
      <c r="AH143" s="490"/>
      <c r="AI143" s="490"/>
      <c r="AJ143" s="490"/>
      <c r="AK143" s="490"/>
      <c r="AL143" s="490"/>
      <c r="AM143" s="490"/>
      <c r="AN143" s="490"/>
      <c r="AO143" s="490"/>
      <c r="AP143" s="490"/>
      <c r="AQ143" s="490"/>
      <c r="AR143" s="490"/>
      <c r="AS143" s="490"/>
      <c r="AT143" s="490"/>
      <c r="AU143" s="490"/>
      <c r="AV143" s="490"/>
      <c r="AW143" s="490"/>
      <c r="AX143" s="490"/>
      <c r="AY143" s="490"/>
      <c r="AZ143" s="490"/>
      <c r="BA143" s="490"/>
      <c r="BB143" s="490"/>
    </row>
    <row r="144" spans="1:54" s="493" customFormat="1" hidden="1" outlineLevel="1" x14ac:dyDescent="0.2">
      <c r="A144" s="243"/>
      <c r="B144" s="243"/>
      <c r="C144" s="243"/>
      <c r="D144" s="677"/>
      <c r="E144" s="677"/>
      <c r="F144" s="243"/>
      <c r="G144" s="243"/>
      <c r="H144" s="243"/>
      <c r="I144" s="243"/>
      <c r="J144" s="243"/>
      <c r="K144" s="243"/>
      <c r="L144" s="243"/>
      <c r="M144" s="243"/>
      <c r="N144" s="678"/>
      <c r="O144" s="678"/>
      <c r="P144" s="678"/>
      <c r="Q144" s="673"/>
      <c r="R144" s="673"/>
      <c r="S144" s="673"/>
      <c r="T144" s="673"/>
      <c r="U144" s="673"/>
      <c r="V144" s="673"/>
      <c r="W144" s="490"/>
      <c r="X144" s="676"/>
      <c r="Y144" s="676"/>
      <c r="Z144" s="676"/>
      <c r="AA144" s="676"/>
      <c r="AB144" s="676"/>
      <c r="AC144" s="490"/>
      <c r="AD144" s="490"/>
      <c r="AE144" s="490"/>
      <c r="AF144" s="490"/>
      <c r="AG144" s="490"/>
      <c r="AH144" s="490"/>
      <c r="AI144" s="490"/>
      <c r="AJ144" s="490"/>
      <c r="AK144" s="490"/>
      <c r="AL144" s="490"/>
      <c r="AM144" s="490"/>
      <c r="AN144" s="490"/>
      <c r="AO144" s="490"/>
      <c r="AP144" s="490"/>
      <c r="AQ144" s="490"/>
      <c r="AR144" s="490"/>
      <c r="AS144" s="490"/>
      <c r="AT144" s="490"/>
      <c r="AU144" s="490"/>
      <c r="AV144" s="490"/>
      <c r="AW144" s="490"/>
      <c r="AX144" s="490"/>
      <c r="AY144" s="490"/>
      <c r="AZ144" s="490"/>
      <c r="BA144" s="490"/>
      <c r="BB144" s="490"/>
    </row>
    <row r="145" spans="1:54" s="493" customFormat="1" ht="15.75" hidden="1" outlineLevel="1" collapsed="1" x14ac:dyDescent="0.2">
      <c r="A145" s="243"/>
      <c r="B145" s="243"/>
      <c r="C145" s="242">
        <v>3</v>
      </c>
      <c r="D145" s="79" t="str">
        <f>INDEX(MBSIncNames,C145)</f>
        <v>** NOT USED **</v>
      </c>
      <c r="E145" s="79"/>
      <c r="F145" s="115"/>
      <c r="G145" s="115"/>
      <c r="H145" s="115"/>
      <c r="I145" s="115"/>
      <c r="J145" s="821" t="str">
        <f>IF(D145&lt;&gt;MsgNotUsed,"Co-payment group " &amp; K65,"")</f>
        <v/>
      </c>
      <c r="K145" s="821"/>
      <c r="L145" s="115"/>
      <c r="M145" s="115"/>
      <c r="N145" s="115"/>
      <c r="O145" s="115"/>
      <c r="P145" s="115"/>
      <c r="Q145" s="115"/>
      <c r="R145" s="115"/>
      <c r="S145" s="115"/>
      <c r="T145" s="115"/>
      <c r="U145" s="115"/>
      <c r="V145" s="115"/>
      <c r="W145" s="491"/>
      <c r="X145" s="490"/>
      <c r="Y145" s="490"/>
      <c r="Z145" s="490"/>
      <c r="AA145" s="490"/>
      <c r="AB145" s="676"/>
      <c r="AC145" s="490"/>
      <c r="AD145" s="490"/>
      <c r="AE145" s="490"/>
      <c r="AF145" s="490"/>
      <c r="AG145" s="490"/>
      <c r="AH145" s="490"/>
      <c r="AI145" s="490"/>
      <c r="AJ145" s="490"/>
      <c r="AK145" s="490"/>
      <c r="AL145" s="490"/>
      <c r="AM145" s="490"/>
      <c r="AN145" s="490"/>
      <c r="AO145" s="490"/>
      <c r="AP145" s="490"/>
      <c r="AQ145" s="490"/>
      <c r="AR145" s="490"/>
      <c r="AS145" s="490"/>
      <c r="AT145" s="490"/>
      <c r="AU145" s="490"/>
      <c r="AV145" s="490"/>
      <c r="AW145" s="490"/>
      <c r="AX145" s="490"/>
      <c r="AY145" s="490"/>
      <c r="AZ145" s="490"/>
      <c r="BA145" s="490"/>
      <c r="BB145" s="490"/>
    </row>
    <row r="146" spans="1:54" hidden="1" outlineLevel="2" x14ac:dyDescent="0.2">
      <c r="A146" s="243"/>
      <c r="B146" s="243"/>
      <c r="C146" s="243"/>
      <c r="D146" s="243"/>
      <c r="E146" s="243"/>
      <c r="F146" s="495">
        <v>2</v>
      </c>
      <c r="G146" s="495">
        <v>3</v>
      </c>
      <c r="H146" s="495">
        <v>4</v>
      </c>
      <c r="I146" s="495">
        <v>5</v>
      </c>
      <c r="J146" s="495">
        <v>6</v>
      </c>
      <c r="K146" s="495">
        <v>7</v>
      </c>
      <c r="L146" s="495"/>
      <c r="M146" s="243"/>
      <c r="N146" s="243"/>
      <c r="O146" s="243"/>
      <c r="P146" s="243"/>
      <c r="Q146" s="243"/>
      <c r="R146" s="243"/>
      <c r="S146" s="243"/>
      <c r="T146" s="243"/>
      <c r="U146" s="243"/>
      <c r="V146" s="243"/>
      <c r="W146" s="490"/>
      <c r="X146" s="490"/>
      <c r="Y146" s="490"/>
      <c r="Z146" s="490"/>
      <c r="AA146" s="490"/>
      <c r="AB146" s="676"/>
      <c r="AC146" s="490"/>
      <c r="AD146" s="490"/>
      <c r="AE146" s="490"/>
      <c r="AF146" s="490"/>
      <c r="AG146" s="490"/>
      <c r="AH146" s="490"/>
      <c r="AI146" s="490"/>
      <c r="AJ146" s="490"/>
      <c r="AK146" s="490"/>
      <c r="AL146" s="490"/>
      <c r="AM146" s="490"/>
      <c r="AN146" s="490"/>
      <c r="AO146" s="490"/>
      <c r="AP146" s="490"/>
      <c r="AQ146" s="490"/>
      <c r="AR146" s="490"/>
      <c r="AS146" s="490"/>
      <c r="AT146" s="490"/>
      <c r="AU146" s="490"/>
      <c r="AV146" s="490"/>
      <c r="AW146" s="490"/>
      <c r="AX146" s="490"/>
      <c r="AY146" s="490"/>
      <c r="AZ146" s="491"/>
      <c r="BA146" s="491"/>
      <c r="BB146" s="491"/>
    </row>
    <row r="147" spans="1:54" s="493" customFormat="1" ht="15" hidden="1" outlineLevel="2" x14ac:dyDescent="0.2">
      <c r="A147" s="243"/>
      <c r="B147" s="243"/>
      <c r="C147" s="243"/>
      <c r="D147" s="663" t="s">
        <v>0</v>
      </c>
      <c r="E147" s="663"/>
      <c r="F147" s="630">
        <f>FirstYear</f>
        <v>2021</v>
      </c>
      <c r="G147" s="630">
        <f>F147+1</f>
        <v>2022</v>
      </c>
      <c r="H147" s="630">
        <f>G147+1</f>
        <v>2023</v>
      </c>
      <c r="I147" s="630">
        <f>H147+1</f>
        <v>2024</v>
      </c>
      <c r="J147" s="630">
        <f>I147+1</f>
        <v>2025</v>
      </c>
      <c r="K147" s="630">
        <f>J147+1</f>
        <v>2026</v>
      </c>
      <c r="L147" s="491"/>
      <c r="M147" s="113"/>
      <c r="N147" s="679"/>
      <c r="O147" s="679"/>
      <c r="P147" s="679"/>
      <c r="Q147" s="674"/>
      <c r="R147" s="674"/>
      <c r="S147" s="674"/>
      <c r="T147" s="674"/>
      <c r="U147" s="674"/>
      <c r="V147" s="674"/>
      <c r="W147" s="491"/>
      <c r="X147" s="674"/>
      <c r="Y147" s="674"/>
      <c r="Z147" s="674"/>
      <c r="AA147" s="674"/>
      <c r="AB147" s="676"/>
      <c r="AC147" s="490"/>
      <c r="AD147" s="490"/>
      <c r="AE147" s="490"/>
      <c r="AF147" s="490"/>
      <c r="AG147" s="490"/>
      <c r="AH147" s="490"/>
      <c r="AI147" s="490"/>
      <c r="AJ147" s="490"/>
      <c r="AK147" s="490"/>
      <c r="AL147" s="490"/>
      <c r="AM147" s="490"/>
      <c r="AN147" s="490"/>
      <c r="AO147" s="490"/>
      <c r="AP147" s="490"/>
      <c r="AQ147" s="490"/>
      <c r="AR147" s="490"/>
      <c r="AS147" s="490"/>
      <c r="AT147" s="490"/>
      <c r="AU147" s="490"/>
      <c r="AV147" s="490"/>
      <c r="AW147" s="490"/>
      <c r="AX147" s="490"/>
      <c r="AY147" s="490"/>
      <c r="AZ147" s="490"/>
      <c r="BA147" s="490"/>
      <c r="BB147" s="490"/>
    </row>
    <row r="148" spans="1:54" hidden="1" outlineLevel="2" x14ac:dyDescent="0.2">
      <c r="A148" s="243"/>
      <c r="B148" s="243"/>
      <c r="C148" s="243"/>
      <c r="D148" s="243"/>
      <c r="E148" s="433" t="s">
        <v>951</v>
      </c>
      <c r="F148" s="283">
        <f t="shared" ref="F148:K148" si="100">F149*INDEX(MBSIncCalc,$C145,3)</f>
        <v>0</v>
      </c>
      <c r="G148" s="283">
        <f t="shared" si="100"/>
        <v>0</v>
      </c>
      <c r="H148" s="283">
        <f t="shared" si="100"/>
        <v>0</v>
      </c>
      <c r="I148" s="283">
        <f t="shared" si="100"/>
        <v>0</v>
      </c>
      <c r="J148" s="283">
        <f t="shared" si="100"/>
        <v>0</v>
      </c>
      <c r="K148" s="283">
        <f t="shared" si="100"/>
        <v>0</v>
      </c>
      <c r="L148" s="490"/>
      <c r="M148" s="680"/>
      <c r="N148" s="664"/>
      <c r="O148" s="664"/>
      <c r="P148" s="664"/>
      <c r="Q148" s="681"/>
      <c r="R148" s="681"/>
      <c r="S148" s="681"/>
      <c r="T148" s="681"/>
      <c r="U148" s="681"/>
      <c r="V148" s="681"/>
      <c r="W148" s="493"/>
      <c r="X148" s="561">
        <f>INDEX(MBSIncItems,C145,1)</f>
        <v>0</v>
      </c>
      <c r="Y148" s="561">
        <f>FirstYear</f>
        <v>2021</v>
      </c>
      <c r="Z148" s="560">
        <f>IF(F149&lt;&gt;0,F149-F151,0)</f>
        <v>0</v>
      </c>
      <c r="AA148" s="560">
        <f>IF(F157&lt;&gt;0,F157-F159,0)</f>
        <v>0</v>
      </c>
      <c r="AB148" s="674"/>
      <c r="AC148" s="490"/>
      <c r="AD148" s="490"/>
      <c r="AE148" s="490"/>
      <c r="AF148" s="490"/>
      <c r="AG148" s="490"/>
      <c r="AH148" s="490"/>
      <c r="AI148" s="490"/>
      <c r="AJ148" s="490"/>
      <c r="AK148" s="490"/>
      <c r="AL148" s="490"/>
      <c r="AM148" s="490"/>
      <c r="AN148" s="490"/>
      <c r="AO148" s="490"/>
      <c r="AP148" s="490"/>
      <c r="AQ148" s="490"/>
      <c r="AR148" s="490"/>
      <c r="AS148" s="490"/>
      <c r="AT148" s="490"/>
      <c r="AU148" s="490"/>
      <c r="AV148" s="490"/>
      <c r="AW148" s="490"/>
      <c r="AX148" s="490"/>
      <c r="AY148" s="490"/>
      <c r="AZ148" s="491"/>
      <c r="BA148" s="491"/>
      <c r="BB148" s="491"/>
    </row>
    <row r="149" spans="1:54" hidden="1" outlineLevel="2" x14ac:dyDescent="0.2">
      <c r="A149" s="243"/>
      <c r="B149" s="672"/>
      <c r="C149" s="242" t="str">
        <f>INDEX(MBSIncCalc,C145,2)</f>
        <v/>
      </c>
      <c r="D149" s="243"/>
      <c r="E149" s="62" t="s">
        <v>1310</v>
      </c>
      <c r="F149" s="63">
        <f t="shared" ref="F149:K149" si="101">IF(INDEX(MBSIncRate,$C145,2)=2,IFERROR(INDEX(PBSScriptsNew,$C149,F146),0),IFERROR(INDEX(MBSPBSInc,$C145,INDEX(MBSIncRate,$C145,3)*7+F146),0) * IFERROR(INDEX(MBSIncPopSplit,$C145),0)) * INDEX(MBSIncRate,$C145,1) * INDEX(MBSIncRate,$C145,4)</f>
        <v>0</v>
      </c>
      <c r="G149" s="63">
        <f t="shared" si="101"/>
        <v>0</v>
      </c>
      <c r="H149" s="63">
        <f t="shared" si="101"/>
        <v>0</v>
      </c>
      <c r="I149" s="63">
        <f t="shared" si="101"/>
        <v>0</v>
      </c>
      <c r="J149" s="63">
        <f t="shared" si="101"/>
        <v>0</v>
      </c>
      <c r="K149" s="63">
        <f t="shared" si="101"/>
        <v>0</v>
      </c>
      <c r="L149" s="490"/>
      <c r="M149" s="493"/>
      <c r="N149" s="493"/>
      <c r="O149" s="664"/>
      <c r="P149" s="664"/>
      <c r="Q149" s="681"/>
      <c r="R149" s="681"/>
      <c r="S149" s="681"/>
      <c r="T149" s="681"/>
      <c r="U149" s="681"/>
      <c r="V149" s="681"/>
      <c r="W149" s="493"/>
      <c r="X149" s="561">
        <f>X148</f>
        <v>0</v>
      </c>
      <c r="Y149" s="561">
        <f>Y148+1</f>
        <v>2022</v>
      </c>
      <c r="Z149" s="560">
        <f>IF(G149&lt;&gt;0,G149-G151,0)</f>
        <v>0</v>
      </c>
      <c r="AA149" s="560">
        <f>IF(G157&lt;&gt;0,G157-G159,0)</f>
        <v>0</v>
      </c>
      <c r="AB149" s="674"/>
      <c r="AC149" s="490"/>
      <c r="AD149" s="490"/>
      <c r="AE149" s="490"/>
      <c r="AF149" s="490"/>
      <c r="AG149" s="490"/>
      <c r="AH149" s="490"/>
      <c r="AI149" s="490"/>
      <c r="AJ149" s="490"/>
      <c r="AK149" s="490"/>
      <c r="AL149" s="490"/>
      <c r="AM149" s="490"/>
      <c r="AN149" s="490"/>
      <c r="AO149" s="490"/>
      <c r="AP149" s="490"/>
      <c r="AQ149" s="490"/>
      <c r="AR149" s="490"/>
      <c r="AS149" s="490"/>
      <c r="AT149" s="490"/>
      <c r="AU149" s="490"/>
      <c r="AV149" s="490"/>
      <c r="AW149" s="490"/>
      <c r="AX149" s="490"/>
      <c r="AY149" s="490"/>
      <c r="AZ149" s="491"/>
      <c r="BA149" s="491"/>
      <c r="BB149" s="491"/>
    </row>
    <row r="150" spans="1:54" hidden="1" outlineLevel="2" x14ac:dyDescent="0.2">
      <c r="A150" s="243"/>
      <c r="B150" s="242">
        <v>5</v>
      </c>
      <c r="C150" s="242">
        <v>6</v>
      </c>
      <c r="D150" s="243"/>
      <c r="E150" s="496" t="s">
        <v>1307</v>
      </c>
      <c r="F150" s="63" t="str">
        <f t="shared" ref="F150:K150" si="102">IFERROR(F149*INDEX(MBSIncItems,$C145,$B150)*INDEX(MBSIncItems,$C145,$C150),"")</f>
        <v/>
      </c>
      <c r="G150" s="63" t="str">
        <f t="shared" si="102"/>
        <v/>
      </c>
      <c r="H150" s="63" t="str">
        <f t="shared" si="102"/>
        <v/>
      </c>
      <c r="I150" s="63" t="str">
        <f t="shared" si="102"/>
        <v/>
      </c>
      <c r="J150" s="63" t="str">
        <f t="shared" si="102"/>
        <v/>
      </c>
      <c r="K150" s="63" t="str">
        <f t="shared" si="102"/>
        <v/>
      </c>
      <c r="L150" s="490"/>
      <c r="M150" s="493"/>
      <c r="N150" s="493"/>
      <c r="O150" s="682"/>
      <c r="P150" s="754"/>
      <c r="Q150" s="681"/>
      <c r="R150" s="681"/>
      <c r="S150" s="681"/>
      <c r="T150" s="681"/>
      <c r="U150" s="681"/>
      <c r="V150" s="681"/>
      <c r="W150" s="493"/>
      <c r="X150" s="561">
        <f t="shared" ref="X150:X153" si="103">X149</f>
        <v>0</v>
      </c>
      <c r="Y150" s="561">
        <f>Y149+1</f>
        <v>2023</v>
      </c>
      <c r="Z150" s="560">
        <f>IF(H149&lt;&gt;0,H149-H151,0)</f>
        <v>0</v>
      </c>
      <c r="AA150" s="560">
        <f>IF(H157&lt;&gt;0,H157-H159,0)</f>
        <v>0</v>
      </c>
      <c r="AB150" s="675"/>
      <c r="AC150" s="490"/>
      <c r="AD150" s="490"/>
      <c r="AE150" s="490"/>
      <c r="AF150" s="490"/>
      <c r="AG150" s="490"/>
      <c r="AH150" s="490"/>
      <c r="AI150" s="490"/>
      <c r="AJ150" s="490"/>
      <c r="AK150" s="490"/>
      <c r="AL150" s="490"/>
      <c r="AM150" s="490"/>
      <c r="AN150" s="490"/>
      <c r="AO150" s="490"/>
      <c r="AP150" s="490"/>
      <c r="AQ150" s="490"/>
      <c r="AR150" s="490"/>
      <c r="AS150" s="490"/>
      <c r="AT150" s="490"/>
      <c r="AU150" s="490"/>
      <c r="AV150" s="490"/>
      <c r="AW150" s="490"/>
      <c r="AX150" s="490"/>
      <c r="AY150" s="490"/>
      <c r="AZ150" s="491"/>
      <c r="BA150" s="491"/>
      <c r="BB150" s="491"/>
    </row>
    <row r="151" spans="1:54" hidden="1" outlineLevel="2" x14ac:dyDescent="0.2">
      <c r="A151" s="416"/>
      <c r="B151" s="242">
        <v>4</v>
      </c>
      <c r="C151" s="242">
        <v>6</v>
      </c>
      <c r="D151" s="243"/>
      <c r="E151" s="496" t="s">
        <v>1306</v>
      </c>
      <c r="F151" s="63" t="str">
        <f t="shared" ref="F151:K151" si="104">IFERROR(F149*INDEX(MBSIncItems,$C145,$B151)*INDEX(MBSIncItems,$C145,$C151),"")</f>
        <v/>
      </c>
      <c r="G151" s="63" t="str">
        <f t="shared" si="104"/>
        <v/>
      </c>
      <c r="H151" s="63" t="str">
        <f t="shared" si="104"/>
        <v/>
      </c>
      <c r="I151" s="63" t="str">
        <f t="shared" si="104"/>
        <v/>
      </c>
      <c r="J151" s="63" t="str">
        <f t="shared" si="104"/>
        <v/>
      </c>
      <c r="K151" s="63" t="str">
        <f t="shared" si="104"/>
        <v/>
      </c>
      <c r="L151" s="416"/>
      <c r="M151" s="416"/>
      <c r="N151" s="416"/>
      <c r="O151" s="416"/>
      <c r="P151" s="416"/>
      <c r="Q151" s="416"/>
      <c r="R151" s="416"/>
      <c r="S151" s="416"/>
      <c r="T151" s="416"/>
      <c r="U151" s="416"/>
      <c r="V151" s="416"/>
      <c r="W151" s="493"/>
      <c r="X151" s="561">
        <f t="shared" si="103"/>
        <v>0</v>
      </c>
      <c r="Y151" s="561">
        <f>Y150+1</f>
        <v>2024</v>
      </c>
      <c r="Z151" s="560">
        <f>IF(I149&lt;&gt;0,I149-I151,0)</f>
        <v>0</v>
      </c>
      <c r="AA151" s="560">
        <f>IF(I157&lt;&gt;0,I157-I159,0)</f>
        <v>0</v>
      </c>
      <c r="AB151" s="675"/>
      <c r="AC151" s="490"/>
      <c r="AD151" s="490"/>
      <c r="AE151" s="490"/>
      <c r="AF151" s="490"/>
      <c r="AG151" s="490"/>
      <c r="AH151" s="490"/>
      <c r="AI151" s="490"/>
      <c r="AJ151" s="490"/>
      <c r="AK151" s="490"/>
      <c r="AL151" s="490"/>
      <c r="AM151" s="490"/>
      <c r="AN151" s="490"/>
      <c r="AO151" s="490"/>
      <c r="AP151" s="490"/>
      <c r="AQ151" s="490"/>
      <c r="AR151" s="490"/>
      <c r="AS151" s="490"/>
      <c r="AT151" s="490"/>
      <c r="AU151" s="490"/>
      <c r="AV151" s="490"/>
      <c r="AW151" s="490"/>
      <c r="AX151" s="490"/>
      <c r="AY151" s="490"/>
      <c r="AZ151" s="491"/>
      <c r="BA151" s="491"/>
      <c r="BB151" s="491"/>
    </row>
    <row r="152" spans="1:54" hidden="1" outlineLevel="2" x14ac:dyDescent="0.2">
      <c r="A152" s="243"/>
      <c r="B152" s="242"/>
      <c r="C152" s="242">
        <v>7</v>
      </c>
      <c r="D152" s="243"/>
      <c r="E152" s="497" t="s">
        <v>1308</v>
      </c>
      <c r="F152" s="63" t="str">
        <f t="shared" ref="F152:K152" si="105">IFERROR(F149*INDEX(MBSIncItems,$C145,$C152),"")</f>
        <v/>
      </c>
      <c r="G152" s="63" t="str">
        <f t="shared" si="105"/>
        <v/>
      </c>
      <c r="H152" s="63" t="str">
        <f t="shared" si="105"/>
        <v/>
      </c>
      <c r="I152" s="63" t="str">
        <f t="shared" si="105"/>
        <v/>
      </c>
      <c r="J152" s="63" t="str">
        <f t="shared" si="105"/>
        <v/>
      </c>
      <c r="K152" s="63" t="str">
        <f t="shared" si="105"/>
        <v/>
      </c>
      <c r="L152" s="490"/>
      <c r="M152" s="493"/>
      <c r="N152" s="493"/>
      <c r="O152" s="682"/>
      <c r="P152" s="754"/>
      <c r="Q152" s="681"/>
      <c r="R152" s="681"/>
      <c r="S152" s="681"/>
      <c r="T152" s="681"/>
      <c r="U152" s="681"/>
      <c r="V152" s="681"/>
      <c r="W152" s="493"/>
      <c r="X152" s="561">
        <f t="shared" si="103"/>
        <v>0</v>
      </c>
      <c r="Y152" s="561">
        <f>Y151+1</f>
        <v>2025</v>
      </c>
      <c r="Z152" s="560">
        <f>IF(J149&lt;&gt;0,J149-J151,0)</f>
        <v>0</v>
      </c>
      <c r="AA152" s="560">
        <f>IF(J157&lt;&gt;0,J157-J159,0)</f>
        <v>0</v>
      </c>
      <c r="AB152" s="675"/>
      <c r="AC152" s="490"/>
      <c r="AD152" s="490"/>
      <c r="AE152" s="490"/>
      <c r="AF152" s="490"/>
      <c r="AG152" s="490"/>
      <c r="AH152" s="490"/>
      <c r="AI152" s="490"/>
      <c r="AJ152" s="490"/>
      <c r="AK152" s="490"/>
      <c r="AL152" s="490"/>
      <c r="AM152" s="490"/>
      <c r="AN152" s="490"/>
      <c r="AO152" s="490"/>
      <c r="AP152" s="490"/>
      <c r="AQ152" s="490"/>
      <c r="AR152" s="490"/>
      <c r="AS152" s="490"/>
      <c r="AT152" s="490"/>
      <c r="AU152" s="490"/>
      <c r="AV152" s="490"/>
      <c r="AW152" s="490"/>
      <c r="AX152" s="490"/>
      <c r="AY152" s="490"/>
      <c r="AZ152" s="491"/>
      <c r="BA152" s="491"/>
      <c r="BB152" s="491"/>
    </row>
    <row r="153" spans="1:54" hidden="1" outlineLevel="2" x14ac:dyDescent="0.2">
      <c r="A153" s="243"/>
      <c r="B153" s="493"/>
      <c r="C153" s="493"/>
      <c r="D153" s="493"/>
      <c r="E153" s="493"/>
      <c r="F153" s="493"/>
      <c r="G153" s="493"/>
      <c r="H153" s="493"/>
      <c r="I153" s="493"/>
      <c r="J153" s="493"/>
      <c r="K153" s="493"/>
      <c r="L153" s="490"/>
      <c r="M153" s="493"/>
      <c r="N153" s="493"/>
      <c r="O153" s="682"/>
      <c r="P153" s="682"/>
      <c r="Q153" s="681"/>
      <c r="R153" s="681"/>
      <c r="S153" s="681"/>
      <c r="T153" s="681"/>
      <c r="U153" s="681"/>
      <c r="V153" s="681"/>
      <c r="W153" s="493"/>
      <c r="X153" s="561">
        <f t="shared" si="103"/>
        <v>0</v>
      </c>
      <c r="Y153" s="561">
        <f>Y152+1</f>
        <v>2026</v>
      </c>
      <c r="Z153" s="560">
        <f>IF(K149&lt;&gt;0,K149-K151,0)</f>
        <v>0</v>
      </c>
      <c r="AA153" s="560">
        <f>IF(K157&lt;&gt;0,K157-K159,0)</f>
        <v>0</v>
      </c>
      <c r="AB153" s="675"/>
      <c r="AC153" s="490"/>
      <c r="AD153" s="490"/>
      <c r="AE153" s="490"/>
      <c r="AF153" s="490"/>
      <c r="AG153" s="490"/>
      <c r="AH153" s="490"/>
      <c r="AI153" s="490"/>
      <c r="AJ153" s="490"/>
      <c r="AK153" s="490"/>
      <c r="AL153" s="490"/>
      <c r="AM153" s="490"/>
      <c r="AN153" s="490"/>
      <c r="AO153" s="490"/>
      <c r="AP153" s="490"/>
      <c r="AQ153" s="490"/>
      <c r="AR153" s="490"/>
      <c r="AS153" s="490"/>
      <c r="AT153" s="490"/>
      <c r="AU153" s="490"/>
      <c r="AV153" s="490"/>
      <c r="AW153" s="490"/>
      <c r="AX153" s="490"/>
      <c r="AY153" s="490"/>
      <c r="AZ153" s="491"/>
      <c r="BA153" s="491"/>
      <c r="BB153" s="491"/>
    </row>
    <row r="154" spans="1:54" hidden="1" outlineLevel="2" x14ac:dyDescent="0.2">
      <c r="A154" s="243"/>
      <c r="B154" s="243"/>
      <c r="C154" s="243"/>
      <c r="D154" s="677"/>
      <c r="E154" s="677"/>
      <c r="F154" s="495">
        <v>2</v>
      </c>
      <c r="G154" s="495">
        <v>3</v>
      </c>
      <c r="H154" s="495">
        <v>4</v>
      </c>
      <c r="I154" s="495">
        <v>5</v>
      </c>
      <c r="J154" s="495">
        <v>6</v>
      </c>
      <c r="K154" s="495">
        <v>7</v>
      </c>
      <c r="L154" s="490"/>
      <c r="M154" s="243"/>
      <c r="N154" s="678"/>
      <c r="O154" s="678"/>
      <c r="P154" s="678"/>
      <c r="Q154" s="673"/>
      <c r="R154" s="673"/>
      <c r="S154" s="673"/>
      <c r="T154" s="673"/>
      <c r="U154" s="673"/>
      <c r="V154" s="673"/>
      <c r="W154" s="490"/>
      <c r="X154" s="676"/>
      <c r="Y154" s="676"/>
      <c r="Z154" s="676"/>
      <c r="AA154" s="676"/>
      <c r="AB154" s="675"/>
      <c r="AC154" s="490"/>
      <c r="AD154" s="490"/>
      <c r="AE154" s="490"/>
      <c r="AF154" s="490"/>
      <c r="AG154" s="490"/>
      <c r="AH154" s="490"/>
      <c r="AI154" s="490"/>
      <c r="AJ154" s="490"/>
      <c r="AK154" s="490"/>
      <c r="AL154" s="490"/>
      <c r="AM154" s="490"/>
      <c r="AN154" s="490"/>
      <c r="AO154" s="490"/>
      <c r="AP154" s="490"/>
      <c r="AQ154" s="490"/>
      <c r="AR154" s="490"/>
      <c r="AS154" s="490"/>
      <c r="AT154" s="490"/>
      <c r="AU154" s="490"/>
      <c r="AV154" s="490"/>
      <c r="AW154" s="490"/>
      <c r="AX154" s="490"/>
      <c r="AY154" s="490"/>
      <c r="AZ154" s="491"/>
      <c r="BA154" s="491"/>
      <c r="BB154" s="491"/>
    </row>
    <row r="155" spans="1:54" ht="15.75" hidden="1" outlineLevel="2" x14ac:dyDescent="0.2">
      <c r="A155" s="243"/>
      <c r="B155" s="243"/>
      <c r="C155" s="243"/>
      <c r="D155" s="663" t="s">
        <v>1</v>
      </c>
      <c r="E155" s="663"/>
      <c r="F155" s="751">
        <f>FirstYear</f>
        <v>2021</v>
      </c>
      <c r="G155" s="751">
        <f>F155+1</f>
        <v>2022</v>
      </c>
      <c r="H155" s="751">
        <f>G155+1</f>
        <v>2023</v>
      </c>
      <c r="I155" s="751">
        <f>H155+1</f>
        <v>2024</v>
      </c>
      <c r="J155" s="751">
        <f>I155+1</f>
        <v>2025</v>
      </c>
      <c r="K155" s="751">
        <f>J155+1</f>
        <v>2026</v>
      </c>
      <c r="L155" s="491"/>
      <c r="M155" s="243"/>
      <c r="N155" s="685"/>
      <c r="O155" s="685"/>
      <c r="P155" s="685"/>
      <c r="Q155" s="673"/>
      <c r="R155" s="673"/>
      <c r="S155" s="673"/>
      <c r="T155" s="673"/>
      <c r="U155" s="673"/>
      <c r="V155" s="673"/>
      <c r="W155" s="491"/>
      <c r="X155" s="676"/>
      <c r="Y155" s="676"/>
      <c r="Z155" s="676"/>
      <c r="AA155" s="676"/>
      <c r="AB155" s="676"/>
      <c r="AC155" s="490"/>
      <c r="AD155" s="490"/>
      <c r="AE155" s="490"/>
      <c r="AF155" s="490"/>
      <c r="AG155" s="490"/>
      <c r="AH155" s="490"/>
      <c r="AI155" s="490"/>
      <c r="AJ155" s="490"/>
      <c r="AK155" s="490"/>
      <c r="AL155" s="490"/>
      <c r="AM155" s="490"/>
      <c r="AN155" s="490"/>
      <c r="AO155" s="490"/>
      <c r="AP155" s="490"/>
      <c r="AQ155" s="490"/>
      <c r="AR155" s="490"/>
      <c r="AS155" s="490"/>
      <c r="AT155" s="490"/>
      <c r="AU155" s="490"/>
      <c r="AV155" s="490"/>
      <c r="AW155" s="490"/>
      <c r="AX155" s="490"/>
      <c r="AY155" s="490"/>
      <c r="AZ155" s="491"/>
      <c r="BA155" s="491"/>
      <c r="BB155" s="491"/>
    </row>
    <row r="156" spans="1:54" hidden="1" outlineLevel="2" x14ac:dyDescent="0.2">
      <c r="A156" s="243"/>
      <c r="B156" s="243"/>
      <c r="C156" s="243"/>
      <c r="D156" s="243"/>
      <c r="E156" s="433" t="s">
        <v>951</v>
      </c>
      <c r="F156" s="283">
        <f t="shared" ref="F156:K156" si="106">F157*INDEX(MBSIncCalc,$C145,3)</f>
        <v>0</v>
      </c>
      <c r="G156" s="283">
        <f t="shared" si="106"/>
        <v>0</v>
      </c>
      <c r="H156" s="283">
        <f t="shared" si="106"/>
        <v>0</v>
      </c>
      <c r="I156" s="283">
        <f t="shared" si="106"/>
        <v>0</v>
      </c>
      <c r="J156" s="283">
        <f t="shared" si="106"/>
        <v>0</v>
      </c>
      <c r="K156" s="283">
        <f t="shared" si="106"/>
        <v>0</v>
      </c>
      <c r="L156" s="490"/>
      <c r="M156" s="615"/>
      <c r="N156" s="615"/>
      <c r="O156" s="678"/>
      <c r="P156" s="678"/>
      <c r="Q156" s="673"/>
      <c r="R156" s="673"/>
      <c r="S156" s="673"/>
      <c r="T156" s="673"/>
      <c r="U156" s="673"/>
      <c r="V156" s="673"/>
      <c r="W156" s="490"/>
      <c r="X156" s="676"/>
      <c r="Y156" s="676"/>
      <c r="Z156" s="676"/>
      <c r="AA156" s="676"/>
      <c r="AB156" s="676"/>
      <c r="AC156" s="490"/>
      <c r="AD156" s="490"/>
      <c r="AE156" s="490"/>
      <c r="AF156" s="490"/>
      <c r="AG156" s="490"/>
      <c r="AH156" s="490"/>
      <c r="AI156" s="490"/>
      <c r="AJ156" s="490"/>
      <c r="AK156" s="490"/>
      <c r="AL156" s="490"/>
      <c r="AM156" s="490"/>
      <c r="AN156" s="490"/>
      <c r="AO156" s="490"/>
      <c r="AP156" s="490"/>
      <c r="AQ156" s="490"/>
      <c r="AR156" s="490"/>
      <c r="AS156" s="490"/>
      <c r="AT156" s="490"/>
      <c r="AU156" s="490"/>
      <c r="AV156" s="490"/>
      <c r="AW156" s="490"/>
      <c r="AX156" s="490"/>
      <c r="AY156" s="490"/>
      <c r="AZ156" s="491"/>
      <c r="BA156" s="491"/>
      <c r="BB156" s="491"/>
    </row>
    <row r="157" spans="1:54" hidden="1" outlineLevel="2" x14ac:dyDescent="0.2">
      <c r="A157" s="243"/>
      <c r="B157" s="672"/>
      <c r="C157" s="242" t="str">
        <f>C149</f>
        <v/>
      </c>
      <c r="D157" s="243"/>
      <c r="E157" s="62" t="s">
        <v>1310</v>
      </c>
      <c r="F157" s="63">
        <f t="shared" ref="F157:K157" si="107">IF(INDEX(MBSIncRate,$C145,2)=2,IFERROR(INDEX(RPBSScriptsNew,$C157,F154),0),IFERROR(INDEX(MBSRPBSInc,$C145,INDEX(MBSIncRate,$C145,3)*7+F154),0) * IFERROR(INDEX(MBSIncPopSplit,$C145),0)) * INDEX(MBSIncRate,$C145,1) * INDEX(MBSIncRate,$C145,4)</f>
        <v>0</v>
      </c>
      <c r="G157" s="63">
        <f t="shared" si="107"/>
        <v>0</v>
      </c>
      <c r="H157" s="63">
        <f t="shared" si="107"/>
        <v>0</v>
      </c>
      <c r="I157" s="63">
        <f t="shared" si="107"/>
        <v>0</v>
      </c>
      <c r="J157" s="63">
        <f t="shared" si="107"/>
        <v>0</v>
      </c>
      <c r="K157" s="63">
        <f t="shared" si="107"/>
        <v>0</v>
      </c>
      <c r="L157" s="490"/>
      <c r="M157" s="243"/>
      <c r="N157" s="753"/>
      <c r="O157" s="678"/>
      <c r="P157" s="678"/>
      <c r="Q157" s="673"/>
      <c r="R157" s="673"/>
      <c r="S157" s="673"/>
      <c r="T157" s="673"/>
      <c r="U157" s="673"/>
      <c r="V157" s="673"/>
      <c r="W157" s="490"/>
      <c r="X157" s="676"/>
      <c r="Y157" s="676"/>
      <c r="Z157" s="676"/>
      <c r="AA157" s="676"/>
      <c r="AB157" s="676"/>
      <c r="AC157" s="490"/>
      <c r="AD157" s="490"/>
      <c r="AE157" s="490"/>
      <c r="AF157" s="490"/>
      <c r="AG157" s="490"/>
      <c r="AH157" s="490"/>
      <c r="AI157" s="490"/>
      <c r="AJ157" s="490"/>
      <c r="AK157" s="490"/>
      <c r="AL157" s="490"/>
      <c r="AM157" s="490"/>
      <c r="AN157" s="490"/>
      <c r="AO157" s="490"/>
      <c r="AP157" s="490"/>
      <c r="AQ157" s="490"/>
      <c r="AR157" s="490"/>
      <c r="AS157" s="490"/>
      <c r="AT157" s="490"/>
      <c r="AU157" s="490"/>
      <c r="AV157" s="490"/>
      <c r="AW157" s="490"/>
      <c r="AX157" s="490"/>
      <c r="AY157" s="490"/>
      <c r="AZ157" s="491"/>
      <c r="BA157" s="491"/>
      <c r="BB157" s="491"/>
    </row>
    <row r="158" spans="1:54" hidden="1" outlineLevel="2" x14ac:dyDescent="0.2">
      <c r="A158" s="243"/>
      <c r="B158" s="242">
        <v>5</v>
      </c>
      <c r="C158" s="242">
        <v>6</v>
      </c>
      <c r="D158" s="243"/>
      <c r="E158" s="496" t="s">
        <v>1307</v>
      </c>
      <c r="F158" s="63" t="str">
        <f t="shared" ref="F158:K158" si="108">IFERROR(F157*INDEX(MBSIncItems,$C145,$B158)*INDEX(MBSIncItems,$C145,$C158),"")</f>
        <v/>
      </c>
      <c r="G158" s="63" t="str">
        <f t="shared" si="108"/>
        <v/>
      </c>
      <c r="H158" s="63" t="str">
        <f t="shared" si="108"/>
        <v/>
      </c>
      <c r="I158" s="63" t="str">
        <f t="shared" si="108"/>
        <v/>
      </c>
      <c r="J158" s="63" t="str">
        <f t="shared" si="108"/>
        <v/>
      </c>
      <c r="K158" s="63" t="str">
        <f t="shared" si="108"/>
        <v/>
      </c>
      <c r="L158" s="490"/>
      <c r="M158" s="683"/>
      <c r="N158" s="753"/>
      <c r="O158" s="678"/>
      <c r="P158" s="678"/>
      <c r="Q158" s="673"/>
      <c r="R158" s="673"/>
      <c r="S158" s="673"/>
      <c r="T158" s="673"/>
      <c r="U158" s="673"/>
      <c r="V158" s="673"/>
      <c r="W158" s="490"/>
      <c r="X158" s="676"/>
      <c r="Y158" s="676"/>
      <c r="Z158" s="676"/>
      <c r="AA158" s="676"/>
      <c r="AB158" s="676"/>
      <c r="AC158" s="490"/>
      <c r="AD158" s="490"/>
      <c r="AE158" s="490"/>
      <c r="AF158" s="490"/>
      <c r="AG158" s="490"/>
      <c r="AH158" s="490"/>
      <c r="AI158" s="490"/>
      <c r="AJ158" s="490"/>
      <c r="AK158" s="490"/>
      <c r="AL158" s="490"/>
      <c r="AM158" s="490"/>
      <c r="AN158" s="490"/>
      <c r="AO158" s="490"/>
      <c r="AP158" s="490"/>
      <c r="AQ158" s="490"/>
      <c r="AR158" s="490"/>
      <c r="AS158" s="490"/>
      <c r="AT158" s="490"/>
      <c r="AU158" s="490"/>
      <c r="AV158" s="490"/>
      <c r="AW158" s="490"/>
      <c r="AX158" s="490"/>
      <c r="AY158" s="490"/>
      <c r="AZ158" s="491"/>
      <c r="BA158" s="491"/>
      <c r="BB158" s="491"/>
    </row>
    <row r="159" spans="1:54" hidden="1" outlineLevel="2" x14ac:dyDescent="0.2">
      <c r="A159" s="243"/>
      <c r="B159" s="242">
        <v>4</v>
      </c>
      <c r="C159" s="242">
        <v>6</v>
      </c>
      <c r="D159" s="243"/>
      <c r="E159" s="496" t="s">
        <v>1306</v>
      </c>
      <c r="F159" s="63" t="str">
        <f t="shared" ref="F159:K159" si="109">IFERROR(F157*INDEX(MBSIncItems,$C145,$B159)*INDEX(MBSIncItems,$C145,$C159),"")</f>
        <v/>
      </c>
      <c r="G159" s="63" t="str">
        <f t="shared" si="109"/>
        <v/>
      </c>
      <c r="H159" s="63" t="str">
        <f t="shared" si="109"/>
        <v/>
      </c>
      <c r="I159" s="63" t="str">
        <f t="shared" si="109"/>
        <v/>
      </c>
      <c r="J159" s="63" t="str">
        <f t="shared" si="109"/>
        <v/>
      </c>
      <c r="K159" s="63" t="str">
        <f t="shared" si="109"/>
        <v/>
      </c>
      <c r="L159" s="490"/>
      <c r="M159" s="684"/>
      <c r="N159" s="682"/>
      <c r="O159" s="678"/>
      <c r="P159" s="678"/>
      <c r="Q159" s="673"/>
      <c r="R159" s="673"/>
      <c r="S159" s="673"/>
      <c r="T159" s="673"/>
      <c r="U159" s="673"/>
      <c r="V159" s="673"/>
      <c r="W159" s="490"/>
      <c r="X159" s="676"/>
      <c r="Y159" s="676"/>
      <c r="Z159" s="676"/>
      <c r="AA159" s="676"/>
      <c r="AB159" s="676"/>
      <c r="AC159" s="490"/>
      <c r="AD159" s="490"/>
      <c r="AE159" s="490"/>
      <c r="AF159" s="490"/>
      <c r="AG159" s="490"/>
      <c r="AH159" s="490"/>
      <c r="AI159" s="490"/>
      <c r="AJ159" s="490"/>
      <c r="AK159" s="490"/>
      <c r="AL159" s="490"/>
      <c r="AM159" s="490"/>
      <c r="AN159" s="490"/>
      <c r="AO159" s="490"/>
      <c r="AP159" s="490"/>
      <c r="AQ159" s="490"/>
      <c r="AR159" s="490"/>
      <c r="AS159" s="490"/>
      <c r="AT159" s="490"/>
      <c r="AU159" s="490"/>
      <c r="AV159" s="490"/>
      <c r="AW159" s="490"/>
      <c r="AX159" s="490"/>
      <c r="AY159" s="490"/>
      <c r="AZ159" s="491"/>
      <c r="BA159" s="491"/>
      <c r="BB159" s="491"/>
    </row>
    <row r="160" spans="1:54" hidden="1" outlineLevel="2" x14ac:dyDescent="0.2">
      <c r="A160" s="243"/>
      <c r="B160" s="242"/>
      <c r="C160" s="242">
        <v>7</v>
      </c>
      <c r="D160" s="243"/>
      <c r="E160" s="497" t="s">
        <v>1308</v>
      </c>
      <c r="F160" s="63" t="str">
        <f t="shared" ref="F160:K160" si="110">IFERROR(F157*INDEX(MBSIncItems,$C145,$C160),"")</f>
        <v/>
      </c>
      <c r="G160" s="63" t="str">
        <f t="shared" si="110"/>
        <v/>
      </c>
      <c r="H160" s="63" t="str">
        <f t="shared" si="110"/>
        <v/>
      </c>
      <c r="I160" s="63" t="str">
        <f t="shared" si="110"/>
        <v/>
      </c>
      <c r="J160" s="63" t="str">
        <f t="shared" si="110"/>
        <v/>
      </c>
      <c r="K160" s="63" t="str">
        <f t="shared" si="110"/>
        <v/>
      </c>
      <c r="L160" s="490"/>
      <c r="M160" s="684"/>
      <c r="N160" s="682"/>
      <c r="O160" s="678"/>
      <c r="P160" s="678"/>
      <c r="Q160" s="673"/>
      <c r="R160" s="673"/>
      <c r="S160" s="673"/>
      <c r="T160" s="673"/>
      <c r="U160" s="673"/>
      <c r="V160" s="673"/>
      <c r="W160" s="490"/>
      <c r="X160" s="676"/>
      <c r="Y160" s="676"/>
      <c r="Z160" s="676"/>
      <c r="AA160" s="676"/>
      <c r="AB160" s="676"/>
      <c r="AC160" s="490"/>
      <c r="AD160" s="490"/>
      <c r="AE160" s="490"/>
      <c r="AF160" s="490"/>
      <c r="AG160" s="490"/>
      <c r="AH160" s="490"/>
      <c r="AI160" s="490"/>
      <c r="AJ160" s="490"/>
      <c r="AK160" s="490"/>
      <c r="AL160" s="490"/>
      <c r="AM160" s="490"/>
      <c r="AN160" s="490"/>
      <c r="AO160" s="490"/>
      <c r="AP160" s="490"/>
      <c r="AQ160" s="490"/>
      <c r="AR160" s="490"/>
      <c r="AS160" s="490"/>
      <c r="AT160" s="490"/>
      <c r="AU160" s="490"/>
      <c r="AV160" s="490"/>
      <c r="AW160" s="490"/>
      <c r="AX160" s="490"/>
      <c r="AY160" s="490"/>
      <c r="AZ160" s="491"/>
      <c r="BA160" s="491"/>
      <c r="BB160" s="491"/>
    </row>
    <row r="161" spans="1:54" hidden="1" outlineLevel="1" x14ac:dyDescent="0.2">
      <c r="A161" s="243"/>
      <c r="B161" s="243"/>
      <c r="C161" s="243"/>
      <c r="D161" s="677"/>
      <c r="E161" s="677"/>
      <c r="F161" s="243"/>
      <c r="G161" s="243"/>
      <c r="H161" s="243"/>
      <c r="I161" s="243"/>
      <c r="J161" s="243"/>
      <c r="K161" s="243"/>
      <c r="L161" s="243"/>
      <c r="M161" s="243"/>
      <c r="N161" s="678"/>
      <c r="O161" s="678"/>
      <c r="P161" s="678"/>
      <c r="Q161" s="673"/>
      <c r="R161" s="673"/>
      <c r="S161" s="673"/>
      <c r="T161" s="673"/>
      <c r="U161" s="673"/>
      <c r="V161" s="673"/>
      <c r="W161" s="490"/>
      <c r="X161" s="676"/>
      <c r="Y161" s="676"/>
      <c r="Z161" s="676"/>
      <c r="AA161" s="676"/>
      <c r="AB161" s="676"/>
      <c r="AC161" s="490"/>
      <c r="AD161" s="490"/>
      <c r="AE161" s="490"/>
      <c r="AF161" s="490"/>
      <c r="AG161" s="490"/>
      <c r="AH161" s="490"/>
      <c r="AI161" s="490"/>
      <c r="AJ161" s="490"/>
      <c r="AK161" s="490"/>
      <c r="AL161" s="490"/>
      <c r="AM161" s="490"/>
      <c r="AN161" s="490"/>
      <c r="AO161" s="490"/>
      <c r="AP161" s="490"/>
      <c r="AQ161" s="490"/>
      <c r="AR161" s="490"/>
      <c r="AS161" s="490"/>
      <c r="AT161" s="490"/>
      <c r="AU161" s="490"/>
      <c r="AV161" s="490"/>
      <c r="AW161" s="490"/>
      <c r="AX161" s="490"/>
      <c r="AY161" s="490"/>
      <c r="AZ161" s="491"/>
      <c r="BA161" s="491"/>
      <c r="BB161" s="491"/>
    </row>
    <row r="162" spans="1:54" ht="15.75" hidden="1" outlineLevel="1" collapsed="1" x14ac:dyDescent="0.2">
      <c r="A162" s="243"/>
      <c r="B162" s="243"/>
      <c r="C162" s="242">
        <v>4</v>
      </c>
      <c r="D162" s="79" t="str">
        <f>INDEX(MBSIncNames,C162)</f>
        <v>** NOT USED **</v>
      </c>
      <c r="E162" s="79"/>
      <c r="F162" s="115"/>
      <c r="G162" s="115"/>
      <c r="H162" s="115"/>
      <c r="I162" s="115"/>
      <c r="J162" s="821" t="str">
        <f>IF(D162&lt;&gt;MsgNotUsed,"Co-payment group " &amp; K66,"")</f>
        <v/>
      </c>
      <c r="K162" s="821"/>
      <c r="L162" s="115"/>
      <c r="M162" s="115"/>
      <c r="N162" s="115"/>
      <c r="O162" s="115"/>
      <c r="P162" s="115"/>
      <c r="Q162" s="115"/>
      <c r="R162" s="115"/>
      <c r="S162" s="115"/>
      <c r="T162" s="115"/>
      <c r="U162" s="115"/>
      <c r="V162" s="115"/>
      <c r="W162" s="491"/>
      <c r="X162" s="490"/>
      <c r="Y162" s="490"/>
      <c r="Z162" s="490"/>
      <c r="AA162" s="490"/>
      <c r="AB162" s="676"/>
      <c r="AC162" s="490"/>
      <c r="AD162" s="490"/>
      <c r="AE162" s="490"/>
      <c r="AF162" s="490"/>
      <c r="AG162" s="490"/>
      <c r="AH162" s="490"/>
      <c r="AI162" s="490"/>
      <c r="AJ162" s="490"/>
      <c r="AK162" s="490"/>
      <c r="AL162" s="490"/>
      <c r="AM162" s="490"/>
      <c r="AN162" s="490"/>
      <c r="AO162" s="490"/>
      <c r="AP162" s="490"/>
      <c r="AQ162" s="490"/>
      <c r="AR162" s="490"/>
      <c r="AS162" s="490"/>
      <c r="AT162" s="490"/>
      <c r="AU162" s="490"/>
      <c r="AV162" s="490"/>
      <c r="AW162" s="490"/>
      <c r="AX162" s="490"/>
      <c r="AY162" s="490"/>
      <c r="AZ162" s="491"/>
      <c r="BA162" s="491"/>
      <c r="BB162" s="491"/>
    </row>
    <row r="163" spans="1:54" hidden="1" outlineLevel="2" x14ac:dyDescent="0.2">
      <c r="A163" s="243"/>
      <c r="B163" s="243"/>
      <c r="C163" s="243"/>
      <c r="D163" s="243"/>
      <c r="E163" s="243"/>
      <c r="F163" s="495">
        <v>2</v>
      </c>
      <c r="G163" s="495">
        <v>3</v>
      </c>
      <c r="H163" s="495">
        <v>4</v>
      </c>
      <c r="I163" s="495">
        <v>5</v>
      </c>
      <c r="J163" s="495">
        <v>6</v>
      </c>
      <c r="K163" s="495">
        <v>7</v>
      </c>
      <c r="L163" s="495"/>
      <c r="M163" s="243"/>
      <c r="N163" s="243"/>
      <c r="O163" s="243"/>
      <c r="P163" s="243"/>
      <c r="Q163" s="243"/>
      <c r="R163" s="243"/>
      <c r="S163" s="243"/>
      <c r="T163" s="243"/>
      <c r="U163" s="243"/>
      <c r="V163" s="243"/>
      <c r="W163" s="490"/>
      <c r="X163" s="490"/>
      <c r="Y163" s="490"/>
      <c r="Z163" s="490"/>
      <c r="AA163" s="490"/>
      <c r="AB163" s="676"/>
      <c r="AC163" s="490"/>
      <c r="AD163" s="490"/>
      <c r="AE163" s="490"/>
      <c r="AF163" s="490"/>
      <c r="AG163" s="490"/>
      <c r="AH163" s="490"/>
      <c r="AI163" s="490"/>
      <c r="AJ163" s="490"/>
      <c r="AK163" s="490"/>
      <c r="AL163" s="490"/>
      <c r="AM163" s="490"/>
      <c r="AN163" s="490"/>
      <c r="AO163" s="490"/>
      <c r="AP163" s="490"/>
      <c r="AQ163" s="490"/>
      <c r="AR163" s="490"/>
      <c r="AS163" s="490"/>
      <c r="AT163" s="490"/>
      <c r="AU163" s="490"/>
      <c r="AV163" s="490"/>
      <c r="AW163" s="490"/>
      <c r="AX163" s="490"/>
      <c r="AY163" s="490"/>
      <c r="AZ163" s="491"/>
      <c r="BA163" s="491"/>
      <c r="BB163" s="491"/>
    </row>
    <row r="164" spans="1:54" ht="15" hidden="1" outlineLevel="2" x14ac:dyDescent="0.2">
      <c r="A164" s="243"/>
      <c r="B164" s="243"/>
      <c r="C164" s="243"/>
      <c r="D164" s="663" t="s">
        <v>0</v>
      </c>
      <c r="E164" s="663"/>
      <c r="F164" s="630">
        <f>FirstYear</f>
        <v>2021</v>
      </c>
      <c r="G164" s="630">
        <f>F164+1</f>
        <v>2022</v>
      </c>
      <c r="H164" s="630">
        <f>G164+1</f>
        <v>2023</v>
      </c>
      <c r="I164" s="630">
        <f>H164+1</f>
        <v>2024</v>
      </c>
      <c r="J164" s="630">
        <f>I164+1</f>
        <v>2025</v>
      </c>
      <c r="K164" s="630">
        <f>J164+1</f>
        <v>2026</v>
      </c>
      <c r="L164" s="491"/>
      <c r="M164" s="113"/>
      <c r="N164" s="679"/>
      <c r="O164" s="679"/>
      <c r="P164" s="679"/>
      <c r="Q164" s="674"/>
      <c r="R164" s="674"/>
      <c r="S164" s="674"/>
      <c r="T164" s="674"/>
      <c r="U164" s="674"/>
      <c r="V164" s="674"/>
      <c r="W164" s="491"/>
      <c r="X164" s="674"/>
      <c r="Y164" s="674"/>
      <c r="Z164" s="674"/>
      <c r="AA164" s="674"/>
      <c r="AB164" s="676"/>
      <c r="AC164" s="490"/>
      <c r="AD164" s="490"/>
      <c r="AE164" s="490"/>
      <c r="AF164" s="490"/>
      <c r="AG164" s="490"/>
      <c r="AH164" s="490"/>
      <c r="AI164" s="490"/>
      <c r="AJ164" s="490"/>
      <c r="AK164" s="490"/>
      <c r="AL164" s="490"/>
      <c r="AM164" s="490"/>
      <c r="AN164" s="490"/>
      <c r="AO164" s="490"/>
      <c r="AP164" s="490"/>
      <c r="AQ164" s="490"/>
      <c r="AR164" s="490"/>
      <c r="AS164" s="490"/>
      <c r="AT164" s="490"/>
      <c r="AU164" s="490"/>
      <c r="AV164" s="490"/>
      <c r="AW164" s="490"/>
      <c r="AX164" s="490"/>
      <c r="AY164" s="490"/>
      <c r="AZ164" s="491"/>
      <c r="BA164" s="491"/>
      <c r="BB164" s="491"/>
    </row>
    <row r="165" spans="1:54" hidden="1" outlineLevel="2" x14ac:dyDescent="0.2">
      <c r="A165" s="243"/>
      <c r="B165" s="243"/>
      <c r="C165" s="243"/>
      <c r="D165" s="243"/>
      <c r="E165" s="433" t="s">
        <v>951</v>
      </c>
      <c r="F165" s="283">
        <f t="shared" ref="F165:K165" si="111">F166*INDEX(MBSIncCalc,$C162,3)</f>
        <v>0</v>
      </c>
      <c r="G165" s="283">
        <f t="shared" si="111"/>
        <v>0</v>
      </c>
      <c r="H165" s="283">
        <f t="shared" si="111"/>
        <v>0</v>
      </c>
      <c r="I165" s="283">
        <f t="shared" si="111"/>
        <v>0</v>
      </c>
      <c r="J165" s="283">
        <f t="shared" si="111"/>
        <v>0</v>
      </c>
      <c r="K165" s="283">
        <f t="shared" si="111"/>
        <v>0</v>
      </c>
      <c r="L165" s="490"/>
      <c r="M165" s="680"/>
      <c r="N165" s="664"/>
      <c r="O165" s="664"/>
      <c r="P165" s="664"/>
      <c r="Q165" s="681"/>
      <c r="R165" s="681"/>
      <c r="S165" s="681"/>
      <c r="T165" s="681"/>
      <c r="U165" s="681"/>
      <c r="V165" s="681"/>
      <c r="W165" s="493"/>
      <c r="X165" s="561">
        <f>INDEX(MBSIncItems,C162,1)</f>
        <v>0</v>
      </c>
      <c r="Y165" s="561">
        <f>FirstYear</f>
        <v>2021</v>
      </c>
      <c r="Z165" s="560">
        <f>IF(F166&lt;&gt;0,F166-F168,0)</f>
        <v>0</v>
      </c>
      <c r="AA165" s="560">
        <f>IF(F174&lt;&gt;0,F174-F176,0)</f>
        <v>0</v>
      </c>
      <c r="AB165" s="674"/>
      <c r="AC165" s="490"/>
      <c r="AD165" s="490"/>
      <c r="AE165" s="490"/>
      <c r="AF165" s="490"/>
      <c r="AG165" s="490"/>
      <c r="AH165" s="490"/>
      <c r="AI165" s="490"/>
      <c r="AJ165" s="490"/>
      <c r="AK165" s="490"/>
      <c r="AL165" s="490"/>
      <c r="AM165" s="490"/>
      <c r="AN165" s="490"/>
      <c r="AO165" s="490"/>
      <c r="AP165" s="490"/>
      <c r="AQ165" s="490"/>
      <c r="AR165" s="490"/>
      <c r="AS165" s="490"/>
      <c r="AT165" s="490"/>
      <c r="AU165" s="490"/>
      <c r="AV165" s="490"/>
      <c r="AW165" s="490"/>
      <c r="AX165" s="490"/>
      <c r="AY165" s="490"/>
      <c r="AZ165" s="491"/>
      <c r="BA165" s="491"/>
      <c r="BB165" s="491"/>
    </row>
    <row r="166" spans="1:54" hidden="1" outlineLevel="2" x14ac:dyDescent="0.2">
      <c r="A166" s="243"/>
      <c r="B166" s="672"/>
      <c r="C166" s="242" t="str">
        <f>INDEX(MBSIncCalc,C162,2)</f>
        <v/>
      </c>
      <c r="D166" s="243"/>
      <c r="E166" s="62" t="s">
        <v>1310</v>
      </c>
      <c r="F166" s="63">
        <f t="shared" ref="F166:K166" si="112">IF(INDEX(MBSIncRate,$C162,2)=2,IFERROR(INDEX(PBSScriptsNew,$C166,F163),0),IFERROR(INDEX(MBSPBSInc,$C162,INDEX(MBSIncRate,$C162,3)*7+F163),0) * IFERROR(INDEX(MBSIncPopSplit,$C162),0)) * INDEX(MBSIncRate,$C162,1) * INDEX(MBSIncRate,$C162,4)</f>
        <v>0</v>
      </c>
      <c r="G166" s="63">
        <f t="shared" si="112"/>
        <v>0</v>
      </c>
      <c r="H166" s="63">
        <f t="shared" si="112"/>
        <v>0</v>
      </c>
      <c r="I166" s="63">
        <f t="shared" si="112"/>
        <v>0</v>
      </c>
      <c r="J166" s="63">
        <f t="shared" si="112"/>
        <v>0</v>
      </c>
      <c r="K166" s="63">
        <f t="shared" si="112"/>
        <v>0</v>
      </c>
      <c r="L166" s="490"/>
      <c r="M166" s="493"/>
      <c r="N166" s="493"/>
      <c r="O166" s="664"/>
      <c r="P166" s="664"/>
      <c r="Q166" s="681"/>
      <c r="R166" s="681"/>
      <c r="S166" s="681"/>
      <c r="T166" s="681"/>
      <c r="U166" s="681"/>
      <c r="V166" s="681"/>
      <c r="W166" s="493"/>
      <c r="X166" s="561">
        <f>X165</f>
        <v>0</v>
      </c>
      <c r="Y166" s="561">
        <f>Y165+1</f>
        <v>2022</v>
      </c>
      <c r="Z166" s="560">
        <f>IF(G166&lt;&gt;0,G166-G168,0)</f>
        <v>0</v>
      </c>
      <c r="AA166" s="560">
        <f>IF(G174&lt;&gt;0,G174-G176,0)</f>
        <v>0</v>
      </c>
      <c r="AB166" s="674"/>
      <c r="AC166" s="490"/>
      <c r="AD166" s="490"/>
      <c r="AE166" s="490"/>
      <c r="AF166" s="490"/>
      <c r="AG166" s="490"/>
      <c r="AH166" s="490"/>
      <c r="AI166" s="490"/>
      <c r="AJ166" s="490"/>
      <c r="AK166" s="490"/>
      <c r="AL166" s="490"/>
      <c r="AM166" s="490"/>
      <c r="AN166" s="490"/>
      <c r="AO166" s="490"/>
      <c r="AP166" s="490"/>
      <c r="AQ166" s="490"/>
      <c r="AR166" s="490"/>
      <c r="AS166" s="490"/>
      <c r="AT166" s="490"/>
      <c r="AU166" s="490"/>
      <c r="AV166" s="490"/>
      <c r="AW166" s="490"/>
      <c r="AX166" s="490"/>
      <c r="AY166" s="490"/>
      <c r="AZ166" s="491"/>
      <c r="BA166" s="491"/>
      <c r="BB166" s="491"/>
    </row>
    <row r="167" spans="1:54" hidden="1" outlineLevel="2" x14ac:dyDescent="0.2">
      <c r="A167" s="243"/>
      <c r="B167" s="242">
        <v>5</v>
      </c>
      <c r="C167" s="242">
        <v>6</v>
      </c>
      <c r="D167" s="243"/>
      <c r="E167" s="496" t="s">
        <v>1307</v>
      </c>
      <c r="F167" s="63" t="str">
        <f t="shared" ref="F167:K167" si="113">IFERROR(F166*INDEX(MBSIncItems,$C162,$B167)*INDEX(MBSIncItems,$C162,$C167),"")</f>
        <v/>
      </c>
      <c r="G167" s="63" t="str">
        <f t="shared" si="113"/>
        <v/>
      </c>
      <c r="H167" s="63" t="str">
        <f t="shared" si="113"/>
        <v/>
      </c>
      <c r="I167" s="63" t="str">
        <f t="shared" si="113"/>
        <v/>
      </c>
      <c r="J167" s="63" t="str">
        <f t="shared" si="113"/>
        <v/>
      </c>
      <c r="K167" s="63" t="str">
        <f t="shared" si="113"/>
        <v/>
      </c>
      <c r="L167" s="490"/>
      <c r="M167" s="493"/>
      <c r="N167" s="493"/>
      <c r="O167" s="682"/>
      <c r="P167" s="754"/>
      <c r="Q167" s="681"/>
      <c r="R167" s="681"/>
      <c r="S167" s="681"/>
      <c r="T167" s="681"/>
      <c r="U167" s="681"/>
      <c r="V167" s="681"/>
      <c r="W167" s="493"/>
      <c r="X167" s="561">
        <f t="shared" ref="X167:X170" si="114">X166</f>
        <v>0</v>
      </c>
      <c r="Y167" s="561">
        <f>Y166+1</f>
        <v>2023</v>
      </c>
      <c r="Z167" s="560">
        <f>IF(H166&lt;&gt;0,H166-H168,0)</f>
        <v>0</v>
      </c>
      <c r="AA167" s="560">
        <f>IF(H174&lt;&gt;0,H174-H176,0)</f>
        <v>0</v>
      </c>
      <c r="AB167" s="675"/>
      <c r="AC167" s="490"/>
      <c r="AD167" s="490"/>
      <c r="AE167" s="490"/>
      <c r="AF167" s="490"/>
      <c r="AG167" s="490"/>
      <c r="AH167" s="490"/>
      <c r="AI167" s="490"/>
      <c r="AJ167" s="490"/>
      <c r="AK167" s="490"/>
      <c r="AL167" s="490"/>
      <c r="AM167" s="490"/>
      <c r="AN167" s="490"/>
      <c r="AO167" s="490"/>
      <c r="AP167" s="490"/>
      <c r="AQ167" s="490"/>
      <c r="AR167" s="490"/>
      <c r="AS167" s="490"/>
      <c r="AT167" s="490"/>
      <c r="AU167" s="490"/>
      <c r="AV167" s="490"/>
      <c r="AW167" s="490"/>
      <c r="AX167" s="490"/>
      <c r="AY167" s="490"/>
      <c r="AZ167" s="491"/>
      <c r="BA167" s="491"/>
      <c r="BB167" s="491"/>
    </row>
    <row r="168" spans="1:54" hidden="1" outlineLevel="2" x14ac:dyDescent="0.2">
      <c r="A168" s="416"/>
      <c r="B168" s="242">
        <v>4</v>
      </c>
      <c r="C168" s="242">
        <v>6</v>
      </c>
      <c r="D168" s="243"/>
      <c r="E168" s="496" t="s">
        <v>1306</v>
      </c>
      <c r="F168" s="63" t="str">
        <f t="shared" ref="F168:K168" si="115">IFERROR(F166*INDEX(MBSIncItems,$C162,$B168)*INDEX(MBSIncItems,$C162,$C168),"")</f>
        <v/>
      </c>
      <c r="G168" s="63" t="str">
        <f t="shared" si="115"/>
        <v/>
      </c>
      <c r="H168" s="63" t="str">
        <f t="shared" si="115"/>
        <v/>
      </c>
      <c r="I168" s="63" t="str">
        <f t="shared" si="115"/>
        <v/>
      </c>
      <c r="J168" s="63" t="str">
        <f t="shared" si="115"/>
        <v/>
      </c>
      <c r="K168" s="63" t="str">
        <f t="shared" si="115"/>
        <v/>
      </c>
      <c r="L168" s="416"/>
      <c r="M168" s="416"/>
      <c r="N168" s="416"/>
      <c r="O168" s="416"/>
      <c r="P168" s="416"/>
      <c r="Q168" s="416"/>
      <c r="R168" s="416"/>
      <c r="S168" s="416"/>
      <c r="T168" s="416"/>
      <c r="U168" s="416"/>
      <c r="V168" s="416"/>
      <c r="W168" s="493"/>
      <c r="X168" s="561">
        <f t="shared" si="114"/>
        <v>0</v>
      </c>
      <c r="Y168" s="561">
        <f>Y167+1</f>
        <v>2024</v>
      </c>
      <c r="Z168" s="560">
        <f>IF(I166&lt;&gt;0,I166-I168,0)</f>
        <v>0</v>
      </c>
      <c r="AA168" s="560">
        <f>IF(I174&lt;&gt;0,I174-I176,0)</f>
        <v>0</v>
      </c>
      <c r="AB168" s="675"/>
      <c r="AC168" s="490"/>
      <c r="AD168" s="490"/>
      <c r="AE168" s="490"/>
      <c r="AF168" s="490"/>
      <c r="AG168" s="490"/>
      <c r="AH168" s="490"/>
      <c r="AI168" s="490"/>
      <c r="AJ168" s="490"/>
      <c r="AK168" s="490"/>
      <c r="AL168" s="490"/>
      <c r="AM168" s="490"/>
      <c r="AN168" s="490"/>
      <c r="AO168" s="490"/>
      <c r="AP168" s="490"/>
      <c r="AQ168" s="490"/>
      <c r="AR168" s="490"/>
      <c r="AS168" s="490"/>
      <c r="AT168" s="490"/>
      <c r="AU168" s="490"/>
      <c r="AV168" s="490"/>
      <c r="AW168" s="490"/>
      <c r="AX168" s="490"/>
      <c r="AY168" s="490"/>
      <c r="AZ168" s="491"/>
      <c r="BA168" s="491"/>
      <c r="BB168" s="491"/>
    </row>
    <row r="169" spans="1:54" hidden="1" outlineLevel="2" x14ac:dyDescent="0.2">
      <c r="A169" s="243"/>
      <c r="B169" s="242"/>
      <c r="C169" s="242">
        <v>7</v>
      </c>
      <c r="D169" s="243"/>
      <c r="E169" s="497" t="s">
        <v>1308</v>
      </c>
      <c r="F169" s="63" t="str">
        <f t="shared" ref="F169:K169" si="116">IFERROR(F166*INDEX(MBSIncItems,$C162,$C169),"")</f>
        <v/>
      </c>
      <c r="G169" s="63" t="str">
        <f t="shared" si="116"/>
        <v/>
      </c>
      <c r="H169" s="63" t="str">
        <f t="shared" si="116"/>
        <v/>
      </c>
      <c r="I169" s="63" t="str">
        <f t="shared" si="116"/>
        <v/>
      </c>
      <c r="J169" s="63" t="str">
        <f t="shared" si="116"/>
        <v/>
      </c>
      <c r="K169" s="63" t="str">
        <f t="shared" si="116"/>
        <v/>
      </c>
      <c r="L169" s="490"/>
      <c r="M169" s="493"/>
      <c r="N169" s="493"/>
      <c r="O169" s="682"/>
      <c r="P169" s="754"/>
      <c r="Q169" s="681"/>
      <c r="R169" s="681"/>
      <c r="S169" s="681"/>
      <c r="T169" s="681"/>
      <c r="U169" s="681"/>
      <c r="V169" s="681"/>
      <c r="W169" s="493"/>
      <c r="X169" s="561">
        <f t="shared" si="114"/>
        <v>0</v>
      </c>
      <c r="Y169" s="561">
        <f>Y168+1</f>
        <v>2025</v>
      </c>
      <c r="Z169" s="560">
        <f>IF(J166&lt;&gt;0,J166-J168,0)</f>
        <v>0</v>
      </c>
      <c r="AA169" s="560">
        <f>IF(J174&lt;&gt;0,J174-J176,0)</f>
        <v>0</v>
      </c>
      <c r="AB169" s="675"/>
      <c r="AC169" s="490"/>
      <c r="AD169" s="490"/>
      <c r="AE169" s="490"/>
      <c r="AF169" s="490"/>
      <c r="AG169" s="490"/>
      <c r="AH169" s="490"/>
      <c r="AI169" s="490"/>
      <c r="AJ169" s="490"/>
      <c r="AK169" s="490"/>
      <c r="AL169" s="490"/>
      <c r="AM169" s="490"/>
      <c r="AN169" s="490"/>
      <c r="AO169" s="490"/>
      <c r="AP169" s="490"/>
      <c r="AQ169" s="490"/>
      <c r="AR169" s="490"/>
      <c r="AS169" s="490"/>
      <c r="AT169" s="490"/>
      <c r="AU169" s="490"/>
      <c r="AV169" s="490"/>
      <c r="AW169" s="490"/>
      <c r="AX169" s="490"/>
      <c r="AY169" s="490"/>
      <c r="AZ169" s="491"/>
      <c r="BA169" s="491"/>
      <c r="BB169" s="491"/>
    </row>
    <row r="170" spans="1:54" hidden="1" outlineLevel="2" x14ac:dyDescent="0.2">
      <c r="A170" s="243"/>
      <c r="B170" s="493"/>
      <c r="C170" s="493"/>
      <c r="D170" s="493"/>
      <c r="E170" s="493"/>
      <c r="F170" s="493"/>
      <c r="G170" s="493"/>
      <c r="H170" s="493"/>
      <c r="I170" s="493"/>
      <c r="J170" s="493"/>
      <c r="K170" s="493"/>
      <c r="L170" s="490"/>
      <c r="M170" s="493"/>
      <c r="N170" s="493"/>
      <c r="O170" s="682"/>
      <c r="P170" s="682"/>
      <c r="Q170" s="681"/>
      <c r="R170" s="681"/>
      <c r="S170" s="681"/>
      <c r="T170" s="681"/>
      <c r="U170" s="681"/>
      <c r="V170" s="681"/>
      <c r="W170" s="493"/>
      <c r="X170" s="561">
        <f t="shared" si="114"/>
        <v>0</v>
      </c>
      <c r="Y170" s="561">
        <f>Y169+1</f>
        <v>2026</v>
      </c>
      <c r="Z170" s="560">
        <f>IF(K166&lt;&gt;0,K166-K168,0)</f>
        <v>0</v>
      </c>
      <c r="AA170" s="560">
        <f>IF(K174&lt;&gt;0,K174-K176,0)</f>
        <v>0</v>
      </c>
      <c r="AB170" s="675"/>
      <c r="AC170" s="490"/>
      <c r="AD170" s="490"/>
      <c r="AE170" s="490"/>
      <c r="AF170" s="490"/>
      <c r="AG170" s="490"/>
      <c r="AH170" s="490"/>
      <c r="AI170" s="490"/>
      <c r="AJ170" s="490"/>
      <c r="AK170" s="490"/>
      <c r="AL170" s="490"/>
      <c r="AM170" s="490"/>
      <c r="AN170" s="490"/>
      <c r="AO170" s="490"/>
      <c r="AP170" s="490"/>
      <c r="AQ170" s="490"/>
      <c r="AR170" s="490"/>
      <c r="AS170" s="490"/>
      <c r="AT170" s="490"/>
      <c r="AU170" s="490"/>
      <c r="AV170" s="490"/>
      <c r="AW170" s="490"/>
      <c r="AX170" s="490"/>
      <c r="AY170" s="490"/>
      <c r="AZ170" s="491"/>
      <c r="BA170" s="491"/>
      <c r="BB170" s="491"/>
    </row>
    <row r="171" spans="1:54" hidden="1" outlineLevel="2" x14ac:dyDescent="0.2">
      <c r="A171" s="243"/>
      <c r="B171" s="243"/>
      <c r="C171" s="243"/>
      <c r="D171" s="677"/>
      <c r="E171" s="677"/>
      <c r="F171" s="495">
        <v>2</v>
      </c>
      <c r="G171" s="495">
        <v>3</v>
      </c>
      <c r="H171" s="495">
        <v>4</v>
      </c>
      <c r="I171" s="495">
        <v>5</v>
      </c>
      <c r="J171" s="495">
        <v>6</v>
      </c>
      <c r="K171" s="495">
        <v>7</v>
      </c>
      <c r="L171" s="490"/>
      <c r="M171" s="243"/>
      <c r="N171" s="678"/>
      <c r="O171" s="678"/>
      <c r="P171" s="678"/>
      <c r="Q171" s="673"/>
      <c r="R171" s="673"/>
      <c r="S171" s="673"/>
      <c r="T171" s="673"/>
      <c r="U171" s="673"/>
      <c r="V171" s="673"/>
      <c r="W171" s="490"/>
      <c r="X171" s="676"/>
      <c r="Y171" s="676"/>
      <c r="Z171" s="676"/>
      <c r="AA171" s="676"/>
      <c r="AB171" s="675"/>
      <c r="AC171" s="490"/>
      <c r="AD171" s="490"/>
      <c r="AE171" s="490"/>
      <c r="AF171" s="490"/>
      <c r="AG171" s="490"/>
      <c r="AH171" s="490"/>
      <c r="AI171" s="490"/>
      <c r="AJ171" s="490"/>
      <c r="AK171" s="490"/>
      <c r="AL171" s="490"/>
      <c r="AM171" s="490"/>
      <c r="AN171" s="490"/>
      <c r="AO171" s="490"/>
      <c r="AP171" s="490"/>
      <c r="AQ171" s="490"/>
      <c r="AR171" s="490"/>
      <c r="AS171" s="490"/>
      <c r="AT171" s="490"/>
      <c r="AU171" s="490"/>
      <c r="AV171" s="490"/>
      <c r="AW171" s="490"/>
      <c r="AX171" s="490"/>
      <c r="AY171" s="490"/>
      <c r="AZ171" s="491"/>
      <c r="BA171" s="491"/>
      <c r="BB171" s="491"/>
    </row>
    <row r="172" spans="1:54" ht="15.75" hidden="1" outlineLevel="2" x14ac:dyDescent="0.2">
      <c r="A172" s="243"/>
      <c r="B172" s="243"/>
      <c r="C172" s="243"/>
      <c r="D172" s="663" t="s">
        <v>1</v>
      </c>
      <c r="E172" s="663"/>
      <c r="F172" s="751">
        <f>FirstYear</f>
        <v>2021</v>
      </c>
      <c r="G172" s="751">
        <f>F172+1</f>
        <v>2022</v>
      </c>
      <c r="H172" s="751">
        <f>G172+1</f>
        <v>2023</v>
      </c>
      <c r="I172" s="751">
        <f>H172+1</f>
        <v>2024</v>
      </c>
      <c r="J172" s="751">
        <f>I172+1</f>
        <v>2025</v>
      </c>
      <c r="K172" s="751">
        <f>J172+1</f>
        <v>2026</v>
      </c>
      <c r="L172" s="491"/>
      <c r="M172" s="243"/>
      <c r="N172" s="685"/>
      <c r="O172" s="685"/>
      <c r="P172" s="685"/>
      <c r="Q172" s="673"/>
      <c r="R172" s="673"/>
      <c r="S172" s="673"/>
      <c r="T172" s="673"/>
      <c r="U172" s="673"/>
      <c r="V172" s="673"/>
      <c r="W172" s="491"/>
      <c r="X172" s="676"/>
      <c r="Y172" s="676"/>
      <c r="Z172" s="676"/>
      <c r="AA172" s="676"/>
      <c r="AB172" s="676"/>
      <c r="AC172" s="490"/>
      <c r="AD172" s="490"/>
      <c r="AE172" s="490"/>
      <c r="AF172" s="490"/>
      <c r="AG172" s="490"/>
      <c r="AH172" s="490"/>
      <c r="AI172" s="490"/>
      <c r="AJ172" s="490"/>
      <c r="AK172" s="490"/>
      <c r="AL172" s="490"/>
      <c r="AM172" s="490"/>
      <c r="AN172" s="490"/>
      <c r="AO172" s="490"/>
      <c r="AP172" s="490"/>
      <c r="AQ172" s="490"/>
      <c r="AR172" s="490"/>
      <c r="AS172" s="490"/>
      <c r="AT172" s="490"/>
      <c r="AU172" s="490"/>
      <c r="AV172" s="490"/>
      <c r="AW172" s="490"/>
      <c r="AX172" s="490"/>
      <c r="AY172" s="490"/>
      <c r="AZ172" s="491"/>
      <c r="BA172" s="491"/>
      <c r="BB172" s="491"/>
    </row>
    <row r="173" spans="1:54" hidden="1" outlineLevel="2" x14ac:dyDescent="0.2">
      <c r="A173" s="243"/>
      <c r="B173" s="243"/>
      <c r="C173" s="243"/>
      <c r="D173" s="243"/>
      <c r="E173" s="433" t="s">
        <v>951</v>
      </c>
      <c r="F173" s="283">
        <f t="shared" ref="F173:K173" si="117">F174*INDEX(MBSIncCalc,$C162,3)</f>
        <v>0</v>
      </c>
      <c r="G173" s="283">
        <f t="shared" si="117"/>
        <v>0</v>
      </c>
      <c r="H173" s="283">
        <f t="shared" si="117"/>
        <v>0</v>
      </c>
      <c r="I173" s="283">
        <f t="shared" si="117"/>
        <v>0</v>
      </c>
      <c r="J173" s="283">
        <f t="shared" si="117"/>
        <v>0</v>
      </c>
      <c r="K173" s="283">
        <f t="shared" si="117"/>
        <v>0</v>
      </c>
      <c r="L173" s="490"/>
      <c r="M173" s="615"/>
      <c r="N173" s="615"/>
      <c r="O173" s="678"/>
      <c r="P173" s="678"/>
      <c r="Q173" s="673"/>
      <c r="R173" s="673"/>
      <c r="S173" s="673"/>
      <c r="T173" s="673"/>
      <c r="U173" s="673"/>
      <c r="V173" s="673"/>
      <c r="W173" s="490"/>
      <c r="X173" s="676"/>
      <c r="Y173" s="676"/>
      <c r="Z173" s="676"/>
      <c r="AA173" s="676"/>
      <c r="AB173" s="676"/>
      <c r="AC173" s="490"/>
      <c r="AD173" s="490"/>
      <c r="AE173" s="490"/>
      <c r="AF173" s="490"/>
      <c r="AG173" s="490"/>
      <c r="AH173" s="490"/>
      <c r="AI173" s="490"/>
      <c r="AJ173" s="490"/>
      <c r="AK173" s="490"/>
      <c r="AL173" s="490"/>
      <c r="AM173" s="490"/>
      <c r="AN173" s="490"/>
      <c r="AO173" s="490"/>
      <c r="AP173" s="490"/>
      <c r="AQ173" s="490"/>
      <c r="AR173" s="490"/>
      <c r="AS173" s="490"/>
      <c r="AT173" s="490"/>
      <c r="AU173" s="490"/>
      <c r="AV173" s="490"/>
      <c r="AW173" s="490"/>
      <c r="AX173" s="490"/>
      <c r="AY173" s="490"/>
      <c r="AZ173" s="491"/>
      <c r="BA173" s="491"/>
      <c r="BB173" s="491"/>
    </row>
    <row r="174" spans="1:54" hidden="1" outlineLevel="2" x14ac:dyDescent="0.2">
      <c r="A174" s="243"/>
      <c r="B174" s="672"/>
      <c r="C174" s="242" t="str">
        <f>C166</f>
        <v/>
      </c>
      <c r="D174" s="243"/>
      <c r="E174" s="62" t="s">
        <v>1310</v>
      </c>
      <c r="F174" s="63">
        <f t="shared" ref="F174:K174" si="118">IF(INDEX(MBSIncRate,$C162,2)=2,IFERROR(INDEX(RPBSScriptsNew,$C174,F171),0),IFERROR(INDEX(MBSRPBSInc,$C162,INDEX(MBSIncRate,$C162,3)*7+F171),0) * IFERROR(INDEX(MBSIncPopSplit,$C162),0)) * INDEX(MBSIncRate,$C162,1) * INDEX(MBSIncRate,$C162,4)</f>
        <v>0</v>
      </c>
      <c r="G174" s="63">
        <f t="shared" si="118"/>
        <v>0</v>
      </c>
      <c r="H174" s="63">
        <f t="shared" si="118"/>
        <v>0</v>
      </c>
      <c r="I174" s="63">
        <f t="shared" si="118"/>
        <v>0</v>
      </c>
      <c r="J174" s="63">
        <f t="shared" si="118"/>
        <v>0</v>
      </c>
      <c r="K174" s="63">
        <f t="shared" si="118"/>
        <v>0</v>
      </c>
      <c r="L174" s="490"/>
      <c r="M174" s="243"/>
      <c r="N174" s="753"/>
      <c r="O174" s="678"/>
      <c r="P174" s="678"/>
      <c r="Q174" s="673"/>
      <c r="R174" s="673"/>
      <c r="S174" s="673"/>
      <c r="T174" s="673"/>
      <c r="U174" s="673"/>
      <c r="V174" s="673"/>
      <c r="W174" s="490"/>
      <c r="X174" s="676"/>
      <c r="Y174" s="676"/>
      <c r="Z174" s="676"/>
      <c r="AA174" s="676"/>
      <c r="AB174" s="676"/>
      <c r="AC174" s="490"/>
      <c r="AD174" s="490"/>
      <c r="AE174" s="490"/>
      <c r="AF174" s="490"/>
      <c r="AG174" s="490"/>
      <c r="AH174" s="490"/>
      <c r="AI174" s="490"/>
      <c r="AJ174" s="490"/>
      <c r="AK174" s="490"/>
      <c r="AL174" s="490"/>
      <c r="AM174" s="490"/>
      <c r="AN174" s="490"/>
      <c r="AO174" s="490"/>
      <c r="AP174" s="490"/>
      <c r="AQ174" s="490"/>
      <c r="AR174" s="490"/>
      <c r="AS174" s="490"/>
      <c r="AT174" s="490"/>
      <c r="AU174" s="490"/>
      <c r="AV174" s="490"/>
      <c r="AW174" s="490"/>
      <c r="AX174" s="490"/>
      <c r="AY174" s="490"/>
      <c r="AZ174" s="491"/>
      <c r="BA174" s="491"/>
      <c r="BB174" s="491"/>
    </row>
    <row r="175" spans="1:54" hidden="1" outlineLevel="2" x14ac:dyDescent="0.2">
      <c r="A175" s="243"/>
      <c r="B175" s="242">
        <v>5</v>
      </c>
      <c r="C175" s="242">
        <v>6</v>
      </c>
      <c r="D175" s="243"/>
      <c r="E175" s="496" t="s">
        <v>1307</v>
      </c>
      <c r="F175" s="63" t="str">
        <f t="shared" ref="F175:K175" si="119">IFERROR(F174*INDEX(MBSIncItems,$C162,$B175)*INDEX(MBSIncItems,$C162,$C175),"")</f>
        <v/>
      </c>
      <c r="G175" s="63" t="str">
        <f t="shared" si="119"/>
        <v/>
      </c>
      <c r="H175" s="63" t="str">
        <f t="shared" si="119"/>
        <v/>
      </c>
      <c r="I175" s="63" t="str">
        <f t="shared" si="119"/>
        <v/>
      </c>
      <c r="J175" s="63" t="str">
        <f t="shared" si="119"/>
        <v/>
      </c>
      <c r="K175" s="63" t="str">
        <f t="shared" si="119"/>
        <v/>
      </c>
      <c r="L175" s="490"/>
      <c r="M175" s="683"/>
      <c r="N175" s="753"/>
      <c r="O175" s="678"/>
      <c r="P175" s="678"/>
      <c r="Q175" s="673"/>
      <c r="R175" s="673"/>
      <c r="S175" s="673"/>
      <c r="T175" s="673"/>
      <c r="U175" s="673"/>
      <c r="V175" s="673"/>
      <c r="W175" s="490"/>
      <c r="X175" s="676"/>
      <c r="Y175" s="676"/>
      <c r="Z175" s="676"/>
      <c r="AA175" s="676"/>
      <c r="AB175" s="676"/>
      <c r="AC175" s="490"/>
      <c r="AD175" s="490"/>
      <c r="AE175" s="490"/>
      <c r="AF175" s="490"/>
      <c r="AG175" s="490"/>
      <c r="AH175" s="490"/>
      <c r="AI175" s="490"/>
      <c r="AJ175" s="490"/>
      <c r="AK175" s="490"/>
      <c r="AL175" s="490"/>
      <c r="AM175" s="490"/>
      <c r="AN175" s="490"/>
      <c r="AO175" s="490"/>
      <c r="AP175" s="490"/>
      <c r="AQ175" s="490"/>
      <c r="AR175" s="490"/>
      <c r="AS175" s="490"/>
      <c r="AT175" s="490"/>
      <c r="AU175" s="490"/>
      <c r="AV175" s="490"/>
      <c r="AW175" s="490"/>
      <c r="AX175" s="490"/>
      <c r="AY175" s="490"/>
      <c r="AZ175" s="491"/>
      <c r="BA175" s="491"/>
      <c r="BB175" s="491"/>
    </row>
    <row r="176" spans="1:54" hidden="1" outlineLevel="2" x14ac:dyDescent="0.2">
      <c r="A176" s="243"/>
      <c r="B176" s="242">
        <v>4</v>
      </c>
      <c r="C176" s="242">
        <v>6</v>
      </c>
      <c r="D176" s="243"/>
      <c r="E176" s="496" t="s">
        <v>1306</v>
      </c>
      <c r="F176" s="63" t="str">
        <f t="shared" ref="F176:K176" si="120">IFERROR(F174*INDEX(MBSIncItems,$C162,$B176)*INDEX(MBSIncItems,$C162,$C176),"")</f>
        <v/>
      </c>
      <c r="G176" s="63" t="str">
        <f t="shared" si="120"/>
        <v/>
      </c>
      <c r="H176" s="63" t="str">
        <f t="shared" si="120"/>
        <v/>
      </c>
      <c r="I176" s="63" t="str">
        <f t="shared" si="120"/>
        <v/>
      </c>
      <c r="J176" s="63" t="str">
        <f t="shared" si="120"/>
        <v/>
      </c>
      <c r="K176" s="63" t="str">
        <f t="shared" si="120"/>
        <v/>
      </c>
      <c r="L176" s="490"/>
      <c r="M176" s="684"/>
      <c r="N176" s="682"/>
      <c r="O176" s="678"/>
      <c r="P176" s="678"/>
      <c r="Q176" s="673"/>
      <c r="R176" s="673"/>
      <c r="S176" s="673"/>
      <c r="T176" s="673"/>
      <c r="U176" s="673"/>
      <c r="V176" s="673"/>
      <c r="W176" s="490"/>
      <c r="X176" s="676"/>
      <c r="Y176" s="676"/>
      <c r="Z176" s="676"/>
      <c r="AA176" s="676"/>
      <c r="AB176" s="676"/>
      <c r="AC176" s="490"/>
      <c r="AD176" s="490"/>
      <c r="AE176" s="490"/>
      <c r="AF176" s="490"/>
      <c r="AG176" s="490"/>
      <c r="AH176" s="490"/>
      <c r="AI176" s="490"/>
      <c r="AJ176" s="490"/>
      <c r="AK176" s="490"/>
      <c r="AL176" s="490"/>
      <c r="AM176" s="490"/>
      <c r="AN176" s="490"/>
      <c r="AO176" s="490"/>
      <c r="AP176" s="490"/>
      <c r="AQ176" s="490"/>
      <c r="AR176" s="490"/>
      <c r="AS176" s="490"/>
      <c r="AT176" s="490"/>
      <c r="AU176" s="490"/>
      <c r="AV176" s="490"/>
      <c r="AW176" s="490"/>
      <c r="AX176" s="490"/>
      <c r="AY176" s="490"/>
      <c r="AZ176" s="491"/>
      <c r="BA176" s="491"/>
      <c r="BB176" s="491"/>
    </row>
    <row r="177" spans="1:54" hidden="1" outlineLevel="2" x14ac:dyDescent="0.2">
      <c r="A177" s="243"/>
      <c r="B177" s="242"/>
      <c r="C177" s="242">
        <v>7</v>
      </c>
      <c r="D177" s="243"/>
      <c r="E177" s="497" t="s">
        <v>1308</v>
      </c>
      <c r="F177" s="63" t="str">
        <f t="shared" ref="F177:K177" si="121">IFERROR(F174*INDEX(MBSIncItems,$C162,$C177),"")</f>
        <v/>
      </c>
      <c r="G177" s="63" t="str">
        <f t="shared" si="121"/>
        <v/>
      </c>
      <c r="H177" s="63" t="str">
        <f t="shared" si="121"/>
        <v/>
      </c>
      <c r="I177" s="63" t="str">
        <f t="shared" si="121"/>
        <v/>
      </c>
      <c r="J177" s="63" t="str">
        <f t="shared" si="121"/>
        <v/>
      </c>
      <c r="K177" s="63" t="str">
        <f t="shared" si="121"/>
        <v/>
      </c>
      <c r="L177" s="490"/>
      <c r="M177" s="684"/>
      <c r="N177" s="682"/>
      <c r="O177" s="678"/>
      <c r="P177" s="678"/>
      <c r="Q177" s="673"/>
      <c r="R177" s="673"/>
      <c r="S177" s="673"/>
      <c r="T177" s="673"/>
      <c r="U177" s="673"/>
      <c r="V177" s="673"/>
      <c r="W177" s="490"/>
      <c r="X177" s="676"/>
      <c r="Y177" s="676"/>
      <c r="Z177" s="676"/>
      <c r="AA177" s="676"/>
      <c r="AB177" s="676"/>
      <c r="AC177" s="490"/>
      <c r="AD177" s="490"/>
      <c r="AE177" s="490"/>
      <c r="AF177" s="490"/>
      <c r="AG177" s="490"/>
      <c r="AH177" s="490"/>
      <c r="AI177" s="490"/>
      <c r="AJ177" s="490"/>
      <c r="AK177" s="490"/>
      <c r="AL177" s="490"/>
      <c r="AM177" s="490"/>
      <c r="AN177" s="490"/>
      <c r="AO177" s="490"/>
      <c r="AP177" s="490"/>
      <c r="AQ177" s="490"/>
      <c r="AR177" s="490"/>
      <c r="AS177" s="490"/>
      <c r="AT177" s="490"/>
      <c r="AU177" s="490"/>
      <c r="AV177" s="490"/>
      <c r="AW177" s="490"/>
      <c r="AX177" s="490"/>
      <c r="AY177" s="490"/>
      <c r="AZ177" s="491"/>
      <c r="BA177" s="491"/>
      <c r="BB177" s="491"/>
    </row>
    <row r="178" spans="1:54" hidden="1" outlineLevel="1" x14ac:dyDescent="0.2">
      <c r="A178" s="243"/>
      <c r="B178" s="243"/>
      <c r="C178" s="243"/>
      <c r="D178" s="677"/>
      <c r="E178" s="677"/>
      <c r="F178" s="243"/>
      <c r="G178" s="243"/>
      <c r="H178" s="243"/>
      <c r="I178" s="243"/>
      <c r="J178" s="243"/>
      <c r="K178" s="243"/>
      <c r="L178" s="243"/>
      <c r="M178" s="243"/>
      <c r="N178" s="678"/>
      <c r="O178" s="678"/>
      <c r="P178" s="678"/>
      <c r="Q178" s="673"/>
      <c r="R178" s="673"/>
      <c r="S178" s="673"/>
      <c r="T178" s="673"/>
      <c r="U178" s="673"/>
      <c r="V178" s="673"/>
      <c r="W178" s="490"/>
      <c r="X178" s="676"/>
      <c r="Y178" s="676"/>
      <c r="Z178" s="676"/>
      <c r="AA178" s="676"/>
      <c r="AB178" s="676"/>
      <c r="AC178" s="490"/>
      <c r="AD178" s="490"/>
      <c r="AE178" s="490"/>
      <c r="AF178" s="490"/>
      <c r="AG178" s="490"/>
      <c r="AH178" s="490"/>
      <c r="AI178" s="490"/>
      <c r="AJ178" s="490"/>
      <c r="AK178" s="490"/>
      <c r="AL178" s="490"/>
      <c r="AM178" s="490"/>
      <c r="AN178" s="490"/>
      <c r="AO178" s="490"/>
      <c r="AP178" s="490"/>
      <c r="AQ178" s="490"/>
      <c r="AR178" s="490"/>
      <c r="AS178" s="490"/>
      <c r="AT178" s="490"/>
      <c r="AU178" s="490"/>
      <c r="AV178" s="490"/>
      <c r="AW178" s="490"/>
      <c r="AX178" s="490"/>
      <c r="AY178" s="490"/>
      <c r="AZ178" s="491"/>
      <c r="BA178" s="491"/>
      <c r="BB178" s="491"/>
    </row>
    <row r="179" spans="1:54" ht="15.75" hidden="1" outlineLevel="1" collapsed="1" x14ac:dyDescent="0.2">
      <c r="A179" s="243"/>
      <c r="B179" s="243"/>
      <c r="C179" s="242">
        <v>5</v>
      </c>
      <c r="D179" s="79" t="str">
        <f>INDEX(MBSIncNames,C179)</f>
        <v>** NOT USED **</v>
      </c>
      <c r="E179" s="79"/>
      <c r="F179" s="115"/>
      <c r="G179" s="115"/>
      <c r="H179" s="115"/>
      <c r="I179" s="115"/>
      <c r="J179" s="821" t="str">
        <f>IF(D179&lt;&gt;MsgNotUsed,"Co-payment group " &amp; K67,"")</f>
        <v/>
      </c>
      <c r="K179" s="821"/>
      <c r="L179" s="115"/>
      <c r="M179" s="115"/>
      <c r="N179" s="115"/>
      <c r="O179" s="115"/>
      <c r="P179" s="115"/>
      <c r="Q179" s="115"/>
      <c r="R179" s="115"/>
      <c r="S179" s="115"/>
      <c r="T179" s="115"/>
      <c r="U179" s="115"/>
      <c r="V179" s="115"/>
      <c r="W179" s="491"/>
      <c r="X179" s="490"/>
      <c r="Y179" s="490"/>
      <c r="Z179" s="490"/>
      <c r="AA179" s="490"/>
      <c r="AB179" s="676"/>
      <c r="AC179" s="490"/>
      <c r="AD179" s="490"/>
      <c r="AE179" s="490"/>
      <c r="AF179" s="490"/>
      <c r="AG179" s="490"/>
      <c r="AH179" s="490"/>
      <c r="AI179" s="490"/>
      <c r="AJ179" s="490"/>
      <c r="AK179" s="490"/>
      <c r="AL179" s="490"/>
      <c r="AM179" s="490"/>
      <c r="AN179" s="490"/>
      <c r="AO179" s="490"/>
      <c r="AP179" s="490"/>
      <c r="AQ179" s="490"/>
      <c r="AR179" s="490"/>
      <c r="AS179" s="490"/>
      <c r="AT179" s="490"/>
      <c r="AU179" s="490"/>
      <c r="AV179" s="490"/>
      <c r="AW179" s="490"/>
      <c r="AX179" s="490"/>
      <c r="AY179" s="490"/>
      <c r="AZ179" s="491"/>
      <c r="BA179" s="491"/>
      <c r="BB179" s="491"/>
    </row>
    <row r="180" spans="1:54" hidden="1" outlineLevel="2" x14ac:dyDescent="0.2">
      <c r="A180" s="243"/>
      <c r="B180" s="243"/>
      <c r="C180" s="243"/>
      <c r="D180" s="243"/>
      <c r="E180" s="243"/>
      <c r="F180" s="495">
        <v>2</v>
      </c>
      <c r="G180" s="495">
        <v>3</v>
      </c>
      <c r="H180" s="495">
        <v>4</v>
      </c>
      <c r="I180" s="495">
        <v>5</v>
      </c>
      <c r="J180" s="495">
        <v>6</v>
      </c>
      <c r="K180" s="495">
        <v>7</v>
      </c>
      <c r="L180" s="495"/>
      <c r="M180" s="243"/>
      <c r="N180" s="243"/>
      <c r="O180" s="243"/>
      <c r="P180" s="243"/>
      <c r="Q180" s="243"/>
      <c r="R180" s="243"/>
      <c r="S180" s="243"/>
      <c r="T180" s="243"/>
      <c r="U180" s="243"/>
      <c r="V180" s="243"/>
      <c r="W180" s="490"/>
      <c r="X180" s="490"/>
      <c r="Y180" s="490"/>
      <c r="Z180" s="490"/>
      <c r="AA180" s="490"/>
      <c r="AB180" s="676"/>
      <c r="AC180" s="490"/>
      <c r="AD180" s="490"/>
      <c r="AE180" s="490"/>
      <c r="AF180" s="490"/>
      <c r="AG180" s="490"/>
      <c r="AH180" s="490"/>
      <c r="AI180" s="490"/>
      <c r="AJ180" s="490"/>
      <c r="AK180" s="490"/>
      <c r="AL180" s="490"/>
      <c r="AM180" s="490"/>
      <c r="AN180" s="490"/>
      <c r="AO180" s="490"/>
      <c r="AP180" s="490"/>
      <c r="AQ180" s="490"/>
      <c r="AR180" s="490"/>
      <c r="AS180" s="490"/>
      <c r="AT180" s="490"/>
      <c r="AU180" s="490"/>
      <c r="AV180" s="490"/>
      <c r="AW180" s="490"/>
      <c r="AX180" s="490"/>
      <c r="AY180" s="490"/>
      <c r="AZ180" s="491"/>
      <c r="BA180" s="491"/>
      <c r="BB180" s="491"/>
    </row>
    <row r="181" spans="1:54" ht="15" hidden="1" outlineLevel="2" x14ac:dyDescent="0.2">
      <c r="A181" s="243"/>
      <c r="B181" s="243"/>
      <c r="C181" s="243"/>
      <c r="D181" s="663" t="s">
        <v>0</v>
      </c>
      <c r="E181" s="663"/>
      <c r="F181" s="630">
        <f>FirstYear</f>
        <v>2021</v>
      </c>
      <c r="G181" s="630">
        <f>F181+1</f>
        <v>2022</v>
      </c>
      <c r="H181" s="630">
        <f>G181+1</f>
        <v>2023</v>
      </c>
      <c r="I181" s="630">
        <f>H181+1</f>
        <v>2024</v>
      </c>
      <c r="J181" s="630">
        <f>I181+1</f>
        <v>2025</v>
      </c>
      <c r="K181" s="630">
        <f>J181+1</f>
        <v>2026</v>
      </c>
      <c r="L181" s="491"/>
      <c r="M181" s="113"/>
      <c r="N181" s="679"/>
      <c r="O181" s="679"/>
      <c r="P181" s="679"/>
      <c r="Q181" s="674"/>
      <c r="R181" s="674"/>
      <c r="S181" s="674"/>
      <c r="T181" s="674"/>
      <c r="U181" s="674"/>
      <c r="V181" s="674"/>
      <c r="W181" s="491"/>
      <c r="X181" s="674"/>
      <c r="Y181" s="674"/>
      <c r="Z181" s="674"/>
      <c r="AA181" s="674"/>
      <c r="AB181" s="676"/>
      <c r="AC181" s="490"/>
      <c r="AD181" s="490"/>
      <c r="AE181" s="490"/>
      <c r="AF181" s="490"/>
      <c r="AG181" s="490"/>
      <c r="AH181" s="490"/>
      <c r="AI181" s="490"/>
      <c r="AJ181" s="490"/>
      <c r="AK181" s="490"/>
      <c r="AL181" s="490"/>
      <c r="AM181" s="490"/>
      <c r="AN181" s="490"/>
      <c r="AO181" s="490"/>
      <c r="AP181" s="490"/>
      <c r="AQ181" s="490"/>
      <c r="AR181" s="490"/>
      <c r="AS181" s="490"/>
      <c r="AT181" s="490"/>
      <c r="AU181" s="490"/>
      <c r="AV181" s="490"/>
      <c r="AW181" s="490"/>
      <c r="AX181" s="490"/>
      <c r="AY181" s="490"/>
      <c r="AZ181" s="491"/>
      <c r="BA181" s="491"/>
      <c r="BB181" s="491"/>
    </row>
    <row r="182" spans="1:54" hidden="1" outlineLevel="2" x14ac:dyDescent="0.2">
      <c r="A182" s="243"/>
      <c r="B182" s="243"/>
      <c r="C182" s="243"/>
      <c r="D182" s="243"/>
      <c r="E182" s="433" t="s">
        <v>951</v>
      </c>
      <c r="F182" s="283">
        <f t="shared" ref="F182:K182" si="122">F183*INDEX(MBSIncCalc,$C179,3)</f>
        <v>0</v>
      </c>
      <c r="G182" s="283">
        <f t="shared" si="122"/>
        <v>0</v>
      </c>
      <c r="H182" s="283">
        <f t="shared" si="122"/>
        <v>0</v>
      </c>
      <c r="I182" s="283">
        <f t="shared" si="122"/>
        <v>0</v>
      </c>
      <c r="J182" s="283">
        <f t="shared" si="122"/>
        <v>0</v>
      </c>
      <c r="K182" s="283">
        <f t="shared" si="122"/>
        <v>0</v>
      </c>
      <c r="L182" s="490"/>
      <c r="M182" s="680"/>
      <c r="N182" s="664"/>
      <c r="O182" s="664"/>
      <c r="P182" s="664"/>
      <c r="Q182" s="681"/>
      <c r="R182" s="681"/>
      <c r="S182" s="681"/>
      <c r="T182" s="681"/>
      <c r="U182" s="681"/>
      <c r="V182" s="681"/>
      <c r="W182" s="493"/>
      <c r="X182" s="561">
        <f>INDEX(MBSIncItems,C179,1)</f>
        <v>0</v>
      </c>
      <c r="Y182" s="561">
        <f>FirstYear</f>
        <v>2021</v>
      </c>
      <c r="Z182" s="560">
        <f>IF(F183&lt;&gt;0,F183-F185,0)</f>
        <v>0</v>
      </c>
      <c r="AA182" s="560">
        <f>IF(F191&lt;&gt;0,F191-F193,0)</f>
        <v>0</v>
      </c>
      <c r="AB182" s="674"/>
      <c r="AC182" s="490"/>
      <c r="AD182" s="490"/>
      <c r="AE182" s="490"/>
      <c r="AF182" s="490"/>
      <c r="AG182" s="490"/>
      <c r="AH182" s="490"/>
      <c r="AI182" s="490"/>
      <c r="AJ182" s="490"/>
      <c r="AK182" s="490"/>
      <c r="AL182" s="490"/>
      <c r="AM182" s="490"/>
      <c r="AN182" s="490"/>
      <c r="AO182" s="490"/>
      <c r="AP182" s="490"/>
      <c r="AQ182" s="490"/>
      <c r="AR182" s="490"/>
      <c r="AS182" s="490"/>
      <c r="AT182" s="490"/>
      <c r="AU182" s="490"/>
      <c r="AV182" s="490"/>
      <c r="AW182" s="490"/>
      <c r="AX182" s="490"/>
      <c r="AY182" s="490"/>
      <c r="AZ182" s="491"/>
      <c r="BA182" s="491"/>
      <c r="BB182" s="491"/>
    </row>
    <row r="183" spans="1:54" hidden="1" outlineLevel="2" x14ac:dyDescent="0.2">
      <c r="A183" s="243"/>
      <c r="B183" s="672"/>
      <c r="C183" s="242" t="str">
        <f>INDEX(MBSIncCalc,C179,2)</f>
        <v/>
      </c>
      <c r="D183" s="243"/>
      <c r="E183" s="62" t="s">
        <v>1310</v>
      </c>
      <c r="F183" s="63">
        <f t="shared" ref="F183:K183" si="123">IF(INDEX(MBSIncRate,$C179,2)=2,IFERROR(INDEX(PBSScriptsNew,$C183,F180),0),IFERROR(INDEX(MBSPBSInc,$C179,INDEX(MBSIncRate,$C179,3)*7+F180),0) * IFERROR(INDEX(MBSIncPopSplit,$C179),0)) * INDEX(MBSIncRate,$C179,1) * INDEX(MBSIncRate,$C179,4)</f>
        <v>0</v>
      </c>
      <c r="G183" s="63">
        <f t="shared" si="123"/>
        <v>0</v>
      </c>
      <c r="H183" s="63">
        <f t="shared" si="123"/>
        <v>0</v>
      </c>
      <c r="I183" s="63">
        <f t="shared" si="123"/>
        <v>0</v>
      </c>
      <c r="J183" s="63">
        <f t="shared" si="123"/>
        <v>0</v>
      </c>
      <c r="K183" s="63">
        <f t="shared" si="123"/>
        <v>0</v>
      </c>
      <c r="L183" s="490"/>
      <c r="M183" s="493"/>
      <c r="N183" s="493"/>
      <c r="O183" s="664"/>
      <c r="P183" s="664"/>
      <c r="Q183" s="681"/>
      <c r="R183" s="681"/>
      <c r="S183" s="681"/>
      <c r="T183" s="681"/>
      <c r="U183" s="681"/>
      <c r="V183" s="681"/>
      <c r="W183" s="493"/>
      <c r="X183" s="561">
        <f>X182</f>
        <v>0</v>
      </c>
      <c r="Y183" s="561">
        <f>Y182+1</f>
        <v>2022</v>
      </c>
      <c r="Z183" s="560">
        <f>IF(G183&lt;&gt;0,G183-G185,0)</f>
        <v>0</v>
      </c>
      <c r="AA183" s="560">
        <f>IF(G191&lt;&gt;0,G191-G193,0)</f>
        <v>0</v>
      </c>
      <c r="AB183" s="674"/>
      <c r="AC183" s="490"/>
      <c r="AD183" s="490"/>
      <c r="AE183" s="490"/>
      <c r="AF183" s="490"/>
      <c r="AG183" s="490"/>
      <c r="AH183" s="490"/>
      <c r="AI183" s="490"/>
      <c r="AJ183" s="490"/>
      <c r="AK183" s="490"/>
      <c r="AL183" s="490"/>
      <c r="AM183" s="490"/>
      <c r="AN183" s="490"/>
      <c r="AO183" s="490"/>
      <c r="AP183" s="490"/>
      <c r="AQ183" s="490"/>
      <c r="AR183" s="490"/>
      <c r="AS183" s="490"/>
      <c r="AT183" s="490"/>
      <c r="AU183" s="490"/>
      <c r="AV183" s="490"/>
      <c r="AW183" s="490"/>
      <c r="AX183" s="490"/>
      <c r="AY183" s="490"/>
      <c r="AZ183" s="491"/>
      <c r="BA183" s="491"/>
      <c r="BB183" s="491"/>
    </row>
    <row r="184" spans="1:54" hidden="1" outlineLevel="2" x14ac:dyDescent="0.2">
      <c r="A184" s="243"/>
      <c r="B184" s="242">
        <v>5</v>
      </c>
      <c r="C184" s="242">
        <v>6</v>
      </c>
      <c r="D184" s="243"/>
      <c r="E184" s="496" t="s">
        <v>1307</v>
      </c>
      <c r="F184" s="63" t="str">
        <f t="shared" ref="F184:K184" si="124">IFERROR(F183*INDEX(MBSIncItems,$C179,$B184)*INDEX(MBSIncItems,$C179,$C184),"")</f>
        <v/>
      </c>
      <c r="G184" s="63" t="str">
        <f t="shared" si="124"/>
        <v/>
      </c>
      <c r="H184" s="63" t="str">
        <f t="shared" si="124"/>
        <v/>
      </c>
      <c r="I184" s="63" t="str">
        <f t="shared" si="124"/>
        <v/>
      </c>
      <c r="J184" s="63" t="str">
        <f t="shared" si="124"/>
        <v/>
      </c>
      <c r="K184" s="63" t="str">
        <f t="shared" si="124"/>
        <v/>
      </c>
      <c r="L184" s="490"/>
      <c r="M184" s="493"/>
      <c r="N184" s="493"/>
      <c r="O184" s="682"/>
      <c r="P184" s="754"/>
      <c r="Q184" s="681"/>
      <c r="R184" s="681"/>
      <c r="S184" s="681"/>
      <c r="T184" s="681"/>
      <c r="U184" s="681"/>
      <c r="V184" s="681"/>
      <c r="W184" s="493"/>
      <c r="X184" s="561">
        <f t="shared" ref="X184:X187" si="125">X183</f>
        <v>0</v>
      </c>
      <c r="Y184" s="561">
        <f>Y183+1</f>
        <v>2023</v>
      </c>
      <c r="Z184" s="560">
        <f>IF(H183&lt;&gt;0,H183-H185,0)</f>
        <v>0</v>
      </c>
      <c r="AA184" s="560">
        <f>IF(H191&lt;&gt;0,H191-H193,0)</f>
        <v>0</v>
      </c>
      <c r="AB184" s="675"/>
      <c r="AC184" s="490"/>
      <c r="AD184" s="490"/>
      <c r="AE184" s="490"/>
      <c r="AF184" s="490"/>
      <c r="AG184" s="490"/>
      <c r="AH184" s="490"/>
      <c r="AI184" s="490"/>
      <c r="AJ184" s="490"/>
      <c r="AK184" s="490"/>
      <c r="AL184" s="490"/>
      <c r="AM184" s="490"/>
      <c r="AN184" s="490"/>
      <c r="AO184" s="490"/>
      <c r="AP184" s="490"/>
      <c r="AQ184" s="490"/>
      <c r="AR184" s="490"/>
      <c r="AS184" s="490"/>
      <c r="AT184" s="490"/>
      <c r="AU184" s="490"/>
      <c r="AV184" s="490"/>
      <c r="AW184" s="490"/>
      <c r="AX184" s="490"/>
      <c r="AY184" s="490"/>
      <c r="AZ184" s="491"/>
      <c r="BA184" s="491"/>
      <c r="BB184" s="491"/>
    </row>
    <row r="185" spans="1:54" hidden="1" outlineLevel="2" x14ac:dyDescent="0.2">
      <c r="A185" s="416"/>
      <c r="B185" s="242">
        <v>4</v>
      </c>
      <c r="C185" s="242">
        <v>6</v>
      </c>
      <c r="D185" s="243"/>
      <c r="E185" s="496" t="s">
        <v>1306</v>
      </c>
      <c r="F185" s="63" t="str">
        <f t="shared" ref="F185:K185" si="126">IFERROR(F183*INDEX(MBSIncItems,$C179,$B185)*INDEX(MBSIncItems,$C179,$C185),"")</f>
        <v/>
      </c>
      <c r="G185" s="63" t="str">
        <f t="shared" si="126"/>
        <v/>
      </c>
      <c r="H185" s="63" t="str">
        <f t="shared" si="126"/>
        <v/>
      </c>
      <c r="I185" s="63" t="str">
        <f t="shared" si="126"/>
        <v/>
      </c>
      <c r="J185" s="63" t="str">
        <f t="shared" si="126"/>
        <v/>
      </c>
      <c r="K185" s="63" t="str">
        <f t="shared" si="126"/>
        <v/>
      </c>
      <c r="L185" s="416"/>
      <c r="M185" s="416"/>
      <c r="N185" s="416"/>
      <c r="O185" s="416"/>
      <c r="P185" s="416"/>
      <c r="Q185" s="416"/>
      <c r="R185" s="416"/>
      <c r="S185" s="416"/>
      <c r="T185" s="416"/>
      <c r="U185" s="416"/>
      <c r="V185" s="416"/>
      <c r="W185" s="493"/>
      <c r="X185" s="561">
        <f t="shared" si="125"/>
        <v>0</v>
      </c>
      <c r="Y185" s="561">
        <f>Y184+1</f>
        <v>2024</v>
      </c>
      <c r="Z185" s="560">
        <f>IF(I183&lt;&gt;0,I183-I185,0)</f>
        <v>0</v>
      </c>
      <c r="AA185" s="560">
        <f>IF(I191&lt;&gt;0,I191-I193,0)</f>
        <v>0</v>
      </c>
      <c r="AB185" s="675"/>
      <c r="AC185" s="490"/>
      <c r="AD185" s="490"/>
      <c r="AE185" s="490"/>
      <c r="AF185" s="490"/>
      <c r="AG185" s="490"/>
      <c r="AH185" s="490"/>
      <c r="AI185" s="490"/>
      <c r="AJ185" s="490"/>
      <c r="AK185" s="490"/>
      <c r="AL185" s="490"/>
      <c r="AM185" s="490"/>
      <c r="AN185" s="490"/>
      <c r="AO185" s="490"/>
      <c r="AP185" s="490"/>
      <c r="AQ185" s="490"/>
      <c r="AR185" s="490"/>
      <c r="AS185" s="490"/>
      <c r="AT185" s="490"/>
      <c r="AU185" s="490"/>
      <c r="AV185" s="490"/>
      <c r="AW185" s="490"/>
      <c r="AX185" s="490"/>
      <c r="AY185" s="490"/>
      <c r="AZ185" s="491"/>
      <c r="BA185" s="491"/>
      <c r="BB185" s="491"/>
    </row>
    <row r="186" spans="1:54" hidden="1" outlineLevel="2" x14ac:dyDescent="0.2">
      <c r="A186" s="243"/>
      <c r="B186" s="242"/>
      <c r="C186" s="242">
        <v>7</v>
      </c>
      <c r="D186" s="243"/>
      <c r="E186" s="497" t="s">
        <v>1308</v>
      </c>
      <c r="F186" s="63" t="str">
        <f t="shared" ref="F186:K186" si="127">IFERROR(F183*INDEX(MBSIncItems,$C179,$C186),"")</f>
        <v/>
      </c>
      <c r="G186" s="63" t="str">
        <f t="shared" si="127"/>
        <v/>
      </c>
      <c r="H186" s="63" t="str">
        <f t="shared" si="127"/>
        <v/>
      </c>
      <c r="I186" s="63" t="str">
        <f t="shared" si="127"/>
        <v/>
      </c>
      <c r="J186" s="63" t="str">
        <f t="shared" si="127"/>
        <v/>
      </c>
      <c r="K186" s="63" t="str">
        <f t="shared" si="127"/>
        <v/>
      </c>
      <c r="L186" s="490"/>
      <c r="M186" s="493"/>
      <c r="N186" s="493"/>
      <c r="O186" s="682"/>
      <c r="P186" s="754"/>
      <c r="Q186" s="681"/>
      <c r="R186" s="681"/>
      <c r="S186" s="681"/>
      <c r="T186" s="681"/>
      <c r="U186" s="681"/>
      <c r="V186" s="681"/>
      <c r="W186" s="493"/>
      <c r="X186" s="561">
        <f t="shared" si="125"/>
        <v>0</v>
      </c>
      <c r="Y186" s="561">
        <f>Y185+1</f>
        <v>2025</v>
      </c>
      <c r="Z186" s="560">
        <f>IF(J183&lt;&gt;0,J183-J185,0)</f>
        <v>0</v>
      </c>
      <c r="AA186" s="560">
        <f>IF(J191&lt;&gt;0,J191-J193,0)</f>
        <v>0</v>
      </c>
      <c r="AB186" s="675"/>
      <c r="AC186" s="490"/>
      <c r="AD186" s="490"/>
      <c r="AE186" s="490"/>
      <c r="AF186" s="490"/>
      <c r="AG186" s="490"/>
      <c r="AH186" s="490"/>
      <c r="AI186" s="490"/>
      <c r="AJ186" s="490"/>
      <c r="AK186" s="490"/>
      <c r="AL186" s="490"/>
      <c r="AM186" s="490"/>
      <c r="AN186" s="490"/>
      <c r="AO186" s="490"/>
      <c r="AP186" s="490"/>
      <c r="AQ186" s="490"/>
      <c r="AR186" s="490"/>
      <c r="AS186" s="490"/>
      <c r="AT186" s="490"/>
      <c r="AU186" s="490"/>
      <c r="AV186" s="490"/>
      <c r="AW186" s="490"/>
      <c r="AX186" s="490"/>
      <c r="AY186" s="490"/>
      <c r="AZ186" s="491"/>
      <c r="BA186" s="491"/>
      <c r="BB186" s="491"/>
    </row>
    <row r="187" spans="1:54" hidden="1" outlineLevel="2" x14ac:dyDescent="0.2">
      <c r="A187" s="243"/>
      <c r="B187" s="493"/>
      <c r="C187" s="493"/>
      <c r="D187" s="493"/>
      <c r="E187" s="493"/>
      <c r="F187" s="493"/>
      <c r="G187" s="493"/>
      <c r="H187" s="493"/>
      <c r="I187" s="493"/>
      <c r="J187" s="493"/>
      <c r="K187" s="493"/>
      <c r="L187" s="490"/>
      <c r="M187" s="493"/>
      <c r="N187" s="493"/>
      <c r="O187" s="682"/>
      <c r="P187" s="682"/>
      <c r="Q187" s="681"/>
      <c r="R187" s="681"/>
      <c r="S187" s="681"/>
      <c r="T187" s="681"/>
      <c r="U187" s="681"/>
      <c r="V187" s="681"/>
      <c r="W187" s="493"/>
      <c r="X187" s="561">
        <f t="shared" si="125"/>
        <v>0</v>
      </c>
      <c r="Y187" s="561">
        <f>Y186+1</f>
        <v>2026</v>
      </c>
      <c r="Z187" s="560">
        <f>IF(K183&lt;&gt;0,K183-K185,0)</f>
        <v>0</v>
      </c>
      <c r="AA187" s="560">
        <f>IF(K191&lt;&gt;0,K191-K193,0)</f>
        <v>0</v>
      </c>
      <c r="AB187" s="675"/>
      <c r="AC187" s="490"/>
      <c r="AD187" s="490"/>
      <c r="AE187" s="490"/>
      <c r="AF187" s="490"/>
      <c r="AG187" s="490"/>
      <c r="AH187" s="490"/>
      <c r="AI187" s="490"/>
      <c r="AJ187" s="490"/>
      <c r="AK187" s="490"/>
      <c r="AL187" s="490"/>
      <c r="AM187" s="490"/>
      <c r="AN187" s="490"/>
      <c r="AO187" s="490"/>
      <c r="AP187" s="490"/>
      <c r="AQ187" s="490"/>
      <c r="AR187" s="490"/>
      <c r="AS187" s="490"/>
      <c r="AT187" s="490"/>
      <c r="AU187" s="490"/>
      <c r="AV187" s="490"/>
      <c r="AW187" s="490"/>
      <c r="AX187" s="490"/>
      <c r="AY187" s="490"/>
      <c r="AZ187" s="491"/>
      <c r="BA187" s="491"/>
      <c r="BB187" s="491"/>
    </row>
    <row r="188" spans="1:54" hidden="1" outlineLevel="2" x14ac:dyDescent="0.2">
      <c r="A188" s="243"/>
      <c r="B188" s="243"/>
      <c r="C188" s="243"/>
      <c r="D188" s="677"/>
      <c r="E188" s="677"/>
      <c r="F188" s="495">
        <v>2</v>
      </c>
      <c r="G188" s="495">
        <v>3</v>
      </c>
      <c r="H188" s="495">
        <v>4</v>
      </c>
      <c r="I188" s="495">
        <v>5</v>
      </c>
      <c r="J188" s="495">
        <v>6</v>
      </c>
      <c r="K188" s="495">
        <v>7</v>
      </c>
      <c r="L188" s="490"/>
      <c r="M188" s="243"/>
      <c r="N188" s="678"/>
      <c r="O188" s="678"/>
      <c r="P188" s="678"/>
      <c r="Q188" s="673"/>
      <c r="R188" s="673"/>
      <c r="S188" s="673"/>
      <c r="T188" s="673"/>
      <c r="U188" s="673"/>
      <c r="V188" s="673"/>
      <c r="W188" s="490"/>
      <c r="X188" s="676"/>
      <c r="Y188" s="676"/>
      <c r="Z188" s="676"/>
      <c r="AA188" s="676"/>
      <c r="AB188" s="675"/>
      <c r="AC188" s="490"/>
      <c r="AD188" s="490"/>
      <c r="AE188" s="490"/>
      <c r="AF188" s="490"/>
      <c r="AG188" s="490"/>
      <c r="AH188" s="490"/>
      <c r="AI188" s="490"/>
      <c r="AJ188" s="490"/>
      <c r="AK188" s="490"/>
      <c r="AL188" s="490"/>
      <c r="AM188" s="490"/>
      <c r="AN188" s="490"/>
      <c r="AO188" s="490"/>
      <c r="AP188" s="490"/>
      <c r="AQ188" s="490"/>
      <c r="AR188" s="490"/>
      <c r="AS188" s="490"/>
      <c r="AT188" s="490"/>
      <c r="AU188" s="490"/>
      <c r="AV188" s="490"/>
      <c r="AW188" s="490"/>
      <c r="AX188" s="490"/>
      <c r="AY188" s="490"/>
      <c r="AZ188" s="491"/>
      <c r="BA188" s="491"/>
      <c r="BB188" s="491"/>
    </row>
    <row r="189" spans="1:54" ht="15.75" hidden="1" outlineLevel="2" x14ac:dyDescent="0.2">
      <c r="A189" s="243"/>
      <c r="B189" s="243"/>
      <c r="C189" s="243"/>
      <c r="D189" s="663" t="s">
        <v>1</v>
      </c>
      <c r="E189" s="663"/>
      <c r="F189" s="751">
        <f>FirstYear</f>
        <v>2021</v>
      </c>
      <c r="G189" s="751">
        <f>F189+1</f>
        <v>2022</v>
      </c>
      <c r="H189" s="751">
        <f>G189+1</f>
        <v>2023</v>
      </c>
      <c r="I189" s="751">
        <f>H189+1</f>
        <v>2024</v>
      </c>
      <c r="J189" s="751">
        <f>I189+1</f>
        <v>2025</v>
      </c>
      <c r="K189" s="751">
        <f>J189+1</f>
        <v>2026</v>
      </c>
      <c r="L189" s="491"/>
      <c r="M189" s="243"/>
      <c r="N189" s="685"/>
      <c r="O189" s="685"/>
      <c r="P189" s="685"/>
      <c r="Q189" s="673"/>
      <c r="R189" s="673"/>
      <c r="S189" s="673"/>
      <c r="T189" s="673"/>
      <c r="U189" s="673"/>
      <c r="V189" s="673"/>
      <c r="W189" s="491"/>
      <c r="X189" s="676"/>
      <c r="Y189" s="676"/>
      <c r="Z189" s="676"/>
      <c r="AA189" s="676"/>
      <c r="AB189" s="676"/>
      <c r="AC189" s="490"/>
      <c r="AD189" s="490"/>
      <c r="AE189" s="490"/>
      <c r="AF189" s="490"/>
      <c r="AG189" s="490"/>
      <c r="AH189" s="490"/>
      <c r="AI189" s="490"/>
      <c r="AJ189" s="490"/>
      <c r="AK189" s="490"/>
      <c r="AL189" s="490"/>
      <c r="AM189" s="490"/>
      <c r="AN189" s="490"/>
      <c r="AO189" s="490"/>
      <c r="AP189" s="490"/>
      <c r="AQ189" s="490"/>
      <c r="AR189" s="490"/>
      <c r="AS189" s="490"/>
      <c r="AT189" s="490"/>
      <c r="AU189" s="490"/>
      <c r="AV189" s="490"/>
      <c r="AW189" s="490"/>
      <c r="AX189" s="490"/>
      <c r="AY189" s="490"/>
      <c r="AZ189" s="491"/>
      <c r="BA189" s="491"/>
      <c r="BB189" s="491"/>
    </row>
    <row r="190" spans="1:54" hidden="1" outlineLevel="2" x14ac:dyDescent="0.2">
      <c r="A190" s="243"/>
      <c r="B190" s="243"/>
      <c r="C190" s="243"/>
      <c r="D190" s="243"/>
      <c r="E190" s="433" t="s">
        <v>951</v>
      </c>
      <c r="F190" s="283">
        <f t="shared" ref="F190:K190" si="128">F191*INDEX(MBSIncCalc,$C179,3)</f>
        <v>0</v>
      </c>
      <c r="G190" s="283">
        <f t="shared" si="128"/>
        <v>0</v>
      </c>
      <c r="H190" s="283">
        <f t="shared" si="128"/>
        <v>0</v>
      </c>
      <c r="I190" s="283">
        <f t="shared" si="128"/>
        <v>0</v>
      </c>
      <c r="J190" s="283">
        <f t="shared" si="128"/>
        <v>0</v>
      </c>
      <c r="K190" s="283">
        <f t="shared" si="128"/>
        <v>0</v>
      </c>
      <c r="L190" s="490"/>
      <c r="M190" s="615"/>
      <c r="N190" s="615"/>
      <c r="O190" s="678"/>
      <c r="P190" s="678"/>
      <c r="Q190" s="673"/>
      <c r="R190" s="673"/>
      <c r="S190" s="673"/>
      <c r="T190" s="673"/>
      <c r="U190" s="673"/>
      <c r="V190" s="673"/>
      <c r="W190" s="490"/>
      <c r="X190" s="676"/>
      <c r="Y190" s="676"/>
      <c r="Z190" s="676"/>
      <c r="AA190" s="676"/>
      <c r="AB190" s="676"/>
      <c r="AC190" s="490"/>
      <c r="AD190" s="490"/>
      <c r="AE190" s="490"/>
      <c r="AF190" s="490"/>
      <c r="AG190" s="490"/>
      <c r="AH190" s="490"/>
      <c r="AI190" s="490"/>
      <c r="AJ190" s="490"/>
      <c r="AK190" s="490"/>
      <c r="AL190" s="490"/>
      <c r="AM190" s="490"/>
      <c r="AN190" s="490"/>
      <c r="AO190" s="490"/>
      <c r="AP190" s="490"/>
      <c r="AQ190" s="490"/>
      <c r="AR190" s="490"/>
      <c r="AS190" s="490"/>
      <c r="AT190" s="490"/>
      <c r="AU190" s="490"/>
      <c r="AV190" s="490"/>
      <c r="AW190" s="490"/>
      <c r="AX190" s="490"/>
      <c r="AY190" s="490"/>
      <c r="AZ190" s="491"/>
      <c r="BA190" s="491"/>
      <c r="BB190" s="491"/>
    </row>
    <row r="191" spans="1:54" hidden="1" outlineLevel="2" x14ac:dyDescent="0.2">
      <c r="A191" s="243"/>
      <c r="B191" s="672"/>
      <c r="C191" s="242" t="str">
        <f>C183</f>
        <v/>
      </c>
      <c r="D191" s="243"/>
      <c r="E191" s="62" t="s">
        <v>1310</v>
      </c>
      <c r="F191" s="63">
        <f t="shared" ref="F191:K191" si="129">IF(INDEX(MBSIncRate,$C179,2)=2,IFERROR(INDEX(RPBSScriptsNew,$C191,F188),0),IFERROR(INDEX(MBSRPBSInc,$C179,INDEX(MBSIncRate,$C179,3)*7+F188),0) * IFERROR(INDEX(MBSIncPopSplit,$C179),0)) * INDEX(MBSIncRate,$C179,1) * INDEX(MBSIncRate,$C179,4)</f>
        <v>0</v>
      </c>
      <c r="G191" s="63">
        <f t="shared" si="129"/>
        <v>0</v>
      </c>
      <c r="H191" s="63">
        <f t="shared" si="129"/>
        <v>0</v>
      </c>
      <c r="I191" s="63">
        <f t="shared" si="129"/>
        <v>0</v>
      </c>
      <c r="J191" s="63">
        <f t="shared" si="129"/>
        <v>0</v>
      </c>
      <c r="K191" s="63">
        <f t="shared" si="129"/>
        <v>0</v>
      </c>
      <c r="L191" s="490"/>
      <c r="M191" s="243"/>
      <c r="N191" s="753"/>
      <c r="O191" s="678"/>
      <c r="P191" s="678"/>
      <c r="Q191" s="673"/>
      <c r="R191" s="673"/>
      <c r="S191" s="673"/>
      <c r="T191" s="673"/>
      <c r="U191" s="673"/>
      <c r="V191" s="673"/>
      <c r="W191" s="490"/>
      <c r="X191" s="676"/>
      <c r="Y191" s="676"/>
      <c r="Z191" s="676"/>
      <c r="AA191" s="676"/>
      <c r="AB191" s="676"/>
      <c r="AC191" s="490"/>
      <c r="AD191" s="490"/>
      <c r="AE191" s="490"/>
      <c r="AF191" s="490"/>
      <c r="AG191" s="490"/>
      <c r="AH191" s="490"/>
      <c r="AI191" s="490"/>
      <c r="AJ191" s="490"/>
      <c r="AK191" s="490"/>
      <c r="AL191" s="490"/>
      <c r="AM191" s="490"/>
      <c r="AN191" s="490"/>
      <c r="AO191" s="490"/>
      <c r="AP191" s="490"/>
      <c r="AQ191" s="490"/>
      <c r="AR191" s="490"/>
      <c r="AS191" s="490"/>
      <c r="AT191" s="490"/>
      <c r="AU191" s="490"/>
      <c r="AV191" s="490"/>
      <c r="AW191" s="490"/>
      <c r="AX191" s="490"/>
      <c r="AY191" s="490"/>
      <c r="AZ191" s="491"/>
      <c r="BA191" s="491"/>
      <c r="BB191" s="491"/>
    </row>
    <row r="192" spans="1:54" hidden="1" outlineLevel="2" x14ac:dyDescent="0.2">
      <c r="A192" s="243"/>
      <c r="B192" s="242">
        <v>5</v>
      </c>
      <c r="C192" s="242">
        <v>6</v>
      </c>
      <c r="D192" s="243"/>
      <c r="E192" s="496" t="s">
        <v>1307</v>
      </c>
      <c r="F192" s="63" t="str">
        <f t="shared" ref="F192:K192" si="130">IFERROR(F191*INDEX(MBSIncItems,$C179,$B192)*INDEX(MBSIncItems,$C179,$C192),"")</f>
        <v/>
      </c>
      <c r="G192" s="63" t="str">
        <f t="shared" si="130"/>
        <v/>
      </c>
      <c r="H192" s="63" t="str">
        <f t="shared" si="130"/>
        <v/>
      </c>
      <c r="I192" s="63" t="str">
        <f t="shared" si="130"/>
        <v/>
      </c>
      <c r="J192" s="63" t="str">
        <f t="shared" si="130"/>
        <v/>
      </c>
      <c r="K192" s="63" t="str">
        <f t="shared" si="130"/>
        <v/>
      </c>
      <c r="L192" s="490"/>
      <c r="M192" s="683"/>
      <c r="N192" s="753"/>
      <c r="O192" s="678"/>
      <c r="P192" s="678"/>
      <c r="Q192" s="673"/>
      <c r="R192" s="673"/>
      <c r="S192" s="673"/>
      <c r="T192" s="673"/>
      <c r="U192" s="673"/>
      <c r="V192" s="673"/>
      <c r="W192" s="490"/>
      <c r="X192" s="676"/>
      <c r="Y192" s="676"/>
      <c r="Z192" s="676"/>
      <c r="AA192" s="676"/>
      <c r="AB192" s="676"/>
      <c r="AC192" s="490"/>
      <c r="AD192" s="490"/>
      <c r="AE192" s="490"/>
      <c r="AF192" s="490"/>
      <c r="AG192" s="490"/>
      <c r="AH192" s="490"/>
      <c r="AI192" s="490"/>
      <c r="AJ192" s="490"/>
      <c r="AK192" s="490"/>
      <c r="AL192" s="490"/>
      <c r="AM192" s="490"/>
      <c r="AN192" s="490"/>
      <c r="AO192" s="490"/>
      <c r="AP192" s="490"/>
      <c r="AQ192" s="490"/>
      <c r="AR192" s="490"/>
      <c r="AS192" s="490"/>
      <c r="AT192" s="490"/>
      <c r="AU192" s="490"/>
      <c r="AV192" s="490"/>
      <c r="AW192" s="490"/>
      <c r="AX192" s="490"/>
      <c r="AY192" s="490"/>
      <c r="AZ192" s="491"/>
      <c r="BA192" s="491"/>
      <c r="BB192" s="491"/>
    </row>
    <row r="193" spans="1:54" hidden="1" outlineLevel="2" x14ac:dyDescent="0.2">
      <c r="A193" s="243"/>
      <c r="B193" s="242">
        <v>4</v>
      </c>
      <c r="C193" s="242">
        <v>6</v>
      </c>
      <c r="D193" s="243"/>
      <c r="E193" s="496" t="s">
        <v>1306</v>
      </c>
      <c r="F193" s="63" t="str">
        <f t="shared" ref="F193:K193" si="131">IFERROR(F191*INDEX(MBSIncItems,$C179,$B193)*INDEX(MBSIncItems,$C179,$C193),"")</f>
        <v/>
      </c>
      <c r="G193" s="63" t="str">
        <f t="shared" si="131"/>
        <v/>
      </c>
      <c r="H193" s="63" t="str">
        <f t="shared" si="131"/>
        <v/>
      </c>
      <c r="I193" s="63" t="str">
        <f t="shared" si="131"/>
        <v/>
      </c>
      <c r="J193" s="63" t="str">
        <f t="shared" si="131"/>
        <v/>
      </c>
      <c r="K193" s="63" t="str">
        <f t="shared" si="131"/>
        <v/>
      </c>
      <c r="L193" s="490"/>
      <c r="M193" s="684"/>
      <c r="N193" s="682"/>
      <c r="O193" s="678"/>
      <c r="P193" s="678"/>
      <c r="Q193" s="673"/>
      <c r="R193" s="673"/>
      <c r="S193" s="673"/>
      <c r="T193" s="673"/>
      <c r="U193" s="673"/>
      <c r="V193" s="673"/>
      <c r="W193" s="490"/>
      <c r="X193" s="676"/>
      <c r="Y193" s="676"/>
      <c r="Z193" s="676"/>
      <c r="AA193" s="676"/>
      <c r="AB193" s="676"/>
      <c r="AC193" s="490"/>
      <c r="AD193" s="490"/>
      <c r="AE193" s="490"/>
      <c r="AF193" s="490"/>
      <c r="AG193" s="490"/>
      <c r="AH193" s="490"/>
      <c r="AI193" s="490"/>
      <c r="AJ193" s="490"/>
      <c r="AK193" s="490"/>
      <c r="AL193" s="490"/>
      <c r="AM193" s="490"/>
      <c r="AN193" s="490"/>
      <c r="AO193" s="490"/>
      <c r="AP193" s="490"/>
      <c r="AQ193" s="490"/>
      <c r="AR193" s="490"/>
      <c r="AS193" s="490"/>
      <c r="AT193" s="490"/>
      <c r="AU193" s="490"/>
      <c r="AV193" s="490"/>
      <c r="AW193" s="490"/>
      <c r="AX193" s="490"/>
      <c r="AY193" s="490"/>
      <c r="AZ193" s="491"/>
      <c r="BA193" s="491"/>
      <c r="BB193" s="491"/>
    </row>
    <row r="194" spans="1:54" hidden="1" outlineLevel="2" x14ac:dyDescent="0.2">
      <c r="A194" s="243"/>
      <c r="B194" s="242"/>
      <c r="C194" s="242">
        <v>7</v>
      </c>
      <c r="D194" s="243"/>
      <c r="E194" s="497" t="s">
        <v>1308</v>
      </c>
      <c r="F194" s="63" t="str">
        <f t="shared" ref="F194:K194" si="132">IFERROR(F191*INDEX(MBSIncItems,$C179,$C194),"")</f>
        <v/>
      </c>
      <c r="G194" s="63" t="str">
        <f t="shared" si="132"/>
        <v/>
      </c>
      <c r="H194" s="63" t="str">
        <f t="shared" si="132"/>
        <v/>
      </c>
      <c r="I194" s="63" t="str">
        <f t="shared" si="132"/>
        <v/>
      </c>
      <c r="J194" s="63" t="str">
        <f t="shared" si="132"/>
        <v/>
      </c>
      <c r="K194" s="63" t="str">
        <f t="shared" si="132"/>
        <v/>
      </c>
      <c r="L194" s="490"/>
      <c r="M194" s="684"/>
      <c r="N194" s="682"/>
      <c r="O194" s="678"/>
      <c r="P194" s="678"/>
      <c r="Q194" s="673"/>
      <c r="R194" s="673"/>
      <c r="S194" s="673"/>
      <c r="T194" s="673"/>
      <c r="U194" s="673"/>
      <c r="V194" s="673"/>
      <c r="W194" s="490"/>
      <c r="X194" s="676"/>
      <c r="Y194" s="676"/>
      <c r="Z194" s="676"/>
      <c r="AA194" s="676"/>
      <c r="AB194" s="676"/>
      <c r="AC194" s="490"/>
      <c r="AD194" s="490"/>
      <c r="AE194" s="490"/>
      <c r="AF194" s="490"/>
      <c r="AG194" s="490"/>
      <c r="AH194" s="490"/>
      <c r="AI194" s="490"/>
      <c r="AJ194" s="490"/>
      <c r="AK194" s="490"/>
      <c r="AL194" s="490"/>
      <c r="AM194" s="490"/>
      <c r="AN194" s="490"/>
      <c r="AO194" s="490"/>
      <c r="AP194" s="490"/>
      <c r="AQ194" s="490"/>
      <c r="AR194" s="490"/>
      <c r="AS194" s="490"/>
      <c r="AT194" s="490"/>
      <c r="AU194" s="490"/>
      <c r="AV194" s="490"/>
      <c r="AW194" s="490"/>
      <c r="AX194" s="490"/>
      <c r="AY194" s="490"/>
      <c r="AZ194" s="491"/>
      <c r="BA194" s="491"/>
      <c r="BB194" s="491"/>
    </row>
    <row r="195" spans="1:54" hidden="1" outlineLevel="1" x14ac:dyDescent="0.2">
      <c r="A195" s="243"/>
      <c r="B195" s="243"/>
      <c r="C195" s="243"/>
      <c r="D195" s="677"/>
      <c r="E195" s="677"/>
      <c r="F195" s="243"/>
      <c r="G195" s="243"/>
      <c r="H195" s="243"/>
      <c r="I195" s="243"/>
      <c r="J195" s="243"/>
      <c r="K195" s="243"/>
      <c r="L195" s="243"/>
      <c r="M195" s="243"/>
      <c r="N195" s="678"/>
      <c r="O195" s="678"/>
      <c r="P195" s="678"/>
      <c r="Q195" s="673"/>
      <c r="R195" s="673"/>
      <c r="S195" s="673"/>
      <c r="T195" s="673"/>
      <c r="U195" s="673"/>
      <c r="V195" s="673"/>
      <c r="W195" s="490"/>
      <c r="X195" s="676"/>
      <c r="Y195" s="676"/>
      <c r="Z195" s="676"/>
      <c r="AA195" s="676"/>
      <c r="AB195" s="676"/>
      <c r="AC195" s="490"/>
      <c r="AD195" s="490"/>
      <c r="AE195" s="490"/>
      <c r="AF195" s="490"/>
      <c r="AG195" s="490"/>
      <c r="AH195" s="490"/>
      <c r="AI195" s="490"/>
      <c r="AJ195" s="490"/>
      <c r="AK195" s="490"/>
      <c r="AL195" s="490"/>
      <c r="AM195" s="490"/>
      <c r="AN195" s="490"/>
      <c r="AO195" s="490"/>
      <c r="AP195" s="490"/>
      <c r="AQ195" s="490"/>
      <c r="AR195" s="490"/>
      <c r="AS195" s="490"/>
      <c r="AT195" s="490"/>
      <c r="AU195" s="490"/>
      <c r="AV195" s="490"/>
      <c r="AW195" s="490"/>
      <c r="AX195" s="490"/>
      <c r="AY195" s="490"/>
      <c r="AZ195" s="491"/>
      <c r="BA195" s="491"/>
      <c r="BB195" s="491"/>
    </row>
    <row r="196" spans="1:54" ht="15.75" hidden="1" outlineLevel="1" collapsed="1" x14ac:dyDescent="0.2">
      <c r="A196" s="243"/>
      <c r="B196" s="243"/>
      <c r="C196" s="242">
        <v>6</v>
      </c>
      <c r="D196" s="79" t="str">
        <f>INDEX(MBSIncNames,C196)</f>
        <v>** NOT USED **</v>
      </c>
      <c r="E196" s="79"/>
      <c r="F196" s="115"/>
      <c r="G196" s="115"/>
      <c r="H196" s="115"/>
      <c r="I196" s="115"/>
      <c r="J196" s="821" t="str">
        <f>IF(D196&lt;&gt;MsgNotUsed,"Co-payment group " &amp; K68,"")</f>
        <v/>
      </c>
      <c r="K196" s="821"/>
      <c r="L196" s="115"/>
      <c r="M196" s="115"/>
      <c r="N196" s="115"/>
      <c r="O196" s="115"/>
      <c r="P196" s="115"/>
      <c r="Q196" s="115"/>
      <c r="R196" s="115"/>
      <c r="S196" s="115"/>
      <c r="T196" s="115"/>
      <c r="U196" s="115"/>
      <c r="V196" s="115"/>
      <c r="W196" s="491"/>
      <c r="X196" s="490"/>
      <c r="Y196" s="490"/>
      <c r="Z196" s="490"/>
      <c r="AA196" s="490"/>
      <c r="AB196" s="676"/>
      <c r="AC196" s="490"/>
      <c r="AD196" s="490"/>
      <c r="AE196" s="490"/>
      <c r="AF196" s="490"/>
      <c r="AG196" s="490"/>
      <c r="AH196" s="490"/>
      <c r="AI196" s="490"/>
      <c r="AJ196" s="490"/>
      <c r="AK196" s="490"/>
      <c r="AL196" s="490"/>
      <c r="AM196" s="490"/>
      <c r="AN196" s="490"/>
      <c r="AO196" s="490"/>
      <c r="AP196" s="490"/>
      <c r="AQ196" s="490"/>
      <c r="AR196" s="490"/>
      <c r="AS196" s="490"/>
      <c r="AT196" s="490"/>
      <c r="AU196" s="490"/>
      <c r="AV196" s="490"/>
      <c r="AW196" s="490"/>
      <c r="AX196" s="490"/>
      <c r="AY196" s="490"/>
      <c r="AZ196" s="491"/>
      <c r="BA196" s="491"/>
      <c r="BB196" s="491"/>
    </row>
    <row r="197" spans="1:54" hidden="1" outlineLevel="2" x14ac:dyDescent="0.2">
      <c r="A197" s="243"/>
      <c r="B197" s="243"/>
      <c r="C197" s="243"/>
      <c r="D197" s="243"/>
      <c r="E197" s="243"/>
      <c r="F197" s="495">
        <v>2</v>
      </c>
      <c r="G197" s="495">
        <v>3</v>
      </c>
      <c r="H197" s="495">
        <v>4</v>
      </c>
      <c r="I197" s="495">
        <v>5</v>
      </c>
      <c r="J197" s="495">
        <v>6</v>
      </c>
      <c r="K197" s="495">
        <v>7</v>
      </c>
      <c r="L197" s="495"/>
      <c r="M197" s="243"/>
      <c r="N197" s="243"/>
      <c r="O197" s="243"/>
      <c r="P197" s="243"/>
      <c r="Q197" s="243"/>
      <c r="R197" s="243"/>
      <c r="S197" s="243"/>
      <c r="T197" s="243"/>
      <c r="U197" s="243"/>
      <c r="V197" s="243"/>
      <c r="W197" s="490"/>
      <c r="X197" s="490"/>
      <c r="Y197" s="490"/>
      <c r="Z197" s="490"/>
      <c r="AA197" s="490"/>
      <c r="AB197" s="676"/>
      <c r="AC197" s="490"/>
      <c r="AD197" s="490"/>
      <c r="AE197" s="490"/>
      <c r="AF197" s="490"/>
      <c r="AG197" s="490"/>
      <c r="AH197" s="490"/>
      <c r="AI197" s="490"/>
      <c r="AJ197" s="490"/>
      <c r="AK197" s="490"/>
      <c r="AL197" s="490"/>
      <c r="AM197" s="490"/>
      <c r="AN197" s="490"/>
      <c r="AO197" s="490"/>
      <c r="AP197" s="490"/>
      <c r="AQ197" s="490"/>
      <c r="AR197" s="490"/>
      <c r="AS197" s="490"/>
      <c r="AT197" s="490"/>
      <c r="AU197" s="490"/>
      <c r="AV197" s="490"/>
      <c r="AW197" s="490"/>
      <c r="AX197" s="490"/>
      <c r="AY197" s="490"/>
      <c r="AZ197" s="491"/>
      <c r="BA197" s="491"/>
      <c r="BB197" s="491"/>
    </row>
    <row r="198" spans="1:54" ht="15" hidden="1" outlineLevel="2" x14ac:dyDescent="0.2">
      <c r="A198" s="243"/>
      <c r="B198" s="243"/>
      <c r="C198" s="243"/>
      <c r="D198" s="663" t="s">
        <v>0</v>
      </c>
      <c r="E198" s="663"/>
      <c r="F198" s="630">
        <f>FirstYear</f>
        <v>2021</v>
      </c>
      <c r="G198" s="630">
        <f>F198+1</f>
        <v>2022</v>
      </c>
      <c r="H198" s="630">
        <f>G198+1</f>
        <v>2023</v>
      </c>
      <c r="I198" s="630">
        <f>H198+1</f>
        <v>2024</v>
      </c>
      <c r="J198" s="630">
        <f>I198+1</f>
        <v>2025</v>
      </c>
      <c r="K198" s="630">
        <f>J198+1</f>
        <v>2026</v>
      </c>
      <c r="L198" s="491"/>
      <c r="M198" s="113"/>
      <c r="N198" s="679"/>
      <c r="O198" s="679"/>
      <c r="P198" s="679"/>
      <c r="Q198" s="674"/>
      <c r="R198" s="674"/>
      <c r="S198" s="674"/>
      <c r="T198" s="674"/>
      <c r="U198" s="674"/>
      <c r="V198" s="674"/>
      <c r="W198" s="491"/>
      <c r="X198" s="674"/>
      <c r="Y198" s="674"/>
      <c r="Z198" s="674"/>
      <c r="AA198" s="674"/>
      <c r="AB198" s="676"/>
      <c r="AC198" s="490"/>
      <c r="AD198" s="490"/>
      <c r="AE198" s="490"/>
      <c r="AF198" s="490"/>
      <c r="AG198" s="490"/>
      <c r="AH198" s="490"/>
      <c r="AI198" s="490"/>
      <c r="AJ198" s="490"/>
      <c r="AK198" s="490"/>
      <c r="AL198" s="490"/>
      <c r="AM198" s="490"/>
      <c r="AN198" s="490"/>
      <c r="AO198" s="490"/>
      <c r="AP198" s="490"/>
      <c r="AQ198" s="490"/>
      <c r="AR198" s="490"/>
      <c r="AS198" s="490"/>
      <c r="AT198" s="490"/>
      <c r="AU198" s="490"/>
      <c r="AV198" s="490"/>
      <c r="AW198" s="490"/>
      <c r="AX198" s="490"/>
      <c r="AY198" s="490"/>
      <c r="AZ198" s="491"/>
      <c r="BA198" s="491"/>
      <c r="BB198" s="491"/>
    </row>
    <row r="199" spans="1:54" hidden="1" outlineLevel="2" x14ac:dyDescent="0.2">
      <c r="A199" s="243"/>
      <c r="B199" s="243"/>
      <c r="C199" s="243"/>
      <c r="D199" s="243"/>
      <c r="E199" s="433" t="s">
        <v>951</v>
      </c>
      <c r="F199" s="283">
        <f t="shared" ref="F199:K199" si="133">F200*INDEX(MBSIncCalc,$C196,3)</f>
        <v>0</v>
      </c>
      <c r="G199" s="283">
        <f t="shared" si="133"/>
        <v>0</v>
      </c>
      <c r="H199" s="283">
        <f t="shared" si="133"/>
        <v>0</v>
      </c>
      <c r="I199" s="283">
        <f t="shared" si="133"/>
        <v>0</v>
      </c>
      <c r="J199" s="283">
        <f t="shared" si="133"/>
        <v>0</v>
      </c>
      <c r="K199" s="283">
        <f t="shared" si="133"/>
        <v>0</v>
      </c>
      <c r="L199" s="490"/>
      <c r="M199" s="680"/>
      <c r="N199" s="664"/>
      <c r="O199" s="664"/>
      <c r="P199" s="664"/>
      <c r="Q199" s="681"/>
      <c r="R199" s="681"/>
      <c r="S199" s="681"/>
      <c r="T199" s="681"/>
      <c r="U199" s="681"/>
      <c r="V199" s="681"/>
      <c r="W199" s="493"/>
      <c r="X199" s="561">
        <f>INDEX(MBSIncItems,C196,1)</f>
        <v>0</v>
      </c>
      <c r="Y199" s="561">
        <f>FirstYear</f>
        <v>2021</v>
      </c>
      <c r="Z199" s="560">
        <f>IF(F200&lt;&gt;0,F200-F202,0)</f>
        <v>0</v>
      </c>
      <c r="AA199" s="560">
        <f>IF(F208&lt;&gt;0,F208-F210,0)</f>
        <v>0</v>
      </c>
      <c r="AB199" s="674"/>
      <c r="AC199" s="490"/>
      <c r="AD199" s="490"/>
      <c r="AE199" s="490"/>
      <c r="AF199" s="490"/>
      <c r="AG199" s="490"/>
      <c r="AH199" s="490"/>
      <c r="AI199" s="490"/>
      <c r="AJ199" s="490"/>
      <c r="AK199" s="490"/>
      <c r="AL199" s="490"/>
      <c r="AM199" s="490"/>
      <c r="AN199" s="490"/>
      <c r="AO199" s="490"/>
      <c r="AP199" s="490"/>
      <c r="AQ199" s="490"/>
      <c r="AR199" s="490"/>
      <c r="AS199" s="490"/>
      <c r="AT199" s="490"/>
      <c r="AU199" s="490"/>
      <c r="AV199" s="490"/>
      <c r="AW199" s="490"/>
      <c r="AX199" s="490"/>
      <c r="AY199" s="490"/>
      <c r="AZ199" s="491"/>
      <c r="BA199" s="491"/>
      <c r="BB199" s="491"/>
    </row>
    <row r="200" spans="1:54" hidden="1" outlineLevel="2" x14ac:dyDescent="0.2">
      <c r="A200" s="243"/>
      <c r="B200" s="672"/>
      <c r="C200" s="242" t="str">
        <f>INDEX(MBSIncCalc,C196,2)</f>
        <v/>
      </c>
      <c r="D200" s="243"/>
      <c r="E200" s="62" t="s">
        <v>1310</v>
      </c>
      <c r="F200" s="63">
        <f t="shared" ref="F200:K200" si="134">IF(INDEX(MBSIncRate,$C196,2)=2,IFERROR(INDEX(PBSScriptsNew,$C200,F197),0),IFERROR(INDEX(MBSPBSInc,$C196,INDEX(MBSIncRate,$C196,3)*7+F197),0) * IFERROR(INDEX(MBSIncPopSplit,$C196),0)) * INDEX(MBSIncRate,$C196,1) * INDEX(MBSIncRate,$C196,4)</f>
        <v>0</v>
      </c>
      <c r="G200" s="63">
        <f t="shared" si="134"/>
        <v>0</v>
      </c>
      <c r="H200" s="63">
        <f t="shared" si="134"/>
        <v>0</v>
      </c>
      <c r="I200" s="63">
        <f t="shared" si="134"/>
        <v>0</v>
      </c>
      <c r="J200" s="63">
        <f t="shared" si="134"/>
        <v>0</v>
      </c>
      <c r="K200" s="63">
        <f t="shared" si="134"/>
        <v>0</v>
      </c>
      <c r="L200" s="490"/>
      <c r="M200" s="493"/>
      <c r="N200" s="493"/>
      <c r="O200" s="664"/>
      <c r="P200" s="664"/>
      <c r="Q200" s="681"/>
      <c r="R200" s="681"/>
      <c r="S200" s="681"/>
      <c r="T200" s="681"/>
      <c r="U200" s="681"/>
      <c r="V200" s="681"/>
      <c r="W200" s="493"/>
      <c r="X200" s="561">
        <f>X199</f>
        <v>0</v>
      </c>
      <c r="Y200" s="561">
        <f>Y199+1</f>
        <v>2022</v>
      </c>
      <c r="Z200" s="560">
        <f>IF(G200&lt;&gt;0,G200-G202,0)</f>
        <v>0</v>
      </c>
      <c r="AA200" s="560">
        <f>IF(G208&lt;&gt;0,G208-G210,0)</f>
        <v>0</v>
      </c>
      <c r="AB200" s="674"/>
      <c r="AC200" s="490"/>
      <c r="AD200" s="490"/>
      <c r="AE200" s="490"/>
      <c r="AF200" s="490"/>
      <c r="AG200" s="490"/>
      <c r="AH200" s="490"/>
      <c r="AI200" s="490"/>
      <c r="AJ200" s="490"/>
      <c r="AK200" s="490"/>
      <c r="AL200" s="490"/>
      <c r="AM200" s="490"/>
      <c r="AN200" s="490"/>
      <c r="AO200" s="490"/>
      <c r="AP200" s="490"/>
      <c r="AQ200" s="490"/>
      <c r="AR200" s="490"/>
      <c r="AS200" s="490"/>
      <c r="AT200" s="490"/>
      <c r="AU200" s="490"/>
      <c r="AV200" s="490"/>
      <c r="AW200" s="490"/>
      <c r="AX200" s="490"/>
      <c r="AY200" s="490"/>
      <c r="AZ200" s="491"/>
      <c r="BA200" s="491"/>
      <c r="BB200" s="491"/>
    </row>
    <row r="201" spans="1:54" hidden="1" outlineLevel="2" x14ac:dyDescent="0.2">
      <c r="A201" s="243"/>
      <c r="B201" s="242">
        <v>5</v>
      </c>
      <c r="C201" s="242">
        <v>6</v>
      </c>
      <c r="D201" s="243"/>
      <c r="E201" s="496" t="s">
        <v>1307</v>
      </c>
      <c r="F201" s="63" t="str">
        <f t="shared" ref="F201:K201" si="135">IFERROR(F200*INDEX(MBSIncItems,$C196,$B201)*INDEX(MBSIncItems,$C196,$C201),"")</f>
        <v/>
      </c>
      <c r="G201" s="63" t="str">
        <f t="shared" si="135"/>
        <v/>
      </c>
      <c r="H201" s="63" t="str">
        <f t="shared" si="135"/>
        <v/>
      </c>
      <c r="I201" s="63" t="str">
        <f t="shared" si="135"/>
        <v/>
      </c>
      <c r="J201" s="63" t="str">
        <f t="shared" si="135"/>
        <v/>
      </c>
      <c r="K201" s="63" t="str">
        <f t="shared" si="135"/>
        <v/>
      </c>
      <c r="L201" s="490"/>
      <c r="M201" s="493"/>
      <c r="N201" s="493"/>
      <c r="O201" s="682"/>
      <c r="P201" s="754"/>
      <c r="Q201" s="681"/>
      <c r="R201" s="681"/>
      <c r="S201" s="681"/>
      <c r="T201" s="681"/>
      <c r="U201" s="681"/>
      <c r="V201" s="681"/>
      <c r="W201" s="493"/>
      <c r="X201" s="561">
        <f t="shared" ref="X201:X204" si="136">X200</f>
        <v>0</v>
      </c>
      <c r="Y201" s="561">
        <f>Y200+1</f>
        <v>2023</v>
      </c>
      <c r="Z201" s="560">
        <f>IF(H200&lt;&gt;0,H200-H202,0)</f>
        <v>0</v>
      </c>
      <c r="AA201" s="560">
        <f>IF(H208&lt;&gt;0,H208-H210,0)</f>
        <v>0</v>
      </c>
      <c r="AB201" s="675"/>
      <c r="AC201" s="490"/>
      <c r="AD201" s="490"/>
      <c r="AE201" s="490"/>
      <c r="AF201" s="490"/>
      <c r="AG201" s="490"/>
      <c r="AH201" s="490"/>
      <c r="AI201" s="490"/>
      <c r="AJ201" s="490"/>
      <c r="AK201" s="490"/>
      <c r="AL201" s="490"/>
      <c r="AM201" s="490"/>
      <c r="AN201" s="490"/>
      <c r="AO201" s="490"/>
      <c r="AP201" s="490"/>
      <c r="AQ201" s="490"/>
      <c r="AR201" s="490"/>
      <c r="AS201" s="490"/>
      <c r="AT201" s="490"/>
      <c r="AU201" s="490"/>
      <c r="AV201" s="490"/>
      <c r="AW201" s="490"/>
      <c r="AX201" s="490"/>
      <c r="AY201" s="490"/>
      <c r="AZ201" s="491"/>
      <c r="BA201" s="491"/>
      <c r="BB201" s="491"/>
    </row>
    <row r="202" spans="1:54" hidden="1" outlineLevel="2" x14ac:dyDescent="0.2">
      <c r="A202" s="416"/>
      <c r="B202" s="242">
        <v>4</v>
      </c>
      <c r="C202" s="242">
        <v>6</v>
      </c>
      <c r="D202" s="243"/>
      <c r="E202" s="496" t="s">
        <v>1306</v>
      </c>
      <c r="F202" s="63" t="str">
        <f t="shared" ref="F202:K202" si="137">IFERROR(F200*INDEX(MBSIncItems,$C196,$B202)*INDEX(MBSIncItems,$C196,$C202),"")</f>
        <v/>
      </c>
      <c r="G202" s="63" t="str">
        <f t="shared" si="137"/>
        <v/>
      </c>
      <c r="H202" s="63" t="str">
        <f t="shared" si="137"/>
        <v/>
      </c>
      <c r="I202" s="63" t="str">
        <f t="shared" si="137"/>
        <v/>
      </c>
      <c r="J202" s="63" t="str">
        <f t="shared" si="137"/>
        <v/>
      </c>
      <c r="K202" s="63" t="str">
        <f t="shared" si="137"/>
        <v/>
      </c>
      <c r="L202" s="416"/>
      <c r="M202" s="416"/>
      <c r="N202" s="416"/>
      <c r="O202" s="416"/>
      <c r="P202" s="416"/>
      <c r="Q202" s="416"/>
      <c r="R202" s="416"/>
      <c r="S202" s="416"/>
      <c r="T202" s="416"/>
      <c r="U202" s="416"/>
      <c r="V202" s="416"/>
      <c r="W202" s="493"/>
      <c r="X202" s="561">
        <f t="shared" si="136"/>
        <v>0</v>
      </c>
      <c r="Y202" s="561">
        <f>Y201+1</f>
        <v>2024</v>
      </c>
      <c r="Z202" s="560">
        <f>IF(I200&lt;&gt;0,I200-I202,0)</f>
        <v>0</v>
      </c>
      <c r="AA202" s="560">
        <f>IF(I208&lt;&gt;0,I208-I210,0)</f>
        <v>0</v>
      </c>
      <c r="AB202" s="675"/>
      <c r="AC202" s="490"/>
      <c r="AD202" s="490"/>
      <c r="AE202" s="490"/>
      <c r="AF202" s="490"/>
      <c r="AG202" s="490"/>
      <c r="AH202" s="490"/>
      <c r="AI202" s="490"/>
      <c r="AJ202" s="490"/>
      <c r="AK202" s="490"/>
      <c r="AL202" s="490"/>
      <c r="AM202" s="490"/>
      <c r="AN202" s="490"/>
      <c r="AO202" s="490"/>
      <c r="AP202" s="490"/>
      <c r="AQ202" s="490"/>
      <c r="AR202" s="490"/>
      <c r="AS202" s="490"/>
      <c r="AT202" s="490"/>
      <c r="AU202" s="490"/>
      <c r="AV202" s="490"/>
      <c r="AW202" s="490"/>
      <c r="AX202" s="490"/>
      <c r="AY202" s="490"/>
      <c r="AZ202" s="491"/>
      <c r="BA202" s="491"/>
      <c r="BB202" s="491"/>
    </row>
    <row r="203" spans="1:54" hidden="1" outlineLevel="2" x14ac:dyDescent="0.2">
      <c r="A203" s="243"/>
      <c r="B203" s="242"/>
      <c r="C203" s="242">
        <v>7</v>
      </c>
      <c r="D203" s="243"/>
      <c r="E203" s="497" t="s">
        <v>1308</v>
      </c>
      <c r="F203" s="63" t="str">
        <f t="shared" ref="F203:K203" si="138">IFERROR(F200*INDEX(MBSIncItems,$C196,$C203),"")</f>
        <v/>
      </c>
      <c r="G203" s="63" t="str">
        <f t="shared" si="138"/>
        <v/>
      </c>
      <c r="H203" s="63" t="str">
        <f t="shared" si="138"/>
        <v/>
      </c>
      <c r="I203" s="63" t="str">
        <f t="shared" si="138"/>
        <v/>
      </c>
      <c r="J203" s="63" t="str">
        <f t="shared" si="138"/>
        <v/>
      </c>
      <c r="K203" s="63" t="str">
        <f t="shared" si="138"/>
        <v/>
      </c>
      <c r="L203" s="490"/>
      <c r="M203" s="493"/>
      <c r="N203" s="493"/>
      <c r="O203" s="682"/>
      <c r="P203" s="754"/>
      <c r="Q203" s="681"/>
      <c r="R203" s="681"/>
      <c r="S203" s="681"/>
      <c r="T203" s="681"/>
      <c r="U203" s="681"/>
      <c r="V203" s="681"/>
      <c r="W203" s="493"/>
      <c r="X203" s="561">
        <f t="shared" si="136"/>
        <v>0</v>
      </c>
      <c r="Y203" s="561">
        <f>Y202+1</f>
        <v>2025</v>
      </c>
      <c r="Z203" s="560">
        <f>IF(J200&lt;&gt;0,J200-J202,0)</f>
        <v>0</v>
      </c>
      <c r="AA203" s="560">
        <f>IF(J208&lt;&gt;0,J208-J210,0)</f>
        <v>0</v>
      </c>
      <c r="AB203" s="675"/>
      <c r="AC203" s="490"/>
      <c r="AD203" s="490"/>
      <c r="AE203" s="490"/>
      <c r="AF203" s="490"/>
      <c r="AG203" s="490"/>
      <c r="AH203" s="490"/>
      <c r="AI203" s="490"/>
      <c r="AJ203" s="490"/>
      <c r="AK203" s="490"/>
      <c r="AL203" s="490"/>
      <c r="AM203" s="490"/>
      <c r="AN203" s="490"/>
      <c r="AO203" s="490"/>
      <c r="AP203" s="490"/>
      <c r="AQ203" s="490"/>
      <c r="AR203" s="490"/>
      <c r="AS203" s="490"/>
      <c r="AT203" s="490"/>
      <c r="AU203" s="490"/>
      <c r="AV203" s="490"/>
      <c r="AW203" s="490"/>
      <c r="AX203" s="490"/>
      <c r="AY203" s="490"/>
      <c r="AZ203" s="491"/>
      <c r="BA203" s="491"/>
      <c r="BB203" s="491"/>
    </row>
    <row r="204" spans="1:54" hidden="1" outlineLevel="2" x14ac:dyDescent="0.2">
      <c r="A204" s="243"/>
      <c r="B204" s="493"/>
      <c r="C204" s="493"/>
      <c r="D204" s="493"/>
      <c r="E204" s="493"/>
      <c r="F204" s="493"/>
      <c r="G204" s="493"/>
      <c r="H204" s="493"/>
      <c r="I204" s="493"/>
      <c r="J204" s="493"/>
      <c r="K204" s="493"/>
      <c r="L204" s="490"/>
      <c r="M204" s="493"/>
      <c r="N204" s="493"/>
      <c r="O204" s="682"/>
      <c r="P204" s="682"/>
      <c r="Q204" s="681"/>
      <c r="R204" s="681"/>
      <c r="S204" s="681"/>
      <c r="T204" s="681"/>
      <c r="U204" s="681"/>
      <c r="V204" s="681"/>
      <c r="W204" s="493"/>
      <c r="X204" s="561">
        <f t="shared" si="136"/>
        <v>0</v>
      </c>
      <c r="Y204" s="561">
        <f>Y203+1</f>
        <v>2026</v>
      </c>
      <c r="Z204" s="560">
        <f>IF(K200&lt;&gt;0,K200-K202,0)</f>
        <v>0</v>
      </c>
      <c r="AA204" s="560">
        <f>IF(K208&lt;&gt;0,K208-K210,0)</f>
        <v>0</v>
      </c>
      <c r="AB204" s="675"/>
      <c r="AC204" s="490"/>
      <c r="AD204" s="490"/>
      <c r="AE204" s="490"/>
      <c r="AF204" s="490"/>
      <c r="AG204" s="490"/>
      <c r="AH204" s="490"/>
      <c r="AI204" s="490"/>
      <c r="AJ204" s="490"/>
      <c r="AK204" s="490"/>
      <c r="AL204" s="490"/>
      <c r="AM204" s="490"/>
      <c r="AN204" s="490"/>
      <c r="AO204" s="490"/>
      <c r="AP204" s="490"/>
      <c r="AQ204" s="490"/>
      <c r="AR204" s="490"/>
      <c r="AS204" s="490"/>
      <c r="AT204" s="490"/>
      <c r="AU204" s="490"/>
      <c r="AV204" s="490"/>
      <c r="AW204" s="490"/>
      <c r="AX204" s="490"/>
      <c r="AY204" s="490"/>
      <c r="AZ204" s="491"/>
      <c r="BA204" s="491"/>
      <c r="BB204" s="491"/>
    </row>
    <row r="205" spans="1:54" hidden="1" outlineLevel="2" x14ac:dyDescent="0.2">
      <c r="A205" s="243"/>
      <c r="B205" s="243"/>
      <c r="C205" s="243"/>
      <c r="D205" s="677"/>
      <c r="E205" s="677"/>
      <c r="F205" s="495">
        <v>2</v>
      </c>
      <c r="G205" s="495">
        <v>3</v>
      </c>
      <c r="H205" s="495">
        <v>4</v>
      </c>
      <c r="I205" s="495">
        <v>5</v>
      </c>
      <c r="J205" s="495">
        <v>6</v>
      </c>
      <c r="K205" s="495">
        <v>7</v>
      </c>
      <c r="L205" s="490"/>
      <c r="M205" s="243"/>
      <c r="N205" s="678"/>
      <c r="O205" s="678"/>
      <c r="P205" s="678"/>
      <c r="Q205" s="673"/>
      <c r="R205" s="673"/>
      <c r="S205" s="673"/>
      <c r="T205" s="673"/>
      <c r="U205" s="673"/>
      <c r="V205" s="673"/>
      <c r="W205" s="490"/>
      <c r="X205" s="676"/>
      <c r="Y205" s="676"/>
      <c r="Z205" s="676"/>
      <c r="AA205" s="676"/>
      <c r="AB205" s="675"/>
      <c r="AC205" s="490"/>
      <c r="AD205" s="490"/>
      <c r="AE205" s="490"/>
      <c r="AF205" s="490"/>
      <c r="AG205" s="490"/>
      <c r="AH205" s="490"/>
      <c r="AI205" s="490"/>
      <c r="AJ205" s="490"/>
      <c r="AK205" s="490"/>
      <c r="AL205" s="490"/>
      <c r="AM205" s="490"/>
      <c r="AN205" s="490"/>
      <c r="AO205" s="490"/>
      <c r="AP205" s="490"/>
      <c r="AQ205" s="490"/>
      <c r="AR205" s="490"/>
      <c r="AS205" s="490"/>
      <c r="AT205" s="490"/>
      <c r="AU205" s="490"/>
      <c r="AV205" s="490"/>
      <c r="AW205" s="490"/>
      <c r="AX205" s="490"/>
      <c r="AY205" s="490"/>
      <c r="AZ205" s="491"/>
      <c r="BA205" s="491"/>
      <c r="BB205" s="491"/>
    </row>
    <row r="206" spans="1:54" ht="15.75" hidden="1" outlineLevel="2" x14ac:dyDescent="0.2">
      <c r="A206" s="243"/>
      <c r="B206" s="243"/>
      <c r="C206" s="243"/>
      <c r="D206" s="663" t="s">
        <v>1</v>
      </c>
      <c r="E206" s="663"/>
      <c r="F206" s="751">
        <f>FirstYear</f>
        <v>2021</v>
      </c>
      <c r="G206" s="751">
        <f>F206+1</f>
        <v>2022</v>
      </c>
      <c r="H206" s="751">
        <f>G206+1</f>
        <v>2023</v>
      </c>
      <c r="I206" s="751">
        <f>H206+1</f>
        <v>2024</v>
      </c>
      <c r="J206" s="751">
        <f>I206+1</f>
        <v>2025</v>
      </c>
      <c r="K206" s="751">
        <f>J206+1</f>
        <v>2026</v>
      </c>
      <c r="L206" s="491"/>
      <c r="M206" s="243"/>
      <c r="N206" s="685"/>
      <c r="O206" s="685"/>
      <c r="P206" s="685"/>
      <c r="Q206" s="673"/>
      <c r="R206" s="673"/>
      <c r="S206" s="673"/>
      <c r="T206" s="673"/>
      <c r="U206" s="673"/>
      <c r="V206" s="673"/>
      <c r="W206" s="491"/>
      <c r="X206" s="676"/>
      <c r="Y206" s="676"/>
      <c r="Z206" s="676"/>
      <c r="AA206" s="676"/>
      <c r="AB206" s="676"/>
      <c r="AC206" s="490"/>
      <c r="AD206" s="490"/>
      <c r="AE206" s="490"/>
      <c r="AF206" s="490"/>
      <c r="AG206" s="490"/>
      <c r="AH206" s="490"/>
      <c r="AI206" s="490"/>
      <c r="AJ206" s="490"/>
      <c r="AK206" s="490"/>
      <c r="AL206" s="490"/>
      <c r="AM206" s="490"/>
      <c r="AN206" s="490"/>
      <c r="AO206" s="490"/>
      <c r="AP206" s="490"/>
      <c r="AQ206" s="490"/>
      <c r="AR206" s="490"/>
      <c r="AS206" s="490"/>
      <c r="AT206" s="490"/>
      <c r="AU206" s="490"/>
      <c r="AV206" s="490"/>
      <c r="AW206" s="490"/>
      <c r="AX206" s="490"/>
      <c r="AY206" s="490"/>
      <c r="AZ206" s="491"/>
      <c r="BA206" s="491"/>
      <c r="BB206" s="491"/>
    </row>
    <row r="207" spans="1:54" hidden="1" outlineLevel="2" x14ac:dyDescent="0.2">
      <c r="A207" s="243"/>
      <c r="B207" s="243"/>
      <c r="C207" s="243"/>
      <c r="D207" s="243"/>
      <c r="E207" s="433" t="s">
        <v>951</v>
      </c>
      <c r="F207" s="283">
        <f t="shared" ref="F207:K207" si="139">F208*INDEX(MBSIncCalc,$C196,3)</f>
        <v>0</v>
      </c>
      <c r="G207" s="283">
        <f t="shared" si="139"/>
        <v>0</v>
      </c>
      <c r="H207" s="283">
        <f t="shared" si="139"/>
        <v>0</v>
      </c>
      <c r="I207" s="283">
        <f t="shared" si="139"/>
        <v>0</v>
      </c>
      <c r="J207" s="283">
        <f t="shared" si="139"/>
        <v>0</v>
      </c>
      <c r="K207" s="283">
        <f t="shared" si="139"/>
        <v>0</v>
      </c>
      <c r="L207" s="490"/>
      <c r="M207" s="615"/>
      <c r="N207" s="615"/>
      <c r="O207" s="678"/>
      <c r="P207" s="678"/>
      <c r="Q207" s="673"/>
      <c r="R207" s="673"/>
      <c r="S207" s="673"/>
      <c r="T207" s="673"/>
      <c r="U207" s="673"/>
      <c r="V207" s="673"/>
      <c r="W207" s="490"/>
      <c r="X207" s="676"/>
      <c r="Y207" s="676"/>
      <c r="Z207" s="676"/>
      <c r="AA207" s="676"/>
      <c r="AB207" s="676"/>
      <c r="AC207" s="490"/>
      <c r="AD207" s="490"/>
      <c r="AE207" s="490"/>
      <c r="AF207" s="490"/>
      <c r="AG207" s="490"/>
      <c r="AH207" s="490"/>
      <c r="AI207" s="490"/>
      <c r="AJ207" s="490"/>
      <c r="AK207" s="490"/>
      <c r="AL207" s="490"/>
      <c r="AM207" s="490"/>
      <c r="AN207" s="490"/>
      <c r="AO207" s="490"/>
      <c r="AP207" s="490"/>
      <c r="AQ207" s="490"/>
      <c r="AR207" s="490"/>
      <c r="AS207" s="490"/>
      <c r="AT207" s="490"/>
      <c r="AU207" s="490"/>
      <c r="AV207" s="490"/>
      <c r="AW207" s="490"/>
      <c r="AX207" s="490"/>
      <c r="AY207" s="490"/>
      <c r="AZ207" s="491"/>
      <c r="BA207" s="491"/>
      <c r="BB207" s="491"/>
    </row>
    <row r="208" spans="1:54" hidden="1" outlineLevel="2" x14ac:dyDescent="0.2">
      <c r="A208" s="243"/>
      <c r="B208" s="672"/>
      <c r="C208" s="242" t="str">
        <f>C200</f>
        <v/>
      </c>
      <c r="D208" s="243"/>
      <c r="E208" s="62" t="s">
        <v>1310</v>
      </c>
      <c r="F208" s="63">
        <f t="shared" ref="F208:K208" si="140">IF(INDEX(MBSIncRate,$C196,2)=2,IFERROR(INDEX(RPBSScriptsNew,$C208,F205),0),IFERROR(INDEX(MBSRPBSInc,$C196,INDEX(MBSIncRate,$C196,3)*7+F205),0) * IFERROR(INDEX(MBSIncPopSplit,$C196),0)) * INDEX(MBSIncRate,$C196,1) * INDEX(MBSIncRate,$C196,4)</f>
        <v>0</v>
      </c>
      <c r="G208" s="63">
        <f t="shared" si="140"/>
        <v>0</v>
      </c>
      <c r="H208" s="63">
        <f t="shared" si="140"/>
        <v>0</v>
      </c>
      <c r="I208" s="63">
        <f t="shared" si="140"/>
        <v>0</v>
      </c>
      <c r="J208" s="63">
        <f t="shared" si="140"/>
        <v>0</v>
      </c>
      <c r="K208" s="63">
        <f t="shared" si="140"/>
        <v>0</v>
      </c>
      <c r="L208" s="490"/>
      <c r="M208" s="243"/>
      <c r="N208" s="753"/>
      <c r="O208" s="678"/>
      <c r="P208" s="678"/>
      <c r="Q208" s="673"/>
      <c r="R208" s="673"/>
      <c r="S208" s="673"/>
      <c r="T208" s="673"/>
      <c r="U208" s="673"/>
      <c r="V208" s="673"/>
      <c r="W208" s="490"/>
      <c r="X208" s="676"/>
      <c r="Y208" s="676"/>
      <c r="Z208" s="676"/>
      <c r="AA208" s="676"/>
      <c r="AB208" s="676"/>
      <c r="AC208" s="490"/>
      <c r="AD208" s="490"/>
      <c r="AE208" s="490"/>
      <c r="AF208" s="490"/>
      <c r="AG208" s="490"/>
      <c r="AH208" s="490"/>
      <c r="AI208" s="490"/>
      <c r="AJ208" s="490"/>
      <c r="AK208" s="490"/>
      <c r="AL208" s="490"/>
      <c r="AM208" s="490"/>
      <c r="AN208" s="490"/>
      <c r="AO208" s="490"/>
      <c r="AP208" s="490"/>
      <c r="AQ208" s="490"/>
      <c r="AR208" s="490"/>
      <c r="AS208" s="490"/>
      <c r="AT208" s="490"/>
      <c r="AU208" s="490"/>
      <c r="AV208" s="490"/>
      <c r="AW208" s="490"/>
      <c r="AX208" s="490"/>
      <c r="AY208" s="490"/>
      <c r="AZ208" s="491"/>
      <c r="BA208" s="491"/>
      <c r="BB208" s="491"/>
    </row>
    <row r="209" spans="1:54" hidden="1" outlineLevel="2" x14ac:dyDescent="0.2">
      <c r="A209" s="243"/>
      <c r="B209" s="242">
        <v>5</v>
      </c>
      <c r="C209" s="242">
        <v>6</v>
      </c>
      <c r="D209" s="243"/>
      <c r="E209" s="496" t="s">
        <v>1307</v>
      </c>
      <c r="F209" s="63" t="str">
        <f t="shared" ref="F209:K209" si="141">IFERROR(F208*INDEX(MBSIncItems,$C196,$B209)*INDEX(MBSIncItems,$C196,$C209),"")</f>
        <v/>
      </c>
      <c r="G209" s="63" t="str">
        <f t="shared" si="141"/>
        <v/>
      </c>
      <c r="H209" s="63" t="str">
        <f t="shared" si="141"/>
        <v/>
      </c>
      <c r="I209" s="63" t="str">
        <f t="shared" si="141"/>
        <v/>
      </c>
      <c r="J209" s="63" t="str">
        <f t="shared" si="141"/>
        <v/>
      </c>
      <c r="K209" s="63" t="str">
        <f t="shared" si="141"/>
        <v/>
      </c>
      <c r="L209" s="490"/>
      <c r="M209" s="683"/>
      <c r="N209" s="753"/>
      <c r="O209" s="678"/>
      <c r="P209" s="678"/>
      <c r="Q209" s="673"/>
      <c r="R209" s="673"/>
      <c r="S209" s="673"/>
      <c r="T209" s="673"/>
      <c r="U209" s="673"/>
      <c r="V209" s="673"/>
      <c r="W209" s="490"/>
      <c r="X209" s="676"/>
      <c r="Y209" s="676"/>
      <c r="Z209" s="676"/>
      <c r="AA209" s="676"/>
      <c r="AB209" s="676"/>
      <c r="AC209" s="490"/>
      <c r="AD209" s="490"/>
      <c r="AE209" s="490"/>
      <c r="AF209" s="490"/>
      <c r="AG209" s="490"/>
      <c r="AH209" s="490"/>
      <c r="AI209" s="490"/>
      <c r="AJ209" s="490"/>
      <c r="AK209" s="490"/>
      <c r="AL209" s="490"/>
      <c r="AM209" s="490"/>
      <c r="AN209" s="490"/>
      <c r="AO209" s="490"/>
      <c r="AP209" s="490"/>
      <c r="AQ209" s="490"/>
      <c r="AR209" s="490"/>
      <c r="AS209" s="490"/>
      <c r="AT209" s="490"/>
      <c r="AU209" s="490"/>
      <c r="AV209" s="490"/>
      <c r="AW209" s="490"/>
      <c r="AX209" s="490"/>
      <c r="AY209" s="490"/>
      <c r="AZ209" s="491"/>
      <c r="BA209" s="491"/>
      <c r="BB209" s="491"/>
    </row>
    <row r="210" spans="1:54" hidden="1" outlineLevel="2" x14ac:dyDescent="0.2">
      <c r="A210" s="243"/>
      <c r="B210" s="242">
        <v>4</v>
      </c>
      <c r="C210" s="242">
        <v>6</v>
      </c>
      <c r="D210" s="243"/>
      <c r="E210" s="496" t="s">
        <v>1306</v>
      </c>
      <c r="F210" s="63" t="str">
        <f t="shared" ref="F210:K210" si="142">IFERROR(F208*INDEX(MBSIncItems,$C196,$B210)*INDEX(MBSIncItems,$C196,$C210),"")</f>
        <v/>
      </c>
      <c r="G210" s="63" t="str">
        <f t="shared" si="142"/>
        <v/>
      </c>
      <c r="H210" s="63" t="str">
        <f t="shared" si="142"/>
        <v/>
      </c>
      <c r="I210" s="63" t="str">
        <f t="shared" si="142"/>
        <v/>
      </c>
      <c r="J210" s="63" t="str">
        <f t="shared" si="142"/>
        <v/>
      </c>
      <c r="K210" s="63" t="str">
        <f t="shared" si="142"/>
        <v/>
      </c>
      <c r="L210" s="490"/>
      <c r="M210" s="684"/>
      <c r="N210" s="682"/>
      <c r="O210" s="678"/>
      <c r="P210" s="678"/>
      <c r="Q210" s="673"/>
      <c r="R210" s="673"/>
      <c r="S210" s="673"/>
      <c r="T210" s="673"/>
      <c r="U210" s="673"/>
      <c r="V210" s="673"/>
      <c r="W210" s="490"/>
      <c r="X210" s="676"/>
      <c r="Y210" s="676"/>
      <c r="Z210" s="676"/>
      <c r="AA210" s="676"/>
      <c r="AB210" s="676"/>
      <c r="AC210" s="490"/>
      <c r="AD210" s="490"/>
      <c r="AE210" s="490"/>
      <c r="AF210" s="490"/>
      <c r="AG210" s="490"/>
      <c r="AH210" s="490"/>
      <c r="AI210" s="490"/>
      <c r="AJ210" s="490"/>
      <c r="AK210" s="490"/>
      <c r="AL210" s="490"/>
      <c r="AM210" s="490"/>
      <c r="AN210" s="490"/>
      <c r="AO210" s="490"/>
      <c r="AP210" s="490"/>
      <c r="AQ210" s="490"/>
      <c r="AR210" s="490"/>
      <c r="AS210" s="490"/>
      <c r="AT210" s="490"/>
      <c r="AU210" s="490"/>
      <c r="AV210" s="490"/>
      <c r="AW210" s="490"/>
      <c r="AX210" s="490"/>
      <c r="AY210" s="490"/>
      <c r="AZ210" s="491"/>
      <c r="BA210" s="491"/>
      <c r="BB210" s="491"/>
    </row>
    <row r="211" spans="1:54" hidden="1" outlineLevel="2" x14ac:dyDescent="0.2">
      <c r="A211" s="243"/>
      <c r="B211" s="242"/>
      <c r="C211" s="242">
        <v>7</v>
      </c>
      <c r="D211" s="243"/>
      <c r="E211" s="497" t="s">
        <v>1308</v>
      </c>
      <c r="F211" s="63" t="str">
        <f t="shared" ref="F211:K211" si="143">IFERROR(F208*INDEX(MBSIncItems,$C196,$C211),"")</f>
        <v/>
      </c>
      <c r="G211" s="63" t="str">
        <f t="shared" si="143"/>
        <v/>
      </c>
      <c r="H211" s="63" t="str">
        <f t="shared" si="143"/>
        <v/>
      </c>
      <c r="I211" s="63" t="str">
        <f t="shared" si="143"/>
        <v/>
      </c>
      <c r="J211" s="63" t="str">
        <f t="shared" si="143"/>
        <v/>
      </c>
      <c r="K211" s="63" t="str">
        <f t="shared" si="143"/>
        <v/>
      </c>
      <c r="L211" s="490"/>
      <c r="M211" s="684"/>
      <c r="N211" s="682"/>
      <c r="O211" s="678"/>
      <c r="P211" s="678"/>
      <c r="Q211" s="673"/>
      <c r="R211" s="673"/>
      <c r="S211" s="673"/>
      <c r="T211" s="673"/>
      <c r="U211" s="673"/>
      <c r="V211" s="673"/>
      <c r="W211" s="490"/>
      <c r="X211" s="676"/>
      <c r="Y211" s="676"/>
      <c r="Z211" s="676"/>
      <c r="AA211" s="676"/>
      <c r="AB211" s="676"/>
      <c r="AC211" s="490"/>
      <c r="AD211" s="490"/>
      <c r="AE211" s="490"/>
      <c r="AF211" s="490"/>
      <c r="AG211" s="490"/>
      <c r="AH211" s="490"/>
      <c r="AI211" s="490"/>
      <c r="AJ211" s="490"/>
      <c r="AK211" s="490"/>
      <c r="AL211" s="490"/>
      <c r="AM211" s="490"/>
      <c r="AN211" s="490"/>
      <c r="AO211" s="490"/>
      <c r="AP211" s="490"/>
      <c r="AQ211" s="490"/>
      <c r="AR211" s="490"/>
      <c r="AS211" s="490"/>
      <c r="AT211" s="490"/>
      <c r="AU211" s="490"/>
      <c r="AV211" s="490"/>
      <c r="AW211" s="490"/>
      <c r="AX211" s="490"/>
      <c r="AY211" s="490"/>
      <c r="AZ211" s="491"/>
      <c r="BA211" s="491"/>
      <c r="BB211" s="491"/>
    </row>
    <row r="212" spans="1:54" hidden="1" outlineLevel="1" x14ac:dyDescent="0.2">
      <c r="A212" s="243"/>
      <c r="B212" s="243"/>
      <c r="C212" s="243"/>
      <c r="D212" s="677"/>
      <c r="E212" s="677"/>
      <c r="F212" s="243"/>
      <c r="G212" s="243"/>
      <c r="H212" s="243"/>
      <c r="I212" s="243"/>
      <c r="J212" s="243"/>
      <c r="K212" s="243"/>
      <c r="L212" s="243"/>
      <c r="M212" s="243"/>
      <c r="N212" s="678"/>
      <c r="O212" s="678"/>
      <c r="P212" s="678"/>
      <c r="Q212" s="673"/>
      <c r="R212" s="673"/>
      <c r="S212" s="673"/>
      <c r="T212" s="673"/>
      <c r="U212" s="673"/>
      <c r="V212" s="673"/>
      <c r="W212" s="490"/>
      <c r="X212" s="676"/>
      <c r="Y212" s="676"/>
      <c r="Z212" s="676"/>
      <c r="AA212" s="676"/>
      <c r="AB212" s="676"/>
      <c r="AC212" s="490"/>
      <c r="AD212" s="490"/>
      <c r="AE212" s="490"/>
      <c r="AF212" s="490"/>
      <c r="AG212" s="490"/>
      <c r="AH212" s="490"/>
      <c r="AI212" s="490"/>
      <c r="AJ212" s="490"/>
      <c r="AK212" s="490"/>
      <c r="AL212" s="490"/>
      <c r="AM212" s="490"/>
      <c r="AN212" s="490"/>
      <c r="AO212" s="490"/>
      <c r="AP212" s="490"/>
      <c r="AQ212" s="490"/>
      <c r="AR212" s="490"/>
      <c r="AS212" s="490"/>
      <c r="AT212" s="490"/>
      <c r="AU212" s="490"/>
      <c r="AV212" s="490"/>
      <c r="AW212" s="490"/>
      <c r="AX212" s="490"/>
      <c r="AY212" s="490"/>
      <c r="AZ212" s="491"/>
      <c r="BA212" s="491"/>
      <c r="BB212" s="491"/>
    </row>
    <row r="213" spans="1:54" ht="15.75" hidden="1" outlineLevel="1" collapsed="1" x14ac:dyDescent="0.2">
      <c r="A213" s="243"/>
      <c r="B213" s="243"/>
      <c r="C213" s="242">
        <v>7</v>
      </c>
      <c r="D213" s="79" t="str">
        <f>INDEX(MBSIncNames,C213)</f>
        <v>** NOT USED **</v>
      </c>
      <c r="E213" s="79"/>
      <c r="F213" s="115"/>
      <c r="G213" s="115"/>
      <c r="H213" s="115"/>
      <c r="I213" s="115"/>
      <c r="J213" s="821" t="str">
        <f>IF(D213&lt;&gt;MsgNotUsed,"Co-payment group " &amp; K69,"")</f>
        <v/>
      </c>
      <c r="K213" s="821"/>
      <c r="L213" s="115"/>
      <c r="M213" s="115"/>
      <c r="N213" s="115"/>
      <c r="O213" s="115"/>
      <c r="P213" s="115"/>
      <c r="Q213" s="115"/>
      <c r="R213" s="115"/>
      <c r="S213" s="115"/>
      <c r="T213" s="115"/>
      <c r="U213" s="115"/>
      <c r="V213" s="115"/>
      <c r="W213" s="491"/>
      <c r="X213" s="490"/>
      <c r="Y213" s="490"/>
      <c r="Z213" s="490"/>
      <c r="AA213" s="490"/>
      <c r="AB213" s="676"/>
      <c r="AC213" s="490"/>
      <c r="AD213" s="490"/>
      <c r="AE213" s="490"/>
      <c r="AF213" s="490"/>
      <c r="AG213" s="490"/>
      <c r="AH213" s="490"/>
      <c r="AI213" s="490"/>
      <c r="AJ213" s="490"/>
      <c r="AK213" s="490"/>
      <c r="AL213" s="490"/>
      <c r="AM213" s="490"/>
      <c r="AN213" s="490"/>
      <c r="AO213" s="490"/>
      <c r="AP213" s="490"/>
      <c r="AQ213" s="490"/>
      <c r="AR213" s="490"/>
      <c r="AS213" s="490"/>
      <c r="AT213" s="490"/>
      <c r="AU213" s="490"/>
      <c r="AV213" s="490"/>
      <c r="AW213" s="490"/>
      <c r="AX213" s="490"/>
      <c r="AY213" s="490"/>
      <c r="AZ213" s="491"/>
      <c r="BA213" s="491"/>
      <c r="BB213" s="491"/>
    </row>
    <row r="214" spans="1:54" hidden="1" outlineLevel="2" x14ac:dyDescent="0.2">
      <c r="A214" s="243"/>
      <c r="B214" s="243"/>
      <c r="C214" s="243"/>
      <c r="D214" s="243"/>
      <c r="E214" s="243"/>
      <c r="F214" s="495">
        <v>2</v>
      </c>
      <c r="G214" s="495">
        <v>3</v>
      </c>
      <c r="H214" s="495">
        <v>4</v>
      </c>
      <c r="I214" s="495">
        <v>5</v>
      </c>
      <c r="J214" s="495">
        <v>6</v>
      </c>
      <c r="K214" s="495">
        <v>7</v>
      </c>
      <c r="L214" s="495"/>
      <c r="M214" s="243"/>
      <c r="N214" s="243"/>
      <c r="O214" s="243"/>
      <c r="P214" s="243"/>
      <c r="Q214" s="243"/>
      <c r="R214" s="243"/>
      <c r="S214" s="243"/>
      <c r="T214" s="243"/>
      <c r="U214" s="243"/>
      <c r="V214" s="243"/>
      <c r="W214" s="490"/>
      <c r="X214" s="490"/>
      <c r="Y214" s="490"/>
      <c r="Z214" s="490"/>
      <c r="AA214" s="490"/>
      <c r="AB214" s="676"/>
      <c r="AC214" s="490"/>
      <c r="AD214" s="490"/>
      <c r="AE214" s="490"/>
      <c r="AF214" s="490"/>
      <c r="AG214" s="490"/>
      <c r="AH214" s="490"/>
      <c r="AI214" s="490"/>
      <c r="AJ214" s="490"/>
      <c r="AK214" s="490"/>
      <c r="AL214" s="490"/>
      <c r="AM214" s="490"/>
      <c r="AN214" s="490"/>
      <c r="AO214" s="490"/>
      <c r="AP214" s="490"/>
      <c r="AQ214" s="490"/>
      <c r="AR214" s="490"/>
      <c r="AS214" s="490"/>
      <c r="AT214" s="490"/>
      <c r="AU214" s="490"/>
      <c r="AV214" s="490"/>
      <c r="AW214" s="490"/>
      <c r="AX214" s="490"/>
      <c r="AY214" s="490"/>
      <c r="AZ214" s="491"/>
      <c r="BA214" s="491"/>
      <c r="BB214" s="491"/>
    </row>
    <row r="215" spans="1:54" ht="15" hidden="1" outlineLevel="2" x14ac:dyDescent="0.2">
      <c r="A215" s="243"/>
      <c r="B215" s="243"/>
      <c r="C215" s="243"/>
      <c r="D215" s="663" t="s">
        <v>0</v>
      </c>
      <c r="E215" s="663"/>
      <c r="F215" s="630">
        <f>FirstYear</f>
        <v>2021</v>
      </c>
      <c r="G215" s="630">
        <f>F215+1</f>
        <v>2022</v>
      </c>
      <c r="H215" s="630">
        <f>G215+1</f>
        <v>2023</v>
      </c>
      <c r="I215" s="630">
        <f>H215+1</f>
        <v>2024</v>
      </c>
      <c r="J215" s="630">
        <f>I215+1</f>
        <v>2025</v>
      </c>
      <c r="K215" s="630">
        <f>J215+1</f>
        <v>2026</v>
      </c>
      <c r="L215" s="491"/>
      <c r="M215" s="113"/>
      <c r="N215" s="679"/>
      <c r="O215" s="679"/>
      <c r="P215" s="679"/>
      <c r="Q215" s="674"/>
      <c r="R215" s="674"/>
      <c r="S215" s="674"/>
      <c r="T215" s="674"/>
      <c r="U215" s="674"/>
      <c r="V215" s="674"/>
      <c r="W215" s="491"/>
      <c r="X215" s="674"/>
      <c r="Y215" s="674"/>
      <c r="Z215" s="674"/>
      <c r="AA215" s="674"/>
      <c r="AB215" s="676"/>
      <c r="AC215" s="490"/>
      <c r="AD215" s="490"/>
      <c r="AE215" s="490"/>
      <c r="AF215" s="490"/>
      <c r="AG215" s="490"/>
      <c r="AH215" s="490"/>
      <c r="AI215" s="490"/>
      <c r="AJ215" s="490"/>
      <c r="AK215" s="490"/>
      <c r="AL215" s="490"/>
      <c r="AM215" s="490"/>
      <c r="AN215" s="490"/>
      <c r="AO215" s="490"/>
      <c r="AP215" s="490"/>
      <c r="AQ215" s="490"/>
      <c r="AR215" s="490"/>
      <c r="AS215" s="490"/>
      <c r="AT215" s="490"/>
      <c r="AU215" s="490"/>
      <c r="AV215" s="490"/>
      <c r="AW215" s="490"/>
      <c r="AX215" s="490"/>
      <c r="AY215" s="490"/>
      <c r="AZ215" s="491"/>
      <c r="BA215" s="491"/>
      <c r="BB215" s="491"/>
    </row>
    <row r="216" spans="1:54" hidden="1" outlineLevel="2" x14ac:dyDescent="0.2">
      <c r="A216" s="243"/>
      <c r="B216" s="243"/>
      <c r="C216" s="243"/>
      <c r="D216" s="243"/>
      <c r="E216" s="433" t="s">
        <v>951</v>
      </c>
      <c r="F216" s="283">
        <f t="shared" ref="F216:K216" si="144">F217*INDEX(MBSIncCalc,$C213,3)</f>
        <v>0</v>
      </c>
      <c r="G216" s="283">
        <f t="shared" si="144"/>
        <v>0</v>
      </c>
      <c r="H216" s="283">
        <f t="shared" si="144"/>
        <v>0</v>
      </c>
      <c r="I216" s="283">
        <f t="shared" si="144"/>
        <v>0</v>
      </c>
      <c r="J216" s="283">
        <f t="shared" si="144"/>
        <v>0</v>
      </c>
      <c r="K216" s="283">
        <f t="shared" si="144"/>
        <v>0</v>
      </c>
      <c r="L216" s="490"/>
      <c r="M216" s="680"/>
      <c r="N216" s="664"/>
      <c r="O216" s="664"/>
      <c r="P216" s="664"/>
      <c r="Q216" s="681"/>
      <c r="R216" s="681"/>
      <c r="S216" s="681"/>
      <c r="T216" s="681"/>
      <c r="U216" s="681"/>
      <c r="V216" s="681"/>
      <c r="W216" s="493"/>
      <c r="X216" s="561">
        <f>INDEX(MBSIncItems,C213,1)</f>
        <v>0</v>
      </c>
      <c r="Y216" s="561">
        <f>FirstYear</f>
        <v>2021</v>
      </c>
      <c r="Z216" s="560">
        <f>IF(F217&lt;&gt;0,F217-F219,0)</f>
        <v>0</v>
      </c>
      <c r="AA216" s="560">
        <f>IF(F225&lt;&gt;0,F225-F227,0)</f>
        <v>0</v>
      </c>
      <c r="AB216" s="674"/>
      <c r="AC216" s="490"/>
      <c r="AD216" s="490"/>
      <c r="AE216" s="490"/>
      <c r="AF216" s="490"/>
      <c r="AG216" s="490"/>
      <c r="AH216" s="490"/>
      <c r="AI216" s="490"/>
      <c r="AJ216" s="490"/>
      <c r="AK216" s="490"/>
      <c r="AL216" s="490"/>
      <c r="AM216" s="490"/>
      <c r="AN216" s="490"/>
      <c r="AO216" s="490"/>
      <c r="AP216" s="490"/>
      <c r="AQ216" s="490"/>
      <c r="AR216" s="490"/>
      <c r="AS216" s="490"/>
      <c r="AT216" s="490"/>
      <c r="AU216" s="490"/>
      <c r="AV216" s="490"/>
      <c r="AW216" s="490"/>
      <c r="AX216" s="490"/>
      <c r="AY216" s="490"/>
      <c r="AZ216" s="491"/>
      <c r="BA216" s="491"/>
      <c r="BB216" s="491"/>
    </row>
    <row r="217" spans="1:54" hidden="1" outlineLevel="2" x14ac:dyDescent="0.2">
      <c r="A217" s="243"/>
      <c r="B217" s="672"/>
      <c r="C217" s="242" t="str">
        <f>INDEX(MBSIncCalc,C213,2)</f>
        <v/>
      </c>
      <c r="D217" s="243"/>
      <c r="E217" s="62" t="s">
        <v>1310</v>
      </c>
      <c r="F217" s="63">
        <f t="shared" ref="F217:K217" si="145">IF(INDEX(MBSIncRate,$C213,2)=2,IFERROR(INDEX(PBSScriptsNew,$C217,F214),0),IFERROR(INDEX(MBSPBSInc,$C213,INDEX(MBSIncRate,$C213,3)*7+F214),0) * IFERROR(INDEX(MBSIncPopSplit,$C213),0)) * INDEX(MBSIncRate,$C213,1) * INDEX(MBSIncRate,$C213,4)</f>
        <v>0</v>
      </c>
      <c r="G217" s="63">
        <f t="shared" si="145"/>
        <v>0</v>
      </c>
      <c r="H217" s="63">
        <f t="shared" si="145"/>
        <v>0</v>
      </c>
      <c r="I217" s="63">
        <f t="shared" si="145"/>
        <v>0</v>
      </c>
      <c r="J217" s="63">
        <f t="shared" si="145"/>
        <v>0</v>
      </c>
      <c r="K217" s="63">
        <f t="shared" si="145"/>
        <v>0</v>
      </c>
      <c r="L217" s="490"/>
      <c r="M217" s="493"/>
      <c r="N217" s="493"/>
      <c r="O217" s="664"/>
      <c r="P217" s="664"/>
      <c r="Q217" s="681"/>
      <c r="R217" s="681"/>
      <c r="S217" s="681"/>
      <c r="T217" s="681"/>
      <c r="U217" s="681"/>
      <c r="V217" s="681"/>
      <c r="W217" s="493"/>
      <c r="X217" s="561">
        <f>X216</f>
        <v>0</v>
      </c>
      <c r="Y217" s="561">
        <f>Y216+1</f>
        <v>2022</v>
      </c>
      <c r="Z217" s="560">
        <f>IF(G217&lt;&gt;0,G217-G219,0)</f>
        <v>0</v>
      </c>
      <c r="AA217" s="560">
        <f>IF(G225&lt;&gt;0,G225-G227,0)</f>
        <v>0</v>
      </c>
      <c r="AB217" s="674"/>
      <c r="AC217" s="490"/>
      <c r="AD217" s="490"/>
      <c r="AE217" s="490"/>
      <c r="AF217" s="490"/>
      <c r="AG217" s="490"/>
      <c r="AH217" s="490"/>
      <c r="AI217" s="490"/>
      <c r="AJ217" s="490"/>
      <c r="AK217" s="490"/>
      <c r="AL217" s="490"/>
      <c r="AM217" s="490"/>
      <c r="AN217" s="490"/>
      <c r="AO217" s="490"/>
      <c r="AP217" s="490"/>
      <c r="AQ217" s="490"/>
      <c r="AR217" s="490"/>
      <c r="AS217" s="490"/>
      <c r="AT217" s="490"/>
      <c r="AU217" s="490"/>
      <c r="AV217" s="490"/>
      <c r="AW217" s="490"/>
      <c r="AX217" s="490"/>
      <c r="AY217" s="490"/>
      <c r="AZ217" s="491"/>
      <c r="BA217" s="491"/>
      <c r="BB217" s="491"/>
    </row>
    <row r="218" spans="1:54" hidden="1" outlineLevel="2" x14ac:dyDescent="0.2">
      <c r="A218" s="243"/>
      <c r="B218" s="242">
        <v>5</v>
      </c>
      <c r="C218" s="242">
        <v>6</v>
      </c>
      <c r="D218" s="243"/>
      <c r="E218" s="496" t="s">
        <v>1307</v>
      </c>
      <c r="F218" s="63" t="str">
        <f t="shared" ref="F218:K218" si="146">IFERROR(F217*INDEX(MBSIncItems,$C213,$B218)*INDEX(MBSIncItems,$C213,$C218),"")</f>
        <v/>
      </c>
      <c r="G218" s="63" t="str">
        <f t="shared" si="146"/>
        <v/>
      </c>
      <c r="H218" s="63" t="str">
        <f t="shared" si="146"/>
        <v/>
      </c>
      <c r="I218" s="63" t="str">
        <f t="shared" si="146"/>
        <v/>
      </c>
      <c r="J218" s="63" t="str">
        <f t="shared" si="146"/>
        <v/>
      </c>
      <c r="K218" s="63" t="str">
        <f t="shared" si="146"/>
        <v/>
      </c>
      <c r="L218" s="490"/>
      <c r="M218" s="493"/>
      <c r="N218" s="493"/>
      <c r="O218" s="682"/>
      <c r="P218" s="754"/>
      <c r="Q218" s="681"/>
      <c r="R218" s="681"/>
      <c r="S218" s="681"/>
      <c r="T218" s="681"/>
      <c r="U218" s="681"/>
      <c r="V218" s="681"/>
      <c r="W218" s="493"/>
      <c r="X218" s="561">
        <f t="shared" ref="X218:X221" si="147">X217</f>
        <v>0</v>
      </c>
      <c r="Y218" s="561">
        <f>Y217+1</f>
        <v>2023</v>
      </c>
      <c r="Z218" s="560">
        <f>IF(H217&lt;&gt;0,H217-H219,0)</f>
        <v>0</v>
      </c>
      <c r="AA218" s="560">
        <f>IF(H225&lt;&gt;0,H225-H227,0)</f>
        <v>0</v>
      </c>
      <c r="AB218" s="675"/>
      <c r="AC218" s="490"/>
      <c r="AD218" s="490"/>
      <c r="AE218" s="490"/>
      <c r="AF218" s="490"/>
      <c r="AG218" s="490"/>
      <c r="AH218" s="490"/>
      <c r="AI218" s="490"/>
      <c r="AJ218" s="490"/>
      <c r="AK218" s="490"/>
      <c r="AL218" s="490"/>
      <c r="AM218" s="490"/>
      <c r="AN218" s="490"/>
      <c r="AO218" s="490"/>
      <c r="AP218" s="490"/>
      <c r="AQ218" s="490"/>
      <c r="AR218" s="490"/>
      <c r="AS218" s="490"/>
      <c r="AT218" s="490"/>
      <c r="AU218" s="490"/>
      <c r="AV218" s="490"/>
      <c r="AW218" s="490"/>
      <c r="AX218" s="490"/>
      <c r="AY218" s="490"/>
      <c r="AZ218" s="491"/>
      <c r="BA218" s="491"/>
      <c r="BB218" s="491"/>
    </row>
    <row r="219" spans="1:54" hidden="1" outlineLevel="2" x14ac:dyDescent="0.2">
      <c r="A219" s="416"/>
      <c r="B219" s="242">
        <v>4</v>
      </c>
      <c r="C219" s="242">
        <v>6</v>
      </c>
      <c r="D219" s="243"/>
      <c r="E219" s="496" t="s">
        <v>1306</v>
      </c>
      <c r="F219" s="63" t="str">
        <f t="shared" ref="F219:K219" si="148">IFERROR(F217*INDEX(MBSIncItems,$C213,$B219)*INDEX(MBSIncItems,$C213,$C219),"")</f>
        <v/>
      </c>
      <c r="G219" s="63" t="str">
        <f t="shared" si="148"/>
        <v/>
      </c>
      <c r="H219" s="63" t="str">
        <f t="shared" si="148"/>
        <v/>
      </c>
      <c r="I219" s="63" t="str">
        <f t="shared" si="148"/>
        <v/>
      </c>
      <c r="J219" s="63" t="str">
        <f t="shared" si="148"/>
        <v/>
      </c>
      <c r="K219" s="63" t="str">
        <f t="shared" si="148"/>
        <v/>
      </c>
      <c r="L219" s="416"/>
      <c r="M219" s="416"/>
      <c r="N219" s="416"/>
      <c r="O219" s="416"/>
      <c r="P219" s="416"/>
      <c r="Q219" s="416"/>
      <c r="R219" s="416"/>
      <c r="S219" s="416"/>
      <c r="T219" s="416"/>
      <c r="U219" s="416"/>
      <c r="V219" s="416"/>
      <c r="W219" s="493"/>
      <c r="X219" s="561">
        <f t="shared" si="147"/>
        <v>0</v>
      </c>
      <c r="Y219" s="561">
        <f>Y218+1</f>
        <v>2024</v>
      </c>
      <c r="Z219" s="560">
        <f>IF(I217&lt;&gt;0,I217-I219,0)</f>
        <v>0</v>
      </c>
      <c r="AA219" s="560">
        <f>IF(I225&lt;&gt;0,I225-I227,0)</f>
        <v>0</v>
      </c>
      <c r="AB219" s="675"/>
      <c r="AC219" s="490"/>
      <c r="AD219" s="490"/>
      <c r="AE219" s="490"/>
      <c r="AF219" s="490"/>
      <c r="AG219" s="490"/>
      <c r="AH219" s="490"/>
      <c r="AI219" s="490"/>
      <c r="AJ219" s="490"/>
      <c r="AK219" s="490"/>
      <c r="AL219" s="490"/>
      <c r="AM219" s="490"/>
      <c r="AN219" s="490"/>
      <c r="AO219" s="490"/>
      <c r="AP219" s="490"/>
      <c r="AQ219" s="490"/>
      <c r="AR219" s="490"/>
      <c r="AS219" s="490"/>
      <c r="AT219" s="490"/>
      <c r="AU219" s="490"/>
      <c r="AV219" s="490"/>
      <c r="AW219" s="490"/>
      <c r="AX219" s="490"/>
      <c r="AY219" s="490"/>
      <c r="AZ219" s="491"/>
      <c r="BA219" s="491"/>
      <c r="BB219" s="491"/>
    </row>
    <row r="220" spans="1:54" hidden="1" outlineLevel="2" x14ac:dyDescent="0.2">
      <c r="A220" s="243"/>
      <c r="B220" s="242"/>
      <c r="C220" s="242">
        <v>7</v>
      </c>
      <c r="D220" s="243"/>
      <c r="E220" s="497" t="s">
        <v>1308</v>
      </c>
      <c r="F220" s="63" t="str">
        <f t="shared" ref="F220:K220" si="149">IFERROR(F217*INDEX(MBSIncItems,$C213,$C220),"")</f>
        <v/>
      </c>
      <c r="G220" s="63" t="str">
        <f t="shared" si="149"/>
        <v/>
      </c>
      <c r="H220" s="63" t="str">
        <f t="shared" si="149"/>
        <v/>
      </c>
      <c r="I220" s="63" t="str">
        <f t="shared" si="149"/>
        <v/>
      </c>
      <c r="J220" s="63" t="str">
        <f t="shared" si="149"/>
        <v/>
      </c>
      <c r="K220" s="63" t="str">
        <f t="shared" si="149"/>
        <v/>
      </c>
      <c r="L220" s="490"/>
      <c r="M220" s="493"/>
      <c r="N220" s="493"/>
      <c r="O220" s="682"/>
      <c r="P220" s="754"/>
      <c r="Q220" s="681"/>
      <c r="R220" s="681"/>
      <c r="S220" s="681"/>
      <c r="T220" s="681"/>
      <c r="U220" s="681"/>
      <c r="V220" s="681"/>
      <c r="W220" s="493"/>
      <c r="X220" s="561">
        <f t="shared" si="147"/>
        <v>0</v>
      </c>
      <c r="Y220" s="561">
        <f>Y219+1</f>
        <v>2025</v>
      </c>
      <c r="Z220" s="560">
        <f>IF(J217&lt;&gt;0,J217-J219,0)</f>
        <v>0</v>
      </c>
      <c r="AA220" s="560">
        <f>IF(J225&lt;&gt;0,J225-J227,0)</f>
        <v>0</v>
      </c>
      <c r="AB220" s="675"/>
      <c r="AC220" s="490"/>
      <c r="AD220" s="490"/>
      <c r="AE220" s="490"/>
      <c r="AF220" s="490"/>
      <c r="AG220" s="490"/>
    </row>
    <row r="221" spans="1:54" hidden="1" outlineLevel="2" x14ac:dyDescent="0.2">
      <c r="A221" s="243"/>
      <c r="B221" s="493"/>
      <c r="C221" s="493"/>
      <c r="D221" s="493"/>
      <c r="E221" s="493"/>
      <c r="F221" s="493"/>
      <c r="G221" s="493"/>
      <c r="H221" s="493"/>
      <c r="I221" s="493"/>
      <c r="J221" s="493"/>
      <c r="K221" s="493"/>
      <c r="L221" s="490"/>
      <c r="M221" s="493"/>
      <c r="N221" s="493"/>
      <c r="O221" s="682"/>
      <c r="P221" s="682"/>
      <c r="Q221" s="681"/>
      <c r="R221" s="681"/>
      <c r="S221" s="681"/>
      <c r="T221" s="681"/>
      <c r="U221" s="681"/>
      <c r="V221" s="681"/>
      <c r="W221" s="493"/>
      <c r="X221" s="561">
        <f t="shared" si="147"/>
        <v>0</v>
      </c>
      <c r="Y221" s="561">
        <f>Y220+1</f>
        <v>2026</v>
      </c>
      <c r="Z221" s="560">
        <f>IF(K217&lt;&gt;0,K217-K219,0)</f>
        <v>0</v>
      </c>
      <c r="AA221" s="560">
        <f>IF(K225&lt;&gt;0,K225-K227,0)</f>
        <v>0</v>
      </c>
      <c r="AB221" s="675"/>
      <c r="AC221" s="490"/>
      <c r="AD221" s="490"/>
      <c r="AE221" s="490"/>
      <c r="AF221" s="490"/>
      <c r="AG221" s="490"/>
    </row>
    <row r="222" spans="1:54" hidden="1" outlineLevel="2" x14ac:dyDescent="0.2">
      <c r="A222" s="243"/>
      <c r="B222" s="243"/>
      <c r="C222" s="243"/>
      <c r="D222" s="677"/>
      <c r="E222" s="677"/>
      <c r="F222" s="495">
        <v>2</v>
      </c>
      <c r="G222" s="495">
        <v>3</v>
      </c>
      <c r="H222" s="495">
        <v>4</v>
      </c>
      <c r="I222" s="495">
        <v>5</v>
      </c>
      <c r="J222" s="495">
        <v>6</v>
      </c>
      <c r="K222" s="495">
        <v>7</v>
      </c>
      <c r="L222" s="490"/>
      <c r="M222" s="243"/>
      <c r="N222" s="678"/>
      <c r="O222" s="678"/>
      <c r="P222" s="678"/>
      <c r="Q222" s="673"/>
      <c r="R222" s="673"/>
      <c r="S222" s="673"/>
      <c r="T222" s="673"/>
      <c r="U222" s="673"/>
      <c r="V222" s="673"/>
      <c r="W222" s="490"/>
      <c r="X222" s="676"/>
      <c r="Y222" s="676"/>
      <c r="Z222" s="676"/>
      <c r="AA222" s="676"/>
      <c r="AB222" s="675"/>
      <c r="AC222" s="490"/>
      <c r="AD222" s="490"/>
      <c r="AE222" s="490"/>
      <c r="AF222" s="490"/>
      <c r="AG222" s="490"/>
    </row>
    <row r="223" spans="1:54" ht="15.75" hidden="1" outlineLevel="2" x14ac:dyDescent="0.2">
      <c r="A223" s="243"/>
      <c r="B223" s="243"/>
      <c r="C223" s="243"/>
      <c r="D223" s="663" t="s">
        <v>1</v>
      </c>
      <c r="E223" s="663"/>
      <c r="F223" s="751">
        <f>FirstYear</f>
        <v>2021</v>
      </c>
      <c r="G223" s="751">
        <f>F223+1</f>
        <v>2022</v>
      </c>
      <c r="H223" s="751">
        <f>G223+1</f>
        <v>2023</v>
      </c>
      <c r="I223" s="751">
        <f>H223+1</f>
        <v>2024</v>
      </c>
      <c r="J223" s="751">
        <f>I223+1</f>
        <v>2025</v>
      </c>
      <c r="K223" s="751">
        <f>J223+1</f>
        <v>2026</v>
      </c>
      <c r="L223" s="491"/>
      <c r="M223" s="243"/>
      <c r="N223" s="685"/>
      <c r="O223" s="685"/>
      <c r="P223" s="685"/>
      <c r="Q223" s="673"/>
      <c r="R223" s="673"/>
      <c r="S223" s="673"/>
      <c r="T223" s="673"/>
      <c r="U223" s="673"/>
      <c r="V223" s="673"/>
      <c r="W223" s="491"/>
      <c r="X223" s="676"/>
      <c r="Y223" s="676"/>
      <c r="Z223" s="676"/>
      <c r="AA223" s="676"/>
      <c r="AB223" s="676"/>
      <c r="AC223" s="490"/>
      <c r="AD223" s="490"/>
      <c r="AE223" s="490"/>
      <c r="AF223" s="490"/>
      <c r="AG223" s="490"/>
    </row>
    <row r="224" spans="1:54" hidden="1" outlineLevel="2" x14ac:dyDescent="0.2">
      <c r="A224" s="243"/>
      <c r="B224" s="243"/>
      <c r="C224" s="243"/>
      <c r="D224" s="243"/>
      <c r="E224" s="433" t="s">
        <v>951</v>
      </c>
      <c r="F224" s="283">
        <f t="shared" ref="F224:K224" si="150">F225*INDEX(MBSIncCalc,$C213,3)</f>
        <v>0</v>
      </c>
      <c r="G224" s="283">
        <f t="shared" si="150"/>
        <v>0</v>
      </c>
      <c r="H224" s="283">
        <f t="shared" si="150"/>
        <v>0</v>
      </c>
      <c r="I224" s="283">
        <f t="shared" si="150"/>
        <v>0</v>
      </c>
      <c r="J224" s="283">
        <f t="shared" si="150"/>
        <v>0</v>
      </c>
      <c r="K224" s="283">
        <f t="shared" si="150"/>
        <v>0</v>
      </c>
      <c r="L224" s="490"/>
      <c r="M224" s="615"/>
      <c r="N224" s="615"/>
      <c r="O224" s="678"/>
      <c r="P224" s="678"/>
      <c r="Q224" s="673"/>
      <c r="R224" s="673"/>
      <c r="S224" s="673"/>
      <c r="T224" s="673"/>
      <c r="U224" s="673"/>
      <c r="V224" s="673"/>
      <c r="W224" s="490"/>
      <c r="X224" s="676"/>
      <c r="Y224" s="676"/>
      <c r="Z224" s="676"/>
      <c r="AA224" s="676"/>
      <c r="AB224" s="676"/>
      <c r="AC224" s="490"/>
      <c r="AD224" s="490"/>
      <c r="AE224" s="490"/>
      <c r="AF224" s="490"/>
      <c r="AG224" s="490"/>
    </row>
    <row r="225" spans="1:33" hidden="1" outlineLevel="2" x14ac:dyDescent="0.2">
      <c r="A225" s="243"/>
      <c r="B225" s="672"/>
      <c r="C225" s="242" t="str">
        <f>C217</f>
        <v/>
      </c>
      <c r="D225" s="243"/>
      <c r="E225" s="62" t="s">
        <v>1310</v>
      </c>
      <c r="F225" s="63">
        <f t="shared" ref="F225:K225" si="151">IF(INDEX(MBSIncRate,$C213,2)=2,IFERROR(INDEX(RPBSScriptsNew,$C225,F222),0),IFERROR(INDEX(MBSRPBSInc,$C213,INDEX(MBSIncRate,$C213,3)*7+F222),0) * IFERROR(INDEX(MBSIncPopSplit,$C213),0)) * INDEX(MBSIncRate,$C213,1) * INDEX(MBSIncRate,$C213,4)</f>
        <v>0</v>
      </c>
      <c r="G225" s="63">
        <f t="shared" si="151"/>
        <v>0</v>
      </c>
      <c r="H225" s="63">
        <f t="shared" si="151"/>
        <v>0</v>
      </c>
      <c r="I225" s="63">
        <f t="shared" si="151"/>
        <v>0</v>
      </c>
      <c r="J225" s="63">
        <f t="shared" si="151"/>
        <v>0</v>
      </c>
      <c r="K225" s="63">
        <f t="shared" si="151"/>
        <v>0</v>
      </c>
      <c r="L225" s="490"/>
      <c r="M225" s="243"/>
      <c r="N225" s="753"/>
      <c r="O225" s="678"/>
      <c r="P225" s="678"/>
      <c r="Q225" s="673"/>
      <c r="R225" s="673"/>
      <c r="S225" s="673"/>
      <c r="T225" s="673"/>
      <c r="U225" s="673"/>
      <c r="V225" s="673"/>
      <c r="W225" s="490"/>
      <c r="X225" s="676"/>
      <c r="Y225" s="676"/>
      <c r="Z225" s="676"/>
      <c r="AA225" s="676"/>
      <c r="AB225" s="676"/>
      <c r="AC225" s="490"/>
      <c r="AD225" s="490"/>
      <c r="AE225" s="490"/>
      <c r="AF225" s="490"/>
      <c r="AG225" s="490"/>
    </row>
    <row r="226" spans="1:33" hidden="1" outlineLevel="2" x14ac:dyDescent="0.2">
      <c r="A226" s="243"/>
      <c r="B226" s="242">
        <v>5</v>
      </c>
      <c r="C226" s="242">
        <v>6</v>
      </c>
      <c r="D226" s="243"/>
      <c r="E226" s="496" t="s">
        <v>1307</v>
      </c>
      <c r="F226" s="63" t="str">
        <f t="shared" ref="F226:K226" si="152">IFERROR(F225*INDEX(MBSIncItems,$C213,$B226)*INDEX(MBSIncItems,$C213,$C226),"")</f>
        <v/>
      </c>
      <c r="G226" s="63" t="str">
        <f t="shared" si="152"/>
        <v/>
      </c>
      <c r="H226" s="63" t="str">
        <f t="shared" si="152"/>
        <v/>
      </c>
      <c r="I226" s="63" t="str">
        <f t="shared" si="152"/>
        <v/>
      </c>
      <c r="J226" s="63" t="str">
        <f t="shared" si="152"/>
        <v/>
      </c>
      <c r="K226" s="63" t="str">
        <f t="shared" si="152"/>
        <v/>
      </c>
      <c r="L226" s="490"/>
      <c r="M226" s="683"/>
      <c r="N226" s="753"/>
      <c r="O226" s="678"/>
      <c r="P226" s="678"/>
      <c r="Q226" s="673"/>
      <c r="R226" s="673"/>
      <c r="S226" s="673"/>
      <c r="T226" s="673"/>
      <c r="U226" s="673"/>
      <c r="V226" s="673"/>
      <c r="W226" s="490"/>
      <c r="X226" s="676"/>
      <c r="Y226" s="676"/>
      <c r="Z226" s="676"/>
      <c r="AA226" s="676"/>
      <c r="AB226" s="676"/>
      <c r="AC226" s="490"/>
      <c r="AD226" s="490"/>
      <c r="AE226" s="490"/>
      <c r="AF226" s="490"/>
      <c r="AG226" s="490"/>
    </row>
    <row r="227" spans="1:33" hidden="1" outlineLevel="2" x14ac:dyDescent="0.2">
      <c r="A227" s="243"/>
      <c r="B227" s="242">
        <v>4</v>
      </c>
      <c r="C227" s="242">
        <v>6</v>
      </c>
      <c r="D227" s="243"/>
      <c r="E227" s="496" t="s">
        <v>1306</v>
      </c>
      <c r="F227" s="63" t="str">
        <f t="shared" ref="F227:K227" si="153">IFERROR(F225*INDEX(MBSIncItems,$C213,$B227)*INDEX(MBSIncItems,$C213,$C227),"")</f>
        <v/>
      </c>
      <c r="G227" s="63" t="str">
        <f t="shared" si="153"/>
        <v/>
      </c>
      <c r="H227" s="63" t="str">
        <f t="shared" si="153"/>
        <v/>
      </c>
      <c r="I227" s="63" t="str">
        <f t="shared" si="153"/>
        <v/>
      </c>
      <c r="J227" s="63" t="str">
        <f t="shared" si="153"/>
        <v/>
      </c>
      <c r="K227" s="63" t="str">
        <f t="shared" si="153"/>
        <v/>
      </c>
      <c r="L227" s="490"/>
      <c r="M227" s="684"/>
      <c r="N227" s="682"/>
      <c r="O227" s="678"/>
      <c r="P227" s="678"/>
      <c r="Q227" s="673"/>
      <c r="R227" s="673"/>
      <c r="S227" s="673"/>
      <c r="T227" s="673"/>
      <c r="U227" s="673"/>
      <c r="V227" s="673"/>
      <c r="W227" s="490"/>
      <c r="X227" s="676"/>
      <c r="Y227" s="676"/>
      <c r="Z227" s="676"/>
      <c r="AA227" s="676"/>
      <c r="AB227" s="676"/>
      <c r="AC227" s="490"/>
      <c r="AD227" s="490"/>
      <c r="AE227" s="490"/>
      <c r="AF227" s="490"/>
      <c r="AG227" s="490"/>
    </row>
    <row r="228" spans="1:33" hidden="1" outlineLevel="2" x14ac:dyDescent="0.2">
      <c r="A228" s="243"/>
      <c r="B228" s="242"/>
      <c r="C228" s="242">
        <v>7</v>
      </c>
      <c r="D228" s="243"/>
      <c r="E228" s="497" t="s">
        <v>1308</v>
      </c>
      <c r="F228" s="63" t="str">
        <f t="shared" ref="F228:K228" si="154">IFERROR(F225*INDEX(MBSIncItems,$C213,$C228),"")</f>
        <v/>
      </c>
      <c r="G228" s="63" t="str">
        <f t="shared" si="154"/>
        <v/>
      </c>
      <c r="H228" s="63" t="str">
        <f t="shared" si="154"/>
        <v/>
      </c>
      <c r="I228" s="63" t="str">
        <f t="shared" si="154"/>
        <v/>
      </c>
      <c r="J228" s="63" t="str">
        <f t="shared" si="154"/>
        <v/>
      </c>
      <c r="K228" s="63" t="str">
        <f t="shared" si="154"/>
        <v/>
      </c>
      <c r="L228" s="490"/>
      <c r="M228" s="684"/>
      <c r="N228" s="682"/>
      <c r="O228" s="678"/>
      <c r="P228" s="678"/>
      <c r="Q228" s="673"/>
      <c r="R228" s="673"/>
      <c r="S228" s="673"/>
      <c r="T228" s="673"/>
      <c r="U228" s="673"/>
      <c r="V228" s="673"/>
      <c r="W228" s="490"/>
      <c r="X228" s="676"/>
      <c r="Y228" s="676"/>
      <c r="Z228" s="676"/>
      <c r="AA228" s="676"/>
      <c r="AB228" s="676"/>
      <c r="AC228" s="490"/>
      <c r="AD228" s="490"/>
      <c r="AE228" s="490"/>
      <c r="AF228" s="490"/>
      <c r="AG228" s="490"/>
    </row>
    <row r="229" spans="1:33" hidden="1" outlineLevel="1" x14ac:dyDescent="0.2">
      <c r="A229" s="243"/>
      <c r="B229" s="243"/>
      <c r="C229" s="243"/>
      <c r="D229" s="677"/>
      <c r="E229" s="677"/>
      <c r="F229" s="243"/>
      <c r="G229" s="243"/>
      <c r="H229" s="243"/>
      <c r="I229" s="243"/>
      <c r="J229" s="243"/>
      <c r="K229" s="243"/>
      <c r="L229" s="243"/>
      <c r="M229" s="243"/>
      <c r="N229" s="678"/>
      <c r="O229" s="678"/>
      <c r="P229" s="678"/>
      <c r="Q229" s="673"/>
      <c r="R229" s="673"/>
      <c r="S229" s="673"/>
      <c r="T229" s="673"/>
      <c r="U229" s="673"/>
      <c r="V229" s="673"/>
      <c r="W229" s="490"/>
      <c r="X229" s="676"/>
      <c r="Y229" s="676"/>
      <c r="Z229" s="676"/>
      <c r="AA229" s="676"/>
      <c r="AB229" s="676"/>
      <c r="AC229" s="490"/>
      <c r="AD229" s="490"/>
      <c r="AE229" s="490"/>
      <c r="AF229" s="490"/>
      <c r="AG229" s="490"/>
    </row>
    <row r="230" spans="1:33" ht="15.75" hidden="1" outlineLevel="1" collapsed="1" x14ac:dyDescent="0.2">
      <c r="A230" s="243"/>
      <c r="B230" s="243"/>
      <c r="C230" s="242">
        <v>8</v>
      </c>
      <c r="D230" s="79" t="str">
        <f>INDEX(MBSIncNames,C230)</f>
        <v>** NOT USED **</v>
      </c>
      <c r="E230" s="79"/>
      <c r="F230" s="115"/>
      <c r="G230" s="115"/>
      <c r="H230" s="115"/>
      <c r="I230" s="115"/>
      <c r="J230" s="821" t="str">
        <f>IF(D230&lt;&gt;MsgNotUsed,"Co-payment group " &amp; K70,"")</f>
        <v/>
      </c>
      <c r="K230" s="821"/>
      <c r="L230" s="115"/>
      <c r="M230" s="115"/>
      <c r="N230" s="115"/>
      <c r="O230" s="115"/>
      <c r="P230" s="115"/>
      <c r="Q230" s="115"/>
      <c r="R230" s="115"/>
      <c r="S230" s="115"/>
      <c r="T230" s="115"/>
      <c r="U230" s="115"/>
      <c r="V230" s="115"/>
      <c r="W230" s="491"/>
      <c r="X230" s="490"/>
      <c r="Y230" s="490"/>
      <c r="Z230" s="490"/>
      <c r="AA230" s="490"/>
      <c r="AB230" s="676"/>
      <c r="AC230" s="490"/>
      <c r="AD230" s="490"/>
      <c r="AE230" s="490"/>
      <c r="AF230" s="490"/>
      <c r="AG230" s="490"/>
    </row>
    <row r="231" spans="1:33" hidden="1" outlineLevel="2" x14ac:dyDescent="0.2">
      <c r="A231" s="243"/>
      <c r="B231" s="243"/>
      <c r="C231" s="243"/>
      <c r="D231" s="243"/>
      <c r="E231" s="243"/>
      <c r="F231" s="495">
        <v>2</v>
      </c>
      <c r="G231" s="495">
        <v>3</v>
      </c>
      <c r="H231" s="495">
        <v>4</v>
      </c>
      <c r="I231" s="495">
        <v>5</v>
      </c>
      <c r="J231" s="495">
        <v>6</v>
      </c>
      <c r="K231" s="495">
        <v>7</v>
      </c>
      <c r="L231" s="495"/>
      <c r="M231" s="243"/>
      <c r="N231" s="243"/>
      <c r="O231" s="243"/>
      <c r="P231" s="243"/>
      <c r="Q231" s="243"/>
      <c r="R231" s="243"/>
      <c r="S231" s="243"/>
      <c r="T231" s="243"/>
      <c r="U231" s="243"/>
      <c r="V231" s="243"/>
      <c r="W231" s="490"/>
      <c r="X231" s="490"/>
      <c r="Y231" s="490"/>
      <c r="Z231" s="490"/>
      <c r="AA231" s="490"/>
      <c r="AB231" s="676"/>
      <c r="AC231" s="490"/>
      <c r="AD231" s="490"/>
      <c r="AE231" s="490"/>
      <c r="AF231" s="490"/>
      <c r="AG231" s="490"/>
    </row>
    <row r="232" spans="1:33" ht="15" hidden="1" outlineLevel="2" x14ac:dyDescent="0.2">
      <c r="A232" s="243"/>
      <c r="B232" s="243"/>
      <c r="C232" s="243"/>
      <c r="D232" s="663" t="s">
        <v>0</v>
      </c>
      <c r="E232" s="663"/>
      <c r="F232" s="630">
        <f>FirstYear</f>
        <v>2021</v>
      </c>
      <c r="G232" s="630">
        <f>F232+1</f>
        <v>2022</v>
      </c>
      <c r="H232" s="630">
        <f>G232+1</f>
        <v>2023</v>
      </c>
      <c r="I232" s="630">
        <f>H232+1</f>
        <v>2024</v>
      </c>
      <c r="J232" s="630">
        <f>I232+1</f>
        <v>2025</v>
      </c>
      <c r="K232" s="630">
        <f>J232+1</f>
        <v>2026</v>
      </c>
      <c r="L232" s="491"/>
      <c r="M232" s="113"/>
      <c r="N232" s="679"/>
      <c r="O232" s="679"/>
      <c r="P232" s="679"/>
      <c r="Q232" s="674"/>
      <c r="R232" s="674"/>
      <c r="S232" s="674"/>
      <c r="T232" s="674"/>
      <c r="U232" s="674"/>
      <c r="V232" s="674"/>
      <c r="W232" s="491"/>
      <c r="X232" s="674"/>
      <c r="Y232" s="674"/>
      <c r="Z232" s="674"/>
      <c r="AA232" s="674"/>
      <c r="AB232" s="676"/>
      <c r="AC232" s="490"/>
      <c r="AD232" s="490"/>
      <c r="AE232" s="490"/>
      <c r="AF232" s="490"/>
      <c r="AG232" s="490"/>
    </row>
    <row r="233" spans="1:33" hidden="1" outlineLevel="2" x14ac:dyDescent="0.2">
      <c r="A233" s="243"/>
      <c r="B233" s="243"/>
      <c r="C233" s="243"/>
      <c r="D233" s="243"/>
      <c r="E233" s="433" t="s">
        <v>951</v>
      </c>
      <c r="F233" s="283">
        <f t="shared" ref="F233:K233" si="155">F234*INDEX(MBSIncCalc,$C230,3)</f>
        <v>0</v>
      </c>
      <c r="G233" s="283">
        <f t="shared" si="155"/>
        <v>0</v>
      </c>
      <c r="H233" s="283">
        <f t="shared" si="155"/>
        <v>0</v>
      </c>
      <c r="I233" s="283">
        <f t="shared" si="155"/>
        <v>0</v>
      </c>
      <c r="J233" s="283">
        <f t="shared" si="155"/>
        <v>0</v>
      </c>
      <c r="K233" s="283">
        <f t="shared" si="155"/>
        <v>0</v>
      </c>
      <c r="L233" s="490"/>
      <c r="M233" s="680"/>
      <c r="N233" s="664"/>
      <c r="O233" s="664"/>
      <c r="P233" s="664"/>
      <c r="Q233" s="681"/>
      <c r="R233" s="681"/>
      <c r="S233" s="681"/>
      <c r="T233" s="681"/>
      <c r="U233" s="681"/>
      <c r="V233" s="681"/>
      <c r="W233" s="493"/>
      <c r="X233" s="561">
        <f>INDEX(MBSIncItems,C230,1)</f>
        <v>0</v>
      </c>
      <c r="Y233" s="561">
        <f>FirstYear</f>
        <v>2021</v>
      </c>
      <c r="Z233" s="560">
        <f>IF(F234&lt;&gt;0,F234-F236,0)</f>
        <v>0</v>
      </c>
      <c r="AA233" s="560">
        <f>IF(F242&lt;&gt;0,F242-F244,0)</f>
        <v>0</v>
      </c>
      <c r="AB233" s="674"/>
      <c r="AC233" s="490"/>
      <c r="AD233" s="490"/>
      <c r="AE233" s="490"/>
      <c r="AF233" s="490"/>
      <c r="AG233" s="490"/>
    </row>
    <row r="234" spans="1:33" hidden="1" outlineLevel="2" x14ac:dyDescent="0.2">
      <c r="A234" s="243"/>
      <c r="B234" s="672"/>
      <c r="C234" s="242" t="str">
        <f>INDEX(MBSIncCalc,C230,2)</f>
        <v/>
      </c>
      <c r="D234" s="243"/>
      <c r="E234" s="62" t="s">
        <v>1310</v>
      </c>
      <c r="F234" s="63">
        <f t="shared" ref="F234:K234" si="156">IF(INDEX(MBSIncRate,$C230,2)=2,IFERROR(INDEX(PBSScriptsNew,$C234,F231),0),IFERROR(INDEX(MBSPBSInc,$C230,INDEX(MBSIncRate,$C230,3)*7+F231),0) * IFERROR(INDEX(MBSIncPopSplit,$C230),0)) * INDEX(MBSIncRate,$C230,1) * INDEX(MBSIncRate,$C230,4)</f>
        <v>0</v>
      </c>
      <c r="G234" s="63">
        <f t="shared" si="156"/>
        <v>0</v>
      </c>
      <c r="H234" s="63">
        <f t="shared" si="156"/>
        <v>0</v>
      </c>
      <c r="I234" s="63">
        <f t="shared" si="156"/>
        <v>0</v>
      </c>
      <c r="J234" s="63">
        <f t="shared" si="156"/>
        <v>0</v>
      </c>
      <c r="K234" s="63">
        <f t="shared" si="156"/>
        <v>0</v>
      </c>
      <c r="L234" s="490"/>
      <c r="M234" s="493"/>
      <c r="N234" s="493"/>
      <c r="O234" s="664"/>
      <c r="P234" s="664"/>
      <c r="Q234" s="681"/>
      <c r="R234" s="681"/>
      <c r="S234" s="681"/>
      <c r="T234" s="681"/>
      <c r="U234" s="681"/>
      <c r="V234" s="681"/>
      <c r="W234" s="493"/>
      <c r="X234" s="561">
        <f>X233</f>
        <v>0</v>
      </c>
      <c r="Y234" s="561">
        <f>Y233+1</f>
        <v>2022</v>
      </c>
      <c r="Z234" s="560">
        <f>IF(G234&lt;&gt;0,G234-G236,0)</f>
        <v>0</v>
      </c>
      <c r="AA234" s="560">
        <f>IF(G242&lt;&gt;0,G242-G244,0)</f>
        <v>0</v>
      </c>
      <c r="AB234" s="674"/>
      <c r="AC234" s="490"/>
      <c r="AD234" s="490"/>
      <c r="AE234" s="490"/>
      <c r="AF234" s="490"/>
      <c r="AG234" s="490"/>
    </row>
    <row r="235" spans="1:33" hidden="1" outlineLevel="2" x14ac:dyDescent="0.2">
      <c r="A235" s="243"/>
      <c r="B235" s="242">
        <v>5</v>
      </c>
      <c r="C235" s="242">
        <v>6</v>
      </c>
      <c r="D235" s="243"/>
      <c r="E235" s="496" t="s">
        <v>1307</v>
      </c>
      <c r="F235" s="63" t="str">
        <f t="shared" ref="F235:K235" si="157">IFERROR(F234*INDEX(MBSIncItems,$C230,$B235)*INDEX(MBSIncItems,$C230,$C235),"")</f>
        <v/>
      </c>
      <c r="G235" s="63" t="str">
        <f t="shared" si="157"/>
        <v/>
      </c>
      <c r="H235" s="63" t="str">
        <f t="shared" si="157"/>
        <v/>
      </c>
      <c r="I235" s="63" t="str">
        <f t="shared" si="157"/>
        <v/>
      </c>
      <c r="J235" s="63" t="str">
        <f t="shared" si="157"/>
        <v/>
      </c>
      <c r="K235" s="63" t="str">
        <f t="shared" si="157"/>
        <v/>
      </c>
      <c r="L235" s="490"/>
      <c r="M235" s="493"/>
      <c r="N235" s="493"/>
      <c r="O235" s="682"/>
      <c r="P235" s="754"/>
      <c r="Q235" s="681"/>
      <c r="R235" s="681"/>
      <c r="S235" s="681"/>
      <c r="T235" s="681"/>
      <c r="U235" s="681"/>
      <c r="V235" s="681"/>
      <c r="W235" s="493"/>
      <c r="X235" s="561">
        <f t="shared" ref="X235:X238" si="158">X234</f>
        <v>0</v>
      </c>
      <c r="Y235" s="561">
        <f>Y234+1</f>
        <v>2023</v>
      </c>
      <c r="Z235" s="560">
        <f>IF(H234&lt;&gt;0,H234-H236,0)</f>
        <v>0</v>
      </c>
      <c r="AA235" s="560">
        <f>IF(H242&lt;&gt;0,H242-H244,0)</f>
        <v>0</v>
      </c>
      <c r="AB235" s="675"/>
      <c r="AC235" s="490"/>
      <c r="AD235" s="490"/>
      <c r="AE235" s="490"/>
      <c r="AF235" s="490"/>
      <c r="AG235" s="490"/>
    </row>
    <row r="236" spans="1:33" hidden="1" outlineLevel="2" x14ac:dyDescent="0.2">
      <c r="A236" s="416"/>
      <c r="B236" s="242">
        <v>4</v>
      </c>
      <c r="C236" s="242">
        <v>6</v>
      </c>
      <c r="D236" s="243"/>
      <c r="E236" s="496" t="s">
        <v>1306</v>
      </c>
      <c r="F236" s="63" t="str">
        <f t="shared" ref="F236:K236" si="159">IFERROR(F234*INDEX(MBSIncItems,$C230,$B236)*INDEX(MBSIncItems,$C230,$C236),"")</f>
        <v/>
      </c>
      <c r="G236" s="63" t="str">
        <f t="shared" si="159"/>
        <v/>
      </c>
      <c r="H236" s="63" t="str">
        <f t="shared" si="159"/>
        <v/>
      </c>
      <c r="I236" s="63" t="str">
        <f t="shared" si="159"/>
        <v/>
      </c>
      <c r="J236" s="63" t="str">
        <f t="shared" si="159"/>
        <v/>
      </c>
      <c r="K236" s="63" t="str">
        <f t="shared" si="159"/>
        <v/>
      </c>
      <c r="L236" s="416"/>
      <c r="M236" s="416"/>
      <c r="N236" s="416"/>
      <c r="O236" s="416"/>
      <c r="P236" s="416"/>
      <c r="Q236" s="416"/>
      <c r="R236" s="416"/>
      <c r="S236" s="416"/>
      <c r="T236" s="416"/>
      <c r="U236" s="416"/>
      <c r="V236" s="416"/>
      <c r="W236" s="493"/>
      <c r="X236" s="561">
        <f t="shared" si="158"/>
        <v>0</v>
      </c>
      <c r="Y236" s="561">
        <f>Y235+1</f>
        <v>2024</v>
      </c>
      <c r="Z236" s="560">
        <f>IF(I234&lt;&gt;0,I234-I236,0)</f>
        <v>0</v>
      </c>
      <c r="AA236" s="560">
        <f>IF(I242&lt;&gt;0,I242-I244,0)</f>
        <v>0</v>
      </c>
      <c r="AB236" s="675"/>
      <c r="AC236" s="490"/>
      <c r="AD236" s="490"/>
      <c r="AE236" s="490"/>
      <c r="AF236" s="490"/>
      <c r="AG236" s="490"/>
    </row>
    <row r="237" spans="1:33" hidden="1" outlineLevel="2" x14ac:dyDescent="0.2">
      <c r="A237" s="243"/>
      <c r="B237" s="242"/>
      <c r="C237" s="242">
        <v>7</v>
      </c>
      <c r="D237" s="243"/>
      <c r="E237" s="497" t="s">
        <v>1308</v>
      </c>
      <c r="F237" s="63" t="str">
        <f t="shared" ref="F237:K237" si="160">IFERROR(F234*INDEX(MBSIncItems,$C230,$C237),"")</f>
        <v/>
      </c>
      <c r="G237" s="63" t="str">
        <f t="shared" si="160"/>
        <v/>
      </c>
      <c r="H237" s="63" t="str">
        <f t="shared" si="160"/>
        <v/>
      </c>
      <c r="I237" s="63" t="str">
        <f t="shared" si="160"/>
        <v/>
      </c>
      <c r="J237" s="63" t="str">
        <f t="shared" si="160"/>
        <v/>
      </c>
      <c r="K237" s="63" t="str">
        <f t="shared" si="160"/>
        <v/>
      </c>
      <c r="L237" s="490"/>
      <c r="M237" s="493"/>
      <c r="N237" s="493"/>
      <c r="O237" s="682"/>
      <c r="P237" s="754"/>
      <c r="Q237" s="681"/>
      <c r="R237" s="681"/>
      <c r="S237" s="681"/>
      <c r="T237" s="681"/>
      <c r="U237" s="681"/>
      <c r="V237" s="681"/>
      <c r="W237" s="493"/>
      <c r="X237" s="561">
        <f t="shared" si="158"/>
        <v>0</v>
      </c>
      <c r="Y237" s="561">
        <f>Y236+1</f>
        <v>2025</v>
      </c>
      <c r="Z237" s="560">
        <f>IF(J234&lt;&gt;0,J234-J236,0)</f>
        <v>0</v>
      </c>
      <c r="AA237" s="560">
        <f>IF(J242&lt;&gt;0,J242-J244,0)</f>
        <v>0</v>
      </c>
      <c r="AB237" s="675"/>
      <c r="AC237" s="490"/>
      <c r="AD237" s="490"/>
      <c r="AE237" s="490"/>
      <c r="AF237" s="490"/>
      <c r="AG237" s="490"/>
    </row>
    <row r="238" spans="1:33" hidden="1" outlineLevel="2" x14ac:dyDescent="0.2">
      <c r="A238" s="243"/>
      <c r="B238" s="493"/>
      <c r="C238" s="493"/>
      <c r="D238" s="493"/>
      <c r="E238" s="493"/>
      <c r="F238" s="493"/>
      <c r="G238" s="493"/>
      <c r="H238" s="493"/>
      <c r="I238" s="493"/>
      <c r="J238" s="493"/>
      <c r="K238" s="493"/>
      <c r="L238" s="490"/>
      <c r="M238" s="493"/>
      <c r="N238" s="493"/>
      <c r="O238" s="682"/>
      <c r="P238" s="682"/>
      <c r="Q238" s="681"/>
      <c r="R238" s="681"/>
      <c r="S238" s="681"/>
      <c r="T238" s="681"/>
      <c r="U238" s="681"/>
      <c r="V238" s="681"/>
      <c r="W238" s="493"/>
      <c r="X238" s="561">
        <f t="shared" si="158"/>
        <v>0</v>
      </c>
      <c r="Y238" s="561">
        <f>Y237+1</f>
        <v>2026</v>
      </c>
      <c r="Z238" s="560">
        <f>IF(K234&lt;&gt;0,K234-K236,0)</f>
        <v>0</v>
      </c>
      <c r="AA238" s="560">
        <f>IF(K242&lt;&gt;0,K242-K244,0)</f>
        <v>0</v>
      </c>
      <c r="AB238" s="675"/>
      <c r="AC238" s="490"/>
      <c r="AD238" s="490"/>
      <c r="AE238" s="490"/>
      <c r="AF238" s="490"/>
      <c r="AG238" s="490"/>
    </row>
    <row r="239" spans="1:33" hidden="1" outlineLevel="2" x14ac:dyDescent="0.2">
      <c r="A239" s="243"/>
      <c r="B239" s="243"/>
      <c r="C239" s="243"/>
      <c r="D239" s="677"/>
      <c r="E239" s="677"/>
      <c r="F239" s="495">
        <v>2</v>
      </c>
      <c r="G239" s="495">
        <v>3</v>
      </c>
      <c r="H239" s="495">
        <v>4</v>
      </c>
      <c r="I239" s="495">
        <v>5</v>
      </c>
      <c r="J239" s="495">
        <v>6</v>
      </c>
      <c r="K239" s="495">
        <v>7</v>
      </c>
      <c r="L239" s="490"/>
      <c r="M239" s="243"/>
      <c r="N239" s="678"/>
      <c r="O239" s="678"/>
      <c r="P239" s="678"/>
      <c r="Q239" s="673"/>
      <c r="R239" s="673"/>
      <c r="S239" s="673"/>
      <c r="T239" s="673"/>
      <c r="U239" s="673"/>
      <c r="V239" s="673"/>
      <c r="W239" s="490"/>
      <c r="X239" s="676"/>
      <c r="Y239" s="676"/>
      <c r="Z239" s="676"/>
      <c r="AA239" s="676"/>
      <c r="AB239" s="675"/>
      <c r="AC239" s="490"/>
      <c r="AD239" s="490"/>
      <c r="AE239" s="490"/>
      <c r="AF239" s="490"/>
      <c r="AG239" s="490"/>
    </row>
    <row r="240" spans="1:33" ht="15.75" hidden="1" outlineLevel="2" x14ac:dyDescent="0.2">
      <c r="A240" s="243"/>
      <c r="B240" s="243"/>
      <c r="C240" s="243"/>
      <c r="D240" s="663" t="s">
        <v>1</v>
      </c>
      <c r="E240" s="663"/>
      <c r="F240" s="751">
        <f>FirstYear</f>
        <v>2021</v>
      </c>
      <c r="G240" s="751">
        <f>F240+1</f>
        <v>2022</v>
      </c>
      <c r="H240" s="751">
        <f>G240+1</f>
        <v>2023</v>
      </c>
      <c r="I240" s="751">
        <f>H240+1</f>
        <v>2024</v>
      </c>
      <c r="J240" s="751">
        <f>I240+1</f>
        <v>2025</v>
      </c>
      <c r="K240" s="751">
        <f>J240+1</f>
        <v>2026</v>
      </c>
      <c r="L240" s="491"/>
      <c r="M240" s="243"/>
      <c r="N240" s="685"/>
      <c r="O240" s="685"/>
      <c r="P240" s="685"/>
      <c r="Q240" s="673"/>
      <c r="R240" s="673"/>
      <c r="S240" s="673"/>
      <c r="T240" s="673"/>
      <c r="U240" s="673"/>
      <c r="V240" s="673"/>
      <c r="W240" s="491"/>
      <c r="X240" s="676"/>
      <c r="Y240" s="676"/>
      <c r="Z240" s="676"/>
      <c r="AA240" s="676"/>
      <c r="AB240" s="676"/>
      <c r="AC240" s="490"/>
      <c r="AD240" s="490"/>
      <c r="AE240" s="490"/>
      <c r="AF240" s="490"/>
      <c r="AG240" s="490"/>
    </row>
    <row r="241" spans="1:33" hidden="1" outlineLevel="2" x14ac:dyDescent="0.2">
      <c r="A241" s="243"/>
      <c r="B241" s="243"/>
      <c r="C241" s="243"/>
      <c r="D241" s="243"/>
      <c r="E241" s="433" t="s">
        <v>951</v>
      </c>
      <c r="F241" s="283">
        <f t="shared" ref="F241:K241" si="161">F242*INDEX(MBSIncCalc,$C230,3)</f>
        <v>0</v>
      </c>
      <c r="G241" s="283">
        <f t="shared" si="161"/>
        <v>0</v>
      </c>
      <c r="H241" s="283">
        <f t="shared" si="161"/>
        <v>0</v>
      </c>
      <c r="I241" s="283">
        <f t="shared" si="161"/>
        <v>0</v>
      </c>
      <c r="J241" s="283">
        <f t="shared" si="161"/>
        <v>0</v>
      </c>
      <c r="K241" s="283">
        <f t="shared" si="161"/>
        <v>0</v>
      </c>
      <c r="L241" s="490"/>
      <c r="M241" s="615"/>
      <c r="N241" s="615"/>
      <c r="O241" s="678"/>
      <c r="P241" s="678"/>
      <c r="Q241" s="673"/>
      <c r="R241" s="673"/>
      <c r="S241" s="673"/>
      <c r="T241" s="673"/>
      <c r="U241" s="673"/>
      <c r="V241" s="673"/>
      <c r="W241" s="490"/>
      <c r="X241" s="676"/>
      <c r="Y241" s="676"/>
      <c r="Z241" s="676"/>
      <c r="AA241" s="676"/>
      <c r="AB241" s="676"/>
      <c r="AC241" s="490"/>
      <c r="AD241" s="490"/>
      <c r="AE241" s="490"/>
      <c r="AF241" s="490"/>
      <c r="AG241" s="490"/>
    </row>
    <row r="242" spans="1:33" hidden="1" outlineLevel="2" x14ac:dyDescent="0.2">
      <c r="A242" s="243"/>
      <c r="B242" s="672"/>
      <c r="C242" s="242" t="str">
        <f>C234</f>
        <v/>
      </c>
      <c r="D242" s="243"/>
      <c r="E242" s="62" t="s">
        <v>1310</v>
      </c>
      <c r="F242" s="63">
        <f t="shared" ref="F242:K242" si="162">IF(INDEX(MBSIncRate,$C230,2)=2,IFERROR(INDEX(RPBSScriptsNew,$C242,F239),0),IFERROR(INDEX(MBSRPBSInc,$C230,INDEX(MBSIncRate,$C230,3)*7+F239),0) * IFERROR(INDEX(MBSIncPopSplit,$C230),0)) * INDEX(MBSIncRate,$C230,1) * INDEX(MBSIncRate,$C230,4)</f>
        <v>0</v>
      </c>
      <c r="G242" s="63">
        <f t="shared" si="162"/>
        <v>0</v>
      </c>
      <c r="H242" s="63">
        <f t="shared" si="162"/>
        <v>0</v>
      </c>
      <c r="I242" s="63">
        <f t="shared" si="162"/>
        <v>0</v>
      </c>
      <c r="J242" s="63">
        <f t="shared" si="162"/>
        <v>0</v>
      </c>
      <c r="K242" s="63">
        <f t="shared" si="162"/>
        <v>0</v>
      </c>
      <c r="L242" s="490"/>
      <c r="M242" s="243"/>
      <c r="N242" s="753"/>
      <c r="O242" s="678"/>
      <c r="P242" s="678"/>
      <c r="Q242" s="673"/>
      <c r="R242" s="673"/>
      <c r="S242" s="673"/>
      <c r="T242" s="673"/>
      <c r="U242" s="673"/>
      <c r="V242" s="673"/>
      <c r="W242" s="490"/>
      <c r="X242" s="676"/>
      <c r="Y242" s="676"/>
      <c r="Z242" s="676"/>
      <c r="AA242" s="676"/>
      <c r="AB242" s="676"/>
      <c r="AC242" s="490"/>
      <c r="AD242" s="490"/>
      <c r="AE242" s="490"/>
      <c r="AF242" s="490"/>
      <c r="AG242" s="490"/>
    </row>
    <row r="243" spans="1:33" hidden="1" outlineLevel="2" x14ac:dyDescent="0.2">
      <c r="A243" s="243"/>
      <c r="B243" s="242">
        <v>5</v>
      </c>
      <c r="C243" s="242">
        <v>6</v>
      </c>
      <c r="D243" s="243"/>
      <c r="E243" s="496" t="s">
        <v>1307</v>
      </c>
      <c r="F243" s="63" t="str">
        <f t="shared" ref="F243:K243" si="163">IFERROR(F242*INDEX(MBSIncItems,$C230,$B243)*INDEX(MBSIncItems,$C230,$C243),"")</f>
        <v/>
      </c>
      <c r="G243" s="63" t="str">
        <f t="shared" si="163"/>
        <v/>
      </c>
      <c r="H243" s="63" t="str">
        <f t="shared" si="163"/>
        <v/>
      </c>
      <c r="I243" s="63" t="str">
        <f t="shared" si="163"/>
        <v/>
      </c>
      <c r="J243" s="63" t="str">
        <f t="shared" si="163"/>
        <v/>
      </c>
      <c r="K243" s="63" t="str">
        <f t="shared" si="163"/>
        <v/>
      </c>
      <c r="L243" s="490"/>
      <c r="M243" s="683"/>
      <c r="N243" s="753"/>
      <c r="O243" s="678"/>
      <c r="P243" s="678"/>
      <c r="Q243" s="673"/>
      <c r="R243" s="673"/>
      <c r="S243" s="673"/>
      <c r="T243" s="673"/>
      <c r="U243" s="673"/>
      <c r="V243" s="673"/>
      <c r="W243" s="490"/>
      <c r="X243" s="676"/>
      <c r="Y243" s="676"/>
      <c r="Z243" s="676"/>
      <c r="AA243" s="676"/>
      <c r="AB243" s="676"/>
      <c r="AC243" s="490"/>
      <c r="AD243" s="490"/>
      <c r="AE243" s="490"/>
      <c r="AF243" s="490"/>
      <c r="AG243" s="490"/>
    </row>
    <row r="244" spans="1:33" hidden="1" outlineLevel="2" x14ac:dyDescent="0.2">
      <c r="A244" s="243"/>
      <c r="B244" s="242">
        <v>4</v>
      </c>
      <c r="C244" s="242">
        <v>6</v>
      </c>
      <c r="D244" s="243"/>
      <c r="E244" s="496" t="s">
        <v>1306</v>
      </c>
      <c r="F244" s="63" t="str">
        <f t="shared" ref="F244:K244" si="164">IFERROR(F242*INDEX(MBSIncItems,$C230,$B244)*INDEX(MBSIncItems,$C230,$C244),"")</f>
        <v/>
      </c>
      <c r="G244" s="63" t="str">
        <f t="shared" si="164"/>
        <v/>
      </c>
      <c r="H244" s="63" t="str">
        <f t="shared" si="164"/>
        <v/>
      </c>
      <c r="I244" s="63" t="str">
        <f t="shared" si="164"/>
        <v/>
      </c>
      <c r="J244" s="63" t="str">
        <f t="shared" si="164"/>
        <v/>
      </c>
      <c r="K244" s="63" t="str">
        <f t="shared" si="164"/>
        <v/>
      </c>
      <c r="L244" s="490"/>
      <c r="M244" s="684"/>
      <c r="N244" s="682"/>
      <c r="O244" s="678"/>
      <c r="P244" s="678"/>
      <c r="Q244" s="673"/>
      <c r="R244" s="673"/>
      <c r="S244" s="673"/>
      <c r="T244" s="673"/>
      <c r="U244" s="673"/>
      <c r="V244" s="673"/>
      <c r="W244" s="490"/>
      <c r="X244" s="676"/>
      <c r="Y244" s="676"/>
      <c r="Z244" s="676"/>
      <c r="AA244" s="676"/>
      <c r="AB244" s="676"/>
      <c r="AC244" s="490"/>
      <c r="AD244" s="490"/>
      <c r="AE244" s="490"/>
      <c r="AF244" s="490"/>
      <c r="AG244" s="490"/>
    </row>
    <row r="245" spans="1:33" hidden="1" outlineLevel="2" x14ac:dyDescent="0.2">
      <c r="A245" s="243"/>
      <c r="B245" s="242"/>
      <c r="C245" s="242">
        <v>7</v>
      </c>
      <c r="D245" s="243"/>
      <c r="E245" s="497" t="s">
        <v>1308</v>
      </c>
      <c r="F245" s="63" t="str">
        <f t="shared" ref="F245:K245" si="165">IFERROR(F242*INDEX(MBSIncItems,$C230,$C245),"")</f>
        <v/>
      </c>
      <c r="G245" s="63" t="str">
        <f t="shared" si="165"/>
        <v/>
      </c>
      <c r="H245" s="63" t="str">
        <f t="shared" si="165"/>
        <v/>
      </c>
      <c r="I245" s="63" t="str">
        <f t="shared" si="165"/>
        <v/>
      </c>
      <c r="J245" s="63" t="str">
        <f t="shared" si="165"/>
        <v/>
      </c>
      <c r="K245" s="63" t="str">
        <f t="shared" si="165"/>
        <v/>
      </c>
      <c r="L245" s="490"/>
      <c r="M245" s="684"/>
      <c r="N245" s="682"/>
      <c r="O245" s="678"/>
      <c r="P245" s="678"/>
      <c r="Q245" s="673"/>
      <c r="R245" s="673"/>
      <c r="S245" s="673"/>
      <c r="T245" s="673"/>
      <c r="U245" s="673"/>
      <c r="V245" s="673"/>
      <c r="W245" s="490"/>
      <c r="X245" s="676"/>
      <c r="Y245" s="676"/>
      <c r="Z245" s="676"/>
      <c r="AA245" s="676"/>
      <c r="AB245" s="676"/>
      <c r="AC245" s="490"/>
      <c r="AD245" s="490"/>
      <c r="AE245" s="490"/>
      <c r="AF245" s="490"/>
      <c r="AG245" s="490"/>
    </row>
    <row r="246" spans="1:33" hidden="1" outlineLevel="1" x14ac:dyDescent="0.2">
      <c r="A246" s="243"/>
      <c r="B246" s="243"/>
      <c r="C246" s="243"/>
      <c r="D246" s="677"/>
      <c r="E246" s="677"/>
      <c r="F246" s="243"/>
      <c r="G246" s="243"/>
      <c r="H246" s="243"/>
      <c r="I246" s="243"/>
      <c r="J246" s="243"/>
      <c r="K246" s="243"/>
      <c r="L246" s="243"/>
      <c r="M246" s="243"/>
      <c r="N246" s="678"/>
      <c r="O246" s="678"/>
      <c r="P246" s="678"/>
      <c r="Q246" s="673"/>
      <c r="R246" s="673"/>
      <c r="S246" s="673"/>
      <c r="T246" s="673"/>
      <c r="U246" s="673"/>
      <c r="V246" s="673"/>
      <c r="W246" s="490"/>
      <c r="X246" s="676"/>
      <c r="Y246" s="676"/>
      <c r="Z246" s="676"/>
      <c r="AA246" s="676"/>
      <c r="AB246" s="676"/>
      <c r="AC246" s="490"/>
      <c r="AD246" s="490"/>
      <c r="AE246" s="490"/>
      <c r="AF246" s="490"/>
      <c r="AG246" s="490"/>
    </row>
    <row r="247" spans="1:33" ht="15.75" hidden="1" outlineLevel="1" collapsed="1" x14ac:dyDescent="0.2">
      <c r="A247" s="243"/>
      <c r="B247" s="243"/>
      <c r="C247" s="242">
        <v>9</v>
      </c>
      <c r="D247" s="79" t="str">
        <f>INDEX(MBSIncNames,C247)</f>
        <v>** NOT USED **</v>
      </c>
      <c r="E247" s="79"/>
      <c r="F247" s="115"/>
      <c r="G247" s="115"/>
      <c r="H247" s="115"/>
      <c r="I247" s="115"/>
      <c r="J247" s="821" t="str">
        <f>IF(D247&lt;&gt;MsgNotUsed,"Co-payment group " &amp; K71,"")</f>
        <v/>
      </c>
      <c r="K247" s="821"/>
      <c r="L247" s="115"/>
      <c r="M247" s="115"/>
      <c r="N247" s="115"/>
      <c r="O247" s="115"/>
      <c r="P247" s="115"/>
      <c r="Q247" s="115"/>
      <c r="R247" s="115"/>
      <c r="S247" s="115"/>
      <c r="T247" s="115"/>
      <c r="U247" s="115"/>
      <c r="V247" s="115"/>
      <c r="W247" s="491"/>
      <c r="X247" s="490"/>
      <c r="Y247" s="490"/>
      <c r="Z247" s="490"/>
      <c r="AA247" s="490"/>
      <c r="AB247" s="676"/>
      <c r="AC247" s="490"/>
      <c r="AD247" s="490"/>
      <c r="AE247" s="490"/>
      <c r="AF247" s="490"/>
      <c r="AG247" s="490"/>
    </row>
    <row r="248" spans="1:33" hidden="1" outlineLevel="2" x14ac:dyDescent="0.2">
      <c r="A248" s="243"/>
      <c r="B248" s="243"/>
      <c r="C248" s="243"/>
      <c r="D248" s="243"/>
      <c r="E248" s="243"/>
      <c r="F248" s="495">
        <v>2</v>
      </c>
      <c r="G248" s="495">
        <v>3</v>
      </c>
      <c r="H248" s="495">
        <v>4</v>
      </c>
      <c r="I248" s="495">
        <v>5</v>
      </c>
      <c r="J248" s="495">
        <v>6</v>
      </c>
      <c r="K248" s="495">
        <v>7</v>
      </c>
      <c r="L248" s="495"/>
      <c r="M248" s="243"/>
      <c r="N248" s="243"/>
      <c r="O248" s="243"/>
      <c r="P248" s="243"/>
      <c r="Q248" s="243"/>
      <c r="R248" s="243"/>
      <c r="S248" s="243"/>
      <c r="T248" s="243"/>
      <c r="U248" s="243"/>
      <c r="V248" s="243"/>
      <c r="W248" s="490"/>
      <c r="X248" s="490"/>
      <c r="Y248" s="490"/>
      <c r="Z248" s="490"/>
      <c r="AA248" s="490"/>
      <c r="AB248" s="676"/>
      <c r="AC248" s="490"/>
      <c r="AD248" s="490"/>
      <c r="AE248" s="490"/>
      <c r="AF248" s="490"/>
      <c r="AG248" s="490"/>
    </row>
    <row r="249" spans="1:33" ht="15" hidden="1" outlineLevel="2" x14ac:dyDescent="0.2">
      <c r="A249" s="243"/>
      <c r="B249" s="243"/>
      <c r="C249" s="243"/>
      <c r="D249" s="663" t="s">
        <v>0</v>
      </c>
      <c r="E249" s="663"/>
      <c r="F249" s="630">
        <f>FirstYear</f>
        <v>2021</v>
      </c>
      <c r="G249" s="630">
        <f>F249+1</f>
        <v>2022</v>
      </c>
      <c r="H249" s="630">
        <f>G249+1</f>
        <v>2023</v>
      </c>
      <c r="I249" s="630">
        <f>H249+1</f>
        <v>2024</v>
      </c>
      <c r="J249" s="630">
        <f>I249+1</f>
        <v>2025</v>
      </c>
      <c r="K249" s="630">
        <f>J249+1</f>
        <v>2026</v>
      </c>
      <c r="L249" s="491"/>
      <c r="M249" s="113"/>
      <c r="N249" s="679"/>
      <c r="O249" s="679"/>
      <c r="P249" s="679"/>
      <c r="Q249" s="674"/>
      <c r="R249" s="674"/>
      <c r="S249" s="674"/>
      <c r="T249" s="674"/>
      <c r="U249" s="674"/>
      <c r="V249" s="674"/>
      <c r="W249" s="491"/>
      <c r="X249" s="674"/>
      <c r="Y249" s="674"/>
      <c r="Z249" s="674"/>
      <c r="AA249" s="674"/>
      <c r="AB249" s="676"/>
      <c r="AC249" s="490"/>
      <c r="AD249" s="490"/>
      <c r="AE249" s="490"/>
      <c r="AF249" s="490"/>
      <c r="AG249" s="490"/>
    </row>
    <row r="250" spans="1:33" hidden="1" outlineLevel="2" x14ac:dyDescent="0.2">
      <c r="A250" s="243"/>
      <c r="B250" s="243"/>
      <c r="C250" s="243"/>
      <c r="D250" s="243"/>
      <c r="E250" s="433" t="s">
        <v>951</v>
      </c>
      <c r="F250" s="283">
        <f t="shared" ref="F250:K250" si="166">F251*INDEX(MBSIncCalc,$C247,3)</f>
        <v>0</v>
      </c>
      <c r="G250" s="283">
        <f t="shared" si="166"/>
        <v>0</v>
      </c>
      <c r="H250" s="283">
        <f t="shared" si="166"/>
        <v>0</v>
      </c>
      <c r="I250" s="283">
        <f t="shared" si="166"/>
        <v>0</v>
      </c>
      <c r="J250" s="283">
        <f t="shared" si="166"/>
        <v>0</v>
      </c>
      <c r="K250" s="283">
        <f t="shared" si="166"/>
        <v>0</v>
      </c>
      <c r="L250" s="490"/>
      <c r="M250" s="680"/>
      <c r="N250" s="664"/>
      <c r="O250" s="664"/>
      <c r="P250" s="664"/>
      <c r="Q250" s="681"/>
      <c r="R250" s="681"/>
      <c r="S250" s="681"/>
      <c r="T250" s="681"/>
      <c r="U250" s="681"/>
      <c r="V250" s="681"/>
      <c r="W250" s="493"/>
      <c r="X250" s="561">
        <f>INDEX(MBSIncItems,C247,1)</f>
        <v>0</v>
      </c>
      <c r="Y250" s="561">
        <f>FirstYear</f>
        <v>2021</v>
      </c>
      <c r="Z250" s="560">
        <f>IF(F251&lt;&gt;0,F251-F253,0)</f>
        <v>0</v>
      </c>
      <c r="AA250" s="560">
        <f>IF(F259&lt;&gt;0,F259-F261,0)</f>
        <v>0</v>
      </c>
      <c r="AB250" s="674"/>
      <c r="AC250" s="490"/>
      <c r="AD250" s="490"/>
      <c r="AE250" s="490"/>
      <c r="AF250" s="490"/>
      <c r="AG250" s="490"/>
    </row>
    <row r="251" spans="1:33" hidden="1" outlineLevel="2" x14ac:dyDescent="0.2">
      <c r="A251" s="243"/>
      <c r="B251" s="672"/>
      <c r="C251" s="242" t="str">
        <f>INDEX(MBSIncCalc,C247,2)</f>
        <v/>
      </c>
      <c r="D251" s="243"/>
      <c r="E251" s="62" t="s">
        <v>1310</v>
      </c>
      <c r="F251" s="63">
        <f t="shared" ref="F251:K251" si="167">IF(INDEX(MBSIncRate,$C247,2)=2,IFERROR(INDEX(PBSScriptsNew,$C251,F248),0),IFERROR(INDEX(MBSPBSInc,$C247,INDEX(MBSIncRate,$C247,3)*7+F248),0) * IFERROR(INDEX(MBSIncPopSplit,$C247),0)) * INDEX(MBSIncRate,$C247,1) * INDEX(MBSIncRate,$C247,4)</f>
        <v>0</v>
      </c>
      <c r="G251" s="63">
        <f t="shared" si="167"/>
        <v>0</v>
      </c>
      <c r="H251" s="63">
        <f t="shared" si="167"/>
        <v>0</v>
      </c>
      <c r="I251" s="63">
        <f t="shared" si="167"/>
        <v>0</v>
      </c>
      <c r="J251" s="63">
        <f t="shared" si="167"/>
        <v>0</v>
      </c>
      <c r="K251" s="63">
        <f t="shared" si="167"/>
        <v>0</v>
      </c>
      <c r="L251" s="490"/>
      <c r="M251" s="493"/>
      <c r="N251" s="493"/>
      <c r="O251" s="664"/>
      <c r="P251" s="664"/>
      <c r="Q251" s="681"/>
      <c r="R251" s="681"/>
      <c r="S251" s="681"/>
      <c r="T251" s="681"/>
      <c r="U251" s="681"/>
      <c r="V251" s="681"/>
      <c r="W251" s="493"/>
      <c r="X251" s="561">
        <f>X250</f>
        <v>0</v>
      </c>
      <c r="Y251" s="561">
        <f>Y250+1</f>
        <v>2022</v>
      </c>
      <c r="Z251" s="560">
        <f>IF(G251&lt;&gt;0,G251-G253,0)</f>
        <v>0</v>
      </c>
      <c r="AA251" s="560">
        <f>IF(G259&lt;&gt;0,G259-G261,0)</f>
        <v>0</v>
      </c>
      <c r="AB251" s="674"/>
      <c r="AC251" s="490"/>
      <c r="AD251" s="490"/>
      <c r="AE251" s="490"/>
      <c r="AF251" s="490"/>
      <c r="AG251" s="490"/>
    </row>
    <row r="252" spans="1:33" hidden="1" outlineLevel="2" x14ac:dyDescent="0.2">
      <c r="A252" s="243"/>
      <c r="B252" s="242">
        <v>5</v>
      </c>
      <c r="C252" s="242">
        <v>6</v>
      </c>
      <c r="D252" s="243"/>
      <c r="E252" s="496" t="s">
        <v>1307</v>
      </c>
      <c r="F252" s="63" t="str">
        <f t="shared" ref="F252:K252" si="168">IFERROR(F251*INDEX(MBSIncItems,$C247,$B252)*INDEX(MBSIncItems,$C247,$C252),"")</f>
        <v/>
      </c>
      <c r="G252" s="63" t="str">
        <f t="shared" si="168"/>
        <v/>
      </c>
      <c r="H252" s="63" t="str">
        <f t="shared" si="168"/>
        <v/>
      </c>
      <c r="I252" s="63" t="str">
        <f t="shared" si="168"/>
        <v/>
      </c>
      <c r="J252" s="63" t="str">
        <f t="shared" si="168"/>
        <v/>
      </c>
      <c r="K252" s="63" t="str">
        <f t="shared" si="168"/>
        <v/>
      </c>
      <c r="L252" s="490"/>
      <c r="M252" s="493"/>
      <c r="N252" s="493"/>
      <c r="O252" s="682"/>
      <c r="P252" s="754"/>
      <c r="Q252" s="681"/>
      <c r="R252" s="681"/>
      <c r="S252" s="681"/>
      <c r="T252" s="681"/>
      <c r="U252" s="681"/>
      <c r="V252" s="681"/>
      <c r="W252" s="493"/>
      <c r="X252" s="561">
        <f t="shared" ref="X252:X255" si="169">X251</f>
        <v>0</v>
      </c>
      <c r="Y252" s="561">
        <f>Y251+1</f>
        <v>2023</v>
      </c>
      <c r="Z252" s="560">
        <f>IF(H251&lt;&gt;0,H251-H253,0)</f>
        <v>0</v>
      </c>
      <c r="AA252" s="560">
        <f>IF(H259&lt;&gt;0,H259-H261,0)</f>
        <v>0</v>
      </c>
      <c r="AB252" s="675"/>
      <c r="AC252" s="490"/>
      <c r="AD252" s="490"/>
      <c r="AE252" s="490"/>
      <c r="AF252" s="490"/>
      <c r="AG252" s="490"/>
    </row>
    <row r="253" spans="1:33" hidden="1" outlineLevel="2" x14ac:dyDescent="0.2">
      <c r="A253" s="416"/>
      <c r="B253" s="242">
        <v>4</v>
      </c>
      <c r="C253" s="242">
        <v>6</v>
      </c>
      <c r="D253" s="243"/>
      <c r="E253" s="496" t="s">
        <v>1306</v>
      </c>
      <c r="F253" s="63" t="str">
        <f t="shared" ref="F253:K253" si="170">IFERROR(F251*INDEX(MBSIncItems,$C247,$B253)*INDEX(MBSIncItems,$C247,$C253),"")</f>
        <v/>
      </c>
      <c r="G253" s="63" t="str">
        <f t="shared" si="170"/>
        <v/>
      </c>
      <c r="H253" s="63" t="str">
        <f t="shared" si="170"/>
        <v/>
      </c>
      <c r="I253" s="63" t="str">
        <f t="shared" si="170"/>
        <v/>
      </c>
      <c r="J253" s="63" t="str">
        <f t="shared" si="170"/>
        <v/>
      </c>
      <c r="K253" s="63" t="str">
        <f t="shared" si="170"/>
        <v/>
      </c>
      <c r="L253" s="416"/>
      <c r="M253" s="416"/>
      <c r="N253" s="416"/>
      <c r="O253" s="416"/>
      <c r="P253" s="416"/>
      <c r="Q253" s="416"/>
      <c r="R253" s="416"/>
      <c r="S253" s="416"/>
      <c r="T253" s="416"/>
      <c r="U253" s="416"/>
      <c r="V253" s="416"/>
      <c r="W253" s="493"/>
      <c r="X253" s="561">
        <f t="shared" si="169"/>
        <v>0</v>
      </c>
      <c r="Y253" s="561">
        <f>Y252+1</f>
        <v>2024</v>
      </c>
      <c r="Z253" s="560">
        <f>IF(I251&lt;&gt;0,I251-I253,0)</f>
        <v>0</v>
      </c>
      <c r="AA253" s="560">
        <f>IF(I259&lt;&gt;0,I259-I261,0)</f>
        <v>0</v>
      </c>
      <c r="AB253" s="675"/>
      <c r="AC253" s="490"/>
      <c r="AD253" s="490"/>
      <c r="AE253" s="490"/>
      <c r="AF253" s="490"/>
      <c r="AG253" s="490"/>
    </row>
    <row r="254" spans="1:33" hidden="1" outlineLevel="2" x14ac:dyDescent="0.2">
      <c r="A254" s="243"/>
      <c r="B254" s="242"/>
      <c r="C254" s="242">
        <v>7</v>
      </c>
      <c r="D254" s="243"/>
      <c r="E254" s="497" t="s">
        <v>1308</v>
      </c>
      <c r="F254" s="63" t="str">
        <f t="shared" ref="F254:K254" si="171">IFERROR(F251*INDEX(MBSIncItems,$C247,$C254),"")</f>
        <v/>
      </c>
      <c r="G254" s="63" t="str">
        <f t="shared" si="171"/>
        <v/>
      </c>
      <c r="H254" s="63" t="str">
        <f t="shared" si="171"/>
        <v/>
      </c>
      <c r="I254" s="63" t="str">
        <f t="shared" si="171"/>
        <v/>
      </c>
      <c r="J254" s="63" t="str">
        <f t="shared" si="171"/>
        <v/>
      </c>
      <c r="K254" s="63" t="str">
        <f t="shared" si="171"/>
        <v/>
      </c>
      <c r="L254" s="490"/>
      <c r="M254" s="493"/>
      <c r="N254" s="493"/>
      <c r="O254" s="682"/>
      <c r="P254" s="754"/>
      <c r="Q254" s="681"/>
      <c r="R254" s="681"/>
      <c r="S254" s="681"/>
      <c r="T254" s="681"/>
      <c r="U254" s="681"/>
      <c r="V254" s="681"/>
      <c r="W254" s="493"/>
      <c r="X254" s="561">
        <f t="shared" si="169"/>
        <v>0</v>
      </c>
      <c r="Y254" s="561">
        <f>Y253+1</f>
        <v>2025</v>
      </c>
      <c r="Z254" s="560">
        <f>IF(J251&lt;&gt;0,J251-J253,0)</f>
        <v>0</v>
      </c>
      <c r="AA254" s="560">
        <f>IF(J259&lt;&gt;0,J259-J261,0)</f>
        <v>0</v>
      </c>
      <c r="AB254" s="675"/>
      <c r="AC254" s="490"/>
      <c r="AD254" s="490"/>
      <c r="AE254" s="490"/>
      <c r="AF254" s="490"/>
      <c r="AG254" s="490"/>
    </row>
    <row r="255" spans="1:33" hidden="1" outlineLevel="2" x14ac:dyDescent="0.2">
      <c r="A255" s="243"/>
      <c r="B255" s="493"/>
      <c r="C255" s="493"/>
      <c r="D255" s="493"/>
      <c r="E255" s="493"/>
      <c r="F255" s="493"/>
      <c r="G255" s="493"/>
      <c r="H255" s="493"/>
      <c r="I255" s="493"/>
      <c r="J255" s="493"/>
      <c r="K255" s="493"/>
      <c r="L255" s="490"/>
      <c r="M255" s="493"/>
      <c r="N255" s="493"/>
      <c r="O255" s="682"/>
      <c r="P255" s="682"/>
      <c r="Q255" s="681"/>
      <c r="R255" s="681"/>
      <c r="S255" s="681"/>
      <c r="T255" s="681"/>
      <c r="U255" s="681"/>
      <c r="V255" s="681"/>
      <c r="W255" s="493"/>
      <c r="X255" s="561">
        <f t="shared" si="169"/>
        <v>0</v>
      </c>
      <c r="Y255" s="561">
        <f>Y254+1</f>
        <v>2026</v>
      </c>
      <c r="Z255" s="560">
        <f>IF(K251&lt;&gt;0,K251-K253,0)</f>
        <v>0</v>
      </c>
      <c r="AA255" s="560">
        <f>IF(K259&lt;&gt;0,K259-K261,0)</f>
        <v>0</v>
      </c>
      <c r="AB255" s="675"/>
      <c r="AC255" s="490"/>
      <c r="AD255" s="490"/>
      <c r="AE255" s="490"/>
      <c r="AF255" s="490"/>
      <c r="AG255" s="490"/>
    </row>
    <row r="256" spans="1:33" hidden="1" outlineLevel="2" x14ac:dyDescent="0.2">
      <c r="A256" s="243"/>
      <c r="B256" s="243"/>
      <c r="C256" s="243"/>
      <c r="D256" s="677"/>
      <c r="E256" s="677"/>
      <c r="F256" s="495">
        <v>2</v>
      </c>
      <c r="G256" s="495">
        <v>3</v>
      </c>
      <c r="H256" s="495">
        <v>4</v>
      </c>
      <c r="I256" s="495">
        <v>5</v>
      </c>
      <c r="J256" s="495">
        <v>6</v>
      </c>
      <c r="K256" s="495">
        <v>7</v>
      </c>
      <c r="L256" s="490"/>
      <c r="M256" s="243"/>
      <c r="N256" s="678"/>
      <c r="O256" s="678"/>
      <c r="P256" s="678"/>
      <c r="Q256" s="673"/>
      <c r="R256" s="673"/>
      <c r="S256" s="673"/>
      <c r="T256" s="673"/>
      <c r="U256" s="673"/>
      <c r="V256" s="673"/>
      <c r="W256" s="490"/>
      <c r="X256" s="676"/>
      <c r="Y256" s="676"/>
      <c r="Z256" s="676"/>
      <c r="AA256" s="676"/>
      <c r="AB256" s="675"/>
      <c r="AC256" s="490"/>
      <c r="AD256" s="490"/>
      <c r="AE256" s="490"/>
      <c r="AF256" s="490"/>
      <c r="AG256" s="490"/>
    </row>
    <row r="257" spans="1:33" ht="15.75" hidden="1" outlineLevel="2" x14ac:dyDescent="0.2">
      <c r="A257" s="243"/>
      <c r="B257" s="243"/>
      <c r="C257" s="243"/>
      <c r="D257" s="663" t="s">
        <v>1</v>
      </c>
      <c r="E257" s="663"/>
      <c r="F257" s="751">
        <f>FirstYear</f>
        <v>2021</v>
      </c>
      <c r="G257" s="751">
        <f>F257+1</f>
        <v>2022</v>
      </c>
      <c r="H257" s="751">
        <f>G257+1</f>
        <v>2023</v>
      </c>
      <c r="I257" s="751">
        <f>H257+1</f>
        <v>2024</v>
      </c>
      <c r="J257" s="751">
        <f>I257+1</f>
        <v>2025</v>
      </c>
      <c r="K257" s="751">
        <f>J257+1</f>
        <v>2026</v>
      </c>
      <c r="L257" s="491"/>
      <c r="M257" s="243"/>
      <c r="N257" s="685"/>
      <c r="O257" s="685"/>
      <c r="P257" s="685"/>
      <c r="Q257" s="673"/>
      <c r="R257" s="673"/>
      <c r="S257" s="673"/>
      <c r="T257" s="673"/>
      <c r="U257" s="673"/>
      <c r="V257" s="673"/>
      <c r="W257" s="491"/>
      <c r="X257" s="676"/>
      <c r="Y257" s="676"/>
      <c r="Z257" s="676"/>
      <c r="AA257" s="676"/>
      <c r="AB257" s="676"/>
      <c r="AC257" s="490"/>
      <c r="AD257" s="490"/>
      <c r="AE257" s="490"/>
      <c r="AF257" s="490"/>
      <c r="AG257" s="490"/>
    </row>
    <row r="258" spans="1:33" hidden="1" outlineLevel="2" x14ac:dyDescent="0.2">
      <c r="A258" s="243"/>
      <c r="B258" s="243"/>
      <c r="C258" s="243"/>
      <c r="D258" s="243"/>
      <c r="E258" s="433" t="s">
        <v>951</v>
      </c>
      <c r="F258" s="283">
        <f t="shared" ref="F258:K258" si="172">F259*INDEX(MBSIncCalc,$C247,3)</f>
        <v>0</v>
      </c>
      <c r="G258" s="283">
        <f t="shared" si="172"/>
        <v>0</v>
      </c>
      <c r="H258" s="283">
        <f t="shared" si="172"/>
        <v>0</v>
      </c>
      <c r="I258" s="283">
        <f t="shared" si="172"/>
        <v>0</v>
      </c>
      <c r="J258" s="283">
        <f t="shared" si="172"/>
        <v>0</v>
      </c>
      <c r="K258" s="283">
        <f t="shared" si="172"/>
        <v>0</v>
      </c>
      <c r="L258" s="490"/>
      <c r="M258" s="615"/>
      <c r="N258" s="615"/>
      <c r="O258" s="678"/>
      <c r="P258" s="678"/>
      <c r="Q258" s="673"/>
      <c r="R258" s="673"/>
      <c r="S258" s="673"/>
      <c r="T258" s="673"/>
      <c r="U258" s="673"/>
      <c r="V258" s="673"/>
      <c r="W258" s="490"/>
      <c r="X258" s="676"/>
      <c r="Y258" s="676"/>
      <c r="Z258" s="676"/>
      <c r="AA258" s="676"/>
      <c r="AB258" s="676"/>
      <c r="AC258" s="490"/>
      <c r="AD258" s="490"/>
      <c r="AE258" s="490"/>
      <c r="AF258" s="490"/>
      <c r="AG258" s="490"/>
    </row>
    <row r="259" spans="1:33" hidden="1" outlineLevel="2" x14ac:dyDescent="0.2">
      <c r="A259" s="243"/>
      <c r="B259" s="672"/>
      <c r="C259" s="242" t="str">
        <f>C251</f>
        <v/>
      </c>
      <c r="D259" s="243"/>
      <c r="E259" s="62" t="s">
        <v>1310</v>
      </c>
      <c r="F259" s="63">
        <f t="shared" ref="F259:K259" si="173">IF(INDEX(MBSIncRate,$C247,2)=2,IFERROR(INDEX(RPBSScriptsNew,$C259,F256),0),IFERROR(INDEX(MBSRPBSInc,$C247,INDEX(MBSIncRate,$C247,3)*7+F256),0) * IFERROR(INDEX(MBSIncPopSplit,$C247),0)) * INDEX(MBSIncRate,$C247,1) * INDEX(MBSIncRate,$C247,4)</f>
        <v>0</v>
      </c>
      <c r="G259" s="63">
        <f t="shared" si="173"/>
        <v>0</v>
      </c>
      <c r="H259" s="63">
        <f t="shared" si="173"/>
        <v>0</v>
      </c>
      <c r="I259" s="63">
        <f t="shared" si="173"/>
        <v>0</v>
      </c>
      <c r="J259" s="63">
        <f t="shared" si="173"/>
        <v>0</v>
      </c>
      <c r="K259" s="63">
        <f t="shared" si="173"/>
        <v>0</v>
      </c>
      <c r="L259" s="490"/>
      <c r="M259" s="243"/>
      <c r="N259" s="753"/>
      <c r="O259" s="678"/>
      <c r="P259" s="678"/>
      <c r="Q259" s="673"/>
      <c r="R259" s="673"/>
      <c r="S259" s="673"/>
      <c r="T259" s="673"/>
      <c r="U259" s="673"/>
      <c r="V259" s="673"/>
      <c r="W259" s="490"/>
      <c r="X259" s="676"/>
      <c r="Y259" s="676"/>
      <c r="Z259" s="676"/>
      <c r="AA259" s="676"/>
      <c r="AB259" s="676"/>
      <c r="AC259" s="490"/>
      <c r="AD259" s="490"/>
      <c r="AE259" s="490"/>
      <c r="AF259" s="490"/>
      <c r="AG259" s="490"/>
    </row>
    <row r="260" spans="1:33" hidden="1" outlineLevel="2" x14ac:dyDescent="0.2">
      <c r="A260" s="243"/>
      <c r="B260" s="242">
        <v>5</v>
      </c>
      <c r="C260" s="242">
        <v>6</v>
      </c>
      <c r="D260" s="243"/>
      <c r="E260" s="496" t="s">
        <v>1307</v>
      </c>
      <c r="F260" s="63" t="str">
        <f t="shared" ref="F260:K260" si="174">IFERROR(F259*INDEX(MBSIncItems,$C247,$B260)*INDEX(MBSIncItems,$C247,$C260),"")</f>
        <v/>
      </c>
      <c r="G260" s="63" t="str">
        <f t="shared" si="174"/>
        <v/>
      </c>
      <c r="H260" s="63" t="str">
        <f t="shared" si="174"/>
        <v/>
      </c>
      <c r="I260" s="63" t="str">
        <f t="shared" si="174"/>
        <v/>
      </c>
      <c r="J260" s="63" t="str">
        <f t="shared" si="174"/>
        <v/>
      </c>
      <c r="K260" s="63" t="str">
        <f t="shared" si="174"/>
        <v/>
      </c>
      <c r="L260" s="490"/>
      <c r="M260" s="683"/>
      <c r="N260" s="753"/>
      <c r="O260" s="678"/>
      <c r="P260" s="678"/>
      <c r="Q260" s="673"/>
      <c r="R260" s="673"/>
      <c r="S260" s="673"/>
      <c r="T260" s="673"/>
      <c r="U260" s="673"/>
      <c r="V260" s="673"/>
      <c r="W260" s="490"/>
      <c r="X260" s="676"/>
      <c r="Y260" s="676"/>
      <c r="Z260" s="676"/>
      <c r="AA260" s="676"/>
      <c r="AB260" s="676"/>
      <c r="AC260" s="490"/>
      <c r="AD260" s="490"/>
      <c r="AE260" s="490"/>
      <c r="AF260" s="490"/>
      <c r="AG260" s="490"/>
    </row>
    <row r="261" spans="1:33" hidden="1" outlineLevel="2" x14ac:dyDescent="0.2">
      <c r="A261" s="243"/>
      <c r="B261" s="242">
        <v>4</v>
      </c>
      <c r="C261" s="242">
        <v>6</v>
      </c>
      <c r="D261" s="243"/>
      <c r="E261" s="496" t="s">
        <v>1306</v>
      </c>
      <c r="F261" s="63" t="str">
        <f t="shared" ref="F261:K261" si="175">IFERROR(F259*INDEX(MBSIncItems,$C247,$B261)*INDEX(MBSIncItems,$C247,$C261),"")</f>
        <v/>
      </c>
      <c r="G261" s="63" t="str">
        <f t="shared" si="175"/>
        <v/>
      </c>
      <c r="H261" s="63" t="str">
        <f t="shared" si="175"/>
        <v/>
      </c>
      <c r="I261" s="63" t="str">
        <f t="shared" si="175"/>
        <v/>
      </c>
      <c r="J261" s="63" t="str">
        <f t="shared" si="175"/>
        <v/>
      </c>
      <c r="K261" s="63" t="str">
        <f t="shared" si="175"/>
        <v/>
      </c>
      <c r="L261" s="490"/>
      <c r="M261" s="684"/>
      <c r="N261" s="682"/>
      <c r="O261" s="678"/>
      <c r="P261" s="678"/>
      <c r="Q261" s="673"/>
      <c r="R261" s="673"/>
      <c r="S261" s="673"/>
      <c r="T261" s="673"/>
      <c r="U261" s="673"/>
      <c r="V261" s="673"/>
      <c r="W261" s="490"/>
      <c r="X261" s="676"/>
      <c r="Y261" s="676"/>
      <c r="Z261" s="676"/>
      <c r="AA261" s="676"/>
      <c r="AB261" s="676"/>
      <c r="AC261" s="490"/>
      <c r="AD261" s="490"/>
      <c r="AE261" s="490"/>
      <c r="AF261" s="490"/>
      <c r="AG261" s="490"/>
    </row>
    <row r="262" spans="1:33" hidden="1" outlineLevel="2" x14ac:dyDescent="0.2">
      <c r="A262" s="243"/>
      <c r="B262" s="242"/>
      <c r="C262" s="242">
        <v>7</v>
      </c>
      <c r="D262" s="243"/>
      <c r="E262" s="497" t="s">
        <v>1308</v>
      </c>
      <c r="F262" s="63" t="str">
        <f t="shared" ref="F262:K262" si="176">IFERROR(F259*INDEX(MBSIncItems,$C247,$C262),"")</f>
        <v/>
      </c>
      <c r="G262" s="63" t="str">
        <f t="shared" si="176"/>
        <v/>
      </c>
      <c r="H262" s="63" t="str">
        <f t="shared" si="176"/>
        <v/>
      </c>
      <c r="I262" s="63" t="str">
        <f t="shared" si="176"/>
        <v/>
      </c>
      <c r="J262" s="63" t="str">
        <f t="shared" si="176"/>
        <v/>
      </c>
      <c r="K262" s="63" t="str">
        <f t="shared" si="176"/>
        <v/>
      </c>
      <c r="L262" s="490"/>
      <c r="M262" s="684"/>
      <c r="N262" s="682"/>
      <c r="O262" s="678"/>
      <c r="P262" s="678"/>
      <c r="Q262" s="673"/>
      <c r="R262" s="673"/>
      <c r="S262" s="673"/>
      <c r="T262" s="673"/>
      <c r="U262" s="673"/>
      <c r="V262" s="673"/>
      <c r="W262" s="490"/>
      <c r="X262" s="676"/>
      <c r="Y262" s="676"/>
      <c r="Z262" s="676"/>
      <c r="AA262" s="676"/>
      <c r="AB262" s="676"/>
      <c r="AC262" s="490"/>
      <c r="AD262" s="490"/>
      <c r="AE262" s="490"/>
      <c r="AF262" s="490"/>
      <c r="AG262" s="490"/>
    </row>
    <row r="263" spans="1:33" hidden="1" outlineLevel="1" x14ac:dyDescent="0.2">
      <c r="A263" s="243"/>
      <c r="B263" s="243"/>
      <c r="C263" s="243"/>
      <c r="D263" s="677"/>
      <c r="E263" s="677"/>
      <c r="F263" s="243"/>
      <c r="G263" s="243"/>
      <c r="H263" s="243"/>
      <c r="I263" s="243"/>
      <c r="J263" s="243"/>
      <c r="K263" s="243"/>
      <c r="L263" s="243"/>
      <c r="M263" s="243"/>
      <c r="N263" s="678"/>
      <c r="O263" s="678"/>
      <c r="P263" s="678"/>
      <c r="Q263" s="673"/>
      <c r="R263" s="673"/>
      <c r="S263" s="673"/>
      <c r="T263" s="673"/>
      <c r="U263" s="673"/>
      <c r="V263" s="673"/>
      <c r="W263" s="490"/>
      <c r="X263" s="676"/>
      <c r="Y263" s="676"/>
      <c r="Z263" s="676"/>
      <c r="AA263" s="676"/>
      <c r="AB263" s="676"/>
      <c r="AC263" s="490"/>
      <c r="AD263" s="490"/>
      <c r="AE263" s="490"/>
      <c r="AF263" s="490"/>
      <c r="AG263" s="490"/>
    </row>
    <row r="264" spans="1:33" ht="15.75" hidden="1" outlineLevel="1" collapsed="1" x14ac:dyDescent="0.2">
      <c r="A264" s="243"/>
      <c r="B264" s="243"/>
      <c r="C264" s="242">
        <v>10</v>
      </c>
      <c r="D264" s="79" t="str">
        <f>INDEX(MBSIncNames,C264)</f>
        <v>** NOT USED **</v>
      </c>
      <c r="E264" s="79"/>
      <c r="F264" s="115"/>
      <c r="G264" s="115"/>
      <c r="H264" s="115"/>
      <c r="I264" s="115"/>
      <c r="J264" s="821" t="str">
        <f>IF(D264&lt;&gt;MsgNotUsed,"Co-payment group " &amp; K72,"")</f>
        <v/>
      </c>
      <c r="K264" s="821"/>
      <c r="L264" s="115"/>
      <c r="M264" s="115"/>
      <c r="N264" s="115"/>
      <c r="O264" s="115"/>
      <c r="P264" s="115"/>
      <c r="Q264" s="115"/>
      <c r="R264" s="115"/>
      <c r="S264" s="115"/>
      <c r="T264" s="115"/>
      <c r="U264" s="115"/>
      <c r="V264" s="115"/>
      <c r="W264" s="491"/>
      <c r="X264" s="490"/>
      <c r="Y264" s="490"/>
      <c r="Z264" s="490"/>
      <c r="AA264" s="490"/>
      <c r="AB264" s="676"/>
      <c r="AC264" s="490"/>
      <c r="AD264" s="490"/>
      <c r="AE264" s="490"/>
      <c r="AF264" s="490"/>
      <c r="AG264" s="490"/>
    </row>
    <row r="265" spans="1:33" hidden="1" outlineLevel="2" x14ac:dyDescent="0.2">
      <c r="A265" s="243"/>
      <c r="B265" s="243"/>
      <c r="C265" s="243"/>
      <c r="D265" s="243"/>
      <c r="E265" s="243"/>
      <c r="F265" s="495">
        <v>2</v>
      </c>
      <c r="G265" s="495">
        <v>3</v>
      </c>
      <c r="H265" s="495">
        <v>4</v>
      </c>
      <c r="I265" s="495">
        <v>5</v>
      </c>
      <c r="J265" s="495">
        <v>6</v>
      </c>
      <c r="K265" s="495">
        <v>7</v>
      </c>
      <c r="L265" s="495"/>
      <c r="M265" s="243"/>
      <c r="N265" s="243"/>
      <c r="O265" s="243"/>
      <c r="P265" s="243"/>
      <c r="Q265" s="243"/>
      <c r="R265" s="243"/>
      <c r="S265" s="243"/>
      <c r="T265" s="243"/>
      <c r="U265" s="243"/>
      <c r="V265" s="243"/>
      <c r="W265" s="490"/>
      <c r="X265" s="490"/>
      <c r="Y265" s="490"/>
      <c r="Z265" s="490"/>
      <c r="AA265" s="490"/>
      <c r="AB265" s="676"/>
      <c r="AC265" s="490"/>
      <c r="AD265" s="490"/>
      <c r="AE265" s="490"/>
      <c r="AF265" s="490"/>
      <c r="AG265" s="490"/>
    </row>
    <row r="266" spans="1:33" ht="15" hidden="1" outlineLevel="2" x14ac:dyDescent="0.2">
      <c r="A266" s="243"/>
      <c r="B266" s="243"/>
      <c r="C266" s="243"/>
      <c r="D266" s="663" t="s">
        <v>0</v>
      </c>
      <c r="E266" s="663"/>
      <c r="F266" s="630">
        <f>FirstYear</f>
        <v>2021</v>
      </c>
      <c r="G266" s="630">
        <f>F266+1</f>
        <v>2022</v>
      </c>
      <c r="H266" s="630">
        <f>G266+1</f>
        <v>2023</v>
      </c>
      <c r="I266" s="630">
        <f>H266+1</f>
        <v>2024</v>
      </c>
      <c r="J266" s="630">
        <f>I266+1</f>
        <v>2025</v>
      </c>
      <c r="K266" s="630">
        <f>J266+1</f>
        <v>2026</v>
      </c>
      <c r="L266" s="491"/>
      <c r="M266" s="113"/>
      <c r="N266" s="679"/>
      <c r="O266" s="679"/>
      <c r="P266" s="679"/>
      <c r="Q266" s="674"/>
      <c r="R266" s="674"/>
      <c r="S266" s="674"/>
      <c r="T266" s="674"/>
      <c r="U266" s="674"/>
      <c r="V266" s="674"/>
      <c r="W266" s="491"/>
      <c r="X266" s="674"/>
      <c r="Y266" s="674"/>
      <c r="Z266" s="674"/>
      <c r="AA266" s="674"/>
      <c r="AB266" s="676"/>
      <c r="AC266" s="490"/>
      <c r="AD266" s="490"/>
      <c r="AE266" s="490"/>
      <c r="AF266" s="490"/>
      <c r="AG266" s="490"/>
    </row>
    <row r="267" spans="1:33" hidden="1" outlineLevel="2" x14ac:dyDescent="0.2">
      <c r="A267" s="243"/>
      <c r="B267" s="243"/>
      <c r="C267" s="243"/>
      <c r="D267" s="243"/>
      <c r="E267" s="433" t="s">
        <v>951</v>
      </c>
      <c r="F267" s="283">
        <f t="shared" ref="F267:K267" si="177">F268*INDEX(MBSIncCalc,$C264,3)</f>
        <v>0</v>
      </c>
      <c r="G267" s="283">
        <f t="shared" si="177"/>
        <v>0</v>
      </c>
      <c r="H267" s="283">
        <f t="shared" si="177"/>
        <v>0</v>
      </c>
      <c r="I267" s="283">
        <f t="shared" si="177"/>
        <v>0</v>
      </c>
      <c r="J267" s="283">
        <f t="shared" si="177"/>
        <v>0</v>
      </c>
      <c r="K267" s="283">
        <f t="shared" si="177"/>
        <v>0</v>
      </c>
      <c r="L267" s="490"/>
      <c r="M267" s="680"/>
      <c r="N267" s="664"/>
      <c r="O267" s="664"/>
      <c r="P267" s="664"/>
      <c r="Q267" s="681"/>
      <c r="R267" s="681"/>
      <c r="S267" s="681"/>
      <c r="T267" s="681"/>
      <c r="U267" s="681"/>
      <c r="V267" s="681"/>
      <c r="W267" s="493"/>
      <c r="X267" s="561">
        <f>INDEX(MBSIncItems,C264,1)</f>
        <v>0</v>
      </c>
      <c r="Y267" s="561">
        <f>FirstYear</f>
        <v>2021</v>
      </c>
      <c r="Z267" s="560">
        <f>IF(F268&lt;&gt;0,F268-F270,0)</f>
        <v>0</v>
      </c>
      <c r="AA267" s="560">
        <f>IF(F276&lt;&gt;0,F276-F278,0)</f>
        <v>0</v>
      </c>
      <c r="AB267" s="674"/>
      <c r="AC267" s="490"/>
      <c r="AD267" s="490"/>
      <c r="AE267" s="490"/>
      <c r="AF267" s="490"/>
      <c r="AG267" s="490"/>
    </row>
    <row r="268" spans="1:33" hidden="1" outlineLevel="2" x14ac:dyDescent="0.2">
      <c r="A268" s="243"/>
      <c r="B268" s="672"/>
      <c r="C268" s="242" t="str">
        <f>INDEX(MBSIncCalc,C264,2)</f>
        <v/>
      </c>
      <c r="D268" s="243"/>
      <c r="E268" s="62" t="s">
        <v>1310</v>
      </c>
      <c r="F268" s="63">
        <f t="shared" ref="F268:K268" si="178">IF(INDEX(MBSIncRate,$C264,2)=2,IFERROR(INDEX(PBSScriptsNew,$C268,F265),0),IFERROR(INDEX(MBSPBSInc,$C264,INDEX(MBSIncRate,$C264,3)*7+F265),0) * IFERROR(INDEX(MBSIncPopSplit,$C264),0)) * INDEX(MBSIncRate,$C264,1) * INDEX(MBSIncRate,$C264,4)</f>
        <v>0</v>
      </c>
      <c r="G268" s="63">
        <f t="shared" si="178"/>
        <v>0</v>
      </c>
      <c r="H268" s="63">
        <f t="shared" si="178"/>
        <v>0</v>
      </c>
      <c r="I268" s="63">
        <f t="shared" si="178"/>
        <v>0</v>
      </c>
      <c r="J268" s="63">
        <f t="shared" si="178"/>
        <v>0</v>
      </c>
      <c r="K268" s="63">
        <f t="shared" si="178"/>
        <v>0</v>
      </c>
      <c r="L268" s="490"/>
      <c r="M268" s="493"/>
      <c r="N268" s="493"/>
      <c r="O268" s="664"/>
      <c r="P268" s="664"/>
      <c r="Q268" s="681"/>
      <c r="R268" s="681"/>
      <c r="S268" s="681"/>
      <c r="T268" s="681"/>
      <c r="U268" s="681"/>
      <c r="V268" s="681"/>
      <c r="W268" s="493"/>
      <c r="X268" s="561">
        <f>X267</f>
        <v>0</v>
      </c>
      <c r="Y268" s="561">
        <f>Y267+1</f>
        <v>2022</v>
      </c>
      <c r="Z268" s="560">
        <f>IF(G268&lt;&gt;0,G268-G270,0)</f>
        <v>0</v>
      </c>
      <c r="AA268" s="560">
        <f>IF(G276&lt;&gt;0,G276-G278,0)</f>
        <v>0</v>
      </c>
      <c r="AB268" s="674"/>
      <c r="AC268" s="490"/>
      <c r="AD268" s="490"/>
      <c r="AE268" s="490"/>
      <c r="AF268" s="490"/>
      <c r="AG268" s="490"/>
    </row>
    <row r="269" spans="1:33" hidden="1" outlineLevel="2" x14ac:dyDescent="0.2">
      <c r="A269" s="243"/>
      <c r="B269" s="242">
        <v>5</v>
      </c>
      <c r="C269" s="242">
        <v>6</v>
      </c>
      <c r="D269" s="243"/>
      <c r="E269" s="496" t="s">
        <v>1307</v>
      </c>
      <c r="F269" s="63" t="str">
        <f t="shared" ref="F269:K269" si="179">IFERROR(F268*INDEX(MBSIncItems,$C264,$B269)*INDEX(MBSIncItems,$C264,$C269),"")</f>
        <v/>
      </c>
      <c r="G269" s="63" t="str">
        <f t="shared" si="179"/>
        <v/>
      </c>
      <c r="H269" s="63" t="str">
        <f t="shared" si="179"/>
        <v/>
      </c>
      <c r="I269" s="63" t="str">
        <f t="shared" si="179"/>
        <v/>
      </c>
      <c r="J269" s="63" t="str">
        <f t="shared" si="179"/>
        <v/>
      </c>
      <c r="K269" s="63" t="str">
        <f t="shared" si="179"/>
        <v/>
      </c>
      <c r="L269" s="490"/>
      <c r="M269" s="493"/>
      <c r="N269" s="493"/>
      <c r="O269" s="682"/>
      <c r="P269" s="754"/>
      <c r="Q269" s="681"/>
      <c r="R269" s="681"/>
      <c r="S269" s="681"/>
      <c r="T269" s="681"/>
      <c r="U269" s="681"/>
      <c r="V269" s="681"/>
      <c r="W269" s="493"/>
      <c r="X269" s="561">
        <f t="shared" ref="X269:X272" si="180">X268</f>
        <v>0</v>
      </c>
      <c r="Y269" s="561">
        <f>Y268+1</f>
        <v>2023</v>
      </c>
      <c r="Z269" s="560">
        <f>IF(H268&lt;&gt;0,H268-H270,0)</f>
        <v>0</v>
      </c>
      <c r="AA269" s="560">
        <f>IF(H276&lt;&gt;0,H276-H278,0)</f>
        <v>0</v>
      </c>
      <c r="AB269" s="675"/>
      <c r="AC269" s="490"/>
      <c r="AD269" s="490"/>
      <c r="AE269" s="490"/>
      <c r="AF269" s="490"/>
      <c r="AG269" s="490"/>
    </row>
    <row r="270" spans="1:33" hidden="1" outlineLevel="2" x14ac:dyDescent="0.2">
      <c r="A270" s="416"/>
      <c r="B270" s="242">
        <v>4</v>
      </c>
      <c r="C270" s="242">
        <v>6</v>
      </c>
      <c r="D270" s="243"/>
      <c r="E270" s="496" t="s">
        <v>1306</v>
      </c>
      <c r="F270" s="63" t="str">
        <f t="shared" ref="F270:K270" si="181">IFERROR(F268*INDEX(MBSIncItems,$C264,$B270)*INDEX(MBSIncItems,$C264,$C270),"")</f>
        <v/>
      </c>
      <c r="G270" s="63" t="str">
        <f t="shared" si="181"/>
        <v/>
      </c>
      <c r="H270" s="63" t="str">
        <f t="shared" si="181"/>
        <v/>
      </c>
      <c r="I270" s="63" t="str">
        <f t="shared" si="181"/>
        <v/>
      </c>
      <c r="J270" s="63" t="str">
        <f t="shared" si="181"/>
        <v/>
      </c>
      <c r="K270" s="63" t="str">
        <f t="shared" si="181"/>
        <v/>
      </c>
      <c r="L270" s="416"/>
      <c r="M270" s="416"/>
      <c r="N270" s="416"/>
      <c r="O270" s="416"/>
      <c r="P270" s="416"/>
      <c r="Q270" s="416"/>
      <c r="R270" s="416"/>
      <c r="S270" s="416"/>
      <c r="T270" s="416"/>
      <c r="U270" s="416"/>
      <c r="V270" s="416"/>
      <c r="W270" s="493"/>
      <c r="X270" s="561">
        <f t="shared" si="180"/>
        <v>0</v>
      </c>
      <c r="Y270" s="561">
        <f>Y269+1</f>
        <v>2024</v>
      </c>
      <c r="Z270" s="560">
        <f>IF(I268&lt;&gt;0,I268-I270,0)</f>
        <v>0</v>
      </c>
      <c r="AA270" s="560">
        <f>IF(I276&lt;&gt;0,I276-I278,0)</f>
        <v>0</v>
      </c>
      <c r="AB270" s="675"/>
      <c r="AC270" s="490"/>
      <c r="AD270" s="490"/>
      <c r="AE270" s="490"/>
      <c r="AF270" s="490"/>
      <c r="AG270" s="490"/>
    </row>
    <row r="271" spans="1:33" hidden="1" outlineLevel="2" x14ac:dyDescent="0.2">
      <c r="A271" s="243"/>
      <c r="B271" s="242"/>
      <c r="C271" s="242">
        <v>7</v>
      </c>
      <c r="D271" s="243"/>
      <c r="E271" s="497" t="s">
        <v>1308</v>
      </c>
      <c r="F271" s="63" t="str">
        <f t="shared" ref="F271:K271" si="182">IFERROR(F268*INDEX(MBSIncItems,$C264,$C271),"")</f>
        <v/>
      </c>
      <c r="G271" s="63" t="str">
        <f t="shared" si="182"/>
        <v/>
      </c>
      <c r="H271" s="63" t="str">
        <f t="shared" si="182"/>
        <v/>
      </c>
      <c r="I271" s="63" t="str">
        <f t="shared" si="182"/>
        <v/>
      </c>
      <c r="J271" s="63" t="str">
        <f t="shared" si="182"/>
        <v/>
      </c>
      <c r="K271" s="63" t="str">
        <f t="shared" si="182"/>
        <v/>
      </c>
      <c r="L271" s="490"/>
      <c r="M271" s="493"/>
      <c r="N271" s="493"/>
      <c r="O271" s="682"/>
      <c r="P271" s="754"/>
      <c r="Q271" s="681"/>
      <c r="R271" s="681"/>
      <c r="S271" s="681"/>
      <c r="T271" s="681"/>
      <c r="U271" s="681"/>
      <c r="V271" s="681"/>
      <c r="W271" s="493"/>
      <c r="X271" s="561">
        <f t="shared" si="180"/>
        <v>0</v>
      </c>
      <c r="Y271" s="561">
        <f>Y270+1</f>
        <v>2025</v>
      </c>
      <c r="Z271" s="560">
        <f>IF(J268&lt;&gt;0,J268-J270,0)</f>
        <v>0</v>
      </c>
      <c r="AA271" s="560">
        <f>IF(J276&lt;&gt;0,J276-J278,0)</f>
        <v>0</v>
      </c>
      <c r="AB271" s="675"/>
      <c r="AC271" s="490"/>
      <c r="AD271" s="490"/>
      <c r="AE271" s="490"/>
      <c r="AF271" s="490"/>
      <c r="AG271" s="490"/>
    </row>
    <row r="272" spans="1:33" hidden="1" outlineLevel="2" x14ac:dyDescent="0.2">
      <c r="A272" s="243"/>
      <c r="B272" s="493"/>
      <c r="C272" s="493"/>
      <c r="D272" s="493"/>
      <c r="E272" s="493"/>
      <c r="F272" s="493"/>
      <c r="G272" s="493"/>
      <c r="H272" s="493"/>
      <c r="I272" s="493"/>
      <c r="J272" s="493"/>
      <c r="K272" s="493"/>
      <c r="L272" s="490"/>
      <c r="M272" s="493"/>
      <c r="N272" s="493"/>
      <c r="O272" s="682"/>
      <c r="P272" s="682"/>
      <c r="Q272" s="681"/>
      <c r="R272" s="681"/>
      <c r="S272" s="681"/>
      <c r="T272" s="681"/>
      <c r="U272" s="681"/>
      <c r="V272" s="681"/>
      <c r="W272" s="493"/>
      <c r="X272" s="561">
        <f t="shared" si="180"/>
        <v>0</v>
      </c>
      <c r="Y272" s="561">
        <f>Y271+1</f>
        <v>2026</v>
      </c>
      <c r="Z272" s="560">
        <f>IF(K268&lt;&gt;0,K268-K270,0)</f>
        <v>0</v>
      </c>
      <c r="AA272" s="560">
        <f>IF(K276&lt;&gt;0,K276-K278,0)</f>
        <v>0</v>
      </c>
      <c r="AB272" s="675"/>
      <c r="AC272" s="490"/>
      <c r="AD272" s="490"/>
      <c r="AE272" s="490"/>
      <c r="AF272" s="490"/>
      <c r="AG272" s="490"/>
    </row>
    <row r="273" spans="1:33" hidden="1" outlineLevel="2" x14ac:dyDescent="0.2">
      <c r="A273" s="243"/>
      <c r="B273" s="243"/>
      <c r="C273" s="243"/>
      <c r="D273" s="677"/>
      <c r="E273" s="677"/>
      <c r="F273" s="495">
        <v>2</v>
      </c>
      <c r="G273" s="495">
        <v>3</v>
      </c>
      <c r="H273" s="495">
        <v>4</v>
      </c>
      <c r="I273" s="495">
        <v>5</v>
      </c>
      <c r="J273" s="495">
        <v>6</v>
      </c>
      <c r="K273" s="495">
        <v>7</v>
      </c>
      <c r="L273" s="490"/>
      <c r="M273" s="243"/>
      <c r="N273" s="678"/>
      <c r="O273" s="678"/>
      <c r="P273" s="678"/>
      <c r="Q273" s="673"/>
      <c r="R273" s="673"/>
      <c r="S273" s="673"/>
      <c r="T273" s="673"/>
      <c r="U273" s="673"/>
      <c r="V273" s="673"/>
      <c r="W273" s="490"/>
      <c r="X273" s="676"/>
      <c r="Y273" s="676"/>
      <c r="Z273" s="676"/>
      <c r="AA273" s="676"/>
      <c r="AB273" s="675"/>
      <c r="AC273" s="490"/>
      <c r="AD273" s="490"/>
      <c r="AE273" s="490"/>
      <c r="AF273" s="490"/>
      <c r="AG273" s="490"/>
    </row>
    <row r="274" spans="1:33" ht="15.75" hidden="1" outlineLevel="2" x14ac:dyDescent="0.2">
      <c r="A274" s="243"/>
      <c r="B274" s="243"/>
      <c r="C274" s="243"/>
      <c r="D274" s="663" t="s">
        <v>1</v>
      </c>
      <c r="E274" s="663"/>
      <c r="F274" s="751">
        <f>FirstYear</f>
        <v>2021</v>
      </c>
      <c r="G274" s="751">
        <f>F274+1</f>
        <v>2022</v>
      </c>
      <c r="H274" s="751">
        <f>G274+1</f>
        <v>2023</v>
      </c>
      <c r="I274" s="751">
        <f>H274+1</f>
        <v>2024</v>
      </c>
      <c r="J274" s="751">
        <f>I274+1</f>
        <v>2025</v>
      </c>
      <c r="K274" s="751">
        <f>J274+1</f>
        <v>2026</v>
      </c>
      <c r="L274" s="491"/>
      <c r="M274" s="243"/>
      <c r="N274" s="685"/>
      <c r="O274" s="685"/>
      <c r="P274" s="685"/>
      <c r="Q274" s="673"/>
      <c r="R274" s="673"/>
      <c r="S274" s="673"/>
      <c r="T274" s="673"/>
      <c r="U274" s="673"/>
      <c r="V274" s="673"/>
      <c r="W274" s="491"/>
      <c r="X274" s="676"/>
      <c r="Y274" s="676"/>
      <c r="Z274" s="676"/>
      <c r="AA274" s="676"/>
      <c r="AB274" s="676"/>
      <c r="AC274" s="490"/>
      <c r="AD274" s="490"/>
      <c r="AE274" s="490"/>
      <c r="AF274" s="490"/>
      <c r="AG274" s="490"/>
    </row>
    <row r="275" spans="1:33" hidden="1" outlineLevel="2" x14ac:dyDescent="0.2">
      <c r="A275" s="243"/>
      <c r="B275" s="243"/>
      <c r="C275" s="243"/>
      <c r="D275" s="243"/>
      <c r="E275" s="433" t="s">
        <v>951</v>
      </c>
      <c r="F275" s="283">
        <f t="shared" ref="F275:K275" si="183">F276*INDEX(MBSIncCalc,$C264,3)</f>
        <v>0</v>
      </c>
      <c r="G275" s="283">
        <f t="shared" si="183"/>
        <v>0</v>
      </c>
      <c r="H275" s="283">
        <f t="shared" si="183"/>
        <v>0</v>
      </c>
      <c r="I275" s="283">
        <f t="shared" si="183"/>
        <v>0</v>
      </c>
      <c r="J275" s="283">
        <f t="shared" si="183"/>
        <v>0</v>
      </c>
      <c r="K275" s="283">
        <f t="shared" si="183"/>
        <v>0</v>
      </c>
      <c r="L275" s="490"/>
      <c r="M275" s="615"/>
      <c r="N275" s="615"/>
      <c r="O275" s="678"/>
      <c r="P275" s="678"/>
      <c r="Q275" s="673"/>
      <c r="R275" s="673"/>
      <c r="S275" s="673"/>
      <c r="T275" s="673"/>
      <c r="U275" s="673"/>
      <c r="V275" s="673"/>
      <c r="W275" s="490"/>
      <c r="X275" s="676"/>
      <c r="Y275" s="676"/>
      <c r="Z275" s="676"/>
      <c r="AA275" s="676"/>
      <c r="AB275" s="676"/>
      <c r="AC275" s="490"/>
      <c r="AD275" s="490"/>
      <c r="AE275" s="490"/>
      <c r="AF275" s="490"/>
      <c r="AG275" s="490"/>
    </row>
    <row r="276" spans="1:33" hidden="1" outlineLevel="2" x14ac:dyDescent="0.2">
      <c r="A276" s="243"/>
      <c r="B276" s="672"/>
      <c r="C276" s="242" t="str">
        <f>C268</f>
        <v/>
      </c>
      <c r="D276" s="243"/>
      <c r="E276" s="62" t="s">
        <v>1310</v>
      </c>
      <c r="F276" s="63">
        <f t="shared" ref="F276:K276" si="184">IF(INDEX(MBSIncRate,$C264,2)=2,IFERROR(INDEX(RPBSScriptsNew,$C276,F273),0),IFERROR(INDEX(MBSRPBSInc,$C264,INDEX(MBSIncRate,$C264,3)*7+F273),0) * IFERROR(INDEX(MBSIncPopSplit,$C264),0)) * INDEX(MBSIncRate,$C264,1) * INDEX(MBSIncRate,$C264,4)</f>
        <v>0</v>
      </c>
      <c r="G276" s="63">
        <f t="shared" si="184"/>
        <v>0</v>
      </c>
      <c r="H276" s="63">
        <f t="shared" si="184"/>
        <v>0</v>
      </c>
      <c r="I276" s="63">
        <f t="shared" si="184"/>
        <v>0</v>
      </c>
      <c r="J276" s="63">
        <f t="shared" si="184"/>
        <v>0</v>
      </c>
      <c r="K276" s="63">
        <f t="shared" si="184"/>
        <v>0</v>
      </c>
      <c r="L276" s="490"/>
      <c r="M276" s="243"/>
      <c r="N276" s="753"/>
      <c r="O276" s="678"/>
      <c r="P276" s="678"/>
      <c r="Q276" s="673"/>
      <c r="R276" s="673"/>
      <c r="S276" s="673"/>
      <c r="T276" s="673"/>
      <c r="U276" s="673"/>
      <c r="V276" s="673"/>
      <c r="W276" s="490"/>
      <c r="X276" s="676"/>
      <c r="Y276" s="676"/>
      <c r="Z276" s="676"/>
      <c r="AA276" s="676"/>
      <c r="AB276" s="676"/>
      <c r="AC276" s="490"/>
      <c r="AD276" s="490"/>
      <c r="AE276" s="490"/>
      <c r="AF276" s="490"/>
      <c r="AG276" s="490"/>
    </row>
    <row r="277" spans="1:33" hidden="1" outlineLevel="2" x14ac:dyDescent="0.2">
      <c r="A277" s="243"/>
      <c r="B277" s="242">
        <v>5</v>
      </c>
      <c r="C277" s="242">
        <v>6</v>
      </c>
      <c r="D277" s="243"/>
      <c r="E277" s="496" t="s">
        <v>1307</v>
      </c>
      <c r="F277" s="63" t="str">
        <f t="shared" ref="F277:K277" si="185">IFERROR(F276*INDEX(MBSIncItems,$C264,$B277)*INDEX(MBSIncItems,$C264,$C277),"")</f>
        <v/>
      </c>
      <c r="G277" s="63" t="str">
        <f t="shared" si="185"/>
        <v/>
      </c>
      <c r="H277" s="63" t="str">
        <f t="shared" si="185"/>
        <v/>
      </c>
      <c r="I277" s="63" t="str">
        <f t="shared" si="185"/>
        <v/>
      </c>
      <c r="J277" s="63" t="str">
        <f t="shared" si="185"/>
        <v/>
      </c>
      <c r="K277" s="63" t="str">
        <f t="shared" si="185"/>
        <v/>
      </c>
      <c r="L277" s="490"/>
      <c r="M277" s="683"/>
      <c r="N277" s="753"/>
      <c r="O277" s="678"/>
      <c r="P277" s="678"/>
      <c r="Q277" s="673"/>
      <c r="R277" s="673"/>
      <c r="S277" s="673"/>
      <c r="T277" s="673"/>
      <c r="U277" s="673"/>
      <c r="V277" s="673"/>
      <c r="W277" s="490"/>
      <c r="X277" s="676"/>
      <c r="Y277" s="676"/>
      <c r="Z277" s="676"/>
      <c r="AA277" s="676"/>
      <c r="AB277" s="676"/>
      <c r="AC277" s="490"/>
      <c r="AD277" s="490"/>
      <c r="AE277" s="490"/>
      <c r="AF277" s="490"/>
      <c r="AG277" s="490"/>
    </row>
    <row r="278" spans="1:33" hidden="1" outlineLevel="2" x14ac:dyDescent="0.2">
      <c r="A278" s="243"/>
      <c r="B278" s="242">
        <v>4</v>
      </c>
      <c r="C278" s="242">
        <v>6</v>
      </c>
      <c r="D278" s="243"/>
      <c r="E278" s="496" t="s">
        <v>1306</v>
      </c>
      <c r="F278" s="63" t="str">
        <f t="shared" ref="F278:K278" si="186">IFERROR(F276*INDEX(MBSIncItems,$C264,$B278)*INDEX(MBSIncItems,$C264,$C278),"")</f>
        <v/>
      </c>
      <c r="G278" s="63" t="str">
        <f t="shared" si="186"/>
        <v/>
      </c>
      <c r="H278" s="63" t="str">
        <f t="shared" si="186"/>
        <v/>
      </c>
      <c r="I278" s="63" t="str">
        <f t="shared" si="186"/>
        <v/>
      </c>
      <c r="J278" s="63" t="str">
        <f t="shared" si="186"/>
        <v/>
      </c>
      <c r="K278" s="63" t="str">
        <f t="shared" si="186"/>
        <v/>
      </c>
      <c r="L278" s="490"/>
      <c r="M278" s="684"/>
      <c r="N278" s="682"/>
      <c r="O278" s="678"/>
      <c r="P278" s="678"/>
      <c r="Q278" s="673"/>
      <c r="R278" s="673"/>
      <c r="S278" s="673"/>
      <c r="T278" s="673"/>
      <c r="U278" s="673"/>
      <c r="V278" s="673"/>
      <c r="W278" s="490"/>
      <c r="X278" s="676"/>
      <c r="Y278" s="676"/>
      <c r="Z278" s="676"/>
      <c r="AA278" s="676"/>
      <c r="AB278" s="676"/>
      <c r="AC278" s="490"/>
      <c r="AD278" s="490"/>
      <c r="AE278" s="490"/>
      <c r="AF278" s="490"/>
      <c r="AG278" s="490"/>
    </row>
    <row r="279" spans="1:33" hidden="1" outlineLevel="2" x14ac:dyDescent="0.2">
      <c r="A279" s="243"/>
      <c r="B279" s="242"/>
      <c r="C279" s="242">
        <v>7</v>
      </c>
      <c r="D279" s="243"/>
      <c r="E279" s="497" t="s">
        <v>1308</v>
      </c>
      <c r="F279" s="63" t="str">
        <f t="shared" ref="F279:K279" si="187">IFERROR(F276*INDEX(MBSIncItems,$C264,$C279),"")</f>
        <v/>
      </c>
      <c r="G279" s="63" t="str">
        <f t="shared" si="187"/>
        <v/>
      </c>
      <c r="H279" s="63" t="str">
        <f t="shared" si="187"/>
        <v/>
      </c>
      <c r="I279" s="63" t="str">
        <f t="shared" si="187"/>
        <v/>
      </c>
      <c r="J279" s="63" t="str">
        <f t="shared" si="187"/>
        <v/>
      </c>
      <c r="K279" s="63" t="str">
        <f t="shared" si="187"/>
        <v/>
      </c>
      <c r="L279" s="490"/>
      <c r="M279" s="684"/>
      <c r="N279" s="682"/>
      <c r="O279" s="678"/>
      <c r="P279" s="678"/>
      <c r="Q279" s="673"/>
      <c r="R279" s="673"/>
      <c r="S279" s="673"/>
      <c r="T279" s="673"/>
      <c r="U279" s="673"/>
      <c r="V279" s="673"/>
      <c r="W279" s="490"/>
      <c r="X279" s="676"/>
      <c r="Y279" s="676"/>
      <c r="Z279" s="676"/>
      <c r="AA279" s="676"/>
      <c r="AB279" s="676"/>
      <c r="AC279" s="490"/>
      <c r="AD279" s="490"/>
      <c r="AE279" s="490"/>
      <c r="AF279" s="490"/>
      <c r="AG279" s="490"/>
    </row>
    <row r="280" spans="1:33" hidden="1" outlineLevel="1" x14ac:dyDescent="0.2">
      <c r="A280" s="243"/>
      <c r="B280" s="243"/>
      <c r="C280" s="243"/>
      <c r="D280" s="677"/>
      <c r="E280" s="677"/>
      <c r="F280" s="243"/>
      <c r="G280" s="243"/>
      <c r="H280" s="243"/>
      <c r="I280" s="243"/>
      <c r="J280" s="243"/>
      <c r="K280" s="243"/>
      <c r="L280" s="243"/>
      <c r="M280" s="243"/>
      <c r="N280" s="678"/>
      <c r="O280" s="678"/>
      <c r="P280" s="678"/>
      <c r="Q280" s="673"/>
      <c r="R280" s="673"/>
      <c r="S280" s="673"/>
      <c r="T280" s="673"/>
      <c r="U280" s="673"/>
      <c r="V280" s="673"/>
      <c r="W280" s="490"/>
      <c r="X280" s="676"/>
      <c r="Y280" s="676"/>
      <c r="Z280" s="676"/>
      <c r="AA280" s="676"/>
      <c r="AB280" s="676"/>
      <c r="AC280" s="490"/>
      <c r="AD280" s="490"/>
      <c r="AE280" s="490"/>
      <c r="AF280" s="490"/>
      <c r="AG280" s="490"/>
    </row>
    <row r="281" spans="1:33" ht="15.75" hidden="1" outlineLevel="1" collapsed="1" x14ac:dyDescent="0.2">
      <c r="A281" s="243"/>
      <c r="B281" s="243"/>
      <c r="C281" s="242">
        <v>11</v>
      </c>
      <c r="D281" s="79" t="str">
        <f>INDEX(MBSIncNames,C281)</f>
        <v>** NOT USED **</v>
      </c>
      <c r="E281" s="79"/>
      <c r="F281" s="115"/>
      <c r="G281" s="115"/>
      <c r="H281" s="115"/>
      <c r="I281" s="115"/>
      <c r="J281" s="821" t="str">
        <f>IF(D281&lt;&gt;MsgNotUsed,"Co-payment group " &amp; K110,"")</f>
        <v/>
      </c>
      <c r="K281" s="821"/>
      <c r="L281" s="115"/>
      <c r="M281" s="115"/>
      <c r="N281" s="115"/>
      <c r="O281" s="115"/>
      <c r="P281" s="115"/>
      <c r="Q281" s="115"/>
      <c r="R281" s="115"/>
      <c r="S281" s="115"/>
      <c r="T281" s="115"/>
      <c r="U281" s="115"/>
      <c r="V281" s="115"/>
      <c r="W281" s="491"/>
      <c r="X281" s="490"/>
      <c r="Y281" s="490"/>
      <c r="Z281" s="490"/>
      <c r="AA281" s="490"/>
      <c r="AB281" s="676"/>
      <c r="AC281" s="490"/>
      <c r="AD281" s="490"/>
      <c r="AE281" s="490"/>
      <c r="AF281" s="490"/>
      <c r="AG281" s="490"/>
    </row>
    <row r="282" spans="1:33" hidden="1" outlineLevel="2" x14ac:dyDescent="0.2">
      <c r="A282" s="243"/>
      <c r="B282" s="243"/>
      <c r="C282" s="243"/>
      <c r="D282" s="243"/>
      <c r="E282" s="243"/>
      <c r="F282" s="495">
        <v>2</v>
      </c>
      <c r="G282" s="495">
        <v>3</v>
      </c>
      <c r="H282" s="495">
        <v>4</v>
      </c>
      <c r="I282" s="495">
        <v>5</v>
      </c>
      <c r="J282" s="495">
        <v>6</v>
      </c>
      <c r="K282" s="495">
        <v>7</v>
      </c>
      <c r="L282" s="495"/>
      <c r="M282" s="243"/>
      <c r="N282" s="243"/>
      <c r="O282" s="243"/>
      <c r="P282" s="243"/>
      <c r="Q282" s="243"/>
      <c r="R282" s="243"/>
      <c r="S282" s="243"/>
      <c r="T282" s="243"/>
      <c r="U282" s="243"/>
      <c r="V282" s="243"/>
      <c r="W282" s="490"/>
      <c r="X282" s="490"/>
      <c r="Y282" s="490"/>
      <c r="Z282" s="490"/>
      <c r="AA282" s="490"/>
      <c r="AB282" s="676"/>
      <c r="AC282" s="490"/>
      <c r="AD282" s="490"/>
      <c r="AE282" s="490"/>
      <c r="AF282" s="490"/>
      <c r="AG282" s="490"/>
    </row>
    <row r="283" spans="1:33" ht="15" hidden="1" outlineLevel="2" x14ac:dyDescent="0.2">
      <c r="A283" s="243"/>
      <c r="B283" s="243"/>
      <c r="C283" s="243"/>
      <c r="D283" s="663" t="s">
        <v>0</v>
      </c>
      <c r="E283" s="663"/>
      <c r="F283" s="733">
        <f>FirstYear</f>
        <v>2021</v>
      </c>
      <c r="G283" s="733">
        <f>F283+1</f>
        <v>2022</v>
      </c>
      <c r="H283" s="733">
        <f>G283+1</f>
        <v>2023</v>
      </c>
      <c r="I283" s="733">
        <f>H283+1</f>
        <v>2024</v>
      </c>
      <c r="J283" s="733">
        <f>I283+1</f>
        <v>2025</v>
      </c>
      <c r="K283" s="733">
        <f>J283+1</f>
        <v>2026</v>
      </c>
      <c r="L283" s="491"/>
      <c r="M283" s="113"/>
      <c r="N283" s="679"/>
      <c r="O283" s="679"/>
      <c r="P283" s="679"/>
      <c r="Q283" s="674"/>
      <c r="R283" s="674"/>
      <c r="S283" s="674"/>
      <c r="T283" s="674"/>
      <c r="U283" s="674"/>
      <c r="V283" s="674"/>
      <c r="W283" s="491"/>
      <c r="X283" s="674"/>
      <c r="Y283" s="674"/>
      <c r="Z283" s="674"/>
      <c r="AA283" s="674"/>
      <c r="AB283" s="676"/>
      <c r="AC283" s="490"/>
      <c r="AD283" s="490"/>
      <c r="AE283" s="490"/>
      <c r="AF283" s="490"/>
      <c r="AG283" s="490"/>
    </row>
    <row r="284" spans="1:33" hidden="1" outlineLevel="2" x14ac:dyDescent="0.2">
      <c r="A284" s="243"/>
      <c r="B284" s="243"/>
      <c r="C284" s="243"/>
      <c r="D284" s="243"/>
      <c r="E284" s="433" t="s">
        <v>951</v>
      </c>
      <c r="F284" s="283">
        <f t="shared" ref="F284:K284" si="188">F285*INDEX(MBSIncCalc,$C281,3)</f>
        <v>0</v>
      </c>
      <c r="G284" s="283">
        <f t="shared" si="188"/>
        <v>0</v>
      </c>
      <c r="H284" s="283">
        <f t="shared" si="188"/>
        <v>0</v>
      </c>
      <c r="I284" s="283">
        <f t="shared" si="188"/>
        <v>0</v>
      </c>
      <c r="J284" s="283">
        <f t="shared" si="188"/>
        <v>0</v>
      </c>
      <c r="K284" s="283">
        <f t="shared" si="188"/>
        <v>0</v>
      </c>
      <c r="L284" s="490"/>
      <c r="M284" s="680"/>
      <c r="N284" s="664"/>
      <c r="O284" s="664"/>
      <c r="P284" s="664"/>
      <c r="Q284" s="681"/>
      <c r="R284" s="681"/>
      <c r="S284" s="681"/>
      <c r="T284" s="681"/>
      <c r="U284" s="681"/>
      <c r="V284" s="681"/>
      <c r="W284" s="493"/>
      <c r="X284" s="561">
        <f>INDEX(MBSIncItems,C281,1)</f>
        <v>0</v>
      </c>
      <c r="Y284" s="561">
        <f>FirstYear</f>
        <v>2021</v>
      </c>
      <c r="Z284" s="560">
        <f>IF(F285&lt;&gt;0,F285-F287,0)</f>
        <v>0</v>
      </c>
      <c r="AA284" s="560">
        <f>IF(F293&lt;&gt;0,F293-F295,0)</f>
        <v>0</v>
      </c>
      <c r="AB284" s="674"/>
      <c r="AC284" s="490"/>
      <c r="AD284" s="490"/>
      <c r="AE284" s="490"/>
      <c r="AF284" s="490"/>
      <c r="AG284" s="490"/>
    </row>
    <row r="285" spans="1:33" hidden="1" outlineLevel="2" x14ac:dyDescent="0.2">
      <c r="A285" s="243"/>
      <c r="B285" s="672"/>
      <c r="C285" s="242" t="str">
        <f>INDEX(MBSIncCalc,C281,2)</f>
        <v/>
      </c>
      <c r="D285" s="243"/>
      <c r="E285" s="62" t="s">
        <v>1310</v>
      </c>
      <c r="F285" s="63">
        <f t="shared" ref="F285:K285" si="189">IF(INDEX(MBSIncRate,$C281,2)=2,IFERROR(INDEX(PBSScriptsNew,$C285,F282),0),IFERROR(INDEX(MBSPBSInc,$C281,INDEX(MBSIncRate,$C281,3)*7+F282),0) * IFERROR(INDEX(MBSIncPopSplit,$C281),0)) * INDEX(MBSIncRate,$C281,1) * INDEX(MBSIncRate,$C281,4)</f>
        <v>0</v>
      </c>
      <c r="G285" s="63">
        <f t="shared" si="189"/>
        <v>0</v>
      </c>
      <c r="H285" s="63">
        <f t="shared" si="189"/>
        <v>0</v>
      </c>
      <c r="I285" s="63">
        <f t="shared" si="189"/>
        <v>0</v>
      </c>
      <c r="J285" s="63">
        <f t="shared" si="189"/>
        <v>0</v>
      </c>
      <c r="K285" s="63">
        <f t="shared" si="189"/>
        <v>0</v>
      </c>
      <c r="L285" s="490"/>
      <c r="M285" s="493"/>
      <c r="N285" s="493"/>
      <c r="O285" s="664"/>
      <c r="P285" s="664"/>
      <c r="Q285" s="681"/>
      <c r="R285" s="681"/>
      <c r="S285" s="681"/>
      <c r="T285" s="681"/>
      <c r="U285" s="681"/>
      <c r="V285" s="681"/>
      <c r="W285" s="493"/>
      <c r="X285" s="561">
        <f>X284</f>
        <v>0</v>
      </c>
      <c r="Y285" s="561">
        <f>Y284+1</f>
        <v>2022</v>
      </c>
      <c r="Z285" s="560">
        <f>IF(G285&lt;&gt;0,G285-G287,0)</f>
        <v>0</v>
      </c>
      <c r="AA285" s="560">
        <f>IF(G293&lt;&gt;0,G293-G295,0)</f>
        <v>0</v>
      </c>
      <c r="AB285" s="674"/>
      <c r="AC285" s="490"/>
      <c r="AD285" s="490"/>
      <c r="AE285" s="490"/>
      <c r="AF285" s="490"/>
      <c r="AG285" s="490"/>
    </row>
    <row r="286" spans="1:33" hidden="1" outlineLevel="2" x14ac:dyDescent="0.2">
      <c r="A286" s="243"/>
      <c r="B286" s="242">
        <v>5</v>
      </c>
      <c r="C286" s="242">
        <v>6</v>
      </c>
      <c r="D286" s="243"/>
      <c r="E286" s="496" t="s">
        <v>1307</v>
      </c>
      <c r="F286" s="63" t="str">
        <f t="shared" ref="F286:K286" si="190">IFERROR(F285*INDEX(MBSIncItems,$C281,$B286)*INDEX(MBSIncItems,$C281,$C286),"")</f>
        <v/>
      </c>
      <c r="G286" s="63" t="str">
        <f t="shared" si="190"/>
        <v/>
      </c>
      <c r="H286" s="63" t="str">
        <f t="shared" si="190"/>
        <v/>
      </c>
      <c r="I286" s="63" t="str">
        <f t="shared" si="190"/>
        <v/>
      </c>
      <c r="J286" s="63" t="str">
        <f t="shared" si="190"/>
        <v/>
      </c>
      <c r="K286" s="63" t="str">
        <f t="shared" si="190"/>
        <v/>
      </c>
      <c r="L286" s="490"/>
      <c r="M286" s="493"/>
      <c r="N286" s="493"/>
      <c r="O286" s="682"/>
      <c r="P286" s="754"/>
      <c r="Q286" s="681"/>
      <c r="R286" s="681"/>
      <c r="S286" s="681"/>
      <c r="T286" s="681"/>
      <c r="U286" s="681"/>
      <c r="V286" s="681"/>
      <c r="W286" s="493"/>
      <c r="X286" s="561">
        <f t="shared" ref="X286:X289" si="191">X285</f>
        <v>0</v>
      </c>
      <c r="Y286" s="561">
        <f>Y285+1</f>
        <v>2023</v>
      </c>
      <c r="Z286" s="560">
        <f>IF(H285&lt;&gt;0,H285-H287,0)</f>
        <v>0</v>
      </c>
      <c r="AA286" s="560">
        <f>IF(H293&lt;&gt;0,H293-H295,0)</f>
        <v>0</v>
      </c>
      <c r="AB286" s="675"/>
      <c r="AC286" s="490"/>
      <c r="AD286" s="490"/>
      <c r="AE286" s="490"/>
      <c r="AF286" s="490"/>
      <c r="AG286" s="490"/>
    </row>
    <row r="287" spans="1:33" hidden="1" outlineLevel="2" x14ac:dyDescent="0.2">
      <c r="A287" s="416"/>
      <c r="B287" s="242">
        <v>4</v>
      </c>
      <c r="C287" s="242">
        <v>6</v>
      </c>
      <c r="D287" s="243"/>
      <c r="E287" s="496" t="s">
        <v>1306</v>
      </c>
      <c r="F287" s="63" t="str">
        <f t="shared" ref="F287:K287" si="192">IFERROR(F285*INDEX(MBSIncItems,$C281,$B287)*INDEX(MBSIncItems,$C281,$C287),"")</f>
        <v/>
      </c>
      <c r="G287" s="63" t="str">
        <f t="shared" si="192"/>
        <v/>
      </c>
      <c r="H287" s="63" t="str">
        <f t="shared" si="192"/>
        <v/>
      </c>
      <c r="I287" s="63" t="str">
        <f t="shared" si="192"/>
        <v/>
      </c>
      <c r="J287" s="63" t="str">
        <f t="shared" si="192"/>
        <v/>
      </c>
      <c r="K287" s="63" t="str">
        <f t="shared" si="192"/>
        <v/>
      </c>
      <c r="L287" s="416"/>
      <c r="M287" s="416"/>
      <c r="N287" s="416"/>
      <c r="O287" s="416"/>
      <c r="P287" s="416"/>
      <c r="Q287" s="416"/>
      <c r="R287" s="416"/>
      <c r="S287" s="416"/>
      <c r="T287" s="416"/>
      <c r="U287" s="416"/>
      <c r="V287" s="416"/>
      <c r="W287" s="493"/>
      <c r="X287" s="561">
        <f t="shared" si="191"/>
        <v>0</v>
      </c>
      <c r="Y287" s="561">
        <f>Y286+1</f>
        <v>2024</v>
      </c>
      <c r="Z287" s="560">
        <f>IF(I285&lt;&gt;0,I285-I287,0)</f>
        <v>0</v>
      </c>
      <c r="AA287" s="560">
        <f>IF(I293&lt;&gt;0,I293-I295,0)</f>
        <v>0</v>
      </c>
      <c r="AB287" s="675"/>
      <c r="AC287" s="490"/>
      <c r="AD287" s="490"/>
      <c r="AE287" s="490"/>
      <c r="AF287" s="490"/>
      <c r="AG287" s="490"/>
    </row>
    <row r="288" spans="1:33" hidden="1" outlineLevel="2" x14ac:dyDescent="0.2">
      <c r="A288" s="243"/>
      <c r="B288" s="242"/>
      <c r="C288" s="242">
        <v>7</v>
      </c>
      <c r="D288" s="243"/>
      <c r="E288" s="497" t="s">
        <v>1308</v>
      </c>
      <c r="F288" s="63" t="str">
        <f t="shared" ref="F288:K288" si="193">IFERROR(F285*INDEX(MBSIncItems,$C281,$C288),"")</f>
        <v/>
      </c>
      <c r="G288" s="63" t="str">
        <f t="shared" si="193"/>
        <v/>
      </c>
      <c r="H288" s="63" t="str">
        <f t="shared" si="193"/>
        <v/>
      </c>
      <c r="I288" s="63" t="str">
        <f t="shared" si="193"/>
        <v/>
      </c>
      <c r="J288" s="63" t="str">
        <f t="shared" si="193"/>
        <v/>
      </c>
      <c r="K288" s="63" t="str">
        <f t="shared" si="193"/>
        <v/>
      </c>
      <c r="L288" s="490"/>
      <c r="M288" s="493"/>
      <c r="N288" s="493"/>
      <c r="O288" s="682"/>
      <c r="P288" s="754"/>
      <c r="Q288" s="681"/>
      <c r="R288" s="681"/>
      <c r="S288" s="681"/>
      <c r="T288" s="681"/>
      <c r="U288" s="681"/>
      <c r="V288" s="681"/>
      <c r="W288" s="493"/>
      <c r="X288" s="561">
        <f t="shared" si="191"/>
        <v>0</v>
      </c>
      <c r="Y288" s="561">
        <f>Y287+1</f>
        <v>2025</v>
      </c>
      <c r="Z288" s="560">
        <f>IF(J285&lt;&gt;0,J285-J287,0)</f>
        <v>0</v>
      </c>
      <c r="AA288" s="560">
        <f>IF(J293&lt;&gt;0,J293-J295,0)</f>
        <v>0</v>
      </c>
      <c r="AB288" s="675"/>
      <c r="AC288" s="490"/>
      <c r="AD288" s="490"/>
      <c r="AE288" s="490"/>
      <c r="AF288" s="490"/>
      <c r="AG288" s="490"/>
    </row>
    <row r="289" spans="1:33" hidden="1" outlineLevel="2" x14ac:dyDescent="0.2">
      <c r="A289" s="243"/>
      <c r="B289" s="493"/>
      <c r="C289" s="493"/>
      <c r="D289" s="493"/>
      <c r="E289" s="493"/>
      <c r="F289" s="493"/>
      <c r="G289" s="493"/>
      <c r="H289" s="493"/>
      <c r="I289" s="493"/>
      <c r="J289" s="493"/>
      <c r="K289" s="493"/>
      <c r="L289" s="490"/>
      <c r="M289" s="493"/>
      <c r="N289" s="493"/>
      <c r="O289" s="682"/>
      <c r="P289" s="682"/>
      <c r="Q289" s="681"/>
      <c r="R289" s="681"/>
      <c r="S289" s="681"/>
      <c r="T289" s="681"/>
      <c r="U289" s="681"/>
      <c r="V289" s="681"/>
      <c r="W289" s="493"/>
      <c r="X289" s="561">
        <f t="shared" si="191"/>
        <v>0</v>
      </c>
      <c r="Y289" s="561">
        <f>Y288+1</f>
        <v>2026</v>
      </c>
      <c r="Z289" s="560">
        <f>IF(K285&lt;&gt;0,K285-K287,0)</f>
        <v>0</v>
      </c>
      <c r="AA289" s="560">
        <f>IF(K293&lt;&gt;0,K293-K295,0)</f>
        <v>0</v>
      </c>
      <c r="AB289" s="675"/>
      <c r="AC289" s="490"/>
      <c r="AD289" s="490"/>
      <c r="AE289" s="490"/>
      <c r="AF289" s="490"/>
      <c r="AG289" s="490"/>
    </row>
    <row r="290" spans="1:33" hidden="1" outlineLevel="2" x14ac:dyDescent="0.2">
      <c r="A290" s="243"/>
      <c r="B290" s="243"/>
      <c r="C290" s="243"/>
      <c r="D290" s="677"/>
      <c r="E290" s="677"/>
      <c r="F290" s="495">
        <v>2</v>
      </c>
      <c r="G290" s="495">
        <v>3</v>
      </c>
      <c r="H290" s="495">
        <v>4</v>
      </c>
      <c r="I290" s="495">
        <v>5</v>
      </c>
      <c r="J290" s="495">
        <v>6</v>
      </c>
      <c r="K290" s="495">
        <v>7</v>
      </c>
      <c r="L290" s="490"/>
      <c r="M290" s="243"/>
      <c r="N290" s="678"/>
      <c r="O290" s="678"/>
      <c r="P290" s="678"/>
      <c r="Q290" s="673"/>
      <c r="R290" s="673"/>
      <c r="S290" s="673"/>
      <c r="T290" s="673"/>
      <c r="U290" s="673"/>
      <c r="V290" s="673"/>
      <c r="W290" s="490"/>
      <c r="X290" s="676"/>
      <c r="Y290" s="676"/>
      <c r="Z290" s="676"/>
      <c r="AA290" s="676"/>
      <c r="AB290" s="675"/>
      <c r="AC290" s="490"/>
      <c r="AD290" s="490"/>
      <c r="AE290" s="490"/>
      <c r="AF290" s="490"/>
      <c r="AG290" s="490"/>
    </row>
    <row r="291" spans="1:33" ht="15.75" hidden="1" outlineLevel="2" x14ac:dyDescent="0.2">
      <c r="A291" s="243"/>
      <c r="B291" s="243"/>
      <c r="C291" s="243"/>
      <c r="D291" s="663" t="s">
        <v>1</v>
      </c>
      <c r="E291" s="663"/>
      <c r="F291" s="751">
        <f>FirstYear</f>
        <v>2021</v>
      </c>
      <c r="G291" s="751">
        <f>F291+1</f>
        <v>2022</v>
      </c>
      <c r="H291" s="751">
        <f>G291+1</f>
        <v>2023</v>
      </c>
      <c r="I291" s="751">
        <f>H291+1</f>
        <v>2024</v>
      </c>
      <c r="J291" s="751">
        <f>I291+1</f>
        <v>2025</v>
      </c>
      <c r="K291" s="751">
        <f>J291+1</f>
        <v>2026</v>
      </c>
      <c r="L291" s="491"/>
      <c r="M291" s="243"/>
      <c r="N291" s="685"/>
      <c r="O291" s="685"/>
      <c r="P291" s="685"/>
      <c r="Q291" s="673"/>
      <c r="R291" s="673"/>
      <c r="S291" s="673"/>
      <c r="T291" s="673"/>
      <c r="U291" s="673"/>
      <c r="V291" s="673"/>
      <c r="W291" s="491"/>
      <c r="X291" s="676"/>
      <c r="Y291" s="676"/>
      <c r="Z291" s="676"/>
      <c r="AA291" s="676"/>
      <c r="AB291" s="676"/>
      <c r="AC291" s="490"/>
      <c r="AD291" s="490"/>
      <c r="AE291" s="490"/>
      <c r="AF291" s="490"/>
      <c r="AG291" s="490"/>
    </row>
    <row r="292" spans="1:33" hidden="1" outlineLevel="2" x14ac:dyDescent="0.2">
      <c r="A292" s="243"/>
      <c r="B292" s="243"/>
      <c r="C292" s="243"/>
      <c r="D292" s="243"/>
      <c r="E292" s="433" t="s">
        <v>951</v>
      </c>
      <c r="F292" s="283">
        <f t="shared" ref="F292:K292" si="194">F293*INDEX(MBSIncCalc,$C281,3)</f>
        <v>0</v>
      </c>
      <c r="G292" s="283">
        <f t="shared" si="194"/>
        <v>0</v>
      </c>
      <c r="H292" s="283">
        <f t="shared" si="194"/>
        <v>0</v>
      </c>
      <c r="I292" s="283">
        <f t="shared" si="194"/>
        <v>0</v>
      </c>
      <c r="J292" s="283">
        <f t="shared" si="194"/>
        <v>0</v>
      </c>
      <c r="K292" s="283">
        <f t="shared" si="194"/>
        <v>0</v>
      </c>
      <c r="L292" s="490"/>
      <c r="M292" s="615"/>
      <c r="N292" s="615"/>
      <c r="O292" s="678"/>
      <c r="P292" s="678"/>
      <c r="Q292" s="673"/>
      <c r="R292" s="673"/>
      <c r="S292" s="673"/>
      <c r="T292" s="673"/>
      <c r="U292" s="673"/>
      <c r="V292" s="673"/>
      <c r="W292" s="490"/>
      <c r="X292" s="676"/>
      <c r="Y292" s="676"/>
      <c r="Z292" s="676"/>
      <c r="AA292" s="676"/>
      <c r="AB292" s="676"/>
      <c r="AC292" s="490"/>
      <c r="AD292" s="490"/>
      <c r="AE292" s="490"/>
      <c r="AF292" s="490"/>
      <c r="AG292" s="490"/>
    </row>
    <row r="293" spans="1:33" hidden="1" outlineLevel="2" x14ac:dyDescent="0.2">
      <c r="A293" s="243"/>
      <c r="B293" s="672"/>
      <c r="C293" s="242" t="str">
        <f>C285</f>
        <v/>
      </c>
      <c r="D293" s="243"/>
      <c r="E293" s="62" t="s">
        <v>1310</v>
      </c>
      <c r="F293" s="63">
        <f t="shared" ref="F293:K293" si="195">IF(INDEX(MBSIncRate,$C281,2)=2,IFERROR(INDEX(RPBSScriptsNew,$C293,F290),0),IFERROR(INDEX(MBSRPBSInc,$C281,INDEX(MBSIncRate,$C281,3)*7+F290),0) * IFERROR(INDEX(MBSIncPopSplit,$C281),0)) * INDEX(MBSIncRate,$C281,1) * INDEX(MBSIncRate,$C281,4)</f>
        <v>0</v>
      </c>
      <c r="G293" s="63">
        <f t="shared" si="195"/>
        <v>0</v>
      </c>
      <c r="H293" s="63">
        <f t="shared" si="195"/>
        <v>0</v>
      </c>
      <c r="I293" s="63">
        <f t="shared" si="195"/>
        <v>0</v>
      </c>
      <c r="J293" s="63">
        <f t="shared" si="195"/>
        <v>0</v>
      </c>
      <c r="K293" s="63">
        <f t="shared" si="195"/>
        <v>0</v>
      </c>
      <c r="L293" s="490"/>
      <c r="M293" s="243"/>
      <c r="N293" s="753"/>
      <c r="O293" s="678"/>
      <c r="P293" s="678"/>
      <c r="Q293" s="673"/>
      <c r="R293" s="673"/>
      <c r="S293" s="673"/>
      <c r="T293" s="673"/>
      <c r="U293" s="673"/>
      <c r="V293" s="673"/>
      <c r="W293" s="490"/>
      <c r="X293" s="676"/>
      <c r="Y293" s="676"/>
      <c r="Z293" s="676"/>
      <c r="AA293" s="676"/>
      <c r="AB293" s="676"/>
      <c r="AC293" s="490"/>
      <c r="AD293" s="490"/>
      <c r="AE293" s="490"/>
      <c r="AF293" s="490"/>
      <c r="AG293" s="490"/>
    </row>
    <row r="294" spans="1:33" hidden="1" outlineLevel="2" x14ac:dyDescent="0.2">
      <c r="A294" s="243"/>
      <c r="B294" s="242">
        <v>5</v>
      </c>
      <c r="C294" s="242">
        <v>6</v>
      </c>
      <c r="D294" s="243"/>
      <c r="E294" s="496" t="s">
        <v>1307</v>
      </c>
      <c r="F294" s="63" t="str">
        <f t="shared" ref="F294:K294" si="196">IFERROR(F293*INDEX(MBSIncItems,$C281,$B294)*INDEX(MBSIncItems,$C281,$C294),"")</f>
        <v/>
      </c>
      <c r="G294" s="63" t="str">
        <f t="shared" si="196"/>
        <v/>
      </c>
      <c r="H294" s="63" t="str">
        <f t="shared" si="196"/>
        <v/>
      </c>
      <c r="I294" s="63" t="str">
        <f t="shared" si="196"/>
        <v/>
      </c>
      <c r="J294" s="63" t="str">
        <f t="shared" si="196"/>
        <v/>
      </c>
      <c r="K294" s="63" t="str">
        <f t="shared" si="196"/>
        <v/>
      </c>
      <c r="L294" s="490"/>
      <c r="M294" s="683"/>
      <c r="N294" s="753"/>
      <c r="O294" s="678"/>
      <c r="P294" s="678"/>
      <c r="Q294" s="673"/>
      <c r="R294" s="673"/>
      <c r="S294" s="673"/>
      <c r="T294" s="673"/>
      <c r="U294" s="673"/>
      <c r="V294" s="673"/>
      <c r="W294" s="490"/>
      <c r="X294" s="676"/>
      <c r="Y294" s="676"/>
      <c r="Z294" s="676"/>
      <c r="AA294" s="676"/>
      <c r="AB294" s="676"/>
      <c r="AC294" s="490"/>
      <c r="AD294" s="490"/>
      <c r="AE294" s="490"/>
      <c r="AF294" s="490"/>
      <c r="AG294" s="490"/>
    </row>
    <row r="295" spans="1:33" hidden="1" outlineLevel="2" x14ac:dyDescent="0.2">
      <c r="A295" s="243"/>
      <c r="B295" s="242">
        <v>4</v>
      </c>
      <c r="C295" s="242">
        <v>6</v>
      </c>
      <c r="D295" s="243"/>
      <c r="E295" s="496" t="s">
        <v>1306</v>
      </c>
      <c r="F295" s="63" t="str">
        <f t="shared" ref="F295:K295" si="197">IFERROR(F293*INDEX(MBSIncItems,$C281,$B295)*INDEX(MBSIncItems,$C281,$C295),"")</f>
        <v/>
      </c>
      <c r="G295" s="63" t="str">
        <f t="shared" si="197"/>
        <v/>
      </c>
      <c r="H295" s="63" t="str">
        <f t="shared" si="197"/>
        <v/>
      </c>
      <c r="I295" s="63" t="str">
        <f t="shared" si="197"/>
        <v/>
      </c>
      <c r="J295" s="63" t="str">
        <f t="shared" si="197"/>
        <v/>
      </c>
      <c r="K295" s="63" t="str">
        <f t="shared" si="197"/>
        <v/>
      </c>
      <c r="L295" s="490"/>
      <c r="M295" s="684"/>
      <c r="N295" s="682"/>
      <c r="O295" s="678"/>
      <c r="P295" s="678"/>
      <c r="Q295" s="673"/>
      <c r="R295" s="673"/>
      <c r="S295" s="673"/>
      <c r="T295" s="673"/>
      <c r="U295" s="673"/>
      <c r="V295" s="673"/>
      <c r="W295" s="490"/>
      <c r="X295" s="676"/>
      <c r="Y295" s="676"/>
      <c r="Z295" s="676"/>
      <c r="AA295" s="676"/>
      <c r="AB295" s="676"/>
      <c r="AC295" s="490"/>
      <c r="AD295" s="490"/>
      <c r="AE295" s="490"/>
      <c r="AF295" s="490"/>
      <c r="AG295" s="490"/>
    </row>
    <row r="296" spans="1:33" hidden="1" outlineLevel="2" x14ac:dyDescent="0.2">
      <c r="A296" s="243"/>
      <c r="B296" s="242"/>
      <c r="C296" s="242">
        <v>7</v>
      </c>
      <c r="D296" s="243"/>
      <c r="E296" s="497" t="s">
        <v>1308</v>
      </c>
      <c r="F296" s="63" t="str">
        <f t="shared" ref="F296:K296" si="198">IFERROR(F293*INDEX(MBSIncItems,$C281,$C296),"")</f>
        <v/>
      </c>
      <c r="G296" s="63" t="str">
        <f t="shared" si="198"/>
        <v/>
      </c>
      <c r="H296" s="63" t="str">
        <f t="shared" si="198"/>
        <v/>
      </c>
      <c r="I296" s="63" t="str">
        <f t="shared" si="198"/>
        <v/>
      </c>
      <c r="J296" s="63" t="str">
        <f t="shared" si="198"/>
        <v/>
      </c>
      <c r="K296" s="63" t="str">
        <f t="shared" si="198"/>
        <v/>
      </c>
      <c r="L296" s="490"/>
      <c r="M296" s="684"/>
      <c r="N296" s="682"/>
      <c r="O296" s="678"/>
      <c r="P296" s="678"/>
      <c r="Q296" s="673"/>
      <c r="R296" s="673"/>
      <c r="S296" s="673"/>
      <c r="T296" s="673"/>
      <c r="U296" s="673"/>
      <c r="V296" s="673"/>
      <c r="W296" s="490"/>
      <c r="X296" s="676"/>
      <c r="Y296" s="676"/>
      <c r="Z296" s="676"/>
      <c r="AA296" s="676"/>
      <c r="AB296" s="676"/>
      <c r="AC296" s="490"/>
      <c r="AD296" s="490"/>
      <c r="AE296" s="490"/>
      <c r="AF296" s="490"/>
      <c r="AG296" s="490"/>
    </row>
    <row r="297" spans="1:33" hidden="1" outlineLevel="1" x14ac:dyDescent="0.2">
      <c r="A297" s="243"/>
      <c r="B297" s="243"/>
      <c r="C297" s="243"/>
      <c r="D297" s="677"/>
      <c r="E297" s="677"/>
      <c r="F297" s="243"/>
      <c r="G297" s="243"/>
      <c r="H297" s="243"/>
      <c r="I297" s="243"/>
      <c r="J297" s="243"/>
      <c r="K297" s="243"/>
      <c r="L297" s="243"/>
      <c r="M297" s="243"/>
      <c r="N297" s="678"/>
      <c r="O297" s="678"/>
      <c r="P297" s="678"/>
      <c r="Q297" s="673"/>
      <c r="R297" s="673"/>
      <c r="S297" s="673"/>
      <c r="T297" s="673"/>
      <c r="U297" s="673"/>
      <c r="V297" s="673"/>
      <c r="W297" s="490"/>
      <c r="X297" s="676"/>
      <c r="Y297" s="676"/>
      <c r="Z297" s="676"/>
      <c r="AA297" s="676"/>
      <c r="AB297" s="676"/>
      <c r="AC297" s="490"/>
      <c r="AD297" s="490"/>
      <c r="AE297" s="490"/>
      <c r="AF297" s="490"/>
      <c r="AG297" s="490"/>
    </row>
    <row r="298" spans="1:33" ht="15.75" hidden="1" outlineLevel="1" collapsed="1" x14ac:dyDescent="0.2">
      <c r="A298" s="243"/>
      <c r="B298" s="243"/>
      <c r="C298" s="242">
        <v>12</v>
      </c>
      <c r="D298" s="79" t="str">
        <f>INDEX(MBSIncNames,C298)</f>
        <v>** NOT USED **</v>
      </c>
      <c r="E298" s="79"/>
      <c r="F298" s="115"/>
      <c r="G298" s="115"/>
      <c r="H298" s="115"/>
      <c r="I298" s="115"/>
      <c r="J298" s="821" t="str">
        <f>IF(D298&lt;&gt;MsgNotUsed,"Co-payment group " &amp;#REF!,"")</f>
        <v/>
      </c>
      <c r="K298" s="821"/>
      <c r="L298" s="115"/>
      <c r="M298" s="115"/>
      <c r="N298" s="115"/>
      <c r="O298" s="115"/>
      <c r="P298" s="115"/>
      <c r="Q298" s="115"/>
      <c r="R298" s="115"/>
      <c r="S298" s="115"/>
      <c r="T298" s="115"/>
      <c r="U298" s="115"/>
      <c r="V298" s="115"/>
      <c r="W298" s="491"/>
      <c r="X298" s="490"/>
      <c r="Y298" s="490"/>
      <c r="Z298" s="490"/>
      <c r="AA298" s="490"/>
      <c r="AB298" s="676"/>
      <c r="AC298" s="490"/>
      <c r="AD298" s="490"/>
      <c r="AE298" s="490"/>
      <c r="AF298" s="490"/>
      <c r="AG298" s="490"/>
    </row>
    <row r="299" spans="1:33" hidden="1" outlineLevel="2" x14ac:dyDescent="0.2">
      <c r="A299" s="243"/>
      <c r="B299" s="243"/>
      <c r="C299" s="243"/>
      <c r="D299" s="243"/>
      <c r="E299" s="243"/>
      <c r="F299" s="495">
        <v>2</v>
      </c>
      <c r="G299" s="495">
        <v>3</v>
      </c>
      <c r="H299" s="495">
        <v>4</v>
      </c>
      <c r="I299" s="495">
        <v>5</v>
      </c>
      <c r="J299" s="495">
        <v>6</v>
      </c>
      <c r="K299" s="495">
        <v>7</v>
      </c>
      <c r="L299" s="495"/>
      <c r="M299" s="243"/>
      <c r="N299" s="243"/>
      <c r="O299" s="243"/>
      <c r="P299" s="243"/>
      <c r="Q299" s="243"/>
      <c r="R299" s="243"/>
      <c r="S299" s="243"/>
      <c r="T299" s="243"/>
      <c r="U299" s="243"/>
      <c r="V299" s="243"/>
      <c r="W299" s="490"/>
      <c r="X299" s="490"/>
      <c r="Y299" s="490"/>
      <c r="Z299" s="490"/>
      <c r="AA299" s="490"/>
      <c r="AB299" s="676"/>
      <c r="AC299" s="490"/>
      <c r="AD299" s="490"/>
      <c r="AE299" s="490"/>
      <c r="AF299" s="490"/>
      <c r="AG299" s="490"/>
    </row>
    <row r="300" spans="1:33" ht="15" hidden="1" outlineLevel="2" x14ac:dyDescent="0.2">
      <c r="A300" s="243"/>
      <c r="B300" s="243"/>
      <c r="C300" s="243"/>
      <c r="D300" s="663" t="s">
        <v>0</v>
      </c>
      <c r="E300" s="663"/>
      <c r="F300" s="733">
        <f>FirstYear</f>
        <v>2021</v>
      </c>
      <c r="G300" s="733">
        <f>F300+1</f>
        <v>2022</v>
      </c>
      <c r="H300" s="733">
        <f>G300+1</f>
        <v>2023</v>
      </c>
      <c r="I300" s="733">
        <f>H300+1</f>
        <v>2024</v>
      </c>
      <c r="J300" s="733">
        <f>I300+1</f>
        <v>2025</v>
      </c>
      <c r="K300" s="733">
        <f>J300+1</f>
        <v>2026</v>
      </c>
      <c r="L300" s="491"/>
      <c r="M300" s="113"/>
      <c r="N300" s="679"/>
      <c r="O300" s="679"/>
      <c r="P300" s="679"/>
      <c r="Q300" s="674"/>
      <c r="R300" s="674"/>
      <c r="S300" s="674"/>
      <c r="T300" s="674"/>
      <c r="U300" s="674"/>
      <c r="V300" s="674"/>
      <c r="W300" s="491"/>
      <c r="X300" s="674"/>
      <c r="Y300" s="674"/>
      <c r="Z300" s="674"/>
      <c r="AA300" s="674"/>
      <c r="AB300" s="676"/>
      <c r="AC300" s="490"/>
      <c r="AD300" s="490"/>
      <c r="AE300" s="490"/>
      <c r="AF300" s="490"/>
      <c r="AG300" s="490"/>
    </row>
    <row r="301" spans="1:33" hidden="1" outlineLevel="2" x14ac:dyDescent="0.2">
      <c r="A301" s="243"/>
      <c r="B301" s="243"/>
      <c r="C301" s="243"/>
      <c r="D301" s="243"/>
      <c r="E301" s="433" t="s">
        <v>951</v>
      </c>
      <c r="F301" s="283">
        <f t="shared" ref="F301:K301" si="199">F302*INDEX(MBSIncCalc,$C298,3)</f>
        <v>0</v>
      </c>
      <c r="G301" s="283">
        <f t="shared" si="199"/>
        <v>0</v>
      </c>
      <c r="H301" s="283">
        <f t="shared" si="199"/>
        <v>0</v>
      </c>
      <c r="I301" s="283">
        <f t="shared" si="199"/>
        <v>0</v>
      </c>
      <c r="J301" s="283">
        <f t="shared" si="199"/>
        <v>0</v>
      </c>
      <c r="K301" s="283">
        <f t="shared" si="199"/>
        <v>0</v>
      </c>
      <c r="L301" s="490"/>
      <c r="M301" s="680"/>
      <c r="N301" s="664"/>
      <c r="O301" s="664"/>
      <c r="P301" s="664"/>
      <c r="Q301" s="681"/>
      <c r="R301" s="681"/>
      <c r="S301" s="681"/>
      <c r="T301" s="681"/>
      <c r="U301" s="681"/>
      <c r="V301" s="681"/>
      <c r="W301" s="493"/>
      <c r="X301" s="561">
        <f>INDEX(MBSIncItems,C298,1)</f>
        <v>0</v>
      </c>
      <c r="Y301" s="561">
        <f>FirstYear</f>
        <v>2021</v>
      </c>
      <c r="Z301" s="560">
        <f>IF(F302&lt;&gt;0,F302-F304,0)</f>
        <v>0</v>
      </c>
      <c r="AA301" s="560">
        <f>IF(F310&lt;&gt;0,F310-F312,0)</f>
        <v>0</v>
      </c>
      <c r="AB301" s="674"/>
      <c r="AC301" s="490"/>
      <c r="AD301" s="490"/>
      <c r="AE301" s="490"/>
      <c r="AF301" s="490"/>
      <c r="AG301" s="490"/>
    </row>
    <row r="302" spans="1:33" hidden="1" outlineLevel="2" x14ac:dyDescent="0.2">
      <c r="A302" s="243"/>
      <c r="B302" s="672"/>
      <c r="C302" s="242" t="str">
        <f>INDEX(MBSIncCalc,C298,2)</f>
        <v/>
      </c>
      <c r="D302" s="243"/>
      <c r="E302" s="62" t="s">
        <v>1310</v>
      </c>
      <c r="F302" s="63">
        <f t="shared" ref="F302:K302" si="200">IF(INDEX(MBSIncRate,$C298,2)=2,IFERROR(INDEX(PBSScriptsNew,$C302,F299),0),IFERROR(INDEX(MBSPBSInc,$C298,INDEX(MBSIncRate,$C298,3)*7+F299),0) * IFERROR(INDEX(MBSIncPopSplit,$C298),0)) * INDEX(MBSIncRate,$C298,1) * INDEX(MBSIncRate,$C298,4)</f>
        <v>0</v>
      </c>
      <c r="G302" s="63">
        <f t="shared" si="200"/>
        <v>0</v>
      </c>
      <c r="H302" s="63">
        <f t="shared" si="200"/>
        <v>0</v>
      </c>
      <c r="I302" s="63">
        <f t="shared" si="200"/>
        <v>0</v>
      </c>
      <c r="J302" s="63">
        <f t="shared" si="200"/>
        <v>0</v>
      </c>
      <c r="K302" s="63">
        <f t="shared" si="200"/>
        <v>0</v>
      </c>
      <c r="L302" s="490"/>
      <c r="M302" s="493"/>
      <c r="N302" s="493"/>
      <c r="O302" s="664"/>
      <c r="P302" s="664"/>
      <c r="Q302" s="681"/>
      <c r="R302" s="681"/>
      <c r="S302" s="681"/>
      <c r="T302" s="681"/>
      <c r="U302" s="681"/>
      <c r="V302" s="681"/>
      <c r="W302" s="493"/>
      <c r="X302" s="561">
        <f>X301</f>
        <v>0</v>
      </c>
      <c r="Y302" s="561">
        <f>Y301+1</f>
        <v>2022</v>
      </c>
      <c r="Z302" s="560">
        <f>IF(G302&lt;&gt;0,G302-G304,0)</f>
        <v>0</v>
      </c>
      <c r="AA302" s="560">
        <f>IF(G310&lt;&gt;0,G310-G312,0)</f>
        <v>0</v>
      </c>
      <c r="AB302" s="674"/>
      <c r="AC302" s="490"/>
      <c r="AD302" s="490"/>
      <c r="AE302" s="490"/>
      <c r="AF302" s="490"/>
      <c r="AG302" s="490"/>
    </row>
    <row r="303" spans="1:33" hidden="1" outlineLevel="2" x14ac:dyDescent="0.2">
      <c r="A303" s="243"/>
      <c r="B303" s="242">
        <v>5</v>
      </c>
      <c r="C303" s="242">
        <v>6</v>
      </c>
      <c r="D303" s="243"/>
      <c r="E303" s="496" t="s">
        <v>1307</v>
      </c>
      <c r="F303" s="63" t="str">
        <f t="shared" ref="F303:K303" si="201">IFERROR(F302*INDEX(MBSIncItems,$C298,$B303)*INDEX(MBSIncItems,$C298,$C303),"")</f>
        <v/>
      </c>
      <c r="G303" s="63" t="str">
        <f t="shared" si="201"/>
        <v/>
      </c>
      <c r="H303" s="63" t="str">
        <f t="shared" si="201"/>
        <v/>
      </c>
      <c r="I303" s="63" t="str">
        <f t="shared" si="201"/>
        <v/>
      </c>
      <c r="J303" s="63" t="str">
        <f t="shared" si="201"/>
        <v/>
      </c>
      <c r="K303" s="63" t="str">
        <f t="shared" si="201"/>
        <v/>
      </c>
      <c r="L303" s="490"/>
      <c r="M303" s="493"/>
      <c r="N303" s="493"/>
      <c r="O303" s="682"/>
      <c r="P303" s="754"/>
      <c r="Q303" s="681"/>
      <c r="R303" s="681"/>
      <c r="S303" s="681"/>
      <c r="T303" s="681"/>
      <c r="U303" s="681"/>
      <c r="V303" s="681"/>
      <c r="W303" s="493"/>
      <c r="X303" s="561">
        <f t="shared" ref="X303:X306" si="202">X302</f>
        <v>0</v>
      </c>
      <c r="Y303" s="561">
        <f>Y302+1</f>
        <v>2023</v>
      </c>
      <c r="Z303" s="560">
        <f>IF(H302&lt;&gt;0,H302-H304,0)</f>
        <v>0</v>
      </c>
      <c r="AA303" s="560">
        <f>IF(H310&lt;&gt;0,H310-H312,0)</f>
        <v>0</v>
      </c>
      <c r="AB303" s="675"/>
      <c r="AC303" s="490"/>
      <c r="AD303" s="490"/>
      <c r="AE303" s="490"/>
      <c r="AF303" s="490"/>
      <c r="AG303" s="490"/>
    </row>
    <row r="304" spans="1:33" hidden="1" outlineLevel="2" x14ac:dyDescent="0.2">
      <c r="A304" s="416"/>
      <c r="B304" s="242">
        <v>4</v>
      </c>
      <c r="C304" s="242">
        <v>6</v>
      </c>
      <c r="D304" s="243"/>
      <c r="E304" s="496" t="s">
        <v>1306</v>
      </c>
      <c r="F304" s="63" t="str">
        <f t="shared" ref="F304:K304" si="203">IFERROR(F302*INDEX(MBSIncItems,$C298,$B304)*INDEX(MBSIncItems,$C298,$C304),"")</f>
        <v/>
      </c>
      <c r="G304" s="63" t="str">
        <f t="shared" si="203"/>
        <v/>
      </c>
      <c r="H304" s="63" t="str">
        <f t="shared" si="203"/>
        <v/>
      </c>
      <c r="I304" s="63" t="str">
        <f t="shared" si="203"/>
        <v/>
      </c>
      <c r="J304" s="63" t="str">
        <f t="shared" si="203"/>
        <v/>
      </c>
      <c r="K304" s="63" t="str">
        <f t="shared" si="203"/>
        <v/>
      </c>
      <c r="L304" s="416"/>
      <c r="M304" s="416"/>
      <c r="N304" s="416"/>
      <c r="O304" s="416"/>
      <c r="P304" s="416"/>
      <c r="Q304" s="416"/>
      <c r="R304" s="416"/>
      <c r="S304" s="416"/>
      <c r="T304" s="416"/>
      <c r="U304" s="416"/>
      <c r="V304" s="416"/>
      <c r="W304" s="493"/>
      <c r="X304" s="561">
        <f t="shared" si="202"/>
        <v>0</v>
      </c>
      <c r="Y304" s="561">
        <f>Y303+1</f>
        <v>2024</v>
      </c>
      <c r="Z304" s="560">
        <f>IF(I302&lt;&gt;0,I302-I304,0)</f>
        <v>0</v>
      </c>
      <c r="AA304" s="560">
        <f>IF(I310&lt;&gt;0,I310-I312,0)</f>
        <v>0</v>
      </c>
      <c r="AB304" s="675"/>
      <c r="AC304" s="490"/>
      <c r="AD304" s="490"/>
      <c r="AE304" s="490"/>
      <c r="AF304" s="490"/>
      <c r="AG304" s="490"/>
    </row>
    <row r="305" spans="1:33" hidden="1" outlineLevel="2" x14ac:dyDescent="0.2">
      <c r="A305" s="243"/>
      <c r="B305" s="242"/>
      <c r="C305" s="242">
        <v>7</v>
      </c>
      <c r="D305" s="243"/>
      <c r="E305" s="497" t="s">
        <v>1308</v>
      </c>
      <c r="F305" s="63" t="str">
        <f t="shared" ref="F305:K305" si="204">IFERROR(F302*INDEX(MBSIncItems,$C298,$C305),"")</f>
        <v/>
      </c>
      <c r="G305" s="63" t="str">
        <f t="shared" si="204"/>
        <v/>
      </c>
      <c r="H305" s="63" t="str">
        <f t="shared" si="204"/>
        <v/>
      </c>
      <c r="I305" s="63" t="str">
        <f t="shared" si="204"/>
        <v/>
      </c>
      <c r="J305" s="63" t="str">
        <f t="shared" si="204"/>
        <v/>
      </c>
      <c r="K305" s="63" t="str">
        <f t="shared" si="204"/>
        <v/>
      </c>
      <c r="L305" s="490"/>
      <c r="M305" s="493"/>
      <c r="N305" s="493"/>
      <c r="O305" s="682"/>
      <c r="P305" s="754"/>
      <c r="Q305" s="681"/>
      <c r="R305" s="681"/>
      <c r="S305" s="681"/>
      <c r="T305" s="681"/>
      <c r="U305" s="681"/>
      <c r="V305" s="681"/>
      <c r="W305" s="493"/>
      <c r="X305" s="561">
        <f t="shared" si="202"/>
        <v>0</v>
      </c>
      <c r="Y305" s="561">
        <f>Y304+1</f>
        <v>2025</v>
      </c>
      <c r="Z305" s="560">
        <f>IF(J302&lt;&gt;0,J302-J304,0)</f>
        <v>0</v>
      </c>
      <c r="AA305" s="560">
        <f>IF(J310&lt;&gt;0,J310-J312,0)</f>
        <v>0</v>
      </c>
      <c r="AB305" s="675"/>
      <c r="AC305" s="490"/>
      <c r="AD305" s="490"/>
      <c r="AE305" s="490"/>
      <c r="AF305" s="490"/>
      <c r="AG305" s="490"/>
    </row>
    <row r="306" spans="1:33" hidden="1" outlineLevel="2" x14ac:dyDescent="0.2">
      <c r="A306" s="243"/>
      <c r="B306" s="493"/>
      <c r="C306" s="493"/>
      <c r="D306" s="493"/>
      <c r="E306" s="493"/>
      <c r="F306" s="493"/>
      <c r="G306" s="493"/>
      <c r="H306" s="493"/>
      <c r="I306" s="493"/>
      <c r="J306" s="493"/>
      <c r="K306" s="493"/>
      <c r="L306" s="490"/>
      <c r="M306" s="493"/>
      <c r="N306" s="493"/>
      <c r="O306" s="682"/>
      <c r="P306" s="682"/>
      <c r="Q306" s="681"/>
      <c r="R306" s="681"/>
      <c r="S306" s="681"/>
      <c r="T306" s="681"/>
      <c r="U306" s="681"/>
      <c r="V306" s="681"/>
      <c r="W306" s="493"/>
      <c r="X306" s="561">
        <f t="shared" si="202"/>
        <v>0</v>
      </c>
      <c r="Y306" s="561">
        <f>Y305+1</f>
        <v>2026</v>
      </c>
      <c r="Z306" s="560">
        <f>IF(K302&lt;&gt;0,K302-K304,0)</f>
        <v>0</v>
      </c>
      <c r="AA306" s="560">
        <f>IF(K310&lt;&gt;0,K310-K312,0)</f>
        <v>0</v>
      </c>
      <c r="AB306" s="675"/>
      <c r="AC306" s="490"/>
      <c r="AD306" s="490"/>
      <c r="AE306" s="490"/>
      <c r="AF306" s="490"/>
      <c r="AG306" s="490"/>
    </row>
    <row r="307" spans="1:33" hidden="1" outlineLevel="2" x14ac:dyDescent="0.2">
      <c r="A307" s="243"/>
      <c r="B307" s="243"/>
      <c r="C307" s="243"/>
      <c r="D307" s="677"/>
      <c r="E307" s="677"/>
      <c r="F307" s="495">
        <v>2</v>
      </c>
      <c r="G307" s="495">
        <v>3</v>
      </c>
      <c r="H307" s="495">
        <v>4</v>
      </c>
      <c r="I307" s="495">
        <v>5</v>
      </c>
      <c r="J307" s="495">
        <v>6</v>
      </c>
      <c r="K307" s="495">
        <v>7</v>
      </c>
      <c r="L307" s="490"/>
      <c r="M307" s="243"/>
      <c r="N307" s="678"/>
      <c r="O307" s="678"/>
      <c r="P307" s="678"/>
      <c r="Q307" s="673"/>
      <c r="R307" s="673"/>
      <c r="S307" s="673"/>
      <c r="T307" s="673"/>
      <c r="U307" s="673"/>
      <c r="V307" s="673"/>
      <c r="W307" s="490"/>
      <c r="X307" s="676"/>
      <c r="Y307" s="676"/>
      <c r="Z307" s="676"/>
      <c r="AA307" s="676"/>
      <c r="AB307" s="675"/>
      <c r="AC307" s="490"/>
      <c r="AD307" s="490"/>
      <c r="AE307" s="490"/>
      <c r="AF307" s="490"/>
      <c r="AG307" s="490"/>
    </row>
    <row r="308" spans="1:33" ht="15.75" hidden="1" outlineLevel="2" x14ac:dyDescent="0.2">
      <c r="A308" s="243"/>
      <c r="B308" s="243"/>
      <c r="C308" s="243"/>
      <c r="D308" s="663" t="s">
        <v>1</v>
      </c>
      <c r="E308" s="663"/>
      <c r="F308" s="751">
        <f>FirstYear</f>
        <v>2021</v>
      </c>
      <c r="G308" s="751">
        <f>F308+1</f>
        <v>2022</v>
      </c>
      <c r="H308" s="751">
        <f>G308+1</f>
        <v>2023</v>
      </c>
      <c r="I308" s="751">
        <f>H308+1</f>
        <v>2024</v>
      </c>
      <c r="J308" s="751">
        <f>I308+1</f>
        <v>2025</v>
      </c>
      <c r="K308" s="751">
        <f>J308+1</f>
        <v>2026</v>
      </c>
      <c r="L308" s="491"/>
      <c r="M308" s="243"/>
      <c r="N308" s="685"/>
      <c r="O308" s="685"/>
      <c r="P308" s="685"/>
      <c r="Q308" s="673"/>
      <c r="R308" s="673"/>
      <c r="S308" s="673"/>
      <c r="T308" s="673"/>
      <c r="U308" s="673"/>
      <c r="V308" s="673"/>
      <c r="W308" s="491"/>
      <c r="X308" s="676"/>
      <c r="Y308" s="676"/>
      <c r="Z308" s="676"/>
      <c r="AA308" s="676"/>
      <c r="AB308" s="676"/>
      <c r="AC308" s="490"/>
      <c r="AD308" s="490"/>
      <c r="AE308" s="490"/>
      <c r="AF308" s="490"/>
      <c r="AG308" s="490"/>
    </row>
    <row r="309" spans="1:33" hidden="1" outlineLevel="2" x14ac:dyDescent="0.2">
      <c r="A309" s="243"/>
      <c r="B309" s="243"/>
      <c r="C309" s="243"/>
      <c r="D309" s="243"/>
      <c r="E309" s="433" t="s">
        <v>951</v>
      </c>
      <c r="F309" s="283">
        <f t="shared" ref="F309:K309" si="205">F310*INDEX(MBSIncCalc,$C298,3)</f>
        <v>0</v>
      </c>
      <c r="G309" s="283">
        <f t="shared" si="205"/>
        <v>0</v>
      </c>
      <c r="H309" s="283">
        <f t="shared" si="205"/>
        <v>0</v>
      </c>
      <c r="I309" s="283">
        <f t="shared" si="205"/>
        <v>0</v>
      </c>
      <c r="J309" s="283">
        <f t="shared" si="205"/>
        <v>0</v>
      </c>
      <c r="K309" s="283">
        <f t="shared" si="205"/>
        <v>0</v>
      </c>
      <c r="L309" s="490"/>
      <c r="M309" s="615"/>
      <c r="N309" s="615"/>
      <c r="O309" s="678"/>
      <c r="P309" s="678"/>
      <c r="Q309" s="673"/>
      <c r="R309" s="673"/>
      <c r="S309" s="673"/>
      <c r="T309" s="673"/>
      <c r="U309" s="673"/>
      <c r="V309" s="673"/>
      <c r="W309" s="490"/>
      <c r="X309" s="676"/>
      <c r="Y309" s="676"/>
      <c r="Z309" s="676"/>
      <c r="AA309" s="676"/>
      <c r="AB309" s="676"/>
      <c r="AC309" s="490"/>
      <c r="AD309" s="490"/>
      <c r="AE309" s="490"/>
      <c r="AF309" s="490"/>
      <c r="AG309" s="490"/>
    </row>
    <row r="310" spans="1:33" hidden="1" outlineLevel="2" x14ac:dyDescent="0.2">
      <c r="A310" s="243"/>
      <c r="B310" s="672"/>
      <c r="C310" s="242" t="str">
        <f>C302</f>
        <v/>
      </c>
      <c r="D310" s="243"/>
      <c r="E310" s="62" t="s">
        <v>1310</v>
      </c>
      <c r="F310" s="63">
        <f t="shared" ref="F310:K310" si="206">IF(INDEX(MBSIncRate,$C298,2)=2,IFERROR(INDEX(RPBSScriptsNew,$C310,F307),0),IFERROR(INDEX(MBSRPBSInc,$C298,INDEX(MBSIncRate,$C298,3)*7+F307),0) * IFERROR(INDEX(MBSIncPopSplit,$C298),0)) * INDEX(MBSIncRate,$C298,1) * INDEX(MBSIncRate,$C298,4)</f>
        <v>0</v>
      </c>
      <c r="G310" s="63">
        <f t="shared" si="206"/>
        <v>0</v>
      </c>
      <c r="H310" s="63">
        <f t="shared" si="206"/>
        <v>0</v>
      </c>
      <c r="I310" s="63">
        <f t="shared" si="206"/>
        <v>0</v>
      </c>
      <c r="J310" s="63">
        <f t="shared" si="206"/>
        <v>0</v>
      </c>
      <c r="K310" s="63">
        <f t="shared" si="206"/>
        <v>0</v>
      </c>
      <c r="L310" s="490"/>
      <c r="M310" s="243"/>
      <c r="N310" s="753"/>
      <c r="O310" s="678"/>
      <c r="P310" s="678"/>
      <c r="Q310" s="673"/>
      <c r="R310" s="673"/>
      <c r="S310" s="673"/>
      <c r="T310" s="673"/>
      <c r="U310" s="673"/>
      <c r="V310" s="673"/>
      <c r="W310" s="490"/>
      <c r="X310" s="676"/>
      <c r="Y310" s="676"/>
      <c r="Z310" s="676"/>
      <c r="AA310" s="676"/>
      <c r="AB310" s="676"/>
      <c r="AC310" s="490"/>
      <c r="AD310" s="490"/>
      <c r="AE310" s="490"/>
      <c r="AF310" s="490"/>
      <c r="AG310" s="490"/>
    </row>
    <row r="311" spans="1:33" hidden="1" outlineLevel="2" x14ac:dyDescent="0.2">
      <c r="A311" s="243"/>
      <c r="B311" s="242">
        <v>5</v>
      </c>
      <c r="C311" s="242">
        <v>6</v>
      </c>
      <c r="D311" s="243"/>
      <c r="E311" s="496" t="s">
        <v>1307</v>
      </c>
      <c r="F311" s="63" t="str">
        <f t="shared" ref="F311:K311" si="207">IFERROR(F310*INDEX(MBSIncItems,$C298,$B311)*INDEX(MBSIncItems,$C298,$C311),"")</f>
        <v/>
      </c>
      <c r="G311" s="63" t="str">
        <f t="shared" si="207"/>
        <v/>
      </c>
      <c r="H311" s="63" t="str">
        <f t="shared" si="207"/>
        <v/>
      </c>
      <c r="I311" s="63" t="str">
        <f t="shared" si="207"/>
        <v/>
      </c>
      <c r="J311" s="63" t="str">
        <f t="shared" si="207"/>
        <v/>
      </c>
      <c r="K311" s="63" t="str">
        <f t="shared" si="207"/>
        <v/>
      </c>
      <c r="L311" s="490"/>
      <c r="M311" s="683"/>
      <c r="N311" s="753"/>
      <c r="O311" s="678"/>
      <c r="P311" s="678"/>
      <c r="Q311" s="673"/>
      <c r="R311" s="673"/>
      <c r="S311" s="673"/>
      <c r="T311" s="673"/>
      <c r="U311" s="673"/>
      <c r="V311" s="673"/>
      <c r="W311" s="490"/>
      <c r="X311" s="676"/>
      <c r="Y311" s="676"/>
      <c r="Z311" s="676"/>
      <c r="AA311" s="676"/>
      <c r="AB311" s="676"/>
      <c r="AC311" s="490"/>
      <c r="AD311" s="490"/>
      <c r="AE311" s="490"/>
      <c r="AF311" s="490"/>
      <c r="AG311" s="490"/>
    </row>
    <row r="312" spans="1:33" hidden="1" outlineLevel="2" x14ac:dyDescent="0.2">
      <c r="A312" s="243"/>
      <c r="B312" s="242">
        <v>4</v>
      </c>
      <c r="C312" s="242">
        <v>6</v>
      </c>
      <c r="D312" s="243"/>
      <c r="E312" s="496" t="s">
        <v>1306</v>
      </c>
      <c r="F312" s="63" t="str">
        <f t="shared" ref="F312:K312" si="208">IFERROR(F310*INDEX(MBSIncItems,$C298,$B312)*INDEX(MBSIncItems,$C298,$C312),"")</f>
        <v/>
      </c>
      <c r="G312" s="63" t="str">
        <f t="shared" si="208"/>
        <v/>
      </c>
      <c r="H312" s="63" t="str">
        <f t="shared" si="208"/>
        <v/>
      </c>
      <c r="I312" s="63" t="str">
        <f t="shared" si="208"/>
        <v/>
      </c>
      <c r="J312" s="63" t="str">
        <f t="shared" si="208"/>
        <v/>
      </c>
      <c r="K312" s="63" t="str">
        <f t="shared" si="208"/>
        <v/>
      </c>
      <c r="L312" s="490"/>
      <c r="M312" s="684"/>
      <c r="N312" s="682"/>
      <c r="O312" s="678"/>
      <c r="P312" s="678"/>
      <c r="Q312" s="673"/>
      <c r="R312" s="673"/>
      <c r="S312" s="673"/>
      <c r="T312" s="673"/>
      <c r="U312" s="673"/>
      <c r="V312" s="673"/>
      <c r="W312" s="490"/>
      <c r="X312" s="676"/>
      <c r="Y312" s="676"/>
      <c r="Z312" s="676"/>
      <c r="AA312" s="676"/>
      <c r="AB312" s="676"/>
      <c r="AC312" s="490"/>
      <c r="AD312" s="490"/>
      <c r="AE312" s="490"/>
      <c r="AF312" s="490"/>
      <c r="AG312" s="490"/>
    </row>
    <row r="313" spans="1:33" hidden="1" outlineLevel="2" x14ac:dyDescent="0.2">
      <c r="A313" s="243"/>
      <c r="B313" s="242"/>
      <c r="C313" s="242">
        <v>7</v>
      </c>
      <c r="D313" s="243"/>
      <c r="E313" s="497" t="s">
        <v>1308</v>
      </c>
      <c r="F313" s="63" t="str">
        <f t="shared" ref="F313:K313" si="209">IFERROR(F310*INDEX(MBSIncItems,$C298,$C313),"")</f>
        <v/>
      </c>
      <c r="G313" s="63" t="str">
        <f t="shared" si="209"/>
        <v/>
      </c>
      <c r="H313" s="63" t="str">
        <f t="shared" si="209"/>
        <v/>
      </c>
      <c r="I313" s="63" t="str">
        <f t="shared" si="209"/>
        <v/>
      </c>
      <c r="J313" s="63" t="str">
        <f t="shared" si="209"/>
        <v/>
      </c>
      <c r="K313" s="63" t="str">
        <f t="shared" si="209"/>
        <v/>
      </c>
      <c r="L313" s="490"/>
      <c r="M313" s="684"/>
      <c r="N313" s="682"/>
      <c r="O313" s="678"/>
      <c r="P313" s="678"/>
      <c r="Q313" s="673"/>
      <c r="R313" s="673"/>
      <c r="S313" s="673"/>
      <c r="T313" s="673"/>
      <c r="U313" s="673"/>
      <c r="V313" s="673"/>
      <c r="W313" s="490"/>
      <c r="X313" s="676"/>
      <c r="Y313" s="676"/>
      <c r="Z313" s="676"/>
      <c r="AA313" s="676"/>
      <c r="AB313" s="676"/>
      <c r="AC313" s="490"/>
      <c r="AD313" s="490"/>
      <c r="AE313" s="490"/>
      <c r="AF313" s="490"/>
      <c r="AG313" s="490"/>
    </row>
    <row r="314" spans="1:33" hidden="1" outlineLevel="1" x14ac:dyDescent="0.2">
      <c r="A314" s="243"/>
      <c r="B314" s="243"/>
      <c r="C314" s="243"/>
      <c r="D314" s="677"/>
      <c r="E314" s="677"/>
      <c r="F314" s="243"/>
      <c r="G314" s="243"/>
      <c r="H314" s="243"/>
      <c r="I314" s="243"/>
      <c r="J314" s="243"/>
      <c r="K314" s="243"/>
      <c r="L314" s="243"/>
      <c r="M314" s="243"/>
      <c r="N314" s="678"/>
      <c r="O314" s="678"/>
      <c r="P314" s="678"/>
      <c r="Q314" s="673"/>
      <c r="R314" s="673"/>
      <c r="S314" s="673"/>
      <c r="T314" s="673"/>
      <c r="U314" s="673"/>
      <c r="V314" s="673"/>
      <c r="W314" s="490"/>
      <c r="X314" s="676"/>
      <c r="Y314" s="676"/>
      <c r="Z314" s="676"/>
      <c r="AA314" s="676"/>
      <c r="AB314" s="676"/>
      <c r="AC314" s="490"/>
      <c r="AD314" s="490"/>
      <c r="AE314" s="490"/>
      <c r="AF314" s="490"/>
      <c r="AG314" s="490"/>
    </row>
    <row r="315" spans="1:33" ht="15.75" hidden="1" outlineLevel="1" collapsed="1" x14ac:dyDescent="0.2">
      <c r="A315" s="243"/>
      <c r="B315" s="243"/>
      <c r="C315" s="242">
        <v>13</v>
      </c>
      <c r="D315" s="79" t="str">
        <f>INDEX(MBSIncNames,C315)</f>
        <v>** NOT USED **</v>
      </c>
      <c r="E315" s="79"/>
      <c r="F315" s="115"/>
      <c r="G315" s="115"/>
      <c r="H315" s="115"/>
      <c r="I315" s="115"/>
      <c r="J315" s="821" t="str">
        <f>IF(D315&lt;&gt;MsgNotUsed,"Co-payment group " &amp; K144,"")</f>
        <v/>
      </c>
      <c r="K315" s="821"/>
      <c r="L315" s="115"/>
      <c r="M315" s="115"/>
      <c r="N315" s="115"/>
      <c r="O315" s="115"/>
      <c r="P315" s="115"/>
      <c r="Q315" s="115"/>
      <c r="R315" s="115"/>
      <c r="S315" s="115"/>
      <c r="T315" s="115"/>
      <c r="U315" s="115"/>
      <c r="V315" s="115"/>
      <c r="W315" s="491"/>
      <c r="X315" s="490"/>
      <c r="Y315" s="490"/>
      <c r="Z315" s="490"/>
      <c r="AA315" s="490"/>
      <c r="AB315" s="676"/>
      <c r="AC315" s="490"/>
      <c r="AD315" s="490"/>
      <c r="AE315" s="490"/>
      <c r="AF315" s="490"/>
      <c r="AG315" s="490"/>
    </row>
    <row r="316" spans="1:33" hidden="1" outlineLevel="2" x14ac:dyDescent="0.2">
      <c r="A316" s="243"/>
      <c r="B316" s="243"/>
      <c r="C316" s="243"/>
      <c r="D316" s="243"/>
      <c r="E316" s="243"/>
      <c r="F316" s="495">
        <v>2</v>
      </c>
      <c r="G316" s="495">
        <v>3</v>
      </c>
      <c r="H316" s="495">
        <v>4</v>
      </c>
      <c r="I316" s="495">
        <v>5</v>
      </c>
      <c r="J316" s="495">
        <v>6</v>
      </c>
      <c r="K316" s="495">
        <v>7</v>
      </c>
      <c r="L316" s="495"/>
      <c r="M316" s="243"/>
      <c r="N316" s="243"/>
      <c r="O316" s="243"/>
      <c r="P316" s="243"/>
      <c r="Q316" s="243"/>
      <c r="R316" s="243"/>
      <c r="S316" s="243"/>
      <c r="T316" s="243"/>
      <c r="U316" s="243"/>
      <c r="V316" s="243"/>
      <c r="W316" s="490"/>
      <c r="X316" s="490"/>
      <c r="Y316" s="490"/>
      <c r="Z316" s="490"/>
      <c r="AA316" s="490"/>
      <c r="AB316" s="676"/>
      <c r="AC316" s="490"/>
      <c r="AD316" s="490"/>
      <c r="AE316" s="490"/>
      <c r="AF316" s="490"/>
      <c r="AG316" s="490"/>
    </row>
    <row r="317" spans="1:33" ht="15" hidden="1" outlineLevel="2" x14ac:dyDescent="0.2">
      <c r="A317" s="243"/>
      <c r="B317" s="243"/>
      <c r="C317" s="243"/>
      <c r="D317" s="663" t="s">
        <v>0</v>
      </c>
      <c r="E317" s="663"/>
      <c r="F317" s="733">
        <f>FirstYear</f>
        <v>2021</v>
      </c>
      <c r="G317" s="733">
        <f>F317+1</f>
        <v>2022</v>
      </c>
      <c r="H317" s="733">
        <f>G317+1</f>
        <v>2023</v>
      </c>
      <c r="I317" s="733">
        <f>H317+1</f>
        <v>2024</v>
      </c>
      <c r="J317" s="733">
        <f>I317+1</f>
        <v>2025</v>
      </c>
      <c r="K317" s="733">
        <f>J317+1</f>
        <v>2026</v>
      </c>
      <c r="L317" s="491"/>
      <c r="M317" s="113"/>
      <c r="N317" s="679"/>
      <c r="O317" s="679"/>
      <c r="P317" s="679"/>
      <c r="Q317" s="674"/>
      <c r="R317" s="674"/>
      <c r="S317" s="674"/>
      <c r="T317" s="674"/>
      <c r="U317" s="674"/>
      <c r="V317" s="674"/>
      <c r="W317" s="491"/>
      <c r="X317" s="674"/>
      <c r="Y317" s="674"/>
      <c r="Z317" s="674"/>
      <c r="AA317" s="674"/>
      <c r="AB317" s="676"/>
      <c r="AC317" s="490"/>
      <c r="AD317" s="490"/>
      <c r="AE317" s="490"/>
      <c r="AF317" s="490"/>
      <c r="AG317" s="490"/>
    </row>
    <row r="318" spans="1:33" hidden="1" outlineLevel="2" x14ac:dyDescent="0.2">
      <c r="A318" s="243"/>
      <c r="B318" s="243"/>
      <c r="C318" s="243"/>
      <c r="D318" s="243"/>
      <c r="E318" s="433" t="s">
        <v>951</v>
      </c>
      <c r="F318" s="283">
        <f t="shared" ref="F318:K318" si="210">F319*INDEX(MBSIncCalc,$C315,3)</f>
        <v>0</v>
      </c>
      <c r="G318" s="283">
        <f t="shared" si="210"/>
        <v>0</v>
      </c>
      <c r="H318" s="283">
        <f t="shared" si="210"/>
        <v>0</v>
      </c>
      <c r="I318" s="283">
        <f t="shared" si="210"/>
        <v>0</v>
      </c>
      <c r="J318" s="283">
        <f t="shared" si="210"/>
        <v>0</v>
      </c>
      <c r="K318" s="283">
        <f t="shared" si="210"/>
        <v>0</v>
      </c>
      <c r="L318" s="490"/>
      <c r="M318" s="680"/>
      <c r="N318" s="664"/>
      <c r="O318" s="664"/>
      <c r="P318" s="664"/>
      <c r="Q318" s="681"/>
      <c r="R318" s="681"/>
      <c r="S318" s="681"/>
      <c r="T318" s="681"/>
      <c r="U318" s="681"/>
      <c r="V318" s="681"/>
      <c r="W318" s="493"/>
      <c r="X318" s="561">
        <f>INDEX(MBSIncItems,C315,1)</f>
        <v>0</v>
      </c>
      <c r="Y318" s="561">
        <f>FirstYear</f>
        <v>2021</v>
      </c>
      <c r="Z318" s="560">
        <f>IF(F319&lt;&gt;0,F319-F321,0)</f>
        <v>0</v>
      </c>
      <c r="AA318" s="560">
        <f>IF(F327&lt;&gt;0,F327-F329,0)</f>
        <v>0</v>
      </c>
      <c r="AB318" s="674"/>
      <c r="AC318" s="490"/>
      <c r="AD318" s="490"/>
      <c r="AE318" s="490"/>
      <c r="AF318" s="490"/>
      <c r="AG318" s="490"/>
    </row>
    <row r="319" spans="1:33" hidden="1" outlineLevel="2" x14ac:dyDescent="0.2">
      <c r="A319" s="243"/>
      <c r="B319" s="672"/>
      <c r="C319" s="242" t="str">
        <f>INDEX(MBSIncCalc,C315,2)</f>
        <v/>
      </c>
      <c r="D319" s="243"/>
      <c r="E319" s="62" t="s">
        <v>1310</v>
      </c>
      <c r="F319" s="63">
        <f t="shared" ref="F319:K319" si="211">IF(INDEX(MBSIncRate,$C315,2)=2,IFERROR(INDEX(PBSScriptsNew,$C319,F316),0),IFERROR(INDEX(MBSPBSInc,$C315,INDEX(MBSIncRate,$C315,3)*7+F316),0) * IFERROR(INDEX(MBSIncPopSplit,$C315),0)) * INDEX(MBSIncRate,$C315,1) * INDEX(MBSIncRate,$C315,4)</f>
        <v>0</v>
      </c>
      <c r="G319" s="63">
        <f t="shared" si="211"/>
        <v>0</v>
      </c>
      <c r="H319" s="63">
        <f t="shared" si="211"/>
        <v>0</v>
      </c>
      <c r="I319" s="63">
        <f t="shared" si="211"/>
        <v>0</v>
      </c>
      <c r="J319" s="63">
        <f t="shared" si="211"/>
        <v>0</v>
      </c>
      <c r="K319" s="63">
        <f t="shared" si="211"/>
        <v>0</v>
      </c>
      <c r="L319" s="490"/>
      <c r="M319" s="493"/>
      <c r="N319" s="493"/>
      <c r="O319" s="664"/>
      <c r="P319" s="664"/>
      <c r="Q319" s="681"/>
      <c r="R319" s="681"/>
      <c r="S319" s="681"/>
      <c r="T319" s="681"/>
      <c r="U319" s="681"/>
      <c r="V319" s="681"/>
      <c r="W319" s="493"/>
      <c r="X319" s="561">
        <f>X318</f>
        <v>0</v>
      </c>
      <c r="Y319" s="561">
        <f>Y318+1</f>
        <v>2022</v>
      </c>
      <c r="Z319" s="560">
        <f>IF(G319&lt;&gt;0,G319-G321,0)</f>
        <v>0</v>
      </c>
      <c r="AA319" s="560">
        <f>IF(G327&lt;&gt;0,G327-G329,0)</f>
        <v>0</v>
      </c>
      <c r="AB319" s="674"/>
      <c r="AC319" s="490"/>
      <c r="AD319" s="490"/>
      <c r="AE319" s="490"/>
      <c r="AF319" s="490"/>
      <c r="AG319" s="490"/>
    </row>
    <row r="320" spans="1:33" hidden="1" outlineLevel="2" x14ac:dyDescent="0.2">
      <c r="A320" s="243"/>
      <c r="B320" s="242">
        <v>5</v>
      </c>
      <c r="C320" s="242">
        <v>6</v>
      </c>
      <c r="D320" s="243"/>
      <c r="E320" s="496" t="s">
        <v>1307</v>
      </c>
      <c r="F320" s="63" t="str">
        <f t="shared" ref="F320:K320" si="212">IFERROR(F319*INDEX(MBSIncItems,$C315,$B320)*INDEX(MBSIncItems,$C315,$C320),"")</f>
        <v/>
      </c>
      <c r="G320" s="63" t="str">
        <f t="shared" si="212"/>
        <v/>
      </c>
      <c r="H320" s="63" t="str">
        <f t="shared" si="212"/>
        <v/>
      </c>
      <c r="I320" s="63" t="str">
        <f t="shared" si="212"/>
        <v/>
      </c>
      <c r="J320" s="63" t="str">
        <f t="shared" si="212"/>
        <v/>
      </c>
      <c r="K320" s="63" t="str">
        <f t="shared" si="212"/>
        <v/>
      </c>
      <c r="L320" s="490"/>
      <c r="M320" s="493"/>
      <c r="N320" s="493"/>
      <c r="O320" s="682"/>
      <c r="P320" s="754"/>
      <c r="Q320" s="681"/>
      <c r="R320" s="681"/>
      <c r="S320" s="681"/>
      <c r="T320" s="681"/>
      <c r="U320" s="681"/>
      <c r="V320" s="681"/>
      <c r="W320" s="493"/>
      <c r="X320" s="561">
        <f t="shared" ref="X320:X323" si="213">X319</f>
        <v>0</v>
      </c>
      <c r="Y320" s="561">
        <f>Y319+1</f>
        <v>2023</v>
      </c>
      <c r="Z320" s="560">
        <f>IF(H319&lt;&gt;0,H319-H321,0)</f>
        <v>0</v>
      </c>
      <c r="AA320" s="560">
        <f>IF(H327&lt;&gt;0,H327-H329,0)</f>
        <v>0</v>
      </c>
      <c r="AB320" s="675"/>
      <c r="AC320" s="490"/>
      <c r="AD320" s="490"/>
      <c r="AE320" s="490"/>
      <c r="AF320" s="490"/>
      <c r="AG320" s="490"/>
    </row>
    <row r="321" spans="1:33" hidden="1" outlineLevel="2" x14ac:dyDescent="0.2">
      <c r="A321" s="416"/>
      <c r="B321" s="242">
        <v>4</v>
      </c>
      <c r="C321" s="242">
        <v>6</v>
      </c>
      <c r="D321" s="243"/>
      <c r="E321" s="496" t="s">
        <v>1306</v>
      </c>
      <c r="F321" s="63" t="str">
        <f t="shared" ref="F321:K321" si="214">IFERROR(F319*INDEX(MBSIncItems,$C315,$B321)*INDEX(MBSIncItems,$C315,$C321),"")</f>
        <v/>
      </c>
      <c r="G321" s="63" t="str">
        <f t="shared" si="214"/>
        <v/>
      </c>
      <c r="H321" s="63" t="str">
        <f t="shared" si="214"/>
        <v/>
      </c>
      <c r="I321" s="63" t="str">
        <f t="shared" si="214"/>
        <v/>
      </c>
      <c r="J321" s="63" t="str">
        <f t="shared" si="214"/>
        <v/>
      </c>
      <c r="K321" s="63" t="str">
        <f t="shared" si="214"/>
        <v/>
      </c>
      <c r="L321" s="416"/>
      <c r="M321" s="416"/>
      <c r="N321" s="416"/>
      <c r="O321" s="416"/>
      <c r="P321" s="416"/>
      <c r="Q321" s="416"/>
      <c r="R321" s="416"/>
      <c r="S321" s="416"/>
      <c r="T321" s="416"/>
      <c r="U321" s="416"/>
      <c r="V321" s="416"/>
      <c r="W321" s="493"/>
      <c r="X321" s="561">
        <f t="shared" si="213"/>
        <v>0</v>
      </c>
      <c r="Y321" s="561">
        <f>Y320+1</f>
        <v>2024</v>
      </c>
      <c r="Z321" s="560">
        <f>IF(I319&lt;&gt;0,I319-I321,0)</f>
        <v>0</v>
      </c>
      <c r="AA321" s="560">
        <f>IF(I327&lt;&gt;0,I327-I329,0)</f>
        <v>0</v>
      </c>
      <c r="AB321" s="675"/>
      <c r="AC321" s="490"/>
      <c r="AD321" s="490"/>
      <c r="AE321" s="490"/>
      <c r="AF321" s="490"/>
      <c r="AG321" s="490"/>
    </row>
    <row r="322" spans="1:33" hidden="1" outlineLevel="2" x14ac:dyDescent="0.2">
      <c r="A322" s="243"/>
      <c r="B322" s="242"/>
      <c r="C322" s="242">
        <v>7</v>
      </c>
      <c r="D322" s="243"/>
      <c r="E322" s="497" t="s">
        <v>1308</v>
      </c>
      <c r="F322" s="63" t="str">
        <f t="shared" ref="F322:K322" si="215">IFERROR(F319*INDEX(MBSIncItems,$C315,$C322),"")</f>
        <v/>
      </c>
      <c r="G322" s="63" t="str">
        <f t="shared" si="215"/>
        <v/>
      </c>
      <c r="H322" s="63" t="str">
        <f t="shared" si="215"/>
        <v/>
      </c>
      <c r="I322" s="63" t="str">
        <f t="shared" si="215"/>
        <v/>
      </c>
      <c r="J322" s="63" t="str">
        <f t="shared" si="215"/>
        <v/>
      </c>
      <c r="K322" s="63" t="str">
        <f t="shared" si="215"/>
        <v/>
      </c>
      <c r="L322" s="490"/>
      <c r="M322" s="493"/>
      <c r="N322" s="493"/>
      <c r="O322" s="682"/>
      <c r="P322" s="754"/>
      <c r="Q322" s="681"/>
      <c r="R322" s="681"/>
      <c r="S322" s="681"/>
      <c r="T322" s="681"/>
      <c r="U322" s="681"/>
      <c r="V322" s="681"/>
      <c r="W322" s="493"/>
      <c r="X322" s="561">
        <f t="shared" si="213"/>
        <v>0</v>
      </c>
      <c r="Y322" s="561">
        <f>Y321+1</f>
        <v>2025</v>
      </c>
      <c r="Z322" s="560">
        <f>IF(J319&lt;&gt;0,J319-J321,0)</f>
        <v>0</v>
      </c>
      <c r="AA322" s="560">
        <f>IF(J327&lt;&gt;0,J327-J329,0)</f>
        <v>0</v>
      </c>
      <c r="AB322" s="675"/>
      <c r="AC322" s="490"/>
      <c r="AD322" s="490"/>
      <c r="AE322" s="490"/>
      <c r="AF322" s="490"/>
      <c r="AG322" s="490"/>
    </row>
    <row r="323" spans="1:33" hidden="1" outlineLevel="2" x14ac:dyDescent="0.2">
      <c r="A323" s="243"/>
      <c r="B323" s="493"/>
      <c r="C323" s="493"/>
      <c r="D323" s="493"/>
      <c r="E323" s="493"/>
      <c r="F323" s="493"/>
      <c r="G323" s="493"/>
      <c r="H323" s="493"/>
      <c r="I323" s="493"/>
      <c r="J323" s="493"/>
      <c r="K323" s="493"/>
      <c r="L323" s="490"/>
      <c r="M323" s="493"/>
      <c r="N323" s="493"/>
      <c r="O323" s="682"/>
      <c r="P323" s="682"/>
      <c r="Q323" s="681"/>
      <c r="R323" s="681"/>
      <c r="S323" s="681"/>
      <c r="T323" s="681"/>
      <c r="U323" s="681"/>
      <c r="V323" s="681"/>
      <c r="W323" s="493"/>
      <c r="X323" s="561">
        <f t="shared" si="213"/>
        <v>0</v>
      </c>
      <c r="Y323" s="561">
        <f>Y322+1</f>
        <v>2026</v>
      </c>
      <c r="Z323" s="560">
        <f>IF(K319&lt;&gt;0,K319-K321,0)</f>
        <v>0</v>
      </c>
      <c r="AA323" s="560">
        <f>IF(K327&lt;&gt;0,K327-K329,0)</f>
        <v>0</v>
      </c>
      <c r="AB323" s="675"/>
      <c r="AC323" s="490"/>
      <c r="AD323" s="490"/>
      <c r="AE323" s="490"/>
      <c r="AF323" s="490"/>
      <c r="AG323" s="490"/>
    </row>
    <row r="324" spans="1:33" hidden="1" outlineLevel="2" x14ac:dyDescent="0.2">
      <c r="A324" s="243"/>
      <c r="B324" s="243"/>
      <c r="C324" s="243"/>
      <c r="D324" s="677"/>
      <c r="E324" s="677"/>
      <c r="F324" s="495">
        <v>2</v>
      </c>
      <c r="G324" s="495">
        <v>3</v>
      </c>
      <c r="H324" s="495">
        <v>4</v>
      </c>
      <c r="I324" s="495">
        <v>5</v>
      </c>
      <c r="J324" s="495">
        <v>6</v>
      </c>
      <c r="K324" s="495">
        <v>7</v>
      </c>
      <c r="L324" s="490"/>
      <c r="M324" s="243"/>
      <c r="N324" s="678"/>
      <c r="O324" s="678"/>
      <c r="P324" s="678"/>
      <c r="Q324" s="673"/>
      <c r="R324" s="673"/>
      <c r="S324" s="673"/>
      <c r="T324" s="673"/>
      <c r="U324" s="673"/>
      <c r="V324" s="673"/>
      <c r="W324" s="490"/>
      <c r="X324" s="676"/>
      <c r="Y324" s="676"/>
      <c r="Z324" s="676"/>
      <c r="AA324" s="676"/>
      <c r="AB324" s="675"/>
      <c r="AC324" s="490"/>
      <c r="AD324" s="490"/>
      <c r="AE324" s="490"/>
      <c r="AF324" s="490"/>
      <c r="AG324" s="490"/>
    </row>
    <row r="325" spans="1:33" ht="15.75" hidden="1" outlineLevel="2" x14ac:dyDescent="0.2">
      <c r="A325" s="243"/>
      <c r="B325" s="243"/>
      <c r="C325" s="243"/>
      <c r="D325" s="663" t="s">
        <v>1</v>
      </c>
      <c r="E325" s="663"/>
      <c r="F325" s="751">
        <f>FirstYear</f>
        <v>2021</v>
      </c>
      <c r="G325" s="751">
        <f>F325+1</f>
        <v>2022</v>
      </c>
      <c r="H325" s="751">
        <f>G325+1</f>
        <v>2023</v>
      </c>
      <c r="I325" s="751">
        <f>H325+1</f>
        <v>2024</v>
      </c>
      <c r="J325" s="751">
        <f>I325+1</f>
        <v>2025</v>
      </c>
      <c r="K325" s="751">
        <f>J325+1</f>
        <v>2026</v>
      </c>
      <c r="L325" s="491"/>
      <c r="M325" s="243"/>
      <c r="N325" s="685"/>
      <c r="O325" s="685"/>
      <c r="P325" s="685"/>
      <c r="Q325" s="673"/>
      <c r="R325" s="673"/>
      <c r="S325" s="673"/>
      <c r="T325" s="673"/>
      <c r="U325" s="673"/>
      <c r="V325" s="673"/>
      <c r="W325" s="491"/>
      <c r="X325" s="676"/>
      <c r="Y325" s="676"/>
      <c r="Z325" s="676"/>
      <c r="AA325" s="676"/>
      <c r="AB325" s="676"/>
      <c r="AC325" s="490"/>
      <c r="AD325" s="490"/>
      <c r="AE325" s="490"/>
      <c r="AF325" s="490"/>
      <c r="AG325" s="490"/>
    </row>
    <row r="326" spans="1:33" hidden="1" outlineLevel="2" x14ac:dyDescent="0.2">
      <c r="A326" s="243"/>
      <c r="B326" s="243"/>
      <c r="C326" s="243"/>
      <c r="D326" s="243"/>
      <c r="E326" s="433" t="s">
        <v>951</v>
      </c>
      <c r="F326" s="283">
        <f t="shared" ref="F326:K326" si="216">F327*INDEX(MBSIncCalc,$C315,3)</f>
        <v>0</v>
      </c>
      <c r="G326" s="283">
        <f t="shared" si="216"/>
        <v>0</v>
      </c>
      <c r="H326" s="283">
        <f t="shared" si="216"/>
        <v>0</v>
      </c>
      <c r="I326" s="283">
        <f t="shared" si="216"/>
        <v>0</v>
      </c>
      <c r="J326" s="283">
        <f t="shared" si="216"/>
        <v>0</v>
      </c>
      <c r="K326" s="283">
        <f t="shared" si="216"/>
        <v>0</v>
      </c>
      <c r="L326" s="490"/>
      <c r="M326" s="615"/>
      <c r="N326" s="615"/>
      <c r="O326" s="678"/>
      <c r="P326" s="678"/>
      <c r="Q326" s="673"/>
      <c r="R326" s="673"/>
      <c r="S326" s="673"/>
      <c r="T326" s="673"/>
      <c r="U326" s="673"/>
      <c r="V326" s="673"/>
      <c r="W326" s="490"/>
      <c r="X326" s="676"/>
      <c r="Y326" s="676"/>
      <c r="Z326" s="676"/>
      <c r="AA326" s="676"/>
      <c r="AB326" s="676"/>
      <c r="AC326" s="490"/>
      <c r="AD326" s="490"/>
      <c r="AE326" s="490"/>
      <c r="AF326" s="490"/>
      <c r="AG326" s="490"/>
    </row>
    <row r="327" spans="1:33" hidden="1" outlineLevel="2" x14ac:dyDescent="0.2">
      <c r="A327" s="243"/>
      <c r="B327" s="672"/>
      <c r="C327" s="242" t="str">
        <f>C319</f>
        <v/>
      </c>
      <c r="D327" s="243"/>
      <c r="E327" s="62" t="s">
        <v>1310</v>
      </c>
      <c r="F327" s="63">
        <f t="shared" ref="F327:K327" si="217">IF(INDEX(MBSIncRate,$C315,2)=2,IFERROR(INDEX(RPBSScriptsNew,$C327,F324),0),IFERROR(INDEX(MBSRPBSInc,$C315,INDEX(MBSIncRate,$C315,3)*7+F324),0) * IFERROR(INDEX(MBSIncPopSplit,$C315),0)) * INDEX(MBSIncRate,$C315,1) * INDEX(MBSIncRate,$C315,4)</f>
        <v>0</v>
      </c>
      <c r="G327" s="63">
        <f t="shared" si="217"/>
        <v>0</v>
      </c>
      <c r="H327" s="63">
        <f t="shared" si="217"/>
        <v>0</v>
      </c>
      <c r="I327" s="63">
        <f t="shared" si="217"/>
        <v>0</v>
      </c>
      <c r="J327" s="63">
        <f t="shared" si="217"/>
        <v>0</v>
      </c>
      <c r="K327" s="63">
        <f t="shared" si="217"/>
        <v>0</v>
      </c>
      <c r="L327" s="490"/>
      <c r="M327" s="243"/>
      <c r="N327" s="753"/>
      <c r="O327" s="678"/>
      <c r="P327" s="678"/>
      <c r="Q327" s="673"/>
      <c r="R327" s="673"/>
      <c r="S327" s="673"/>
      <c r="T327" s="673"/>
      <c r="U327" s="673"/>
      <c r="V327" s="673"/>
      <c r="W327" s="490"/>
      <c r="X327" s="676"/>
      <c r="Y327" s="676"/>
      <c r="Z327" s="676"/>
      <c r="AA327" s="676"/>
      <c r="AB327" s="676"/>
      <c r="AC327" s="490"/>
      <c r="AD327" s="490"/>
      <c r="AE327" s="490"/>
      <c r="AF327" s="490"/>
      <c r="AG327" s="490"/>
    </row>
    <row r="328" spans="1:33" hidden="1" outlineLevel="2" x14ac:dyDescent="0.2">
      <c r="A328" s="243"/>
      <c r="B328" s="242">
        <v>5</v>
      </c>
      <c r="C328" s="242">
        <v>6</v>
      </c>
      <c r="D328" s="243"/>
      <c r="E328" s="496" t="s">
        <v>1307</v>
      </c>
      <c r="F328" s="63" t="str">
        <f t="shared" ref="F328:K328" si="218">IFERROR(F327*INDEX(MBSIncItems,$C315,$B328)*INDEX(MBSIncItems,$C315,$C328),"")</f>
        <v/>
      </c>
      <c r="G328" s="63" t="str">
        <f t="shared" si="218"/>
        <v/>
      </c>
      <c r="H328" s="63" t="str">
        <f t="shared" si="218"/>
        <v/>
      </c>
      <c r="I328" s="63" t="str">
        <f t="shared" si="218"/>
        <v/>
      </c>
      <c r="J328" s="63" t="str">
        <f t="shared" si="218"/>
        <v/>
      </c>
      <c r="K328" s="63" t="str">
        <f t="shared" si="218"/>
        <v/>
      </c>
      <c r="L328" s="490"/>
      <c r="M328" s="683"/>
      <c r="N328" s="753"/>
      <c r="O328" s="678"/>
      <c r="P328" s="678"/>
      <c r="Q328" s="673"/>
      <c r="R328" s="673"/>
      <c r="S328" s="673"/>
      <c r="T328" s="673"/>
      <c r="U328" s="673"/>
      <c r="V328" s="673"/>
      <c r="W328" s="490"/>
      <c r="X328" s="676"/>
      <c r="Y328" s="676"/>
      <c r="Z328" s="676"/>
      <c r="AA328" s="676"/>
      <c r="AB328" s="676"/>
      <c r="AC328" s="490"/>
      <c r="AD328" s="490"/>
      <c r="AE328" s="490"/>
      <c r="AF328" s="490"/>
      <c r="AG328" s="490"/>
    </row>
    <row r="329" spans="1:33" hidden="1" outlineLevel="2" x14ac:dyDescent="0.2">
      <c r="A329" s="243"/>
      <c r="B329" s="242">
        <v>4</v>
      </c>
      <c r="C329" s="242">
        <v>6</v>
      </c>
      <c r="D329" s="243"/>
      <c r="E329" s="496" t="s">
        <v>1306</v>
      </c>
      <c r="F329" s="63" t="str">
        <f t="shared" ref="F329:K329" si="219">IFERROR(F327*INDEX(MBSIncItems,$C315,$B329)*INDEX(MBSIncItems,$C315,$C329),"")</f>
        <v/>
      </c>
      <c r="G329" s="63" t="str">
        <f t="shared" si="219"/>
        <v/>
      </c>
      <c r="H329" s="63" t="str">
        <f t="shared" si="219"/>
        <v/>
      </c>
      <c r="I329" s="63" t="str">
        <f t="shared" si="219"/>
        <v/>
      </c>
      <c r="J329" s="63" t="str">
        <f t="shared" si="219"/>
        <v/>
      </c>
      <c r="K329" s="63" t="str">
        <f t="shared" si="219"/>
        <v/>
      </c>
      <c r="L329" s="490"/>
      <c r="M329" s="684"/>
      <c r="N329" s="682"/>
      <c r="O329" s="678"/>
      <c r="P329" s="678"/>
      <c r="Q329" s="673"/>
      <c r="R329" s="673"/>
      <c r="S329" s="673"/>
      <c r="T329" s="673"/>
      <c r="U329" s="673"/>
      <c r="V329" s="673"/>
      <c r="W329" s="490"/>
      <c r="X329" s="676"/>
      <c r="Y329" s="676"/>
      <c r="Z329" s="676"/>
      <c r="AA329" s="676"/>
      <c r="AB329" s="676"/>
      <c r="AC329" s="490"/>
      <c r="AD329" s="490"/>
      <c r="AE329" s="490"/>
      <c r="AF329" s="490"/>
      <c r="AG329" s="490"/>
    </row>
    <row r="330" spans="1:33" hidden="1" outlineLevel="2" x14ac:dyDescent="0.2">
      <c r="A330" s="243"/>
      <c r="B330" s="242"/>
      <c r="C330" s="242">
        <v>7</v>
      </c>
      <c r="D330" s="243"/>
      <c r="E330" s="497" t="s">
        <v>1308</v>
      </c>
      <c r="F330" s="63" t="str">
        <f t="shared" ref="F330:K330" si="220">IFERROR(F327*INDEX(MBSIncItems,$C315,$C330),"")</f>
        <v/>
      </c>
      <c r="G330" s="63" t="str">
        <f t="shared" si="220"/>
        <v/>
      </c>
      <c r="H330" s="63" t="str">
        <f t="shared" si="220"/>
        <v/>
      </c>
      <c r="I330" s="63" t="str">
        <f t="shared" si="220"/>
        <v/>
      </c>
      <c r="J330" s="63" t="str">
        <f t="shared" si="220"/>
        <v/>
      </c>
      <c r="K330" s="63" t="str">
        <f t="shared" si="220"/>
        <v/>
      </c>
      <c r="L330" s="490"/>
      <c r="M330" s="684"/>
      <c r="N330" s="682"/>
      <c r="O330" s="678"/>
      <c r="P330" s="678"/>
      <c r="Q330" s="673"/>
      <c r="R330" s="673"/>
      <c r="S330" s="673"/>
      <c r="T330" s="673"/>
      <c r="U330" s="673"/>
      <c r="V330" s="673"/>
      <c r="W330" s="490"/>
      <c r="X330" s="676"/>
      <c r="Y330" s="676"/>
      <c r="Z330" s="676"/>
      <c r="AA330" s="676"/>
      <c r="AB330" s="676"/>
      <c r="AC330" s="490"/>
      <c r="AD330" s="490"/>
      <c r="AE330" s="490"/>
      <c r="AF330" s="490"/>
      <c r="AG330" s="490"/>
    </row>
    <row r="331" spans="1:33" hidden="1" outlineLevel="1" x14ac:dyDescent="0.2">
      <c r="A331" s="243"/>
      <c r="B331" s="243"/>
      <c r="C331" s="243"/>
      <c r="D331" s="677"/>
      <c r="E331" s="677"/>
      <c r="F331" s="243"/>
      <c r="G331" s="243"/>
      <c r="H331" s="243"/>
      <c r="I331" s="243"/>
      <c r="J331" s="243"/>
      <c r="K331" s="243"/>
      <c r="L331" s="243"/>
      <c r="M331" s="243"/>
      <c r="N331" s="678"/>
      <c r="O331" s="678"/>
      <c r="P331" s="678"/>
      <c r="Q331" s="673"/>
      <c r="R331" s="673"/>
      <c r="S331" s="673"/>
      <c r="T331" s="673"/>
      <c r="U331" s="673"/>
      <c r="V331" s="673"/>
      <c r="W331" s="490"/>
      <c r="X331" s="676"/>
      <c r="Y331" s="676"/>
      <c r="Z331" s="676"/>
      <c r="AA331" s="676"/>
      <c r="AB331" s="676"/>
      <c r="AC331" s="490"/>
      <c r="AD331" s="490"/>
      <c r="AE331" s="490"/>
      <c r="AF331" s="490"/>
      <c r="AG331" s="490"/>
    </row>
    <row r="332" spans="1:33" ht="15.75" hidden="1" outlineLevel="1" collapsed="1" x14ac:dyDescent="0.2">
      <c r="A332" s="243"/>
      <c r="B332" s="243"/>
      <c r="C332" s="242">
        <v>14</v>
      </c>
      <c r="D332" s="79" t="str">
        <f>INDEX(MBSIncNames,C332)</f>
        <v>** NOT USED **</v>
      </c>
      <c r="E332" s="79"/>
      <c r="F332" s="115"/>
      <c r="G332" s="115"/>
      <c r="H332" s="115"/>
      <c r="I332" s="115"/>
      <c r="J332" s="821" t="str">
        <f>IF(D332&lt;&gt;MsgNotUsed,"Co-payment group " &amp; K161,"")</f>
        <v/>
      </c>
      <c r="K332" s="821"/>
      <c r="L332" s="115"/>
      <c r="M332" s="115"/>
      <c r="N332" s="115"/>
      <c r="O332" s="115"/>
      <c r="P332" s="115"/>
      <c r="Q332" s="115"/>
      <c r="R332" s="115"/>
      <c r="S332" s="115"/>
      <c r="T332" s="115"/>
      <c r="U332" s="115"/>
      <c r="V332" s="115"/>
      <c r="W332" s="491"/>
      <c r="X332" s="490"/>
      <c r="Y332" s="490"/>
      <c r="Z332" s="490"/>
      <c r="AA332" s="490"/>
      <c r="AB332" s="676"/>
      <c r="AC332" s="490"/>
      <c r="AD332" s="490"/>
      <c r="AE332" s="490"/>
      <c r="AF332" s="490"/>
      <c r="AG332" s="490"/>
    </row>
    <row r="333" spans="1:33" hidden="1" outlineLevel="2" x14ac:dyDescent="0.2">
      <c r="A333" s="243"/>
      <c r="B333" s="243"/>
      <c r="C333" s="243"/>
      <c r="D333" s="243"/>
      <c r="E333" s="243"/>
      <c r="F333" s="495">
        <v>2</v>
      </c>
      <c r="G333" s="495">
        <v>3</v>
      </c>
      <c r="H333" s="495">
        <v>4</v>
      </c>
      <c r="I333" s="495">
        <v>5</v>
      </c>
      <c r="J333" s="495">
        <v>6</v>
      </c>
      <c r="K333" s="495">
        <v>7</v>
      </c>
      <c r="L333" s="495"/>
      <c r="M333" s="243"/>
      <c r="N333" s="243"/>
      <c r="O333" s="243"/>
      <c r="P333" s="243"/>
      <c r="Q333" s="243"/>
      <c r="R333" s="243"/>
      <c r="S333" s="243"/>
      <c r="T333" s="243"/>
      <c r="U333" s="243"/>
      <c r="V333" s="243"/>
      <c r="W333" s="490"/>
      <c r="X333" s="490"/>
      <c r="Y333" s="490"/>
      <c r="Z333" s="490"/>
      <c r="AA333" s="490"/>
      <c r="AB333" s="676"/>
      <c r="AC333" s="490"/>
      <c r="AD333" s="490"/>
      <c r="AE333" s="490"/>
      <c r="AF333" s="490"/>
      <c r="AG333" s="490"/>
    </row>
    <row r="334" spans="1:33" ht="15" hidden="1" outlineLevel="2" x14ac:dyDescent="0.2">
      <c r="A334" s="243"/>
      <c r="B334" s="243"/>
      <c r="C334" s="243"/>
      <c r="D334" s="663" t="s">
        <v>0</v>
      </c>
      <c r="E334" s="663"/>
      <c r="F334" s="733">
        <f>FirstYear</f>
        <v>2021</v>
      </c>
      <c r="G334" s="733">
        <f>F334+1</f>
        <v>2022</v>
      </c>
      <c r="H334" s="733">
        <f>G334+1</f>
        <v>2023</v>
      </c>
      <c r="I334" s="733">
        <f>H334+1</f>
        <v>2024</v>
      </c>
      <c r="J334" s="733">
        <f>I334+1</f>
        <v>2025</v>
      </c>
      <c r="K334" s="733">
        <f>J334+1</f>
        <v>2026</v>
      </c>
      <c r="L334" s="491"/>
      <c r="M334" s="113"/>
      <c r="N334" s="679"/>
      <c r="O334" s="679"/>
      <c r="P334" s="679"/>
      <c r="Q334" s="674"/>
      <c r="R334" s="674"/>
      <c r="S334" s="674"/>
      <c r="T334" s="674"/>
      <c r="U334" s="674"/>
      <c r="V334" s="674"/>
      <c r="W334" s="491"/>
      <c r="X334" s="674"/>
      <c r="Y334" s="674"/>
      <c r="Z334" s="674"/>
      <c r="AA334" s="674"/>
      <c r="AB334" s="676"/>
      <c r="AC334" s="490"/>
      <c r="AD334" s="490"/>
      <c r="AE334" s="490"/>
      <c r="AF334" s="490"/>
      <c r="AG334" s="490"/>
    </row>
    <row r="335" spans="1:33" hidden="1" outlineLevel="2" x14ac:dyDescent="0.2">
      <c r="A335" s="243"/>
      <c r="B335" s="243"/>
      <c r="C335" s="243"/>
      <c r="D335" s="243"/>
      <c r="E335" s="433" t="s">
        <v>951</v>
      </c>
      <c r="F335" s="283">
        <f t="shared" ref="F335:K335" si="221">F336*INDEX(MBSIncCalc,$C332,3)</f>
        <v>0</v>
      </c>
      <c r="G335" s="283">
        <f t="shared" si="221"/>
        <v>0</v>
      </c>
      <c r="H335" s="283">
        <f t="shared" si="221"/>
        <v>0</v>
      </c>
      <c r="I335" s="283">
        <f t="shared" si="221"/>
        <v>0</v>
      </c>
      <c r="J335" s="283">
        <f t="shared" si="221"/>
        <v>0</v>
      </c>
      <c r="K335" s="283">
        <f t="shared" si="221"/>
        <v>0</v>
      </c>
      <c r="L335" s="490"/>
      <c r="M335" s="680"/>
      <c r="N335" s="664"/>
      <c r="O335" s="664"/>
      <c r="P335" s="664"/>
      <c r="Q335" s="681"/>
      <c r="R335" s="681"/>
      <c r="S335" s="681"/>
      <c r="T335" s="681"/>
      <c r="U335" s="681"/>
      <c r="V335" s="681"/>
      <c r="W335" s="493"/>
      <c r="X335" s="561">
        <f>INDEX(MBSIncItems,C332,1)</f>
        <v>0</v>
      </c>
      <c r="Y335" s="561">
        <f>FirstYear</f>
        <v>2021</v>
      </c>
      <c r="Z335" s="560">
        <f>IF(F336&lt;&gt;0,F336-F338,0)</f>
        <v>0</v>
      </c>
      <c r="AA335" s="560">
        <f>IF(F344&lt;&gt;0,F344-F346,0)</f>
        <v>0</v>
      </c>
      <c r="AB335" s="674"/>
      <c r="AC335" s="490"/>
      <c r="AD335" s="490"/>
      <c r="AE335" s="490"/>
      <c r="AF335" s="490"/>
      <c r="AG335" s="490"/>
    </row>
    <row r="336" spans="1:33" hidden="1" outlineLevel="2" x14ac:dyDescent="0.2">
      <c r="A336" s="243"/>
      <c r="B336" s="672"/>
      <c r="C336" s="242" t="str">
        <f>INDEX(MBSIncCalc,C332,2)</f>
        <v/>
      </c>
      <c r="D336" s="243"/>
      <c r="E336" s="62" t="s">
        <v>1310</v>
      </c>
      <c r="F336" s="63">
        <f t="shared" ref="F336:K336" si="222">IF(INDEX(MBSIncRate,$C332,2)=2,IFERROR(INDEX(PBSScriptsNew,$C336,F333),0),IFERROR(INDEX(MBSPBSInc,$C332,INDEX(MBSIncRate,$C332,3)*7+F333),0) * IFERROR(INDEX(MBSIncPopSplit,$C332),0)) * INDEX(MBSIncRate,$C332,1) * INDEX(MBSIncRate,$C332,4)</f>
        <v>0</v>
      </c>
      <c r="G336" s="63">
        <f t="shared" si="222"/>
        <v>0</v>
      </c>
      <c r="H336" s="63">
        <f t="shared" si="222"/>
        <v>0</v>
      </c>
      <c r="I336" s="63">
        <f t="shared" si="222"/>
        <v>0</v>
      </c>
      <c r="J336" s="63">
        <f t="shared" si="222"/>
        <v>0</v>
      </c>
      <c r="K336" s="63">
        <f t="shared" si="222"/>
        <v>0</v>
      </c>
      <c r="L336" s="490"/>
      <c r="M336" s="493"/>
      <c r="N336" s="493"/>
      <c r="O336" s="664"/>
      <c r="P336" s="664"/>
      <c r="Q336" s="681"/>
      <c r="R336" s="681"/>
      <c r="S336" s="681"/>
      <c r="T336" s="681"/>
      <c r="U336" s="681"/>
      <c r="V336" s="681"/>
      <c r="W336" s="493"/>
      <c r="X336" s="561">
        <f>X335</f>
        <v>0</v>
      </c>
      <c r="Y336" s="561">
        <f>Y335+1</f>
        <v>2022</v>
      </c>
      <c r="Z336" s="560">
        <f>IF(G336&lt;&gt;0,G336-G338,0)</f>
        <v>0</v>
      </c>
      <c r="AA336" s="560">
        <f>IF(G344&lt;&gt;0,G344-G346,0)</f>
        <v>0</v>
      </c>
      <c r="AB336" s="674"/>
      <c r="AC336" s="490"/>
      <c r="AD336" s="490"/>
      <c r="AE336" s="490"/>
      <c r="AF336" s="490"/>
      <c r="AG336" s="490"/>
    </row>
    <row r="337" spans="1:33" hidden="1" outlineLevel="2" x14ac:dyDescent="0.2">
      <c r="A337" s="243"/>
      <c r="B337" s="242">
        <v>5</v>
      </c>
      <c r="C337" s="242">
        <v>6</v>
      </c>
      <c r="D337" s="243"/>
      <c r="E337" s="496" t="s">
        <v>1307</v>
      </c>
      <c r="F337" s="63" t="str">
        <f t="shared" ref="F337:K337" si="223">IFERROR(F336*INDEX(MBSIncItems,$C332,$B337)*INDEX(MBSIncItems,$C332,$C337),"")</f>
        <v/>
      </c>
      <c r="G337" s="63" t="str">
        <f t="shared" si="223"/>
        <v/>
      </c>
      <c r="H337" s="63" t="str">
        <f t="shared" si="223"/>
        <v/>
      </c>
      <c r="I337" s="63" t="str">
        <f t="shared" si="223"/>
        <v/>
      </c>
      <c r="J337" s="63" t="str">
        <f t="shared" si="223"/>
        <v/>
      </c>
      <c r="K337" s="63" t="str">
        <f t="shared" si="223"/>
        <v/>
      </c>
      <c r="L337" s="490"/>
      <c r="M337" s="493"/>
      <c r="N337" s="493"/>
      <c r="O337" s="682"/>
      <c r="P337" s="754"/>
      <c r="Q337" s="681"/>
      <c r="R337" s="681"/>
      <c r="S337" s="681"/>
      <c r="T337" s="681"/>
      <c r="U337" s="681"/>
      <c r="V337" s="681"/>
      <c r="W337" s="493"/>
      <c r="X337" s="561">
        <f t="shared" ref="X337:X340" si="224">X336</f>
        <v>0</v>
      </c>
      <c r="Y337" s="561">
        <f>Y336+1</f>
        <v>2023</v>
      </c>
      <c r="Z337" s="560">
        <f>IF(H336&lt;&gt;0,H336-H338,0)</f>
        <v>0</v>
      </c>
      <c r="AA337" s="560">
        <f>IF(H344&lt;&gt;0,H344-H346,0)</f>
        <v>0</v>
      </c>
      <c r="AB337" s="675"/>
      <c r="AC337" s="490"/>
      <c r="AD337" s="490"/>
      <c r="AE337" s="490"/>
      <c r="AF337" s="490"/>
      <c r="AG337" s="490"/>
    </row>
    <row r="338" spans="1:33" hidden="1" outlineLevel="2" x14ac:dyDescent="0.2">
      <c r="A338" s="416"/>
      <c r="B338" s="242">
        <v>4</v>
      </c>
      <c r="C338" s="242">
        <v>6</v>
      </c>
      <c r="D338" s="243"/>
      <c r="E338" s="496" t="s">
        <v>1306</v>
      </c>
      <c r="F338" s="63" t="str">
        <f t="shared" ref="F338:K338" si="225">IFERROR(F336*INDEX(MBSIncItems,$C332,$B338)*INDEX(MBSIncItems,$C332,$C338),"")</f>
        <v/>
      </c>
      <c r="G338" s="63" t="str">
        <f t="shared" si="225"/>
        <v/>
      </c>
      <c r="H338" s="63" t="str">
        <f t="shared" si="225"/>
        <v/>
      </c>
      <c r="I338" s="63" t="str">
        <f t="shared" si="225"/>
        <v/>
      </c>
      <c r="J338" s="63" t="str">
        <f t="shared" si="225"/>
        <v/>
      </c>
      <c r="K338" s="63" t="str">
        <f t="shared" si="225"/>
        <v/>
      </c>
      <c r="L338" s="416"/>
      <c r="M338" s="416"/>
      <c r="N338" s="416"/>
      <c r="O338" s="416"/>
      <c r="P338" s="416"/>
      <c r="Q338" s="416"/>
      <c r="R338" s="416"/>
      <c r="S338" s="416"/>
      <c r="T338" s="416"/>
      <c r="U338" s="416"/>
      <c r="V338" s="416"/>
      <c r="W338" s="493"/>
      <c r="X338" s="561">
        <f t="shared" si="224"/>
        <v>0</v>
      </c>
      <c r="Y338" s="561">
        <f>Y337+1</f>
        <v>2024</v>
      </c>
      <c r="Z338" s="560">
        <f>IF(I336&lt;&gt;0,I336-I338,0)</f>
        <v>0</v>
      </c>
      <c r="AA338" s="560">
        <f>IF(I344&lt;&gt;0,I344-I346,0)</f>
        <v>0</v>
      </c>
      <c r="AB338" s="675"/>
      <c r="AC338" s="490"/>
      <c r="AD338" s="490"/>
      <c r="AE338" s="490"/>
      <c r="AF338" s="490"/>
      <c r="AG338" s="490"/>
    </row>
    <row r="339" spans="1:33" hidden="1" outlineLevel="2" x14ac:dyDescent="0.2">
      <c r="A339" s="243"/>
      <c r="B339" s="242"/>
      <c r="C339" s="242">
        <v>7</v>
      </c>
      <c r="D339" s="243"/>
      <c r="E339" s="497" t="s">
        <v>1308</v>
      </c>
      <c r="F339" s="63" t="str">
        <f t="shared" ref="F339:K339" si="226">IFERROR(F336*INDEX(MBSIncItems,$C332,$C339),"")</f>
        <v/>
      </c>
      <c r="G339" s="63" t="str">
        <f t="shared" si="226"/>
        <v/>
      </c>
      <c r="H339" s="63" t="str">
        <f t="shared" si="226"/>
        <v/>
      </c>
      <c r="I339" s="63" t="str">
        <f t="shared" si="226"/>
        <v/>
      </c>
      <c r="J339" s="63" t="str">
        <f t="shared" si="226"/>
        <v/>
      </c>
      <c r="K339" s="63" t="str">
        <f t="shared" si="226"/>
        <v/>
      </c>
      <c r="L339" s="490"/>
      <c r="M339" s="493"/>
      <c r="N339" s="493"/>
      <c r="O339" s="682"/>
      <c r="P339" s="754"/>
      <c r="Q339" s="681"/>
      <c r="R339" s="681"/>
      <c r="S339" s="681"/>
      <c r="T339" s="681"/>
      <c r="U339" s="681"/>
      <c r="V339" s="681"/>
      <c r="W339" s="493"/>
      <c r="X339" s="561">
        <f t="shared" si="224"/>
        <v>0</v>
      </c>
      <c r="Y339" s="561">
        <f>Y338+1</f>
        <v>2025</v>
      </c>
      <c r="Z339" s="560">
        <f>IF(J336&lt;&gt;0,J336-J338,0)</f>
        <v>0</v>
      </c>
      <c r="AA339" s="560">
        <f>IF(J344&lt;&gt;0,J344-J346,0)</f>
        <v>0</v>
      </c>
      <c r="AB339" s="675"/>
      <c r="AC339" s="490"/>
      <c r="AD339" s="490"/>
      <c r="AE339" s="490"/>
      <c r="AF339" s="490"/>
      <c r="AG339" s="490"/>
    </row>
    <row r="340" spans="1:33" hidden="1" outlineLevel="2" x14ac:dyDescent="0.2">
      <c r="A340" s="243"/>
      <c r="B340" s="493"/>
      <c r="C340" s="493"/>
      <c r="D340" s="493"/>
      <c r="E340" s="493"/>
      <c r="F340" s="493"/>
      <c r="G340" s="493"/>
      <c r="H340" s="493"/>
      <c r="I340" s="493"/>
      <c r="J340" s="493"/>
      <c r="K340" s="493"/>
      <c r="L340" s="490"/>
      <c r="M340" s="493"/>
      <c r="N340" s="493"/>
      <c r="O340" s="682"/>
      <c r="P340" s="682"/>
      <c r="Q340" s="681"/>
      <c r="R340" s="681"/>
      <c r="S340" s="681"/>
      <c r="T340" s="681"/>
      <c r="U340" s="681"/>
      <c r="V340" s="681"/>
      <c r="W340" s="493"/>
      <c r="X340" s="561">
        <f t="shared" si="224"/>
        <v>0</v>
      </c>
      <c r="Y340" s="561">
        <f>Y339+1</f>
        <v>2026</v>
      </c>
      <c r="Z340" s="560">
        <f>IF(K336&lt;&gt;0,K336-K338,0)</f>
        <v>0</v>
      </c>
      <c r="AA340" s="560">
        <f>IF(K344&lt;&gt;0,K344-K346,0)</f>
        <v>0</v>
      </c>
      <c r="AB340" s="675"/>
      <c r="AC340" s="490"/>
      <c r="AD340" s="490"/>
      <c r="AE340" s="490"/>
      <c r="AF340" s="490"/>
      <c r="AG340" s="490"/>
    </row>
    <row r="341" spans="1:33" hidden="1" outlineLevel="2" x14ac:dyDescent="0.2">
      <c r="A341" s="243"/>
      <c r="B341" s="243"/>
      <c r="C341" s="243"/>
      <c r="D341" s="677"/>
      <c r="E341" s="677"/>
      <c r="F341" s="495">
        <v>2</v>
      </c>
      <c r="G341" s="495">
        <v>3</v>
      </c>
      <c r="H341" s="495">
        <v>4</v>
      </c>
      <c r="I341" s="495">
        <v>5</v>
      </c>
      <c r="J341" s="495">
        <v>6</v>
      </c>
      <c r="K341" s="495">
        <v>7</v>
      </c>
      <c r="L341" s="490"/>
      <c r="M341" s="243"/>
      <c r="N341" s="678"/>
      <c r="O341" s="678"/>
      <c r="P341" s="678"/>
      <c r="Q341" s="673"/>
      <c r="R341" s="673"/>
      <c r="S341" s="673"/>
      <c r="T341" s="673"/>
      <c r="U341" s="673"/>
      <c r="V341" s="673"/>
      <c r="W341" s="490"/>
      <c r="X341" s="676"/>
      <c r="Y341" s="676"/>
      <c r="Z341" s="676"/>
      <c r="AA341" s="676"/>
      <c r="AB341" s="675"/>
      <c r="AC341" s="490"/>
      <c r="AD341" s="490"/>
      <c r="AE341" s="490"/>
      <c r="AF341" s="490"/>
      <c r="AG341" s="490"/>
    </row>
    <row r="342" spans="1:33" ht="15.75" hidden="1" outlineLevel="2" x14ac:dyDescent="0.2">
      <c r="A342" s="243"/>
      <c r="B342" s="243"/>
      <c r="C342" s="243"/>
      <c r="D342" s="663" t="s">
        <v>1</v>
      </c>
      <c r="E342" s="663"/>
      <c r="F342" s="751">
        <f>FirstYear</f>
        <v>2021</v>
      </c>
      <c r="G342" s="751">
        <f>F342+1</f>
        <v>2022</v>
      </c>
      <c r="H342" s="751">
        <f>G342+1</f>
        <v>2023</v>
      </c>
      <c r="I342" s="751">
        <f>H342+1</f>
        <v>2024</v>
      </c>
      <c r="J342" s="751">
        <f>I342+1</f>
        <v>2025</v>
      </c>
      <c r="K342" s="751">
        <f>J342+1</f>
        <v>2026</v>
      </c>
      <c r="L342" s="491"/>
      <c r="M342" s="243"/>
      <c r="N342" s="685"/>
      <c r="O342" s="685"/>
      <c r="P342" s="685"/>
      <c r="Q342" s="673"/>
      <c r="R342" s="673"/>
      <c r="S342" s="673"/>
      <c r="T342" s="673"/>
      <c r="U342" s="673"/>
      <c r="V342" s="673"/>
      <c r="W342" s="491"/>
      <c r="X342" s="676"/>
      <c r="Y342" s="676"/>
      <c r="Z342" s="676"/>
      <c r="AA342" s="676"/>
      <c r="AB342" s="676"/>
      <c r="AC342" s="490"/>
      <c r="AD342" s="490"/>
      <c r="AE342" s="490"/>
      <c r="AF342" s="490"/>
      <c r="AG342" s="490"/>
    </row>
    <row r="343" spans="1:33" hidden="1" outlineLevel="2" x14ac:dyDescent="0.2">
      <c r="A343" s="243"/>
      <c r="B343" s="243"/>
      <c r="C343" s="243"/>
      <c r="D343" s="243"/>
      <c r="E343" s="433" t="s">
        <v>951</v>
      </c>
      <c r="F343" s="283">
        <f t="shared" ref="F343:K343" si="227">F344*INDEX(MBSIncCalc,$C332,3)</f>
        <v>0</v>
      </c>
      <c r="G343" s="283">
        <f t="shared" si="227"/>
        <v>0</v>
      </c>
      <c r="H343" s="283">
        <f t="shared" si="227"/>
        <v>0</v>
      </c>
      <c r="I343" s="283">
        <f t="shared" si="227"/>
        <v>0</v>
      </c>
      <c r="J343" s="283">
        <f t="shared" si="227"/>
        <v>0</v>
      </c>
      <c r="K343" s="283">
        <f t="shared" si="227"/>
        <v>0</v>
      </c>
      <c r="L343" s="490"/>
      <c r="M343" s="615"/>
      <c r="N343" s="615"/>
      <c r="O343" s="678"/>
      <c r="P343" s="678"/>
      <c r="Q343" s="673"/>
      <c r="R343" s="673"/>
      <c r="S343" s="673"/>
      <c r="T343" s="673"/>
      <c r="U343" s="673"/>
      <c r="V343" s="673"/>
      <c r="W343" s="490"/>
      <c r="X343" s="676"/>
      <c r="Y343" s="676"/>
      <c r="Z343" s="676"/>
      <c r="AA343" s="676"/>
      <c r="AB343" s="676"/>
      <c r="AC343" s="490"/>
      <c r="AD343" s="490"/>
      <c r="AE343" s="490"/>
      <c r="AF343" s="490"/>
      <c r="AG343" s="490"/>
    </row>
    <row r="344" spans="1:33" hidden="1" outlineLevel="2" x14ac:dyDescent="0.2">
      <c r="A344" s="243"/>
      <c r="B344" s="672"/>
      <c r="C344" s="242" t="str">
        <f>C336</f>
        <v/>
      </c>
      <c r="D344" s="243"/>
      <c r="E344" s="62" t="s">
        <v>1310</v>
      </c>
      <c r="F344" s="63">
        <f t="shared" ref="F344:K344" si="228">IF(INDEX(MBSIncRate,$C332,2)=2,IFERROR(INDEX(RPBSScriptsNew,$C344,F341),0),IFERROR(INDEX(MBSRPBSInc,$C332,INDEX(MBSIncRate,$C332,3)*7+F341),0) * IFERROR(INDEX(MBSIncPopSplit,$C332),0)) * INDEX(MBSIncRate,$C332,1) * INDEX(MBSIncRate,$C332,4)</f>
        <v>0</v>
      </c>
      <c r="G344" s="63">
        <f t="shared" si="228"/>
        <v>0</v>
      </c>
      <c r="H344" s="63">
        <f t="shared" si="228"/>
        <v>0</v>
      </c>
      <c r="I344" s="63">
        <f t="shared" si="228"/>
        <v>0</v>
      </c>
      <c r="J344" s="63">
        <f t="shared" si="228"/>
        <v>0</v>
      </c>
      <c r="K344" s="63">
        <f t="shared" si="228"/>
        <v>0</v>
      </c>
      <c r="L344" s="490"/>
      <c r="M344" s="243"/>
      <c r="N344" s="753"/>
      <c r="O344" s="678"/>
      <c r="P344" s="678"/>
      <c r="Q344" s="673"/>
      <c r="R344" s="673"/>
      <c r="S344" s="673"/>
      <c r="T344" s="673"/>
      <c r="U344" s="673"/>
      <c r="V344" s="673"/>
      <c r="W344" s="490"/>
      <c r="X344" s="676"/>
      <c r="Y344" s="676"/>
      <c r="Z344" s="676"/>
      <c r="AA344" s="676"/>
      <c r="AB344" s="676"/>
      <c r="AC344" s="490"/>
      <c r="AD344" s="490"/>
      <c r="AE344" s="490"/>
      <c r="AF344" s="490"/>
      <c r="AG344" s="490"/>
    </row>
    <row r="345" spans="1:33" hidden="1" outlineLevel="2" x14ac:dyDescent="0.2">
      <c r="A345" s="243"/>
      <c r="B345" s="242">
        <v>5</v>
      </c>
      <c r="C345" s="242">
        <v>6</v>
      </c>
      <c r="D345" s="243"/>
      <c r="E345" s="496" t="s">
        <v>1307</v>
      </c>
      <c r="F345" s="63" t="str">
        <f t="shared" ref="F345:K345" si="229">IFERROR(F344*INDEX(MBSIncItems,$C332,$B345)*INDEX(MBSIncItems,$C332,$C345),"")</f>
        <v/>
      </c>
      <c r="G345" s="63" t="str">
        <f t="shared" si="229"/>
        <v/>
      </c>
      <c r="H345" s="63" t="str">
        <f t="shared" si="229"/>
        <v/>
      </c>
      <c r="I345" s="63" t="str">
        <f t="shared" si="229"/>
        <v/>
      </c>
      <c r="J345" s="63" t="str">
        <f t="shared" si="229"/>
        <v/>
      </c>
      <c r="K345" s="63" t="str">
        <f t="shared" si="229"/>
        <v/>
      </c>
      <c r="L345" s="490"/>
      <c r="M345" s="683"/>
      <c r="N345" s="753"/>
      <c r="O345" s="678"/>
      <c r="P345" s="678"/>
      <c r="Q345" s="673"/>
      <c r="R345" s="673"/>
      <c r="S345" s="673"/>
      <c r="T345" s="673"/>
      <c r="U345" s="673"/>
      <c r="V345" s="673"/>
      <c r="W345" s="490"/>
      <c r="X345" s="676"/>
      <c r="Y345" s="676"/>
      <c r="Z345" s="676"/>
      <c r="AA345" s="676"/>
      <c r="AB345" s="676"/>
      <c r="AC345" s="490"/>
      <c r="AD345" s="490"/>
      <c r="AE345" s="490"/>
      <c r="AF345" s="490"/>
      <c r="AG345" s="490"/>
    </row>
    <row r="346" spans="1:33" hidden="1" outlineLevel="2" x14ac:dyDescent="0.2">
      <c r="A346" s="243"/>
      <c r="B346" s="242">
        <v>4</v>
      </c>
      <c r="C346" s="242">
        <v>6</v>
      </c>
      <c r="D346" s="243"/>
      <c r="E346" s="496" t="s">
        <v>1306</v>
      </c>
      <c r="F346" s="63" t="str">
        <f t="shared" ref="F346:K346" si="230">IFERROR(F344*INDEX(MBSIncItems,$C332,$B346)*INDEX(MBSIncItems,$C332,$C346),"")</f>
        <v/>
      </c>
      <c r="G346" s="63" t="str">
        <f t="shared" si="230"/>
        <v/>
      </c>
      <c r="H346" s="63" t="str">
        <f t="shared" si="230"/>
        <v/>
      </c>
      <c r="I346" s="63" t="str">
        <f t="shared" si="230"/>
        <v/>
      </c>
      <c r="J346" s="63" t="str">
        <f t="shared" si="230"/>
        <v/>
      </c>
      <c r="K346" s="63" t="str">
        <f t="shared" si="230"/>
        <v/>
      </c>
      <c r="L346" s="490"/>
      <c r="M346" s="684"/>
      <c r="N346" s="682"/>
      <c r="O346" s="678"/>
      <c r="P346" s="678"/>
      <c r="Q346" s="673"/>
      <c r="R346" s="673"/>
      <c r="S346" s="673"/>
      <c r="T346" s="673"/>
      <c r="U346" s="673"/>
      <c r="V346" s="673"/>
      <c r="W346" s="490"/>
      <c r="X346" s="676"/>
      <c r="Y346" s="676"/>
      <c r="Z346" s="676"/>
      <c r="AA346" s="676"/>
      <c r="AB346" s="676"/>
      <c r="AC346" s="490"/>
      <c r="AD346" s="490"/>
      <c r="AE346" s="490"/>
      <c r="AF346" s="490"/>
      <c r="AG346" s="490"/>
    </row>
    <row r="347" spans="1:33" hidden="1" outlineLevel="2" x14ac:dyDescent="0.2">
      <c r="A347" s="243"/>
      <c r="B347" s="242"/>
      <c r="C347" s="242">
        <v>7</v>
      </c>
      <c r="D347" s="243"/>
      <c r="E347" s="497" t="s">
        <v>1308</v>
      </c>
      <c r="F347" s="63" t="str">
        <f t="shared" ref="F347:K347" si="231">IFERROR(F344*INDEX(MBSIncItems,$C332,$C347),"")</f>
        <v/>
      </c>
      <c r="G347" s="63" t="str">
        <f t="shared" si="231"/>
        <v/>
      </c>
      <c r="H347" s="63" t="str">
        <f t="shared" si="231"/>
        <v/>
      </c>
      <c r="I347" s="63" t="str">
        <f t="shared" si="231"/>
        <v/>
      </c>
      <c r="J347" s="63" t="str">
        <f t="shared" si="231"/>
        <v/>
      </c>
      <c r="K347" s="63" t="str">
        <f t="shared" si="231"/>
        <v/>
      </c>
      <c r="L347" s="490"/>
      <c r="M347" s="684"/>
      <c r="N347" s="682"/>
      <c r="O347" s="678"/>
      <c r="P347" s="678"/>
      <c r="Q347" s="673"/>
      <c r="R347" s="673"/>
      <c r="S347" s="673"/>
      <c r="T347" s="673"/>
      <c r="U347" s="673"/>
      <c r="V347" s="673"/>
      <c r="W347" s="490"/>
      <c r="X347" s="676"/>
      <c r="Y347" s="676"/>
      <c r="Z347" s="676"/>
      <c r="AA347" s="676"/>
      <c r="AB347" s="676"/>
      <c r="AC347" s="490"/>
      <c r="AD347" s="490"/>
      <c r="AE347" s="490"/>
      <c r="AF347" s="490"/>
      <c r="AG347" s="490"/>
    </row>
    <row r="348" spans="1:33" hidden="1" outlineLevel="1" x14ac:dyDescent="0.2">
      <c r="A348" s="243"/>
      <c r="B348" s="243"/>
      <c r="C348" s="243"/>
      <c r="D348" s="677"/>
      <c r="E348" s="677"/>
      <c r="F348" s="243"/>
      <c r="G348" s="243"/>
      <c r="H348" s="243"/>
      <c r="I348" s="243"/>
      <c r="J348" s="243"/>
      <c r="K348" s="243"/>
      <c r="L348" s="243"/>
      <c r="M348" s="243"/>
      <c r="N348" s="678"/>
      <c r="O348" s="678"/>
      <c r="P348" s="678"/>
      <c r="Q348" s="673"/>
      <c r="R348" s="673"/>
      <c r="S348" s="673"/>
      <c r="T348" s="673"/>
      <c r="U348" s="673"/>
      <c r="V348" s="673"/>
      <c r="W348" s="490"/>
      <c r="X348" s="676"/>
      <c r="Y348" s="676"/>
      <c r="Z348" s="676"/>
      <c r="AA348" s="676"/>
      <c r="AB348" s="676"/>
      <c r="AC348" s="490"/>
      <c r="AD348" s="490"/>
      <c r="AE348" s="490"/>
      <c r="AF348" s="490"/>
      <c r="AG348" s="490"/>
    </row>
    <row r="349" spans="1:33" ht="15.75" hidden="1" outlineLevel="1" collapsed="1" x14ac:dyDescent="0.2">
      <c r="A349" s="243"/>
      <c r="B349" s="243"/>
      <c r="C349" s="242">
        <v>15</v>
      </c>
      <c r="D349" s="79" t="str">
        <f>INDEX(MBSIncNames,C349)</f>
        <v>** NOT USED **</v>
      </c>
      <c r="E349" s="79"/>
      <c r="F349" s="115"/>
      <c r="G349" s="115"/>
      <c r="H349" s="115"/>
      <c r="I349" s="115"/>
      <c r="J349" s="821" t="str">
        <f>IF(D349&lt;&gt;MsgNotUsed,"Co-payment group " &amp; K178,"")</f>
        <v/>
      </c>
      <c r="K349" s="821"/>
      <c r="L349" s="115"/>
      <c r="M349" s="115"/>
      <c r="N349" s="115"/>
      <c r="O349" s="115"/>
      <c r="P349" s="115"/>
      <c r="Q349" s="115"/>
      <c r="R349" s="115"/>
      <c r="S349" s="115"/>
      <c r="T349" s="115"/>
      <c r="U349" s="115"/>
      <c r="V349" s="115"/>
      <c r="W349" s="491"/>
      <c r="X349" s="490"/>
      <c r="Y349" s="490"/>
      <c r="Z349" s="490"/>
      <c r="AA349" s="490"/>
      <c r="AB349" s="676"/>
      <c r="AC349" s="490"/>
      <c r="AD349" s="490"/>
      <c r="AE349" s="490"/>
      <c r="AF349" s="490"/>
      <c r="AG349" s="490"/>
    </row>
    <row r="350" spans="1:33" hidden="1" outlineLevel="2" x14ac:dyDescent="0.2">
      <c r="A350" s="243"/>
      <c r="B350" s="243"/>
      <c r="C350" s="243"/>
      <c r="D350" s="243"/>
      <c r="E350" s="243"/>
      <c r="F350" s="495">
        <v>2</v>
      </c>
      <c r="G350" s="495">
        <v>3</v>
      </c>
      <c r="H350" s="495">
        <v>4</v>
      </c>
      <c r="I350" s="495">
        <v>5</v>
      </c>
      <c r="J350" s="495">
        <v>6</v>
      </c>
      <c r="K350" s="495">
        <v>7</v>
      </c>
      <c r="L350" s="495"/>
      <c r="M350" s="243"/>
      <c r="N350" s="243"/>
      <c r="O350" s="243"/>
      <c r="P350" s="243"/>
      <c r="Q350" s="243"/>
      <c r="R350" s="243"/>
      <c r="S350" s="243"/>
      <c r="T350" s="243"/>
      <c r="U350" s="243"/>
      <c r="V350" s="243"/>
      <c r="W350" s="490"/>
      <c r="X350" s="490"/>
      <c r="Y350" s="490"/>
      <c r="Z350" s="490"/>
      <c r="AA350" s="490"/>
      <c r="AB350" s="676"/>
      <c r="AC350" s="490"/>
      <c r="AD350" s="490"/>
      <c r="AE350" s="490"/>
      <c r="AF350" s="490"/>
      <c r="AG350" s="490"/>
    </row>
    <row r="351" spans="1:33" ht="15" hidden="1" outlineLevel="2" x14ac:dyDescent="0.2">
      <c r="A351" s="243"/>
      <c r="B351" s="243"/>
      <c r="C351" s="243"/>
      <c r="D351" s="663" t="s">
        <v>0</v>
      </c>
      <c r="E351" s="663"/>
      <c r="F351" s="733">
        <f>FirstYear</f>
        <v>2021</v>
      </c>
      <c r="G351" s="733">
        <f>F351+1</f>
        <v>2022</v>
      </c>
      <c r="H351" s="733">
        <f>G351+1</f>
        <v>2023</v>
      </c>
      <c r="I351" s="733">
        <f>H351+1</f>
        <v>2024</v>
      </c>
      <c r="J351" s="733">
        <f>I351+1</f>
        <v>2025</v>
      </c>
      <c r="K351" s="733">
        <f>J351+1</f>
        <v>2026</v>
      </c>
      <c r="L351" s="491"/>
      <c r="M351" s="113"/>
      <c r="N351" s="679"/>
      <c r="O351" s="679"/>
      <c r="P351" s="679"/>
      <c r="Q351" s="674"/>
      <c r="R351" s="674"/>
      <c r="S351" s="674"/>
      <c r="T351" s="674"/>
      <c r="U351" s="674"/>
      <c r="V351" s="674"/>
      <c r="W351" s="491"/>
      <c r="X351" s="674"/>
      <c r="Y351" s="674"/>
      <c r="Z351" s="674"/>
      <c r="AA351" s="674"/>
      <c r="AB351" s="676"/>
      <c r="AC351" s="490"/>
      <c r="AD351" s="490"/>
      <c r="AE351" s="490"/>
      <c r="AF351" s="490"/>
      <c r="AG351" s="490"/>
    </row>
    <row r="352" spans="1:33" hidden="1" outlineLevel="2" x14ac:dyDescent="0.2">
      <c r="A352" s="243"/>
      <c r="B352" s="243"/>
      <c r="C352" s="243"/>
      <c r="D352" s="243"/>
      <c r="E352" s="433" t="s">
        <v>951</v>
      </c>
      <c r="F352" s="283">
        <f t="shared" ref="F352:K352" si="232">F353*INDEX(MBSIncCalc,$C349,3)</f>
        <v>0</v>
      </c>
      <c r="G352" s="283">
        <f t="shared" si="232"/>
        <v>0</v>
      </c>
      <c r="H352" s="283">
        <f t="shared" si="232"/>
        <v>0</v>
      </c>
      <c r="I352" s="283">
        <f t="shared" si="232"/>
        <v>0</v>
      </c>
      <c r="J352" s="283">
        <f t="shared" si="232"/>
        <v>0</v>
      </c>
      <c r="K352" s="283">
        <f t="shared" si="232"/>
        <v>0</v>
      </c>
      <c r="L352" s="490"/>
      <c r="M352" s="680"/>
      <c r="N352" s="664"/>
      <c r="O352" s="664"/>
      <c r="P352" s="664"/>
      <c r="Q352" s="681"/>
      <c r="R352" s="681"/>
      <c r="S352" s="681"/>
      <c r="T352" s="681"/>
      <c r="U352" s="681"/>
      <c r="V352" s="681"/>
      <c r="W352" s="493"/>
      <c r="X352" s="561">
        <f>INDEX(MBSIncItems,C349,1)</f>
        <v>0</v>
      </c>
      <c r="Y352" s="561">
        <f>FirstYear</f>
        <v>2021</v>
      </c>
      <c r="Z352" s="560">
        <f>IF(F353&lt;&gt;0,F353-F355,0)</f>
        <v>0</v>
      </c>
      <c r="AA352" s="560">
        <f>IF(F361&lt;&gt;0,F361-F363,0)</f>
        <v>0</v>
      </c>
      <c r="AB352" s="674"/>
      <c r="AC352" s="490"/>
      <c r="AD352" s="490"/>
      <c r="AE352" s="490"/>
      <c r="AF352" s="490"/>
      <c r="AG352" s="490"/>
    </row>
    <row r="353" spans="1:33" hidden="1" outlineLevel="2" x14ac:dyDescent="0.2">
      <c r="A353" s="243"/>
      <c r="B353" s="672"/>
      <c r="C353" s="242" t="str">
        <f>INDEX(MBSIncCalc,C349,2)</f>
        <v/>
      </c>
      <c r="D353" s="243"/>
      <c r="E353" s="62" t="s">
        <v>1310</v>
      </c>
      <c r="F353" s="63">
        <f t="shared" ref="F353:K353" si="233">IF(INDEX(MBSIncRate,$C349,2)=2,IFERROR(INDEX(PBSScriptsNew,$C353,F350),0),IFERROR(INDEX(MBSPBSInc,$C349,INDEX(MBSIncRate,$C349,3)*7+F350),0) * IFERROR(INDEX(MBSIncPopSplit,$C349),0)) * INDEX(MBSIncRate,$C349,1) * INDEX(MBSIncRate,$C349,4)</f>
        <v>0</v>
      </c>
      <c r="G353" s="63">
        <f t="shared" si="233"/>
        <v>0</v>
      </c>
      <c r="H353" s="63">
        <f t="shared" si="233"/>
        <v>0</v>
      </c>
      <c r="I353" s="63">
        <f t="shared" si="233"/>
        <v>0</v>
      </c>
      <c r="J353" s="63">
        <f t="shared" si="233"/>
        <v>0</v>
      </c>
      <c r="K353" s="63">
        <f t="shared" si="233"/>
        <v>0</v>
      </c>
      <c r="L353" s="490"/>
      <c r="M353" s="493"/>
      <c r="N353" s="493"/>
      <c r="O353" s="664"/>
      <c r="P353" s="664"/>
      <c r="Q353" s="681"/>
      <c r="R353" s="681"/>
      <c r="S353" s="681"/>
      <c r="T353" s="681"/>
      <c r="U353" s="681"/>
      <c r="V353" s="681"/>
      <c r="W353" s="493"/>
      <c r="X353" s="561">
        <f>X352</f>
        <v>0</v>
      </c>
      <c r="Y353" s="561">
        <f>Y352+1</f>
        <v>2022</v>
      </c>
      <c r="Z353" s="560">
        <f>IF(G353&lt;&gt;0,G353-G355,0)</f>
        <v>0</v>
      </c>
      <c r="AA353" s="560">
        <f>IF(G361&lt;&gt;0,G361-G363,0)</f>
        <v>0</v>
      </c>
      <c r="AB353" s="674"/>
      <c r="AC353" s="490"/>
      <c r="AD353" s="490"/>
      <c r="AE353" s="490"/>
      <c r="AF353" s="490"/>
      <c r="AG353" s="490"/>
    </row>
    <row r="354" spans="1:33" hidden="1" outlineLevel="2" x14ac:dyDescent="0.2">
      <c r="A354" s="243"/>
      <c r="B354" s="242">
        <v>5</v>
      </c>
      <c r="C354" s="242">
        <v>6</v>
      </c>
      <c r="D354" s="243"/>
      <c r="E354" s="496" t="s">
        <v>1307</v>
      </c>
      <c r="F354" s="63" t="str">
        <f t="shared" ref="F354:K354" si="234">IFERROR(F353*INDEX(MBSIncItems,$C349,$B354)*INDEX(MBSIncItems,$C349,$C354),"")</f>
        <v/>
      </c>
      <c r="G354" s="63" t="str">
        <f t="shared" si="234"/>
        <v/>
      </c>
      <c r="H354" s="63" t="str">
        <f t="shared" si="234"/>
        <v/>
      </c>
      <c r="I354" s="63" t="str">
        <f t="shared" si="234"/>
        <v/>
      </c>
      <c r="J354" s="63" t="str">
        <f t="shared" si="234"/>
        <v/>
      </c>
      <c r="K354" s="63" t="str">
        <f t="shared" si="234"/>
        <v/>
      </c>
      <c r="L354" s="490"/>
      <c r="M354" s="493"/>
      <c r="N354" s="493"/>
      <c r="O354" s="682"/>
      <c r="P354" s="754"/>
      <c r="Q354" s="681"/>
      <c r="R354" s="681"/>
      <c r="S354" s="681"/>
      <c r="T354" s="681"/>
      <c r="U354" s="681"/>
      <c r="V354" s="681"/>
      <c r="W354" s="493"/>
      <c r="X354" s="561">
        <f t="shared" ref="X354:X357" si="235">X353</f>
        <v>0</v>
      </c>
      <c r="Y354" s="561">
        <f>Y353+1</f>
        <v>2023</v>
      </c>
      <c r="Z354" s="560">
        <f>IF(H353&lt;&gt;0,H353-H355,0)</f>
        <v>0</v>
      </c>
      <c r="AA354" s="560">
        <f>IF(H361&lt;&gt;0,H361-H363,0)</f>
        <v>0</v>
      </c>
      <c r="AB354" s="675"/>
      <c r="AC354" s="490"/>
      <c r="AD354" s="490"/>
      <c r="AE354" s="490"/>
      <c r="AF354" s="490"/>
      <c r="AG354" s="490"/>
    </row>
    <row r="355" spans="1:33" hidden="1" outlineLevel="2" x14ac:dyDescent="0.2">
      <c r="A355" s="416"/>
      <c r="B355" s="242">
        <v>4</v>
      </c>
      <c r="C355" s="242">
        <v>6</v>
      </c>
      <c r="D355" s="243"/>
      <c r="E355" s="496" t="s">
        <v>1306</v>
      </c>
      <c r="F355" s="63" t="str">
        <f t="shared" ref="F355:K355" si="236">IFERROR(F353*INDEX(MBSIncItems,$C349,$B355)*INDEX(MBSIncItems,$C349,$C355),"")</f>
        <v/>
      </c>
      <c r="G355" s="63" t="str">
        <f t="shared" si="236"/>
        <v/>
      </c>
      <c r="H355" s="63" t="str">
        <f t="shared" si="236"/>
        <v/>
      </c>
      <c r="I355" s="63" t="str">
        <f t="shared" si="236"/>
        <v/>
      </c>
      <c r="J355" s="63" t="str">
        <f t="shared" si="236"/>
        <v/>
      </c>
      <c r="K355" s="63" t="str">
        <f t="shared" si="236"/>
        <v/>
      </c>
      <c r="L355" s="416"/>
      <c r="M355" s="416"/>
      <c r="N355" s="416"/>
      <c r="O355" s="416"/>
      <c r="P355" s="416"/>
      <c r="Q355" s="416"/>
      <c r="R355" s="416"/>
      <c r="S355" s="416"/>
      <c r="T355" s="416"/>
      <c r="U355" s="416"/>
      <c r="V355" s="416"/>
      <c r="W355" s="493"/>
      <c r="X355" s="561">
        <f t="shared" si="235"/>
        <v>0</v>
      </c>
      <c r="Y355" s="561">
        <f>Y354+1</f>
        <v>2024</v>
      </c>
      <c r="Z355" s="560">
        <f>IF(I353&lt;&gt;0,I353-I355,0)</f>
        <v>0</v>
      </c>
      <c r="AA355" s="560">
        <f>IF(I361&lt;&gt;0,I361-I363,0)</f>
        <v>0</v>
      </c>
      <c r="AB355" s="675"/>
      <c r="AC355" s="490"/>
      <c r="AD355" s="490"/>
      <c r="AE355" s="490"/>
      <c r="AF355" s="490"/>
      <c r="AG355" s="490"/>
    </row>
    <row r="356" spans="1:33" hidden="1" outlineLevel="2" x14ac:dyDescent="0.2">
      <c r="A356" s="243"/>
      <c r="B356" s="242"/>
      <c r="C356" s="242">
        <v>7</v>
      </c>
      <c r="D356" s="243"/>
      <c r="E356" s="497" t="s">
        <v>1308</v>
      </c>
      <c r="F356" s="63" t="str">
        <f t="shared" ref="F356:K356" si="237">IFERROR(F353*INDEX(MBSIncItems,$C349,$C356),"")</f>
        <v/>
      </c>
      <c r="G356" s="63" t="str">
        <f t="shared" si="237"/>
        <v/>
      </c>
      <c r="H356" s="63" t="str">
        <f t="shared" si="237"/>
        <v/>
      </c>
      <c r="I356" s="63" t="str">
        <f t="shared" si="237"/>
        <v/>
      </c>
      <c r="J356" s="63" t="str">
        <f t="shared" si="237"/>
        <v/>
      </c>
      <c r="K356" s="63" t="str">
        <f t="shared" si="237"/>
        <v/>
      </c>
      <c r="L356" s="490"/>
      <c r="M356" s="493"/>
      <c r="N356" s="493"/>
      <c r="O356" s="682"/>
      <c r="P356" s="754"/>
      <c r="Q356" s="681"/>
      <c r="R356" s="681"/>
      <c r="S356" s="681"/>
      <c r="T356" s="681"/>
      <c r="U356" s="681"/>
      <c r="V356" s="681"/>
      <c r="W356" s="493"/>
      <c r="X356" s="561">
        <f t="shared" si="235"/>
        <v>0</v>
      </c>
      <c r="Y356" s="561">
        <f>Y355+1</f>
        <v>2025</v>
      </c>
      <c r="Z356" s="560">
        <f>IF(J353&lt;&gt;0,J353-J355,0)</f>
        <v>0</v>
      </c>
      <c r="AA356" s="560">
        <f>IF(J361&lt;&gt;0,J361-J363,0)</f>
        <v>0</v>
      </c>
      <c r="AB356" s="675"/>
      <c r="AC356" s="490"/>
      <c r="AD356" s="490"/>
      <c r="AE356" s="490"/>
      <c r="AF356" s="490"/>
      <c r="AG356" s="490"/>
    </row>
    <row r="357" spans="1:33" hidden="1" outlineLevel="2" x14ac:dyDescent="0.2">
      <c r="A357" s="243"/>
      <c r="B357" s="493"/>
      <c r="C357" s="493"/>
      <c r="D357" s="493"/>
      <c r="E357" s="493"/>
      <c r="F357" s="493"/>
      <c r="G357" s="493"/>
      <c r="H357" s="493"/>
      <c r="I357" s="493"/>
      <c r="J357" s="493"/>
      <c r="K357" s="493"/>
      <c r="L357" s="490"/>
      <c r="M357" s="493"/>
      <c r="N357" s="493"/>
      <c r="O357" s="682"/>
      <c r="P357" s="682"/>
      <c r="Q357" s="681"/>
      <c r="R357" s="681"/>
      <c r="S357" s="681"/>
      <c r="T357" s="681"/>
      <c r="U357" s="681"/>
      <c r="V357" s="681"/>
      <c r="W357" s="493"/>
      <c r="X357" s="561">
        <f t="shared" si="235"/>
        <v>0</v>
      </c>
      <c r="Y357" s="561">
        <f>Y356+1</f>
        <v>2026</v>
      </c>
      <c r="Z357" s="560">
        <f>IF(K353&lt;&gt;0,K353-K355,0)</f>
        <v>0</v>
      </c>
      <c r="AA357" s="560">
        <f>IF(K361&lt;&gt;0,K361-K363,0)</f>
        <v>0</v>
      </c>
      <c r="AB357" s="675"/>
      <c r="AC357" s="490"/>
      <c r="AD357" s="490"/>
      <c r="AE357" s="490"/>
      <c r="AF357" s="490"/>
      <c r="AG357" s="490"/>
    </row>
    <row r="358" spans="1:33" hidden="1" outlineLevel="2" x14ac:dyDescent="0.2">
      <c r="A358" s="243"/>
      <c r="B358" s="243"/>
      <c r="C358" s="243"/>
      <c r="D358" s="677"/>
      <c r="E358" s="677"/>
      <c r="F358" s="495">
        <v>2</v>
      </c>
      <c r="G358" s="495">
        <v>3</v>
      </c>
      <c r="H358" s="495">
        <v>4</v>
      </c>
      <c r="I358" s="495">
        <v>5</v>
      </c>
      <c r="J358" s="495">
        <v>6</v>
      </c>
      <c r="K358" s="495">
        <v>7</v>
      </c>
      <c r="L358" s="490"/>
      <c r="M358" s="243"/>
      <c r="N358" s="678"/>
      <c r="O358" s="678"/>
      <c r="P358" s="678"/>
      <c r="Q358" s="673"/>
      <c r="R358" s="673"/>
      <c r="S358" s="673"/>
      <c r="T358" s="673"/>
      <c r="U358" s="673"/>
      <c r="V358" s="673"/>
      <c r="W358" s="490"/>
      <c r="X358" s="676"/>
      <c r="Y358" s="676"/>
      <c r="Z358" s="676"/>
      <c r="AA358" s="676"/>
      <c r="AB358" s="675"/>
      <c r="AC358" s="490"/>
      <c r="AD358" s="490"/>
      <c r="AE358" s="490"/>
      <c r="AF358" s="490"/>
      <c r="AG358" s="490"/>
    </row>
    <row r="359" spans="1:33" ht="15.75" hidden="1" outlineLevel="2" x14ac:dyDescent="0.2">
      <c r="A359" s="243"/>
      <c r="B359" s="243"/>
      <c r="C359" s="243"/>
      <c r="D359" s="663" t="s">
        <v>1</v>
      </c>
      <c r="E359" s="663"/>
      <c r="F359" s="751">
        <f>FirstYear</f>
        <v>2021</v>
      </c>
      <c r="G359" s="751">
        <f>F359+1</f>
        <v>2022</v>
      </c>
      <c r="H359" s="751">
        <f>G359+1</f>
        <v>2023</v>
      </c>
      <c r="I359" s="751">
        <f>H359+1</f>
        <v>2024</v>
      </c>
      <c r="J359" s="751">
        <f>I359+1</f>
        <v>2025</v>
      </c>
      <c r="K359" s="751">
        <f>J359+1</f>
        <v>2026</v>
      </c>
      <c r="L359" s="491"/>
      <c r="M359" s="243"/>
      <c r="N359" s="685"/>
      <c r="O359" s="685"/>
      <c r="P359" s="685"/>
      <c r="Q359" s="673"/>
      <c r="R359" s="673"/>
      <c r="S359" s="673"/>
      <c r="T359" s="673"/>
      <c r="U359" s="673"/>
      <c r="V359" s="673"/>
      <c r="W359" s="491"/>
      <c r="X359" s="676"/>
      <c r="Y359" s="676"/>
      <c r="Z359" s="676"/>
      <c r="AA359" s="676"/>
      <c r="AB359" s="676"/>
      <c r="AC359" s="490"/>
      <c r="AD359" s="490"/>
      <c r="AE359" s="490"/>
      <c r="AF359" s="490"/>
      <c r="AG359" s="490"/>
    </row>
    <row r="360" spans="1:33" hidden="1" outlineLevel="2" x14ac:dyDescent="0.2">
      <c r="A360" s="243"/>
      <c r="B360" s="243"/>
      <c r="C360" s="243"/>
      <c r="D360" s="243"/>
      <c r="E360" s="433" t="s">
        <v>951</v>
      </c>
      <c r="F360" s="283">
        <f t="shared" ref="F360:K360" si="238">F361*INDEX(MBSIncCalc,$C349,3)</f>
        <v>0</v>
      </c>
      <c r="G360" s="283">
        <f t="shared" si="238"/>
        <v>0</v>
      </c>
      <c r="H360" s="283">
        <f t="shared" si="238"/>
        <v>0</v>
      </c>
      <c r="I360" s="283">
        <f t="shared" si="238"/>
        <v>0</v>
      </c>
      <c r="J360" s="283">
        <f t="shared" si="238"/>
        <v>0</v>
      </c>
      <c r="K360" s="283">
        <f t="shared" si="238"/>
        <v>0</v>
      </c>
      <c r="L360" s="490"/>
      <c r="M360" s="615"/>
      <c r="N360" s="615"/>
      <c r="O360" s="678"/>
      <c r="P360" s="678"/>
      <c r="Q360" s="673"/>
      <c r="R360" s="673"/>
      <c r="S360" s="673"/>
      <c r="T360" s="673"/>
      <c r="U360" s="673"/>
      <c r="V360" s="673"/>
      <c r="W360" s="490"/>
      <c r="X360" s="676"/>
      <c r="Y360" s="676"/>
      <c r="Z360" s="676"/>
      <c r="AA360" s="676"/>
      <c r="AB360" s="676"/>
      <c r="AC360" s="490"/>
      <c r="AD360" s="490"/>
      <c r="AE360" s="490"/>
      <c r="AF360" s="490"/>
      <c r="AG360" s="490"/>
    </row>
    <row r="361" spans="1:33" hidden="1" outlineLevel="2" x14ac:dyDescent="0.2">
      <c r="A361" s="243"/>
      <c r="B361" s="672"/>
      <c r="C361" s="242" t="str">
        <f>C353</f>
        <v/>
      </c>
      <c r="D361" s="243"/>
      <c r="E361" s="62" t="s">
        <v>1310</v>
      </c>
      <c r="F361" s="63">
        <f t="shared" ref="F361:K361" si="239">IF(INDEX(MBSIncRate,$C349,2)=2,IFERROR(INDEX(RPBSScriptsNew,$C361,F358),0),IFERROR(INDEX(MBSRPBSInc,$C349,INDEX(MBSIncRate,$C349,3)*7+F358),0) * IFERROR(INDEX(MBSIncPopSplit,$C349),0)) * INDEX(MBSIncRate,$C349,1) * INDEX(MBSIncRate,$C349,4)</f>
        <v>0</v>
      </c>
      <c r="G361" s="63">
        <f t="shared" si="239"/>
        <v>0</v>
      </c>
      <c r="H361" s="63">
        <f t="shared" si="239"/>
        <v>0</v>
      </c>
      <c r="I361" s="63">
        <f t="shared" si="239"/>
        <v>0</v>
      </c>
      <c r="J361" s="63">
        <f t="shared" si="239"/>
        <v>0</v>
      </c>
      <c r="K361" s="63">
        <f t="shared" si="239"/>
        <v>0</v>
      </c>
      <c r="L361" s="490"/>
      <c r="M361" s="243"/>
      <c r="N361" s="753"/>
      <c r="O361" s="678"/>
      <c r="P361" s="678"/>
      <c r="Q361" s="673"/>
      <c r="R361" s="673"/>
      <c r="S361" s="673"/>
      <c r="T361" s="673"/>
      <c r="U361" s="673"/>
      <c r="V361" s="673"/>
      <c r="W361" s="490"/>
      <c r="X361" s="676"/>
      <c r="Y361" s="676"/>
      <c r="Z361" s="676"/>
      <c r="AA361" s="676"/>
      <c r="AB361" s="676"/>
      <c r="AC361" s="490"/>
      <c r="AD361" s="490"/>
      <c r="AE361" s="490"/>
      <c r="AF361" s="490"/>
      <c r="AG361" s="490"/>
    </row>
    <row r="362" spans="1:33" hidden="1" outlineLevel="2" x14ac:dyDescent="0.2">
      <c r="A362" s="243"/>
      <c r="B362" s="242">
        <v>5</v>
      </c>
      <c r="C362" s="242">
        <v>6</v>
      </c>
      <c r="D362" s="243"/>
      <c r="E362" s="496" t="s">
        <v>1307</v>
      </c>
      <c r="F362" s="63" t="str">
        <f t="shared" ref="F362:K362" si="240">IFERROR(F361*INDEX(MBSIncItems,$C349,$B362)*INDEX(MBSIncItems,$C349,$C362),"")</f>
        <v/>
      </c>
      <c r="G362" s="63" t="str">
        <f t="shared" si="240"/>
        <v/>
      </c>
      <c r="H362" s="63" t="str">
        <f t="shared" si="240"/>
        <v/>
      </c>
      <c r="I362" s="63" t="str">
        <f t="shared" si="240"/>
        <v/>
      </c>
      <c r="J362" s="63" t="str">
        <f t="shared" si="240"/>
        <v/>
      </c>
      <c r="K362" s="63" t="str">
        <f t="shared" si="240"/>
        <v/>
      </c>
      <c r="L362" s="490"/>
      <c r="M362" s="683"/>
      <c r="N362" s="753"/>
      <c r="O362" s="678"/>
      <c r="P362" s="678"/>
      <c r="Q362" s="673"/>
      <c r="R362" s="673"/>
      <c r="S362" s="673"/>
      <c r="T362" s="673"/>
      <c r="U362" s="673"/>
      <c r="V362" s="673"/>
      <c r="W362" s="490"/>
      <c r="X362" s="676"/>
      <c r="Y362" s="676"/>
      <c r="Z362" s="676"/>
      <c r="AA362" s="676"/>
      <c r="AB362" s="676"/>
      <c r="AC362" s="490"/>
      <c r="AD362" s="490"/>
      <c r="AE362" s="490"/>
      <c r="AF362" s="490"/>
      <c r="AG362" s="490"/>
    </row>
    <row r="363" spans="1:33" hidden="1" outlineLevel="2" x14ac:dyDescent="0.2">
      <c r="A363" s="243"/>
      <c r="B363" s="242">
        <v>4</v>
      </c>
      <c r="C363" s="242">
        <v>6</v>
      </c>
      <c r="D363" s="243"/>
      <c r="E363" s="496" t="s">
        <v>1306</v>
      </c>
      <c r="F363" s="63" t="str">
        <f t="shared" ref="F363:K363" si="241">IFERROR(F361*INDEX(MBSIncItems,$C349,$B363)*INDEX(MBSIncItems,$C349,$C363),"")</f>
        <v/>
      </c>
      <c r="G363" s="63" t="str">
        <f t="shared" si="241"/>
        <v/>
      </c>
      <c r="H363" s="63" t="str">
        <f t="shared" si="241"/>
        <v/>
      </c>
      <c r="I363" s="63" t="str">
        <f t="shared" si="241"/>
        <v/>
      </c>
      <c r="J363" s="63" t="str">
        <f t="shared" si="241"/>
        <v/>
      </c>
      <c r="K363" s="63" t="str">
        <f t="shared" si="241"/>
        <v/>
      </c>
      <c r="L363" s="490"/>
      <c r="M363" s="684"/>
      <c r="N363" s="682"/>
      <c r="O363" s="678"/>
      <c r="P363" s="678"/>
      <c r="Q363" s="673"/>
      <c r="R363" s="673"/>
      <c r="S363" s="673"/>
      <c r="T363" s="673"/>
      <c r="U363" s="673"/>
      <c r="V363" s="673"/>
      <c r="W363" s="490"/>
      <c r="X363" s="676"/>
      <c r="Y363" s="676"/>
      <c r="Z363" s="676"/>
      <c r="AA363" s="676"/>
      <c r="AB363" s="676"/>
      <c r="AC363" s="490"/>
      <c r="AD363" s="490"/>
      <c r="AE363" s="490"/>
      <c r="AF363" s="490"/>
      <c r="AG363" s="490"/>
    </row>
    <row r="364" spans="1:33" hidden="1" outlineLevel="2" x14ac:dyDescent="0.2">
      <c r="A364" s="243"/>
      <c r="B364" s="242"/>
      <c r="C364" s="242">
        <v>7</v>
      </c>
      <c r="D364" s="243"/>
      <c r="E364" s="497" t="s">
        <v>1308</v>
      </c>
      <c r="F364" s="63" t="str">
        <f t="shared" ref="F364:K364" si="242">IFERROR(F361*INDEX(MBSIncItems,$C349,$C364),"")</f>
        <v/>
      </c>
      <c r="G364" s="63" t="str">
        <f t="shared" si="242"/>
        <v/>
      </c>
      <c r="H364" s="63" t="str">
        <f t="shared" si="242"/>
        <v/>
      </c>
      <c r="I364" s="63" t="str">
        <f t="shared" si="242"/>
        <v/>
      </c>
      <c r="J364" s="63" t="str">
        <f t="shared" si="242"/>
        <v/>
      </c>
      <c r="K364" s="63" t="str">
        <f t="shared" si="242"/>
        <v/>
      </c>
      <c r="L364" s="490"/>
      <c r="M364" s="684"/>
      <c r="N364" s="682"/>
      <c r="O364" s="678"/>
      <c r="P364" s="678"/>
      <c r="Q364" s="673"/>
      <c r="R364" s="673"/>
      <c r="S364" s="673"/>
      <c r="T364" s="673"/>
      <c r="U364" s="673"/>
      <c r="V364" s="673"/>
      <c r="W364" s="490"/>
      <c r="X364" s="676"/>
      <c r="Y364" s="676"/>
      <c r="Z364" s="676"/>
      <c r="AA364" s="676"/>
      <c r="AB364" s="676"/>
      <c r="AC364" s="490"/>
      <c r="AD364" s="490"/>
      <c r="AE364" s="490"/>
      <c r="AF364" s="490"/>
      <c r="AG364" s="490"/>
    </row>
    <row r="365" spans="1:33" hidden="1" outlineLevel="1" x14ac:dyDescent="0.2">
      <c r="A365" s="243"/>
      <c r="B365" s="243"/>
      <c r="C365" s="243"/>
      <c r="D365" s="677"/>
      <c r="E365" s="677"/>
      <c r="F365" s="243"/>
      <c r="G365" s="243"/>
      <c r="H365" s="243"/>
      <c r="I365" s="243"/>
      <c r="J365" s="243"/>
      <c r="K365" s="243"/>
      <c r="L365" s="243"/>
      <c r="M365" s="243"/>
      <c r="N365" s="678"/>
      <c r="O365" s="678"/>
      <c r="P365" s="678"/>
      <c r="Q365" s="673"/>
      <c r="R365" s="673"/>
      <c r="S365" s="673"/>
      <c r="T365" s="673"/>
      <c r="U365" s="673"/>
      <c r="V365" s="673"/>
      <c r="W365" s="490"/>
      <c r="X365" s="676"/>
      <c r="Y365" s="676"/>
      <c r="Z365" s="676"/>
      <c r="AA365" s="676"/>
      <c r="AB365" s="676"/>
      <c r="AC365" s="490"/>
      <c r="AD365" s="490"/>
      <c r="AE365" s="490"/>
      <c r="AF365" s="490"/>
      <c r="AG365" s="490"/>
    </row>
    <row r="366" spans="1:33" ht="15.75" hidden="1" outlineLevel="1" collapsed="1" x14ac:dyDescent="0.2">
      <c r="A366" s="243"/>
      <c r="B366" s="243"/>
      <c r="C366" s="242">
        <v>16</v>
      </c>
      <c r="D366" s="79" t="str">
        <f>INDEX(MBSIncNames,C366)</f>
        <v>** NOT USED **</v>
      </c>
      <c r="E366" s="79"/>
      <c r="F366" s="115"/>
      <c r="G366" s="115"/>
      <c r="H366" s="115"/>
      <c r="I366" s="115"/>
      <c r="J366" s="821" t="str">
        <f>IF(D366&lt;&gt;MsgNotUsed,"Co-payment group " &amp; K195,"")</f>
        <v/>
      </c>
      <c r="K366" s="821"/>
      <c r="L366" s="115"/>
      <c r="M366" s="115"/>
      <c r="N366" s="115"/>
      <c r="O366" s="115"/>
      <c r="P366" s="115"/>
      <c r="Q366" s="115"/>
      <c r="R366" s="115"/>
      <c r="S366" s="115"/>
      <c r="T366" s="115"/>
      <c r="U366" s="115"/>
      <c r="V366" s="115"/>
      <c r="W366" s="491"/>
      <c r="X366" s="490"/>
      <c r="Y366" s="490"/>
      <c r="Z366" s="490"/>
      <c r="AA366" s="490"/>
      <c r="AB366" s="676"/>
      <c r="AC366" s="490"/>
      <c r="AD366" s="490"/>
      <c r="AE366" s="490"/>
      <c r="AF366" s="490"/>
      <c r="AG366" s="490"/>
    </row>
    <row r="367" spans="1:33" hidden="1" outlineLevel="2" x14ac:dyDescent="0.2">
      <c r="A367" s="243"/>
      <c r="B367" s="243"/>
      <c r="C367" s="243"/>
      <c r="D367" s="243"/>
      <c r="E367" s="243"/>
      <c r="F367" s="495">
        <v>2</v>
      </c>
      <c r="G367" s="495">
        <v>3</v>
      </c>
      <c r="H367" s="495">
        <v>4</v>
      </c>
      <c r="I367" s="495">
        <v>5</v>
      </c>
      <c r="J367" s="495">
        <v>6</v>
      </c>
      <c r="K367" s="495">
        <v>7</v>
      </c>
      <c r="L367" s="495"/>
      <c r="M367" s="243"/>
      <c r="N367" s="243"/>
      <c r="O367" s="243"/>
      <c r="P367" s="243"/>
      <c r="Q367" s="243"/>
      <c r="R367" s="243"/>
      <c r="S367" s="243"/>
      <c r="T367" s="243"/>
      <c r="U367" s="243"/>
      <c r="V367" s="243"/>
      <c r="W367" s="490"/>
      <c r="X367" s="490"/>
      <c r="Y367" s="490"/>
      <c r="Z367" s="490"/>
      <c r="AA367" s="490"/>
      <c r="AB367" s="676"/>
      <c r="AC367" s="490"/>
      <c r="AD367" s="490"/>
      <c r="AE367" s="490"/>
      <c r="AF367" s="490"/>
      <c r="AG367" s="490"/>
    </row>
    <row r="368" spans="1:33" ht="15" hidden="1" outlineLevel="2" x14ac:dyDescent="0.2">
      <c r="A368" s="243"/>
      <c r="B368" s="243"/>
      <c r="C368" s="243"/>
      <c r="D368" s="663" t="s">
        <v>0</v>
      </c>
      <c r="E368" s="663"/>
      <c r="F368" s="733">
        <f>FirstYear</f>
        <v>2021</v>
      </c>
      <c r="G368" s="733">
        <f>F368+1</f>
        <v>2022</v>
      </c>
      <c r="H368" s="733">
        <f>G368+1</f>
        <v>2023</v>
      </c>
      <c r="I368" s="733">
        <f>H368+1</f>
        <v>2024</v>
      </c>
      <c r="J368" s="733">
        <f>I368+1</f>
        <v>2025</v>
      </c>
      <c r="K368" s="733">
        <f>J368+1</f>
        <v>2026</v>
      </c>
      <c r="L368" s="491"/>
      <c r="M368" s="113"/>
      <c r="N368" s="679"/>
      <c r="O368" s="679"/>
      <c r="P368" s="679"/>
      <c r="Q368" s="674"/>
      <c r="R368" s="674"/>
      <c r="S368" s="674"/>
      <c r="T368" s="674"/>
      <c r="U368" s="674"/>
      <c r="V368" s="674"/>
      <c r="W368" s="491"/>
      <c r="X368" s="674"/>
      <c r="Y368" s="674"/>
      <c r="Z368" s="674"/>
      <c r="AA368" s="674"/>
      <c r="AB368" s="676"/>
      <c r="AC368" s="490"/>
      <c r="AD368" s="490"/>
      <c r="AE368" s="490"/>
      <c r="AF368" s="490"/>
      <c r="AG368" s="490"/>
    </row>
    <row r="369" spans="1:33" hidden="1" outlineLevel="2" x14ac:dyDescent="0.2">
      <c r="A369" s="243"/>
      <c r="B369" s="243"/>
      <c r="C369" s="243"/>
      <c r="D369" s="243"/>
      <c r="E369" s="433" t="s">
        <v>951</v>
      </c>
      <c r="F369" s="283">
        <f t="shared" ref="F369:K369" si="243">F370*INDEX(MBSIncCalc,$C366,3)</f>
        <v>0</v>
      </c>
      <c r="G369" s="283">
        <f t="shared" si="243"/>
        <v>0</v>
      </c>
      <c r="H369" s="283">
        <f t="shared" si="243"/>
        <v>0</v>
      </c>
      <c r="I369" s="283">
        <f t="shared" si="243"/>
        <v>0</v>
      </c>
      <c r="J369" s="283">
        <f t="shared" si="243"/>
        <v>0</v>
      </c>
      <c r="K369" s="283">
        <f t="shared" si="243"/>
        <v>0</v>
      </c>
      <c r="L369" s="490"/>
      <c r="M369" s="680"/>
      <c r="N369" s="664"/>
      <c r="O369" s="664"/>
      <c r="P369" s="664"/>
      <c r="Q369" s="681"/>
      <c r="R369" s="681"/>
      <c r="S369" s="681"/>
      <c r="T369" s="681"/>
      <c r="U369" s="681"/>
      <c r="V369" s="681"/>
      <c r="W369" s="493"/>
      <c r="X369" s="561">
        <f>INDEX(MBSIncItems,C366,1)</f>
        <v>0</v>
      </c>
      <c r="Y369" s="561">
        <f>FirstYear</f>
        <v>2021</v>
      </c>
      <c r="Z369" s="560">
        <f>IF(F370&lt;&gt;0,F370-F372,0)</f>
        <v>0</v>
      </c>
      <c r="AA369" s="560">
        <f>IF(F378&lt;&gt;0,F378-F380,0)</f>
        <v>0</v>
      </c>
      <c r="AB369" s="674"/>
      <c r="AC369" s="490"/>
      <c r="AD369" s="490"/>
      <c r="AE369" s="490"/>
      <c r="AF369" s="490"/>
      <c r="AG369" s="490"/>
    </row>
    <row r="370" spans="1:33" hidden="1" outlineLevel="2" x14ac:dyDescent="0.2">
      <c r="A370" s="243"/>
      <c r="B370" s="672"/>
      <c r="C370" s="242" t="str">
        <f>INDEX(MBSIncCalc,C366,2)</f>
        <v/>
      </c>
      <c r="D370" s="243"/>
      <c r="E370" s="62" t="s">
        <v>1310</v>
      </c>
      <c r="F370" s="63">
        <f t="shared" ref="F370:K370" si="244">IF(INDEX(MBSIncRate,$C366,2)=2,IFERROR(INDEX(PBSScriptsNew,$C370,F367),0),IFERROR(INDEX(MBSPBSInc,$C366,INDEX(MBSIncRate,$C366,3)*7+F367),0) * IFERROR(INDEX(MBSIncPopSplit,$C366),0)) * INDEX(MBSIncRate,$C366,1) * INDEX(MBSIncRate,$C366,4)</f>
        <v>0</v>
      </c>
      <c r="G370" s="63">
        <f t="shared" si="244"/>
        <v>0</v>
      </c>
      <c r="H370" s="63">
        <f t="shared" si="244"/>
        <v>0</v>
      </c>
      <c r="I370" s="63">
        <f t="shared" si="244"/>
        <v>0</v>
      </c>
      <c r="J370" s="63">
        <f t="shared" si="244"/>
        <v>0</v>
      </c>
      <c r="K370" s="63">
        <f t="shared" si="244"/>
        <v>0</v>
      </c>
      <c r="L370" s="490"/>
      <c r="M370" s="493"/>
      <c r="N370" s="493"/>
      <c r="O370" s="664"/>
      <c r="P370" s="664"/>
      <c r="Q370" s="681"/>
      <c r="R370" s="681"/>
      <c r="S370" s="681"/>
      <c r="T370" s="681"/>
      <c r="U370" s="681"/>
      <c r="V370" s="681"/>
      <c r="W370" s="493"/>
      <c r="X370" s="561">
        <f>X369</f>
        <v>0</v>
      </c>
      <c r="Y370" s="561">
        <f>Y369+1</f>
        <v>2022</v>
      </c>
      <c r="Z370" s="560">
        <f>IF(G370&lt;&gt;0,G370-G372,0)</f>
        <v>0</v>
      </c>
      <c r="AA370" s="560">
        <f>IF(G378&lt;&gt;0,G378-G380,0)</f>
        <v>0</v>
      </c>
      <c r="AB370" s="674"/>
      <c r="AC370" s="490"/>
      <c r="AD370" s="490"/>
      <c r="AE370" s="490"/>
      <c r="AF370" s="490"/>
      <c r="AG370" s="490"/>
    </row>
    <row r="371" spans="1:33" hidden="1" outlineLevel="2" x14ac:dyDescent="0.2">
      <c r="A371" s="243"/>
      <c r="B371" s="242">
        <v>5</v>
      </c>
      <c r="C371" s="242">
        <v>6</v>
      </c>
      <c r="D371" s="243"/>
      <c r="E371" s="496" t="s">
        <v>1307</v>
      </c>
      <c r="F371" s="63" t="str">
        <f t="shared" ref="F371:K371" si="245">IFERROR(F370*INDEX(MBSIncItems,$C366,$B371)*INDEX(MBSIncItems,$C366,$C371),"")</f>
        <v/>
      </c>
      <c r="G371" s="63" t="str">
        <f t="shared" si="245"/>
        <v/>
      </c>
      <c r="H371" s="63" t="str">
        <f t="shared" si="245"/>
        <v/>
      </c>
      <c r="I371" s="63" t="str">
        <f t="shared" si="245"/>
        <v/>
      </c>
      <c r="J371" s="63" t="str">
        <f t="shared" si="245"/>
        <v/>
      </c>
      <c r="K371" s="63" t="str">
        <f t="shared" si="245"/>
        <v/>
      </c>
      <c r="L371" s="490"/>
      <c r="M371" s="493"/>
      <c r="N371" s="493"/>
      <c r="O371" s="682"/>
      <c r="P371" s="754"/>
      <c r="Q371" s="681"/>
      <c r="R371" s="681"/>
      <c r="S371" s="681"/>
      <c r="T371" s="681"/>
      <c r="U371" s="681"/>
      <c r="V371" s="681"/>
      <c r="W371" s="493"/>
      <c r="X371" s="561">
        <f t="shared" ref="X371:X374" si="246">X370</f>
        <v>0</v>
      </c>
      <c r="Y371" s="561">
        <f>Y370+1</f>
        <v>2023</v>
      </c>
      <c r="Z371" s="560">
        <f>IF(H370&lt;&gt;0,H370-H372,0)</f>
        <v>0</v>
      </c>
      <c r="AA371" s="560">
        <f>IF(H378&lt;&gt;0,H378-H380,0)</f>
        <v>0</v>
      </c>
      <c r="AB371" s="675"/>
      <c r="AC371" s="490"/>
      <c r="AD371" s="490"/>
      <c r="AE371" s="490"/>
      <c r="AF371" s="490"/>
      <c r="AG371" s="490"/>
    </row>
    <row r="372" spans="1:33" hidden="1" outlineLevel="2" x14ac:dyDescent="0.2">
      <c r="A372" s="416"/>
      <c r="B372" s="242">
        <v>4</v>
      </c>
      <c r="C372" s="242">
        <v>6</v>
      </c>
      <c r="D372" s="243"/>
      <c r="E372" s="496" t="s">
        <v>1306</v>
      </c>
      <c r="F372" s="63" t="str">
        <f t="shared" ref="F372:K372" si="247">IFERROR(F370*INDEX(MBSIncItems,$C366,$B372)*INDEX(MBSIncItems,$C366,$C372),"")</f>
        <v/>
      </c>
      <c r="G372" s="63" t="str">
        <f t="shared" si="247"/>
        <v/>
      </c>
      <c r="H372" s="63" t="str">
        <f t="shared" si="247"/>
        <v/>
      </c>
      <c r="I372" s="63" t="str">
        <f t="shared" si="247"/>
        <v/>
      </c>
      <c r="J372" s="63" t="str">
        <f t="shared" si="247"/>
        <v/>
      </c>
      <c r="K372" s="63" t="str">
        <f t="shared" si="247"/>
        <v/>
      </c>
      <c r="L372" s="416"/>
      <c r="M372" s="416"/>
      <c r="N372" s="416"/>
      <c r="O372" s="416"/>
      <c r="P372" s="416"/>
      <c r="Q372" s="416"/>
      <c r="R372" s="416"/>
      <c r="S372" s="416"/>
      <c r="T372" s="416"/>
      <c r="U372" s="416"/>
      <c r="V372" s="416"/>
      <c r="W372" s="493"/>
      <c r="X372" s="561">
        <f t="shared" si="246"/>
        <v>0</v>
      </c>
      <c r="Y372" s="561">
        <f>Y371+1</f>
        <v>2024</v>
      </c>
      <c r="Z372" s="560">
        <f>IF(I370&lt;&gt;0,I370-I372,0)</f>
        <v>0</v>
      </c>
      <c r="AA372" s="560">
        <f>IF(I378&lt;&gt;0,I378-I380,0)</f>
        <v>0</v>
      </c>
      <c r="AB372" s="675"/>
      <c r="AC372" s="490"/>
      <c r="AD372" s="490"/>
      <c r="AE372" s="490"/>
      <c r="AF372" s="490"/>
      <c r="AG372" s="490"/>
    </row>
    <row r="373" spans="1:33" hidden="1" outlineLevel="2" x14ac:dyDescent="0.2">
      <c r="A373" s="243"/>
      <c r="B373" s="242"/>
      <c r="C373" s="242">
        <v>7</v>
      </c>
      <c r="D373" s="243"/>
      <c r="E373" s="497" t="s">
        <v>1308</v>
      </c>
      <c r="F373" s="63" t="str">
        <f t="shared" ref="F373:K373" si="248">IFERROR(F370*INDEX(MBSIncItems,$C366,$C373),"")</f>
        <v/>
      </c>
      <c r="G373" s="63" t="str">
        <f t="shared" si="248"/>
        <v/>
      </c>
      <c r="H373" s="63" t="str">
        <f t="shared" si="248"/>
        <v/>
      </c>
      <c r="I373" s="63" t="str">
        <f t="shared" si="248"/>
        <v/>
      </c>
      <c r="J373" s="63" t="str">
        <f t="shared" si="248"/>
        <v/>
      </c>
      <c r="K373" s="63" t="str">
        <f t="shared" si="248"/>
        <v/>
      </c>
      <c r="L373" s="490"/>
      <c r="M373" s="493"/>
      <c r="N373" s="493"/>
      <c r="O373" s="682"/>
      <c r="P373" s="754"/>
      <c r="Q373" s="681"/>
      <c r="R373" s="681"/>
      <c r="S373" s="681"/>
      <c r="T373" s="681"/>
      <c r="U373" s="681"/>
      <c r="V373" s="681"/>
      <c r="W373" s="493"/>
      <c r="X373" s="561">
        <f t="shared" si="246"/>
        <v>0</v>
      </c>
      <c r="Y373" s="561">
        <f>Y372+1</f>
        <v>2025</v>
      </c>
      <c r="Z373" s="560">
        <f>IF(J370&lt;&gt;0,J370-J372,0)</f>
        <v>0</v>
      </c>
      <c r="AA373" s="560">
        <f>IF(J378&lt;&gt;0,J378-J380,0)</f>
        <v>0</v>
      </c>
      <c r="AB373" s="675"/>
      <c r="AC373" s="490"/>
      <c r="AD373" s="490"/>
      <c r="AE373" s="490"/>
      <c r="AF373" s="490"/>
      <c r="AG373" s="490"/>
    </row>
    <row r="374" spans="1:33" hidden="1" outlineLevel="2" x14ac:dyDescent="0.2">
      <c r="A374" s="243"/>
      <c r="B374" s="493"/>
      <c r="C374" s="493"/>
      <c r="D374" s="493"/>
      <c r="E374" s="493"/>
      <c r="F374" s="493"/>
      <c r="G374" s="493"/>
      <c r="H374" s="493"/>
      <c r="I374" s="493"/>
      <c r="J374" s="493"/>
      <c r="K374" s="493"/>
      <c r="L374" s="490"/>
      <c r="M374" s="493"/>
      <c r="N374" s="493"/>
      <c r="O374" s="682"/>
      <c r="P374" s="682"/>
      <c r="Q374" s="681"/>
      <c r="R374" s="681"/>
      <c r="S374" s="681"/>
      <c r="T374" s="681"/>
      <c r="U374" s="681"/>
      <c r="V374" s="681"/>
      <c r="W374" s="493"/>
      <c r="X374" s="561">
        <f t="shared" si="246"/>
        <v>0</v>
      </c>
      <c r="Y374" s="561">
        <f>Y373+1</f>
        <v>2026</v>
      </c>
      <c r="Z374" s="560">
        <f>IF(K370&lt;&gt;0,K370-K372,0)</f>
        <v>0</v>
      </c>
      <c r="AA374" s="560">
        <f>IF(K378&lt;&gt;0,K378-K380,0)</f>
        <v>0</v>
      </c>
      <c r="AB374" s="675"/>
      <c r="AC374" s="490"/>
      <c r="AD374" s="490"/>
      <c r="AE374" s="490"/>
      <c r="AF374" s="490"/>
      <c r="AG374" s="490"/>
    </row>
    <row r="375" spans="1:33" hidden="1" outlineLevel="2" x14ac:dyDescent="0.2">
      <c r="A375" s="243"/>
      <c r="B375" s="243"/>
      <c r="C375" s="243"/>
      <c r="D375" s="677"/>
      <c r="E375" s="677"/>
      <c r="F375" s="495">
        <v>2</v>
      </c>
      <c r="G375" s="495">
        <v>3</v>
      </c>
      <c r="H375" s="495">
        <v>4</v>
      </c>
      <c r="I375" s="495">
        <v>5</v>
      </c>
      <c r="J375" s="495">
        <v>6</v>
      </c>
      <c r="K375" s="495">
        <v>7</v>
      </c>
      <c r="L375" s="490"/>
      <c r="M375" s="243"/>
      <c r="N375" s="678"/>
      <c r="O375" s="678"/>
      <c r="P375" s="678"/>
      <c r="Q375" s="673"/>
      <c r="R375" s="673"/>
      <c r="S375" s="673"/>
      <c r="T375" s="673"/>
      <c r="U375" s="673"/>
      <c r="V375" s="673"/>
      <c r="W375" s="490"/>
      <c r="X375" s="676"/>
      <c r="Y375" s="676"/>
      <c r="Z375" s="676"/>
      <c r="AA375" s="676"/>
      <c r="AB375" s="675"/>
      <c r="AC375" s="490"/>
      <c r="AD375" s="490"/>
      <c r="AE375" s="490"/>
      <c r="AF375" s="490"/>
      <c r="AG375" s="490"/>
    </row>
    <row r="376" spans="1:33" ht="15.75" hidden="1" outlineLevel="2" x14ac:dyDescent="0.2">
      <c r="A376" s="243"/>
      <c r="B376" s="243"/>
      <c r="C376" s="243"/>
      <c r="D376" s="663" t="s">
        <v>1</v>
      </c>
      <c r="E376" s="663"/>
      <c r="F376" s="751">
        <f>FirstYear</f>
        <v>2021</v>
      </c>
      <c r="G376" s="751">
        <f>F376+1</f>
        <v>2022</v>
      </c>
      <c r="H376" s="751">
        <f>G376+1</f>
        <v>2023</v>
      </c>
      <c r="I376" s="751">
        <f>H376+1</f>
        <v>2024</v>
      </c>
      <c r="J376" s="751">
        <f>I376+1</f>
        <v>2025</v>
      </c>
      <c r="K376" s="751">
        <f>J376+1</f>
        <v>2026</v>
      </c>
      <c r="L376" s="491"/>
      <c r="M376" s="243"/>
      <c r="N376" s="685"/>
      <c r="O376" s="685"/>
      <c r="P376" s="685"/>
      <c r="Q376" s="673"/>
      <c r="R376" s="673"/>
      <c r="S376" s="673"/>
      <c r="T376" s="673"/>
      <c r="U376" s="673"/>
      <c r="V376" s="673"/>
      <c r="W376" s="491"/>
      <c r="X376" s="676"/>
      <c r="Y376" s="676"/>
      <c r="Z376" s="676"/>
      <c r="AA376" s="676"/>
      <c r="AB376" s="676"/>
      <c r="AC376" s="490"/>
      <c r="AD376" s="490"/>
      <c r="AE376" s="490"/>
      <c r="AF376" s="490"/>
      <c r="AG376" s="490"/>
    </row>
    <row r="377" spans="1:33" hidden="1" outlineLevel="2" x14ac:dyDescent="0.2">
      <c r="A377" s="243"/>
      <c r="B377" s="243"/>
      <c r="C377" s="243"/>
      <c r="D377" s="243"/>
      <c r="E377" s="433" t="s">
        <v>951</v>
      </c>
      <c r="F377" s="283">
        <f t="shared" ref="F377:K377" si="249">F378*INDEX(MBSIncCalc,$C366,3)</f>
        <v>0</v>
      </c>
      <c r="G377" s="283">
        <f t="shared" si="249"/>
        <v>0</v>
      </c>
      <c r="H377" s="283">
        <f t="shared" si="249"/>
        <v>0</v>
      </c>
      <c r="I377" s="283">
        <f t="shared" si="249"/>
        <v>0</v>
      </c>
      <c r="J377" s="283">
        <f t="shared" si="249"/>
        <v>0</v>
      </c>
      <c r="K377" s="283">
        <f t="shared" si="249"/>
        <v>0</v>
      </c>
      <c r="L377" s="490"/>
      <c r="M377" s="615"/>
      <c r="N377" s="615"/>
      <c r="O377" s="678"/>
      <c r="P377" s="678"/>
      <c r="Q377" s="673"/>
      <c r="R377" s="673"/>
      <c r="S377" s="673"/>
      <c r="T377" s="673"/>
      <c r="U377" s="673"/>
      <c r="V377" s="673"/>
      <c r="W377" s="490"/>
      <c r="X377" s="676"/>
      <c r="Y377" s="676"/>
      <c r="Z377" s="676"/>
      <c r="AA377" s="676"/>
      <c r="AB377" s="676"/>
      <c r="AC377" s="490"/>
      <c r="AD377" s="490"/>
      <c r="AE377" s="490"/>
      <c r="AF377" s="490"/>
      <c r="AG377" s="490"/>
    </row>
    <row r="378" spans="1:33" hidden="1" outlineLevel="2" x14ac:dyDescent="0.2">
      <c r="A378" s="243"/>
      <c r="B378" s="672"/>
      <c r="C378" s="242" t="str">
        <f>C370</f>
        <v/>
      </c>
      <c r="D378" s="243"/>
      <c r="E378" s="62" t="s">
        <v>1310</v>
      </c>
      <c r="F378" s="63">
        <f t="shared" ref="F378:K378" si="250">IF(INDEX(MBSIncRate,$C366,2)=2,IFERROR(INDEX(RPBSScriptsNew,$C378,F375),0),IFERROR(INDEX(MBSRPBSInc,$C366,INDEX(MBSIncRate,$C366,3)*7+F375),0) * IFERROR(INDEX(MBSIncPopSplit,$C366),0)) * INDEX(MBSIncRate,$C366,1) * INDEX(MBSIncRate,$C366,4)</f>
        <v>0</v>
      </c>
      <c r="G378" s="63">
        <f t="shared" si="250"/>
        <v>0</v>
      </c>
      <c r="H378" s="63">
        <f t="shared" si="250"/>
        <v>0</v>
      </c>
      <c r="I378" s="63">
        <f t="shared" si="250"/>
        <v>0</v>
      </c>
      <c r="J378" s="63">
        <f t="shared" si="250"/>
        <v>0</v>
      </c>
      <c r="K378" s="63">
        <f t="shared" si="250"/>
        <v>0</v>
      </c>
      <c r="L378" s="490"/>
      <c r="M378" s="243"/>
      <c r="N378" s="753"/>
      <c r="O378" s="678"/>
      <c r="P378" s="678"/>
      <c r="Q378" s="673"/>
      <c r="R378" s="673"/>
      <c r="S378" s="673"/>
      <c r="T378" s="673"/>
      <c r="U378" s="673"/>
      <c r="V378" s="673"/>
      <c r="W378" s="490"/>
      <c r="X378" s="676"/>
      <c r="Y378" s="676"/>
      <c r="Z378" s="676"/>
      <c r="AA378" s="676"/>
      <c r="AB378" s="676"/>
      <c r="AC378" s="490"/>
      <c r="AD378" s="490"/>
      <c r="AE378" s="490"/>
      <c r="AF378" s="490"/>
      <c r="AG378" s="490"/>
    </row>
    <row r="379" spans="1:33" hidden="1" outlineLevel="2" x14ac:dyDescent="0.2">
      <c r="A379" s="243"/>
      <c r="B379" s="242">
        <v>5</v>
      </c>
      <c r="C379" s="242">
        <v>6</v>
      </c>
      <c r="D379" s="243"/>
      <c r="E379" s="496" t="s">
        <v>1307</v>
      </c>
      <c r="F379" s="63" t="str">
        <f t="shared" ref="F379:K379" si="251">IFERROR(F378*INDEX(MBSIncItems,$C366,$B379)*INDEX(MBSIncItems,$C366,$C379),"")</f>
        <v/>
      </c>
      <c r="G379" s="63" t="str">
        <f t="shared" si="251"/>
        <v/>
      </c>
      <c r="H379" s="63" t="str">
        <f t="shared" si="251"/>
        <v/>
      </c>
      <c r="I379" s="63" t="str">
        <f t="shared" si="251"/>
        <v/>
      </c>
      <c r="J379" s="63" t="str">
        <f t="shared" si="251"/>
        <v/>
      </c>
      <c r="K379" s="63" t="str">
        <f t="shared" si="251"/>
        <v/>
      </c>
      <c r="L379" s="490"/>
      <c r="M379" s="683"/>
      <c r="N379" s="753"/>
      <c r="O379" s="678"/>
      <c r="P379" s="678"/>
      <c r="Q379" s="673"/>
      <c r="R379" s="673"/>
      <c r="S379" s="673"/>
      <c r="T379" s="673"/>
      <c r="U379" s="673"/>
      <c r="V379" s="673"/>
      <c r="W379" s="490"/>
      <c r="X379" s="676"/>
      <c r="Y379" s="676"/>
      <c r="Z379" s="676"/>
      <c r="AA379" s="676"/>
      <c r="AB379" s="676"/>
      <c r="AC379" s="490"/>
      <c r="AD379" s="490"/>
      <c r="AE379" s="490"/>
      <c r="AF379" s="490"/>
      <c r="AG379" s="490"/>
    </row>
    <row r="380" spans="1:33" hidden="1" outlineLevel="2" x14ac:dyDescent="0.2">
      <c r="A380" s="243"/>
      <c r="B380" s="242">
        <v>4</v>
      </c>
      <c r="C380" s="242">
        <v>6</v>
      </c>
      <c r="D380" s="243"/>
      <c r="E380" s="496" t="s">
        <v>1306</v>
      </c>
      <c r="F380" s="63" t="str">
        <f t="shared" ref="F380:K380" si="252">IFERROR(F378*INDEX(MBSIncItems,$C366,$B380)*INDEX(MBSIncItems,$C366,$C380),"")</f>
        <v/>
      </c>
      <c r="G380" s="63" t="str">
        <f t="shared" si="252"/>
        <v/>
      </c>
      <c r="H380" s="63" t="str">
        <f t="shared" si="252"/>
        <v/>
      </c>
      <c r="I380" s="63" t="str">
        <f t="shared" si="252"/>
        <v/>
      </c>
      <c r="J380" s="63" t="str">
        <f t="shared" si="252"/>
        <v/>
      </c>
      <c r="K380" s="63" t="str">
        <f t="shared" si="252"/>
        <v/>
      </c>
      <c r="L380" s="490"/>
      <c r="M380" s="684"/>
      <c r="N380" s="682"/>
      <c r="O380" s="678"/>
      <c r="P380" s="678"/>
      <c r="Q380" s="673"/>
      <c r="R380" s="673"/>
      <c r="S380" s="673"/>
      <c r="T380" s="673"/>
      <c r="U380" s="673"/>
      <c r="V380" s="673"/>
      <c r="W380" s="490"/>
      <c r="X380" s="676"/>
      <c r="Y380" s="676"/>
      <c r="Z380" s="676"/>
      <c r="AA380" s="676"/>
      <c r="AB380" s="676"/>
      <c r="AC380" s="490"/>
      <c r="AD380" s="490"/>
      <c r="AE380" s="490"/>
      <c r="AF380" s="490"/>
      <c r="AG380" s="490"/>
    </row>
    <row r="381" spans="1:33" hidden="1" outlineLevel="2" x14ac:dyDescent="0.2">
      <c r="A381" s="243"/>
      <c r="B381" s="242"/>
      <c r="C381" s="242">
        <v>7</v>
      </c>
      <c r="D381" s="243"/>
      <c r="E381" s="497" t="s">
        <v>1308</v>
      </c>
      <c r="F381" s="63" t="str">
        <f t="shared" ref="F381:K381" si="253">IFERROR(F378*INDEX(MBSIncItems,$C366,$C381),"")</f>
        <v/>
      </c>
      <c r="G381" s="63" t="str">
        <f t="shared" si="253"/>
        <v/>
      </c>
      <c r="H381" s="63" t="str">
        <f t="shared" si="253"/>
        <v/>
      </c>
      <c r="I381" s="63" t="str">
        <f t="shared" si="253"/>
        <v/>
      </c>
      <c r="J381" s="63" t="str">
        <f t="shared" si="253"/>
        <v/>
      </c>
      <c r="K381" s="63" t="str">
        <f t="shared" si="253"/>
        <v/>
      </c>
      <c r="L381" s="490"/>
      <c r="M381" s="684"/>
      <c r="N381" s="682"/>
      <c r="O381" s="678"/>
      <c r="P381" s="678"/>
      <c r="Q381" s="673"/>
      <c r="R381" s="673"/>
      <c r="S381" s="673"/>
      <c r="T381" s="673"/>
      <c r="U381" s="673"/>
      <c r="V381" s="673"/>
      <c r="W381" s="490"/>
      <c r="X381" s="676"/>
      <c r="Y381" s="676"/>
      <c r="Z381" s="676"/>
      <c r="AA381" s="676"/>
      <c r="AB381" s="676"/>
      <c r="AC381" s="490"/>
      <c r="AD381" s="490"/>
      <c r="AE381" s="490"/>
      <c r="AF381" s="490"/>
      <c r="AG381" s="490"/>
    </row>
    <row r="382" spans="1:33" hidden="1" outlineLevel="1" x14ac:dyDescent="0.2">
      <c r="A382" s="243"/>
      <c r="B382" s="243"/>
      <c r="C382" s="243"/>
      <c r="D382" s="677"/>
      <c r="E382" s="677"/>
      <c r="F382" s="243"/>
      <c r="G382" s="243"/>
      <c r="H382" s="243"/>
      <c r="I382" s="243"/>
      <c r="J382" s="243"/>
      <c r="K382" s="243"/>
      <c r="L382" s="243"/>
      <c r="M382" s="243"/>
      <c r="N382" s="678"/>
      <c r="O382" s="678"/>
      <c r="P382" s="678"/>
      <c r="Q382" s="673"/>
      <c r="R382" s="673"/>
      <c r="S382" s="673"/>
      <c r="T382" s="673"/>
      <c r="U382" s="673"/>
      <c r="V382" s="673"/>
      <c r="W382" s="490"/>
      <c r="X382" s="676"/>
      <c r="Y382" s="676"/>
      <c r="Z382" s="676"/>
      <c r="AA382" s="676"/>
      <c r="AB382" s="676"/>
      <c r="AC382" s="490"/>
      <c r="AD382" s="490"/>
      <c r="AE382" s="490"/>
      <c r="AF382" s="490"/>
      <c r="AG382" s="490"/>
    </row>
    <row r="383" spans="1:33" ht="15.75" hidden="1" outlineLevel="1" collapsed="1" x14ac:dyDescent="0.2">
      <c r="A383" s="243"/>
      <c r="B383" s="243"/>
      <c r="C383" s="242">
        <v>17</v>
      </c>
      <c r="D383" s="79" t="str">
        <f>INDEX(MBSIncNames,C383)</f>
        <v>** NOT USED **</v>
      </c>
      <c r="E383" s="79"/>
      <c r="F383" s="115"/>
      <c r="G383" s="115"/>
      <c r="H383" s="115"/>
      <c r="I383" s="115"/>
      <c r="J383" s="821" t="str">
        <f>IF(D383&lt;&gt;MsgNotUsed,"Co-payment group " &amp; K212,"")</f>
        <v/>
      </c>
      <c r="K383" s="821"/>
      <c r="L383" s="115"/>
      <c r="M383" s="115"/>
      <c r="N383" s="115"/>
      <c r="O383" s="115"/>
      <c r="P383" s="115"/>
      <c r="Q383" s="115"/>
      <c r="R383" s="115"/>
      <c r="S383" s="115"/>
      <c r="T383" s="115"/>
      <c r="U383" s="115"/>
      <c r="V383" s="115"/>
      <c r="W383" s="491"/>
      <c r="X383" s="490"/>
      <c r="Y383" s="490"/>
      <c r="Z383" s="490"/>
      <c r="AA383" s="490"/>
      <c r="AB383" s="676"/>
      <c r="AC383" s="490"/>
      <c r="AD383" s="490"/>
      <c r="AE383" s="490"/>
      <c r="AF383" s="490"/>
      <c r="AG383" s="490"/>
    </row>
    <row r="384" spans="1:33" hidden="1" outlineLevel="2" x14ac:dyDescent="0.2">
      <c r="A384" s="243"/>
      <c r="B384" s="243"/>
      <c r="C384" s="243"/>
      <c r="D384" s="243"/>
      <c r="E384" s="243"/>
      <c r="F384" s="495">
        <v>2</v>
      </c>
      <c r="G384" s="495">
        <v>3</v>
      </c>
      <c r="H384" s="495">
        <v>4</v>
      </c>
      <c r="I384" s="495">
        <v>5</v>
      </c>
      <c r="J384" s="495">
        <v>6</v>
      </c>
      <c r="K384" s="495">
        <v>7</v>
      </c>
      <c r="L384" s="495"/>
      <c r="M384" s="243"/>
      <c r="N384" s="243"/>
      <c r="O384" s="243"/>
      <c r="P384" s="243"/>
      <c r="Q384" s="243"/>
      <c r="R384" s="243"/>
      <c r="S384" s="243"/>
      <c r="T384" s="243"/>
      <c r="U384" s="243"/>
      <c r="V384" s="243"/>
      <c r="W384" s="490"/>
      <c r="X384" s="490"/>
      <c r="Y384" s="490"/>
      <c r="Z384" s="490"/>
      <c r="AA384" s="490"/>
      <c r="AB384" s="676"/>
      <c r="AC384" s="490"/>
      <c r="AD384" s="490"/>
      <c r="AE384" s="490"/>
      <c r="AF384" s="490"/>
      <c r="AG384" s="490"/>
    </row>
    <row r="385" spans="1:33" ht="15" hidden="1" outlineLevel="2" x14ac:dyDescent="0.2">
      <c r="A385" s="243"/>
      <c r="B385" s="243"/>
      <c r="C385" s="243"/>
      <c r="D385" s="663" t="s">
        <v>0</v>
      </c>
      <c r="E385" s="663"/>
      <c r="F385" s="733">
        <f>FirstYear</f>
        <v>2021</v>
      </c>
      <c r="G385" s="733">
        <f>F385+1</f>
        <v>2022</v>
      </c>
      <c r="H385" s="733">
        <f>G385+1</f>
        <v>2023</v>
      </c>
      <c r="I385" s="733">
        <f>H385+1</f>
        <v>2024</v>
      </c>
      <c r="J385" s="733">
        <f>I385+1</f>
        <v>2025</v>
      </c>
      <c r="K385" s="733">
        <f>J385+1</f>
        <v>2026</v>
      </c>
      <c r="L385" s="491"/>
      <c r="M385" s="113"/>
      <c r="N385" s="679"/>
      <c r="O385" s="679"/>
      <c r="P385" s="679"/>
      <c r="Q385" s="674"/>
      <c r="R385" s="674"/>
      <c r="S385" s="674"/>
      <c r="T385" s="674"/>
      <c r="U385" s="674"/>
      <c r="V385" s="674"/>
      <c r="W385" s="491"/>
      <c r="X385" s="674"/>
      <c r="Y385" s="674"/>
      <c r="Z385" s="674"/>
      <c r="AA385" s="674"/>
      <c r="AB385" s="676"/>
      <c r="AC385" s="490"/>
      <c r="AD385" s="490"/>
      <c r="AE385" s="490"/>
      <c r="AF385" s="490"/>
      <c r="AG385" s="490"/>
    </row>
    <row r="386" spans="1:33" hidden="1" outlineLevel="2" x14ac:dyDescent="0.2">
      <c r="A386" s="243"/>
      <c r="B386" s="243"/>
      <c r="C386" s="243"/>
      <c r="D386" s="243"/>
      <c r="E386" s="433" t="s">
        <v>951</v>
      </c>
      <c r="F386" s="283">
        <f t="shared" ref="F386:K386" si="254">F387*INDEX(MBSIncCalc,$C383,3)</f>
        <v>0</v>
      </c>
      <c r="G386" s="283">
        <f t="shared" si="254"/>
        <v>0</v>
      </c>
      <c r="H386" s="283">
        <f t="shared" si="254"/>
        <v>0</v>
      </c>
      <c r="I386" s="283">
        <f t="shared" si="254"/>
        <v>0</v>
      </c>
      <c r="J386" s="283">
        <f t="shared" si="254"/>
        <v>0</v>
      </c>
      <c r="K386" s="283">
        <f t="shared" si="254"/>
        <v>0</v>
      </c>
      <c r="L386" s="490"/>
      <c r="M386" s="680"/>
      <c r="N386" s="664"/>
      <c r="O386" s="664"/>
      <c r="P386" s="664"/>
      <c r="Q386" s="681"/>
      <c r="R386" s="681"/>
      <c r="S386" s="681"/>
      <c r="T386" s="681"/>
      <c r="U386" s="681"/>
      <c r="V386" s="681"/>
      <c r="W386" s="493"/>
      <c r="X386" s="561">
        <f>INDEX(MBSIncItems,C383,1)</f>
        <v>0</v>
      </c>
      <c r="Y386" s="561">
        <f>FirstYear</f>
        <v>2021</v>
      </c>
      <c r="Z386" s="560">
        <f>IF(F387&lt;&gt;0,F387-F389,0)</f>
        <v>0</v>
      </c>
      <c r="AA386" s="560">
        <f>IF(F395&lt;&gt;0,F395-F397,0)</f>
        <v>0</v>
      </c>
      <c r="AB386" s="674"/>
      <c r="AC386" s="490"/>
      <c r="AD386" s="490"/>
      <c r="AE386" s="490"/>
      <c r="AF386" s="490"/>
      <c r="AG386" s="490"/>
    </row>
    <row r="387" spans="1:33" hidden="1" outlineLevel="2" x14ac:dyDescent="0.2">
      <c r="A387" s="243"/>
      <c r="B387" s="672"/>
      <c r="C387" s="242" t="str">
        <f>INDEX(MBSIncCalc,C383,2)</f>
        <v/>
      </c>
      <c r="D387" s="243"/>
      <c r="E387" s="62" t="s">
        <v>1310</v>
      </c>
      <c r="F387" s="63">
        <f t="shared" ref="F387:K387" si="255">IF(INDEX(MBSIncRate,$C383,2)=2,IFERROR(INDEX(PBSScriptsNew,$C387,F384),0),IFERROR(INDEX(MBSPBSInc,$C383,INDEX(MBSIncRate,$C383,3)*7+F384),0) * IFERROR(INDEX(MBSIncPopSplit,$C383),0)) * INDEX(MBSIncRate,$C383,1) * INDEX(MBSIncRate,$C383,4)</f>
        <v>0</v>
      </c>
      <c r="G387" s="63">
        <f t="shared" si="255"/>
        <v>0</v>
      </c>
      <c r="H387" s="63">
        <f t="shared" si="255"/>
        <v>0</v>
      </c>
      <c r="I387" s="63">
        <f t="shared" si="255"/>
        <v>0</v>
      </c>
      <c r="J387" s="63">
        <f t="shared" si="255"/>
        <v>0</v>
      </c>
      <c r="K387" s="63">
        <f t="shared" si="255"/>
        <v>0</v>
      </c>
      <c r="L387" s="490"/>
      <c r="M387" s="493"/>
      <c r="N387" s="493"/>
      <c r="O387" s="664"/>
      <c r="P387" s="664"/>
      <c r="Q387" s="681"/>
      <c r="R387" s="681"/>
      <c r="S387" s="681"/>
      <c r="T387" s="681"/>
      <c r="U387" s="681"/>
      <c r="V387" s="681"/>
      <c r="W387" s="493"/>
      <c r="X387" s="561">
        <f>X386</f>
        <v>0</v>
      </c>
      <c r="Y387" s="561">
        <f>Y386+1</f>
        <v>2022</v>
      </c>
      <c r="Z387" s="560">
        <f>IF(G387&lt;&gt;0,G387-G389,0)</f>
        <v>0</v>
      </c>
      <c r="AA387" s="560">
        <f>IF(G395&lt;&gt;0,G395-G397,0)</f>
        <v>0</v>
      </c>
      <c r="AB387" s="674"/>
      <c r="AC387" s="490"/>
      <c r="AD387" s="490"/>
      <c r="AE387" s="490"/>
      <c r="AF387" s="490"/>
      <c r="AG387" s="490"/>
    </row>
    <row r="388" spans="1:33" hidden="1" outlineLevel="2" x14ac:dyDescent="0.2">
      <c r="A388" s="243"/>
      <c r="B388" s="242">
        <v>5</v>
      </c>
      <c r="C388" s="242">
        <v>6</v>
      </c>
      <c r="D388" s="243"/>
      <c r="E388" s="496" t="s">
        <v>1307</v>
      </c>
      <c r="F388" s="63" t="str">
        <f t="shared" ref="F388:K388" si="256">IFERROR(F387*INDEX(MBSIncItems,$C383,$B388)*INDEX(MBSIncItems,$C383,$C388),"")</f>
        <v/>
      </c>
      <c r="G388" s="63" t="str">
        <f t="shared" si="256"/>
        <v/>
      </c>
      <c r="H388" s="63" t="str">
        <f t="shared" si="256"/>
        <v/>
      </c>
      <c r="I388" s="63" t="str">
        <f t="shared" si="256"/>
        <v/>
      </c>
      <c r="J388" s="63" t="str">
        <f t="shared" si="256"/>
        <v/>
      </c>
      <c r="K388" s="63" t="str">
        <f t="shared" si="256"/>
        <v/>
      </c>
      <c r="L388" s="490"/>
      <c r="M388" s="493"/>
      <c r="N388" s="493"/>
      <c r="O388" s="682"/>
      <c r="P388" s="754"/>
      <c r="Q388" s="681"/>
      <c r="R388" s="681"/>
      <c r="S388" s="681"/>
      <c r="T388" s="681"/>
      <c r="U388" s="681"/>
      <c r="V388" s="681"/>
      <c r="W388" s="493"/>
      <c r="X388" s="561">
        <f t="shared" ref="X388:X391" si="257">X387</f>
        <v>0</v>
      </c>
      <c r="Y388" s="561">
        <f>Y387+1</f>
        <v>2023</v>
      </c>
      <c r="Z388" s="560">
        <f>IF(H387&lt;&gt;0,H387-H389,0)</f>
        <v>0</v>
      </c>
      <c r="AA388" s="560">
        <f>IF(H395&lt;&gt;0,H395-H397,0)</f>
        <v>0</v>
      </c>
      <c r="AB388" s="675"/>
      <c r="AC388" s="490"/>
      <c r="AD388" s="490"/>
      <c r="AE388" s="490"/>
      <c r="AF388" s="490"/>
      <c r="AG388" s="490"/>
    </row>
    <row r="389" spans="1:33" hidden="1" outlineLevel="2" x14ac:dyDescent="0.2">
      <c r="A389" s="416"/>
      <c r="B389" s="242">
        <v>4</v>
      </c>
      <c r="C389" s="242">
        <v>6</v>
      </c>
      <c r="D389" s="243"/>
      <c r="E389" s="496" t="s">
        <v>1306</v>
      </c>
      <c r="F389" s="63" t="str">
        <f t="shared" ref="F389:K389" si="258">IFERROR(F387*INDEX(MBSIncItems,$C383,$B389)*INDEX(MBSIncItems,$C383,$C389),"")</f>
        <v/>
      </c>
      <c r="G389" s="63" t="str">
        <f t="shared" si="258"/>
        <v/>
      </c>
      <c r="H389" s="63" t="str">
        <f t="shared" si="258"/>
        <v/>
      </c>
      <c r="I389" s="63" t="str">
        <f t="shared" si="258"/>
        <v/>
      </c>
      <c r="J389" s="63" t="str">
        <f t="shared" si="258"/>
        <v/>
      </c>
      <c r="K389" s="63" t="str">
        <f t="shared" si="258"/>
        <v/>
      </c>
      <c r="L389" s="416"/>
      <c r="M389" s="416"/>
      <c r="N389" s="416"/>
      <c r="O389" s="416"/>
      <c r="P389" s="416"/>
      <c r="Q389" s="416"/>
      <c r="R389" s="416"/>
      <c r="S389" s="416"/>
      <c r="T389" s="416"/>
      <c r="U389" s="416"/>
      <c r="V389" s="416"/>
      <c r="W389" s="493"/>
      <c r="X389" s="561">
        <f t="shared" si="257"/>
        <v>0</v>
      </c>
      <c r="Y389" s="561">
        <f>Y388+1</f>
        <v>2024</v>
      </c>
      <c r="Z389" s="560">
        <f>IF(I387&lt;&gt;0,I387-I389,0)</f>
        <v>0</v>
      </c>
      <c r="AA389" s="560">
        <f>IF(I395&lt;&gt;0,I395-I397,0)</f>
        <v>0</v>
      </c>
      <c r="AB389" s="675"/>
      <c r="AC389" s="490"/>
      <c r="AD389" s="490"/>
      <c r="AE389" s="490"/>
      <c r="AF389" s="490"/>
      <c r="AG389" s="490"/>
    </row>
    <row r="390" spans="1:33" hidden="1" outlineLevel="2" x14ac:dyDescent="0.2">
      <c r="A390" s="243"/>
      <c r="B390" s="242"/>
      <c r="C390" s="242">
        <v>7</v>
      </c>
      <c r="D390" s="243"/>
      <c r="E390" s="497" t="s">
        <v>1308</v>
      </c>
      <c r="F390" s="63" t="str">
        <f t="shared" ref="F390:K390" si="259">IFERROR(F387*INDEX(MBSIncItems,$C383,$C390),"")</f>
        <v/>
      </c>
      <c r="G390" s="63" t="str">
        <f t="shared" si="259"/>
        <v/>
      </c>
      <c r="H390" s="63" t="str">
        <f t="shared" si="259"/>
        <v/>
      </c>
      <c r="I390" s="63" t="str">
        <f t="shared" si="259"/>
        <v/>
      </c>
      <c r="J390" s="63" t="str">
        <f t="shared" si="259"/>
        <v/>
      </c>
      <c r="K390" s="63" t="str">
        <f t="shared" si="259"/>
        <v/>
      </c>
      <c r="L390" s="490"/>
      <c r="M390" s="493"/>
      <c r="N390" s="493"/>
      <c r="O390" s="682"/>
      <c r="P390" s="754"/>
      <c r="Q390" s="681"/>
      <c r="R390" s="681"/>
      <c r="S390" s="681"/>
      <c r="T390" s="681"/>
      <c r="U390" s="681"/>
      <c r="V390" s="681"/>
      <c r="W390" s="493"/>
      <c r="X390" s="561">
        <f t="shared" si="257"/>
        <v>0</v>
      </c>
      <c r="Y390" s="561">
        <f>Y389+1</f>
        <v>2025</v>
      </c>
      <c r="Z390" s="560">
        <f>IF(J387&lt;&gt;0,J387-J389,0)</f>
        <v>0</v>
      </c>
      <c r="AA390" s="560">
        <f>IF(J395&lt;&gt;0,J395-J397,0)</f>
        <v>0</v>
      </c>
      <c r="AB390" s="675"/>
      <c r="AC390" s="490"/>
      <c r="AD390" s="490"/>
      <c r="AE390" s="490"/>
      <c r="AF390" s="490"/>
      <c r="AG390" s="490"/>
    </row>
    <row r="391" spans="1:33" hidden="1" outlineLevel="2" x14ac:dyDescent="0.2">
      <c r="A391" s="243"/>
      <c r="B391" s="493"/>
      <c r="C391" s="493"/>
      <c r="D391" s="493"/>
      <c r="E391" s="493"/>
      <c r="F391" s="493"/>
      <c r="G391" s="493"/>
      <c r="H391" s="493"/>
      <c r="I391" s="493"/>
      <c r="J391" s="493"/>
      <c r="K391" s="493"/>
      <c r="L391" s="490"/>
      <c r="M391" s="493"/>
      <c r="N391" s="493"/>
      <c r="O391" s="682"/>
      <c r="P391" s="682"/>
      <c r="Q391" s="681"/>
      <c r="R391" s="681"/>
      <c r="S391" s="681"/>
      <c r="T391" s="681"/>
      <c r="U391" s="681"/>
      <c r="V391" s="681"/>
      <c r="W391" s="493"/>
      <c r="X391" s="561">
        <f t="shared" si="257"/>
        <v>0</v>
      </c>
      <c r="Y391" s="561">
        <f>Y390+1</f>
        <v>2026</v>
      </c>
      <c r="Z391" s="560">
        <f>IF(K387&lt;&gt;0,K387-K389,0)</f>
        <v>0</v>
      </c>
      <c r="AA391" s="560">
        <f>IF(K395&lt;&gt;0,K395-K397,0)</f>
        <v>0</v>
      </c>
      <c r="AB391" s="675"/>
      <c r="AC391" s="490"/>
      <c r="AD391" s="490"/>
      <c r="AE391" s="490"/>
      <c r="AF391" s="490"/>
      <c r="AG391" s="490"/>
    </row>
    <row r="392" spans="1:33" hidden="1" outlineLevel="2" x14ac:dyDescent="0.2">
      <c r="A392" s="243"/>
      <c r="B392" s="243"/>
      <c r="C392" s="243"/>
      <c r="D392" s="677"/>
      <c r="E392" s="677"/>
      <c r="F392" s="495">
        <v>2</v>
      </c>
      <c r="G392" s="495">
        <v>3</v>
      </c>
      <c r="H392" s="495">
        <v>4</v>
      </c>
      <c r="I392" s="495">
        <v>5</v>
      </c>
      <c r="J392" s="495">
        <v>6</v>
      </c>
      <c r="K392" s="495">
        <v>7</v>
      </c>
      <c r="L392" s="490"/>
      <c r="M392" s="243"/>
      <c r="N392" s="678"/>
      <c r="O392" s="678"/>
      <c r="P392" s="678"/>
      <c r="Q392" s="673"/>
      <c r="R392" s="673"/>
      <c r="S392" s="673"/>
      <c r="T392" s="673"/>
      <c r="U392" s="673"/>
      <c r="V392" s="673"/>
      <c r="W392" s="490"/>
      <c r="X392" s="676"/>
      <c r="Y392" s="676"/>
      <c r="Z392" s="676"/>
      <c r="AA392" s="676"/>
      <c r="AB392" s="675"/>
      <c r="AC392" s="490"/>
      <c r="AD392" s="490"/>
      <c r="AE392" s="490"/>
      <c r="AF392" s="490"/>
      <c r="AG392" s="490"/>
    </row>
    <row r="393" spans="1:33" ht="15.75" hidden="1" outlineLevel="2" x14ac:dyDescent="0.2">
      <c r="A393" s="243"/>
      <c r="B393" s="243"/>
      <c r="C393" s="243"/>
      <c r="D393" s="663" t="s">
        <v>1</v>
      </c>
      <c r="E393" s="663"/>
      <c r="F393" s="751">
        <f>FirstYear</f>
        <v>2021</v>
      </c>
      <c r="G393" s="751">
        <f>F393+1</f>
        <v>2022</v>
      </c>
      <c r="H393" s="751">
        <f>G393+1</f>
        <v>2023</v>
      </c>
      <c r="I393" s="751">
        <f>H393+1</f>
        <v>2024</v>
      </c>
      <c r="J393" s="751">
        <f>I393+1</f>
        <v>2025</v>
      </c>
      <c r="K393" s="751">
        <f>J393+1</f>
        <v>2026</v>
      </c>
      <c r="L393" s="491"/>
      <c r="M393" s="243"/>
      <c r="N393" s="685"/>
      <c r="O393" s="685"/>
      <c r="P393" s="685"/>
      <c r="Q393" s="673"/>
      <c r="R393" s="673"/>
      <c r="S393" s="673"/>
      <c r="T393" s="673"/>
      <c r="U393" s="673"/>
      <c r="V393" s="673"/>
      <c r="W393" s="491"/>
      <c r="X393" s="676"/>
      <c r="Y393" s="676"/>
      <c r="Z393" s="676"/>
      <c r="AA393" s="676"/>
      <c r="AB393" s="676"/>
      <c r="AC393" s="490"/>
      <c r="AD393" s="490"/>
      <c r="AE393" s="490"/>
      <c r="AF393" s="490"/>
      <c r="AG393" s="490"/>
    </row>
    <row r="394" spans="1:33" hidden="1" outlineLevel="2" x14ac:dyDescent="0.2">
      <c r="A394" s="243"/>
      <c r="B394" s="243"/>
      <c r="C394" s="243"/>
      <c r="D394" s="243"/>
      <c r="E394" s="433" t="s">
        <v>951</v>
      </c>
      <c r="F394" s="283">
        <f t="shared" ref="F394:K394" si="260">F395*INDEX(MBSIncCalc,$C383,3)</f>
        <v>0</v>
      </c>
      <c r="G394" s="283">
        <f t="shared" si="260"/>
        <v>0</v>
      </c>
      <c r="H394" s="283">
        <f t="shared" si="260"/>
        <v>0</v>
      </c>
      <c r="I394" s="283">
        <f t="shared" si="260"/>
        <v>0</v>
      </c>
      <c r="J394" s="283">
        <f t="shared" si="260"/>
        <v>0</v>
      </c>
      <c r="K394" s="283">
        <f t="shared" si="260"/>
        <v>0</v>
      </c>
      <c r="L394" s="490"/>
      <c r="M394" s="615"/>
      <c r="N394" s="615"/>
      <c r="O394" s="678"/>
      <c r="P394" s="678"/>
      <c r="Q394" s="673"/>
      <c r="R394" s="673"/>
      <c r="S394" s="673"/>
      <c r="T394" s="673"/>
      <c r="U394" s="673"/>
      <c r="V394" s="673"/>
      <c r="W394" s="490"/>
      <c r="X394" s="676"/>
      <c r="Y394" s="676"/>
      <c r="Z394" s="676"/>
      <c r="AA394" s="676"/>
      <c r="AB394" s="676"/>
      <c r="AC394" s="490"/>
      <c r="AD394" s="490"/>
      <c r="AE394" s="490"/>
      <c r="AF394" s="490"/>
      <c r="AG394" s="490"/>
    </row>
    <row r="395" spans="1:33" hidden="1" outlineLevel="2" x14ac:dyDescent="0.2">
      <c r="A395" s="243"/>
      <c r="B395" s="672"/>
      <c r="C395" s="242" t="str">
        <f>C387</f>
        <v/>
      </c>
      <c r="D395" s="243"/>
      <c r="E395" s="62" t="s">
        <v>1310</v>
      </c>
      <c r="F395" s="63">
        <f t="shared" ref="F395:K395" si="261">IF(INDEX(MBSIncRate,$C383,2)=2,IFERROR(INDEX(RPBSScriptsNew,$C395,F392),0),IFERROR(INDEX(MBSRPBSInc,$C383,INDEX(MBSIncRate,$C383,3)*7+F392),0) * IFERROR(INDEX(MBSIncPopSplit,$C383),0)) * INDEX(MBSIncRate,$C383,1) * INDEX(MBSIncRate,$C383,4)</f>
        <v>0</v>
      </c>
      <c r="G395" s="63">
        <f t="shared" si="261"/>
        <v>0</v>
      </c>
      <c r="H395" s="63">
        <f t="shared" si="261"/>
        <v>0</v>
      </c>
      <c r="I395" s="63">
        <f t="shared" si="261"/>
        <v>0</v>
      </c>
      <c r="J395" s="63">
        <f t="shared" si="261"/>
        <v>0</v>
      </c>
      <c r="K395" s="63">
        <f t="shared" si="261"/>
        <v>0</v>
      </c>
      <c r="L395" s="490"/>
      <c r="M395" s="243"/>
      <c r="N395" s="753"/>
      <c r="O395" s="678"/>
      <c r="P395" s="678"/>
      <c r="Q395" s="673"/>
      <c r="R395" s="673"/>
      <c r="S395" s="673"/>
      <c r="T395" s="673"/>
      <c r="U395" s="673"/>
      <c r="V395" s="673"/>
      <c r="W395" s="490"/>
      <c r="X395" s="676"/>
      <c r="Y395" s="676"/>
      <c r="Z395" s="676"/>
      <c r="AA395" s="676"/>
      <c r="AB395" s="676"/>
      <c r="AC395" s="490"/>
      <c r="AD395" s="490"/>
      <c r="AE395" s="490"/>
      <c r="AF395" s="490"/>
      <c r="AG395" s="490"/>
    </row>
    <row r="396" spans="1:33" hidden="1" outlineLevel="2" x14ac:dyDescent="0.2">
      <c r="A396" s="243"/>
      <c r="B396" s="242">
        <v>5</v>
      </c>
      <c r="C396" s="242">
        <v>6</v>
      </c>
      <c r="D396" s="243"/>
      <c r="E396" s="496" t="s">
        <v>1307</v>
      </c>
      <c r="F396" s="63" t="str">
        <f t="shared" ref="F396:K396" si="262">IFERROR(F395*INDEX(MBSIncItems,$C383,$B396)*INDEX(MBSIncItems,$C383,$C396),"")</f>
        <v/>
      </c>
      <c r="G396" s="63" t="str">
        <f t="shared" si="262"/>
        <v/>
      </c>
      <c r="H396" s="63" t="str">
        <f t="shared" si="262"/>
        <v/>
      </c>
      <c r="I396" s="63" t="str">
        <f t="shared" si="262"/>
        <v/>
      </c>
      <c r="J396" s="63" t="str">
        <f t="shared" si="262"/>
        <v/>
      </c>
      <c r="K396" s="63" t="str">
        <f t="shared" si="262"/>
        <v/>
      </c>
      <c r="L396" s="490"/>
      <c r="M396" s="683"/>
      <c r="N396" s="753"/>
      <c r="O396" s="678"/>
      <c r="P396" s="678"/>
      <c r="Q396" s="673"/>
      <c r="R396" s="673"/>
      <c r="S396" s="673"/>
      <c r="T396" s="673"/>
      <c r="U396" s="673"/>
      <c r="V396" s="673"/>
      <c r="W396" s="490"/>
      <c r="X396" s="676"/>
      <c r="Y396" s="676"/>
      <c r="Z396" s="676"/>
      <c r="AA396" s="676"/>
      <c r="AB396" s="676"/>
      <c r="AC396" s="490"/>
      <c r="AD396" s="490"/>
      <c r="AE396" s="490"/>
      <c r="AF396" s="490"/>
      <c r="AG396" s="490"/>
    </row>
    <row r="397" spans="1:33" hidden="1" outlineLevel="2" x14ac:dyDescent="0.2">
      <c r="A397" s="243"/>
      <c r="B397" s="242">
        <v>4</v>
      </c>
      <c r="C397" s="242">
        <v>6</v>
      </c>
      <c r="D397" s="243"/>
      <c r="E397" s="496" t="s">
        <v>1306</v>
      </c>
      <c r="F397" s="63" t="str">
        <f t="shared" ref="F397:K397" si="263">IFERROR(F395*INDEX(MBSIncItems,$C383,$B397)*INDEX(MBSIncItems,$C383,$C397),"")</f>
        <v/>
      </c>
      <c r="G397" s="63" t="str">
        <f t="shared" si="263"/>
        <v/>
      </c>
      <c r="H397" s="63" t="str">
        <f t="shared" si="263"/>
        <v/>
      </c>
      <c r="I397" s="63" t="str">
        <f t="shared" si="263"/>
        <v/>
      </c>
      <c r="J397" s="63" t="str">
        <f t="shared" si="263"/>
        <v/>
      </c>
      <c r="K397" s="63" t="str">
        <f t="shared" si="263"/>
        <v/>
      </c>
      <c r="L397" s="490"/>
      <c r="M397" s="684"/>
      <c r="N397" s="682"/>
      <c r="O397" s="678"/>
      <c r="P397" s="678"/>
      <c r="Q397" s="673"/>
      <c r="R397" s="673"/>
      <c r="S397" s="673"/>
      <c r="T397" s="673"/>
      <c r="U397" s="673"/>
      <c r="V397" s="673"/>
      <c r="W397" s="490"/>
      <c r="X397" s="676"/>
      <c r="Y397" s="676"/>
      <c r="Z397" s="676"/>
      <c r="AA397" s="676"/>
      <c r="AB397" s="676"/>
      <c r="AC397" s="490"/>
      <c r="AD397" s="490"/>
      <c r="AE397" s="490"/>
      <c r="AF397" s="490"/>
      <c r="AG397" s="490"/>
    </row>
    <row r="398" spans="1:33" hidden="1" outlineLevel="2" x14ac:dyDescent="0.2">
      <c r="A398" s="243"/>
      <c r="B398" s="242"/>
      <c r="C398" s="242">
        <v>7</v>
      </c>
      <c r="D398" s="243"/>
      <c r="E398" s="497" t="s">
        <v>1308</v>
      </c>
      <c r="F398" s="63" t="str">
        <f t="shared" ref="F398:K398" si="264">IFERROR(F395*INDEX(MBSIncItems,$C383,$C398),"")</f>
        <v/>
      </c>
      <c r="G398" s="63" t="str">
        <f t="shared" si="264"/>
        <v/>
      </c>
      <c r="H398" s="63" t="str">
        <f t="shared" si="264"/>
        <v/>
      </c>
      <c r="I398" s="63" t="str">
        <f t="shared" si="264"/>
        <v/>
      </c>
      <c r="J398" s="63" t="str">
        <f t="shared" si="264"/>
        <v/>
      </c>
      <c r="K398" s="63" t="str">
        <f t="shared" si="264"/>
        <v/>
      </c>
      <c r="L398" s="490"/>
      <c r="M398" s="684"/>
      <c r="N398" s="682"/>
      <c r="O398" s="678"/>
      <c r="P398" s="678"/>
      <c r="Q398" s="673"/>
      <c r="R398" s="673"/>
      <c r="S398" s="673"/>
      <c r="T398" s="673"/>
      <c r="U398" s="673"/>
      <c r="V398" s="673"/>
      <c r="W398" s="490"/>
      <c r="X398" s="676"/>
      <c r="Y398" s="676"/>
      <c r="Z398" s="676"/>
      <c r="AA398" s="676"/>
      <c r="AB398" s="676"/>
      <c r="AC398" s="490"/>
      <c r="AD398" s="490"/>
      <c r="AE398" s="490"/>
      <c r="AF398" s="490"/>
      <c r="AG398" s="490"/>
    </row>
    <row r="399" spans="1:33" hidden="1" outlineLevel="1" x14ac:dyDescent="0.2">
      <c r="A399" s="243"/>
      <c r="B399" s="243"/>
      <c r="C399" s="243"/>
      <c r="D399" s="677"/>
      <c r="E399" s="677"/>
      <c r="F399" s="243"/>
      <c r="G399" s="243"/>
      <c r="H399" s="243"/>
      <c r="I399" s="243"/>
      <c r="J399" s="243"/>
      <c r="K399" s="243"/>
      <c r="L399" s="243"/>
      <c r="M399" s="243"/>
      <c r="N399" s="678"/>
      <c r="O399" s="678"/>
      <c r="P399" s="678"/>
      <c r="Q399" s="673"/>
      <c r="R399" s="673"/>
      <c r="S399" s="673"/>
      <c r="T399" s="673"/>
      <c r="U399" s="673"/>
      <c r="V399" s="673"/>
      <c r="W399" s="490"/>
      <c r="X399" s="676"/>
      <c r="Y399" s="676"/>
      <c r="Z399" s="676"/>
      <c r="AA399" s="676"/>
      <c r="AB399" s="676"/>
      <c r="AC399" s="490"/>
      <c r="AD399" s="490"/>
      <c r="AE399" s="490"/>
      <c r="AF399" s="490"/>
      <c r="AG399" s="490"/>
    </row>
    <row r="400" spans="1:33" ht="15.75" hidden="1" outlineLevel="1" collapsed="1" x14ac:dyDescent="0.2">
      <c r="A400" s="243"/>
      <c r="B400" s="243"/>
      <c r="C400" s="242">
        <v>18</v>
      </c>
      <c r="D400" s="79" t="str">
        <f>INDEX(MBSIncNames,C400)</f>
        <v>** NOT USED **</v>
      </c>
      <c r="E400" s="79"/>
      <c r="F400" s="115"/>
      <c r="G400" s="115"/>
      <c r="H400" s="115"/>
      <c r="I400" s="115"/>
      <c r="J400" s="821" t="str">
        <f>IF(D400&lt;&gt;MsgNotUsed,"Co-payment group " &amp; K229,"")</f>
        <v/>
      </c>
      <c r="K400" s="821"/>
      <c r="L400" s="115"/>
      <c r="M400" s="115"/>
      <c r="N400" s="115"/>
      <c r="O400" s="115"/>
      <c r="P400" s="115"/>
      <c r="Q400" s="115"/>
      <c r="R400" s="115"/>
      <c r="S400" s="115"/>
      <c r="T400" s="115"/>
      <c r="U400" s="115"/>
      <c r="V400" s="115"/>
      <c r="W400" s="491"/>
      <c r="X400" s="490"/>
      <c r="Y400" s="490"/>
      <c r="Z400" s="490"/>
      <c r="AA400" s="490"/>
      <c r="AB400" s="676"/>
      <c r="AC400" s="490"/>
      <c r="AD400" s="490"/>
      <c r="AE400" s="490"/>
      <c r="AF400" s="490"/>
      <c r="AG400" s="490"/>
    </row>
    <row r="401" spans="1:33" hidden="1" outlineLevel="2" x14ac:dyDescent="0.2">
      <c r="A401" s="243"/>
      <c r="B401" s="243"/>
      <c r="C401" s="243"/>
      <c r="D401" s="243"/>
      <c r="E401" s="243"/>
      <c r="F401" s="495">
        <v>2</v>
      </c>
      <c r="G401" s="495">
        <v>3</v>
      </c>
      <c r="H401" s="495">
        <v>4</v>
      </c>
      <c r="I401" s="495">
        <v>5</v>
      </c>
      <c r="J401" s="495">
        <v>6</v>
      </c>
      <c r="K401" s="495">
        <v>7</v>
      </c>
      <c r="L401" s="495"/>
      <c r="M401" s="243"/>
      <c r="N401" s="243"/>
      <c r="O401" s="243"/>
      <c r="P401" s="243"/>
      <c r="Q401" s="243"/>
      <c r="R401" s="243"/>
      <c r="S401" s="243"/>
      <c r="T401" s="243"/>
      <c r="U401" s="243"/>
      <c r="V401" s="243"/>
      <c r="W401" s="490"/>
      <c r="X401" s="490"/>
      <c r="Y401" s="490"/>
      <c r="Z401" s="490"/>
      <c r="AA401" s="490"/>
      <c r="AB401" s="676"/>
      <c r="AC401" s="490"/>
      <c r="AD401" s="490"/>
      <c r="AE401" s="490"/>
      <c r="AF401" s="490"/>
      <c r="AG401" s="490"/>
    </row>
    <row r="402" spans="1:33" ht="15" hidden="1" outlineLevel="2" x14ac:dyDescent="0.2">
      <c r="A402" s="243"/>
      <c r="B402" s="243"/>
      <c r="C402" s="243"/>
      <c r="D402" s="663" t="s">
        <v>0</v>
      </c>
      <c r="E402" s="663"/>
      <c r="F402" s="733">
        <f>FirstYear</f>
        <v>2021</v>
      </c>
      <c r="G402" s="733">
        <f>F402+1</f>
        <v>2022</v>
      </c>
      <c r="H402" s="733">
        <f>G402+1</f>
        <v>2023</v>
      </c>
      <c r="I402" s="733">
        <f>H402+1</f>
        <v>2024</v>
      </c>
      <c r="J402" s="733">
        <f>I402+1</f>
        <v>2025</v>
      </c>
      <c r="K402" s="733">
        <f>J402+1</f>
        <v>2026</v>
      </c>
      <c r="L402" s="491"/>
      <c r="M402" s="113"/>
      <c r="N402" s="679"/>
      <c r="O402" s="679"/>
      <c r="P402" s="679"/>
      <c r="Q402" s="674"/>
      <c r="R402" s="674"/>
      <c r="S402" s="674"/>
      <c r="T402" s="674"/>
      <c r="U402" s="674"/>
      <c r="V402" s="674"/>
      <c r="W402" s="491"/>
      <c r="X402" s="674"/>
      <c r="Y402" s="674"/>
      <c r="Z402" s="674"/>
      <c r="AA402" s="674"/>
      <c r="AB402" s="676"/>
      <c r="AC402" s="490"/>
      <c r="AD402" s="490"/>
      <c r="AE402" s="490"/>
      <c r="AF402" s="490"/>
      <c r="AG402" s="490"/>
    </row>
    <row r="403" spans="1:33" hidden="1" outlineLevel="2" x14ac:dyDescent="0.2">
      <c r="A403" s="243"/>
      <c r="B403" s="243"/>
      <c r="C403" s="243"/>
      <c r="D403" s="243"/>
      <c r="E403" s="433" t="s">
        <v>951</v>
      </c>
      <c r="F403" s="283">
        <f t="shared" ref="F403:K403" si="265">F404*INDEX(MBSIncCalc,$C400,3)</f>
        <v>0</v>
      </c>
      <c r="G403" s="283">
        <f t="shared" si="265"/>
        <v>0</v>
      </c>
      <c r="H403" s="283">
        <f t="shared" si="265"/>
        <v>0</v>
      </c>
      <c r="I403" s="283">
        <f t="shared" si="265"/>
        <v>0</v>
      </c>
      <c r="J403" s="283">
        <f t="shared" si="265"/>
        <v>0</v>
      </c>
      <c r="K403" s="283">
        <f t="shared" si="265"/>
        <v>0</v>
      </c>
      <c r="L403" s="490"/>
      <c r="M403" s="680"/>
      <c r="N403" s="664"/>
      <c r="O403" s="664"/>
      <c r="P403" s="664"/>
      <c r="Q403" s="681"/>
      <c r="R403" s="681"/>
      <c r="S403" s="681"/>
      <c r="T403" s="681"/>
      <c r="U403" s="681"/>
      <c r="V403" s="681"/>
      <c r="W403" s="493"/>
      <c r="X403" s="561">
        <f>INDEX(MBSIncItems,C400,1)</f>
        <v>0</v>
      </c>
      <c r="Y403" s="561">
        <f>FirstYear</f>
        <v>2021</v>
      </c>
      <c r="Z403" s="560">
        <f>IF(F404&lt;&gt;0,F404-F406,0)</f>
        <v>0</v>
      </c>
      <c r="AA403" s="560">
        <f>IF(F412&lt;&gt;0,F412-F414,0)</f>
        <v>0</v>
      </c>
      <c r="AB403" s="674"/>
      <c r="AC403" s="490"/>
      <c r="AD403" s="490"/>
      <c r="AE403" s="490"/>
      <c r="AF403" s="490"/>
      <c r="AG403" s="490"/>
    </row>
    <row r="404" spans="1:33" hidden="1" outlineLevel="2" x14ac:dyDescent="0.2">
      <c r="A404" s="243"/>
      <c r="B404" s="672"/>
      <c r="C404" s="242" t="str">
        <f>INDEX(MBSIncCalc,C400,2)</f>
        <v/>
      </c>
      <c r="D404" s="243"/>
      <c r="E404" s="62" t="s">
        <v>1310</v>
      </c>
      <c r="F404" s="63">
        <f t="shared" ref="F404:K404" si="266">IF(INDEX(MBSIncRate,$C400,2)=2,IFERROR(INDEX(PBSScriptsNew,$C404,F401),0),IFERROR(INDEX(MBSPBSInc,$C400,INDEX(MBSIncRate,$C400,3)*7+F401),0) * IFERROR(INDEX(MBSIncPopSplit,$C400),0)) * INDEX(MBSIncRate,$C400,1) * INDEX(MBSIncRate,$C400,4)</f>
        <v>0</v>
      </c>
      <c r="G404" s="63">
        <f t="shared" si="266"/>
        <v>0</v>
      </c>
      <c r="H404" s="63">
        <f t="shared" si="266"/>
        <v>0</v>
      </c>
      <c r="I404" s="63">
        <f t="shared" si="266"/>
        <v>0</v>
      </c>
      <c r="J404" s="63">
        <f t="shared" si="266"/>
        <v>0</v>
      </c>
      <c r="K404" s="63">
        <f t="shared" si="266"/>
        <v>0</v>
      </c>
      <c r="L404" s="490"/>
      <c r="M404" s="493"/>
      <c r="N404" s="493"/>
      <c r="O404" s="664"/>
      <c r="P404" s="664"/>
      <c r="Q404" s="681"/>
      <c r="R404" s="681"/>
      <c r="S404" s="681"/>
      <c r="T404" s="681"/>
      <c r="U404" s="681"/>
      <c r="V404" s="681"/>
      <c r="W404" s="493"/>
      <c r="X404" s="561">
        <f>X403</f>
        <v>0</v>
      </c>
      <c r="Y404" s="561">
        <f>Y403+1</f>
        <v>2022</v>
      </c>
      <c r="Z404" s="560">
        <f>IF(G404&lt;&gt;0,G404-G406,0)</f>
        <v>0</v>
      </c>
      <c r="AA404" s="560">
        <f>IF(G412&lt;&gt;0,G412-G414,0)</f>
        <v>0</v>
      </c>
      <c r="AB404" s="674"/>
      <c r="AC404" s="490"/>
      <c r="AD404" s="490"/>
      <c r="AE404" s="490"/>
      <c r="AF404" s="490"/>
      <c r="AG404" s="490"/>
    </row>
    <row r="405" spans="1:33" hidden="1" outlineLevel="2" x14ac:dyDescent="0.2">
      <c r="A405" s="243"/>
      <c r="B405" s="242">
        <v>5</v>
      </c>
      <c r="C405" s="242">
        <v>6</v>
      </c>
      <c r="D405" s="243"/>
      <c r="E405" s="496" t="s">
        <v>1307</v>
      </c>
      <c r="F405" s="63" t="str">
        <f t="shared" ref="F405:K405" si="267">IFERROR(F404*INDEX(MBSIncItems,$C400,$B405)*INDEX(MBSIncItems,$C400,$C405),"")</f>
        <v/>
      </c>
      <c r="G405" s="63" t="str">
        <f t="shared" si="267"/>
        <v/>
      </c>
      <c r="H405" s="63" t="str">
        <f t="shared" si="267"/>
        <v/>
      </c>
      <c r="I405" s="63" t="str">
        <f t="shared" si="267"/>
        <v/>
      </c>
      <c r="J405" s="63" t="str">
        <f t="shared" si="267"/>
        <v/>
      </c>
      <c r="K405" s="63" t="str">
        <f t="shared" si="267"/>
        <v/>
      </c>
      <c r="L405" s="490"/>
      <c r="M405" s="493"/>
      <c r="N405" s="493"/>
      <c r="O405" s="682"/>
      <c r="P405" s="754"/>
      <c r="Q405" s="681"/>
      <c r="R405" s="681"/>
      <c r="S405" s="681"/>
      <c r="T405" s="681"/>
      <c r="U405" s="681"/>
      <c r="V405" s="681"/>
      <c r="W405" s="493"/>
      <c r="X405" s="561">
        <f t="shared" ref="X405:X408" si="268">X404</f>
        <v>0</v>
      </c>
      <c r="Y405" s="561">
        <f>Y404+1</f>
        <v>2023</v>
      </c>
      <c r="Z405" s="560">
        <f>IF(H404&lt;&gt;0,H404-H406,0)</f>
        <v>0</v>
      </c>
      <c r="AA405" s="560">
        <f>IF(H412&lt;&gt;0,H412-H414,0)</f>
        <v>0</v>
      </c>
      <c r="AB405" s="675"/>
      <c r="AC405" s="490"/>
      <c r="AD405" s="490"/>
      <c r="AE405" s="490"/>
      <c r="AF405" s="490"/>
      <c r="AG405" s="490"/>
    </row>
    <row r="406" spans="1:33" hidden="1" outlineLevel="2" x14ac:dyDescent="0.2">
      <c r="A406" s="416"/>
      <c r="B406" s="242">
        <v>4</v>
      </c>
      <c r="C406" s="242">
        <v>6</v>
      </c>
      <c r="D406" s="243"/>
      <c r="E406" s="496" t="s">
        <v>1306</v>
      </c>
      <c r="F406" s="63" t="str">
        <f t="shared" ref="F406:K406" si="269">IFERROR(F404*INDEX(MBSIncItems,$C400,$B406)*INDEX(MBSIncItems,$C400,$C406),"")</f>
        <v/>
      </c>
      <c r="G406" s="63" t="str">
        <f t="shared" si="269"/>
        <v/>
      </c>
      <c r="H406" s="63" t="str">
        <f t="shared" si="269"/>
        <v/>
      </c>
      <c r="I406" s="63" t="str">
        <f t="shared" si="269"/>
        <v/>
      </c>
      <c r="J406" s="63" t="str">
        <f t="shared" si="269"/>
        <v/>
      </c>
      <c r="K406" s="63" t="str">
        <f t="shared" si="269"/>
        <v/>
      </c>
      <c r="L406" s="416"/>
      <c r="M406" s="416"/>
      <c r="N406" s="416"/>
      <c r="O406" s="416"/>
      <c r="P406" s="416"/>
      <c r="Q406" s="416"/>
      <c r="R406" s="416"/>
      <c r="S406" s="416"/>
      <c r="T406" s="416"/>
      <c r="U406" s="416"/>
      <c r="V406" s="416"/>
      <c r="W406" s="493"/>
      <c r="X406" s="561">
        <f t="shared" si="268"/>
        <v>0</v>
      </c>
      <c r="Y406" s="561">
        <f>Y405+1</f>
        <v>2024</v>
      </c>
      <c r="Z406" s="560">
        <f>IF(I404&lt;&gt;0,I404-I406,0)</f>
        <v>0</v>
      </c>
      <c r="AA406" s="560">
        <f>IF(I412&lt;&gt;0,I412-I414,0)</f>
        <v>0</v>
      </c>
      <c r="AB406" s="675"/>
      <c r="AC406" s="490"/>
      <c r="AD406" s="490"/>
      <c r="AE406" s="490"/>
      <c r="AF406" s="490"/>
      <c r="AG406" s="490"/>
    </row>
    <row r="407" spans="1:33" hidden="1" outlineLevel="2" x14ac:dyDescent="0.2">
      <c r="A407" s="243"/>
      <c r="B407" s="242"/>
      <c r="C407" s="242">
        <v>7</v>
      </c>
      <c r="D407" s="243"/>
      <c r="E407" s="497" t="s">
        <v>1308</v>
      </c>
      <c r="F407" s="63" t="str">
        <f t="shared" ref="F407:K407" si="270">IFERROR(F404*INDEX(MBSIncItems,$C400,$C407),"")</f>
        <v/>
      </c>
      <c r="G407" s="63" t="str">
        <f t="shared" si="270"/>
        <v/>
      </c>
      <c r="H407" s="63" t="str">
        <f t="shared" si="270"/>
        <v/>
      </c>
      <c r="I407" s="63" t="str">
        <f t="shared" si="270"/>
        <v/>
      </c>
      <c r="J407" s="63" t="str">
        <f t="shared" si="270"/>
        <v/>
      </c>
      <c r="K407" s="63" t="str">
        <f t="shared" si="270"/>
        <v/>
      </c>
      <c r="L407" s="490"/>
      <c r="M407" s="493"/>
      <c r="N407" s="493"/>
      <c r="O407" s="682"/>
      <c r="P407" s="754"/>
      <c r="Q407" s="681"/>
      <c r="R407" s="681"/>
      <c r="S407" s="681"/>
      <c r="T407" s="681"/>
      <c r="U407" s="681"/>
      <c r="V407" s="681"/>
      <c r="W407" s="493"/>
      <c r="X407" s="561">
        <f t="shared" si="268"/>
        <v>0</v>
      </c>
      <c r="Y407" s="561">
        <f>Y406+1</f>
        <v>2025</v>
      </c>
      <c r="Z407" s="560">
        <f>IF(J404&lt;&gt;0,J404-J406,0)</f>
        <v>0</v>
      </c>
      <c r="AA407" s="560">
        <f>IF(J412&lt;&gt;0,J412-J414,0)</f>
        <v>0</v>
      </c>
      <c r="AB407" s="675"/>
      <c r="AC407" s="490"/>
      <c r="AD407" s="490"/>
      <c r="AE407" s="490"/>
      <c r="AF407" s="490"/>
      <c r="AG407" s="490"/>
    </row>
    <row r="408" spans="1:33" hidden="1" outlineLevel="2" x14ac:dyDescent="0.2">
      <c r="A408" s="243"/>
      <c r="B408" s="493"/>
      <c r="C408" s="493"/>
      <c r="D408" s="493"/>
      <c r="E408" s="493"/>
      <c r="F408" s="493"/>
      <c r="G408" s="493"/>
      <c r="H408" s="493"/>
      <c r="I408" s="493"/>
      <c r="J408" s="493"/>
      <c r="K408" s="493"/>
      <c r="L408" s="490"/>
      <c r="M408" s="493"/>
      <c r="N408" s="493"/>
      <c r="O408" s="682"/>
      <c r="P408" s="682"/>
      <c r="Q408" s="681"/>
      <c r="R408" s="681"/>
      <c r="S408" s="681"/>
      <c r="T408" s="681"/>
      <c r="U408" s="681"/>
      <c r="V408" s="681"/>
      <c r="W408" s="493"/>
      <c r="X408" s="561">
        <f t="shared" si="268"/>
        <v>0</v>
      </c>
      <c r="Y408" s="561">
        <f>Y407+1</f>
        <v>2026</v>
      </c>
      <c r="Z408" s="560">
        <f>IF(K404&lt;&gt;0,K404-K406,0)</f>
        <v>0</v>
      </c>
      <c r="AA408" s="560">
        <f>IF(K412&lt;&gt;0,K412-K414,0)</f>
        <v>0</v>
      </c>
      <c r="AB408" s="675"/>
      <c r="AC408" s="490"/>
      <c r="AD408" s="490"/>
      <c r="AE408" s="490"/>
      <c r="AF408" s="490"/>
      <c r="AG408" s="490"/>
    </row>
    <row r="409" spans="1:33" hidden="1" outlineLevel="2" x14ac:dyDescent="0.2">
      <c r="A409" s="243"/>
      <c r="B409" s="243"/>
      <c r="C409" s="243"/>
      <c r="D409" s="677"/>
      <c r="E409" s="677"/>
      <c r="F409" s="495">
        <v>2</v>
      </c>
      <c r="G409" s="495">
        <v>3</v>
      </c>
      <c r="H409" s="495">
        <v>4</v>
      </c>
      <c r="I409" s="495">
        <v>5</v>
      </c>
      <c r="J409" s="495">
        <v>6</v>
      </c>
      <c r="K409" s="495">
        <v>7</v>
      </c>
      <c r="L409" s="490"/>
      <c r="M409" s="243"/>
      <c r="N409" s="678"/>
      <c r="O409" s="678"/>
      <c r="P409" s="678"/>
      <c r="Q409" s="673"/>
      <c r="R409" s="673"/>
      <c r="S409" s="673"/>
      <c r="T409" s="673"/>
      <c r="U409" s="673"/>
      <c r="V409" s="673"/>
      <c r="W409" s="490"/>
      <c r="X409" s="676"/>
      <c r="Y409" s="676"/>
      <c r="Z409" s="676"/>
      <c r="AA409" s="676"/>
      <c r="AB409" s="675"/>
      <c r="AC409" s="490"/>
      <c r="AD409" s="490"/>
      <c r="AE409" s="490"/>
      <c r="AF409" s="490"/>
      <c r="AG409" s="490"/>
    </row>
    <row r="410" spans="1:33" ht="15.75" hidden="1" outlineLevel="2" x14ac:dyDescent="0.2">
      <c r="A410" s="243"/>
      <c r="B410" s="243"/>
      <c r="C410" s="243"/>
      <c r="D410" s="663" t="s">
        <v>1</v>
      </c>
      <c r="E410" s="663"/>
      <c r="F410" s="751">
        <f>FirstYear</f>
        <v>2021</v>
      </c>
      <c r="G410" s="751">
        <f>F410+1</f>
        <v>2022</v>
      </c>
      <c r="H410" s="751">
        <f>G410+1</f>
        <v>2023</v>
      </c>
      <c r="I410" s="751">
        <f>H410+1</f>
        <v>2024</v>
      </c>
      <c r="J410" s="751">
        <f>I410+1</f>
        <v>2025</v>
      </c>
      <c r="K410" s="751">
        <f>J410+1</f>
        <v>2026</v>
      </c>
      <c r="L410" s="491"/>
      <c r="M410" s="243"/>
      <c r="N410" s="685"/>
      <c r="O410" s="685"/>
      <c r="P410" s="685"/>
      <c r="Q410" s="673"/>
      <c r="R410" s="673"/>
      <c r="S410" s="673"/>
      <c r="T410" s="673"/>
      <c r="U410" s="673"/>
      <c r="V410" s="673"/>
      <c r="W410" s="491"/>
      <c r="X410" s="676"/>
      <c r="Y410" s="676"/>
      <c r="Z410" s="676"/>
      <c r="AA410" s="676"/>
      <c r="AB410" s="676"/>
      <c r="AC410" s="490"/>
      <c r="AD410" s="490"/>
      <c r="AE410" s="490"/>
      <c r="AF410" s="490"/>
      <c r="AG410" s="490"/>
    </row>
    <row r="411" spans="1:33" hidden="1" outlineLevel="2" x14ac:dyDescent="0.2">
      <c r="A411" s="243"/>
      <c r="B411" s="243"/>
      <c r="C411" s="243"/>
      <c r="D411" s="243"/>
      <c r="E411" s="433" t="s">
        <v>951</v>
      </c>
      <c r="F411" s="283">
        <f t="shared" ref="F411:K411" si="271">F412*INDEX(MBSIncCalc,$C400,3)</f>
        <v>0</v>
      </c>
      <c r="G411" s="283">
        <f t="shared" si="271"/>
        <v>0</v>
      </c>
      <c r="H411" s="283">
        <f t="shared" si="271"/>
        <v>0</v>
      </c>
      <c r="I411" s="283">
        <f t="shared" si="271"/>
        <v>0</v>
      </c>
      <c r="J411" s="283">
        <f t="shared" si="271"/>
        <v>0</v>
      </c>
      <c r="K411" s="283">
        <f t="shared" si="271"/>
        <v>0</v>
      </c>
      <c r="L411" s="490"/>
      <c r="M411" s="615"/>
      <c r="N411" s="615"/>
      <c r="O411" s="678"/>
      <c r="P411" s="678"/>
      <c r="Q411" s="673"/>
      <c r="R411" s="673"/>
      <c r="S411" s="673"/>
      <c r="T411" s="673"/>
      <c r="U411" s="673"/>
      <c r="V411" s="673"/>
      <c r="W411" s="490"/>
      <c r="X411" s="676"/>
      <c r="Y411" s="676"/>
      <c r="Z411" s="676"/>
      <c r="AA411" s="676"/>
      <c r="AB411" s="676"/>
      <c r="AC411" s="490"/>
      <c r="AD411" s="490"/>
      <c r="AE411" s="490"/>
      <c r="AF411" s="490"/>
      <c r="AG411" s="490"/>
    </row>
    <row r="412" spans="1:33" hidden="1" outlineLevel="2" x14ac:dyDescent="0.2">
      <c r="A412" s="243"/>
      <c r="B412" s="672"/>
      <c r="C412" s="242" t="str">
        <f>C404</f>
        <v/>
      </c>
      <c r="D412" s="243"/>
      <c r="E412" s="62" t="s">
        <v>1310</v>
      </c>
      <c r="F412" s="63">
        <f t="shared" ref="F412:K412" si="272">IF(INDEX(MBSIncRate,$C400,2)=2,IFERROR(INDEX(RPBSScriptsNew,$C412,F409),0),IFERROR(INDEX(MBSRPBSInc,$C400,INDEX(MBSIncRate,$C400,3)*7+F409),0) * IFERROR(INDEX(MBSIncPopSplit,$C400),0)) * INDEX(MBSIncRate,$C400,1) * INDEX(MBSIncRate,$C400,4)</f>
        <v>0</v>
      </c>
      <c r="G412" s="63">
        <f t="shared" si="272"/>
        <v>0</v>
      </c>
      <c r="H412" s="63">
        <f t="shared" si="272"/>
        <v>0</v>
      </c>
      <c r="I412" s="63">
        <f t="shared" si="272"/>
        <v>0</v>
      </c>
      <c r="J412" s="63">
        <f t="shared" si="272"/>
        <v>0</v>
      </c>
      <c r="K412" s="63">
        <f t="shared" si="272"/>
        <v>0</v>
      </c>
      <c r="L412" s="490"/>
      <c r="M412" s="243"/>
      <c r="N412" s="753"/>
      <c r="O412" s="678"/>
      <c r="P412" s="678"/>
      <c r="Q412" s="673"/>
      <c r="R412" s="673"/>
      <c r="S412" s="673"/>
      <c r="T412" s="673"/>
      <c r="U412" s="673"/>
      <c r="V412" s="673"/>
      <c r="W412" s="490"/>
      <c r="X412" s="676"/>
      <c r="Y412" s="676"/>
      <c r="Z412" s="676"/>
      <c r="AA412" s="676"/>
      <c r="AB412" s="676"/>
      <c r="AC412" s="490"/>
      <c r="AD412" s="490"/>
      <c r="AE412" s="490"/>
      <c r="AF412" s="490"/>
      <c r="AG412" s="490"/>
    </row>
    <row r="413" spans="1:33" hidden="1" outlineLevel="2" x14ac:dyDescent="0.2">
      <c r="A413" s="243"/>
      <c r="B413" s="242">
        <v>5</v>
      </c>
      <c r="C413" s="242">
        <v>6</v>
      </c>
      <c r="D413" s="243"/>
      <c r="E413" s="496" t="s">
        <v>1307</v>
      </c>
      <c r="F413" s="63" t="str">
        <f t="shared" ref="F413:K413" si="273">IFERROR(F412*INDEX(MBSIncItems,$C400,$B413)*INDEX(MBSIncItems,$C400,$C413),"")</f>
        <v/>
      </c>
      <c r="G413" s="63" t="str">
        <f t="shared" si="273"/>
        <v/>
      </c>
      <c r="H413" s="63" t="str">
        <f t="shared" si="273"/>
        <v/>
      </c>
      <c r="I413" s="63" t="str">
        <f t="shared" si="273"/>
        <v/>
      </c>
      <c r="J413" s="63" t="str">
        <f t="shared" si="273"/>
        <v/>
      </c>
      <c r="K413" s="63" t="str">
        <f t="shared" si="273"/>
        <v/>
      </c>
      <c r="L413" s="490"/>
      <c r="M413" s="683"/>
      <c r="N413" s="753"/>
      <c r="O413" s="678"/>
      <c r="P413" s="678"/>
      <c r="Q413" s="673"/>
      <c r="R413" s="673"/>
      <c r="S413" s="673"/>
      <c r="T413" s="673"/>
      <c r="U413" s="673"/>
      <c r="V413" s="673"/>
      <c r="W413" s="490"/>
      <c r="X413" s="676"/>
      <c r="Y413" s="676"/>
      <c r="Z413" s="676"/>
      <c r="AA413" s="676"/>
      <c r="AB413" s="676"/>
      <c r="AC413" s="490"/>
      <c r="AD413" s="490"/>
      <c r="AE413" s="490"/>
      <c r="AF413" s="490"/>
      <c r="AG413" s="490"/>
    </row>
    <row r="414" spans="1:33" hidden="1" outlineLevel="2" x14ac:dyDescent="0.2">
      <c r="A414" s="243"/>
      <c r="B414" s="242">
        <v>4</v>
      </c>
      <c r="C414" s="242">
        <v>6</v>
      </c>
      <c r="D414" s="243"/>
      <c r="E414" s="496" t="s">
        <v>1306</v>
      </c>
      <c r="F414" s="63" t="str">
        <f t="shared" ref="F414:K414" si="274">IFERROR(F412*INDEX(MBSIncItems,$C400,$B414)*INDEX(MBSIncItems,$C400,$C414),"")</f>
        <v/>
      </c>
      <c r="G414" s="63" t="str">
        <f t="shared" si="274"/>
        <v/>
      </c>
      <c r="H414" s="63" t="str">
        <f t="shared" si="274"/>
        <v/>
      </c>
      <c r="I414" s="63" t="str">
        <f t="shared" si="274"/>
        <v/>
      </c>
      <c r="J414" s="63" t="str">
        <f t="shared" si="274"/>
        <v/>
      </c>
      <c r="K414" s="63" t="str">
        <f t="shared" si="274"/>
        <v/>
      </c>
      <c r="L414" s="490"/>
      <c r="M414" s="684"/>
      <c r="N414" s="682"/>
      <c r="O414" s="678"/>
      <c r="P414" s="678"/>
      <c r="Q414" s="673"/>
      <c r="R414" s="673"/>
      <c r="S414" s="673"/>
      <c r="T414" s="673"/>
      <c r="U414" s="673"/>
      <c r="V414" s="673"/>
      <c r="W414" s="490"/>
      <c r="X414" s="676"/>
      <c r="Y414" s="676"/>
      <c r="Z414" s="676"/>
      <c r="AA414" s="676"/>
      <c r="AB414" s="676"/>
      <c r="AC414" s="490"/>
      <c r="AD414" s="490"/>
      <c r="AE414" s="490"/>
      <c r="AF414" s="490"/>
      <c r="AG414" s="490"/>
    </row>
    <row r="415" spans="1:33" hidden="1" outlineLevel="2" x14ac:dyDescent="0.2">
      <c r="A415" s="243"/>
      <c r="B415" s="242"/>
      <c r="C415" s="242">
        <v>7</v>
      </c>
      <c r="D415" s="243"/>
      <c r="E415" s="497" t="s">
        <v>1308</v>
      </c>
      <c r="F415" s="63" t="str">
        <f t="shared" ref="F415:K415" si="275">IFERROR(F412*INDEX(MBSIncItems,$C400,$C415),"")</f>
        <v/>
      </c>
      <c r="G415" s="63" t="str">
        <f t="shared" si="275"/>
        <v/>
      </c>
      <c r="H415" s="63" t="str">
        <f t="shared" si="275"/>
        <v/>
      </c>
      <c r="I415" s="63" t="str">
        <f t="shared" si="275"/>
        <v/>
      </c>
      <c r="J415" s="63" t="str">
        <f t="shared" si="275"/>
        <v/>
      </c>
      <c r="K415" s="63" t="str">
        <f t="shared" si="275"/>
        <v/>
      </c>
      <c r="L415" s="490"/>
      <c r="M415" s="684"/>
      <c r="N415" s="682"/>
      <c r="O415" s="678"/>
      <c r="P415" s="678"/>
      <c r="Q415" s="673"/>
      <c r="R415" s="673"/>
      <c r="S415" s="673"/>
      <c r="T415" s="673"/>
      <c r="U415" s="673"/>
      <c r="V415" s="673"/>
      <c r="W415" s="490"/>
      <c r="X415" s="676"/>
      <c r="Y415" s="676"/>
      <c r="Z415" s="676"/>
      <c r="AA415" s="676"/>
      <c r="AB415" s="676"/>
      <c r="AC415" s="490"/>
      <c r="AD415" s="490"/>
      <c r="AE415" s="490"/>
      <c r="AF415" s="490"/>
      <c r="AG415" s="490"/>
    </row>
    <row r="416" spans="1:33" hidden="1" outlineLevel="1" x14ac:dyDescent="0.2">
      <c r="A416" s="243"/>
      <c r="B416" s="243"/>
      <c r="L416"/>
      <c r="M416"/>
      <c r="N416"/>
      <c r="O416"/>
      <c r="P416"/>
      <c r="Q416"/>
      <c r="R416"/>
      <c r="S416"/>
      <c r="T416"/>
      <c r="U416"/>
      <c r="V416"/>
      <c r="W416" s="491"/>
      <c r="X416" s="490"/>
      <c r="Y416" s="490"/>
      <c r="Z416" s="490"/>
      <c r="AA416" s="490"/>
      <c r="AB416" s="676"/>
      <c r="AC416" s="490"/>
      <c r="AD416" s="490"/>
      <c r="AE416" s="490"/>
      <c r="AF416" s="490"/>
      <c r="AG416" s="490"/>
    </row>
    <row r="417" spans="1:33" ht="15.75" hidden="1" outlineLevel="1" x14ac:dyDescent="0.2">
      <c r="A417" s="243"/>
      <c r="B417" s="243"/>
      <c r="C417" s="242">
        <v>19</v>
      </c>
      <c r="D417" s="79" t="str">
        <f>INDEX(MBSIncNames,C417)</f>
        <v>** NOT USED **</v>
      </c>
      <c r="E417" s="79"/>
      <c r="F417" s="115"/>
      <c r="G417" s="115"/>
      <c r="H417" s="115"/>
      <c r="I417" s="115"/>
      <c r="J417" s="821" t="str">
        <f>IF(D417&lt;&gt;MsgNotUsed,"Co-payment group " &amp; K246,"")</f>
        <v/>
      </c>
      <c r="K417" s="821"/>
      <c r="L417" s="115"/>
      <c r="M417" s="115"/>
      <c r="N417" s="115"/>
      <c r="O417" s="115"/>
      <c r="P417" s="115"/>
      <c r="Q417" s="115"/>
      <c r="R417" s="115"/>
      <c r="S417" s="115"/>
      <c r="T417" s="115"/>
      <c r="U417" s="115"/>
      <c r="V417" s="115"/>
      <c r="W417" s="491"/>
      <c r="X417" s="490"/>
      <c r="Y417" s="490"/>
      <c r="Z417" s="490"/>
      <c r="AA417" s="490"/>
      <c r="AB417" s="676"/>
      <c r="AC417" s="490"/>
      <c r="AD417" s="490"/>
      <c r="AE417" s="490"/>
      <c r="AF417" s="490"/>
      <c r="AG417" s="490"/>
    </row>
    <row r="418" spans="1:33" hidden="1" outlineLevel="2" collapsed="1" x14ac:dyDescent="0.2">
      <c r="A418" s="243"/>
      <c r="B418" s="243"/>
      <c r="C418" s="243"/>
      <c r="D418" s="243"/>
      <c r="E418" s="243"/>
      <c r="F418" s="495">
        <v>2</v>
      </c>
      <c r="G418" s="495">
        <v>3</v>
      </c>
      <c r="H418" s="495">
        <v>4</v>
      </c>
      <c r="I418" s="495">
        <v>5</v>
      </c>
      <c r="J418" s="495">
        <v>6</v>
      </c>
      <c r="K418" s="495">
        <v>7</v>
      </c>
      <c r="L418" s="495"/>
      <c r="M418" s="243"/>
      <c r="N418" s="243"/>
      <c r="O418" s="243"/>
      <c r="P418" s="243"/>
      <c r="Q418" s="243"/>
      <c r="R418" s="243"/>
      <c r="S418" s="243"/>
      <c r="T418" s="243"/>
      <c r="U418" s="243"/>
      <c r="V418" s="243"/>
      <c r="W418" s="490"/>
      <c r="X418" s="490"/>
      <c r="Y418" s="490"/>
      <c r="Z418" s="490"/>
      <c r="AA418" s="490"/>
      <c r="AB418" s="676"/>
      <c r="AC418" s="490"/>
      <c r="AD418" s="490"/>
      <c r="AE418" s="490"/>
      <c r="AF418" s="490"/>
      <c r="AG418" s="490"/>
    </row>
    <row r="419" spans="1:33" ht="15" hidden="1" outlineLevel="2" x14ac:dyDescent="0.2">
      <c r="A419" s="243"/>
      <c r="B419" s="243"/>
      <c r="C419" s="243"/>
      <c r="D419" s="663" t="s">
        <v>0</v>
      </c>
      <c r="E419" s="663"/>
      <c r="F419" s="733">
        <f>FirstYear</f>
        <v>2021</v>
      </c>
      <c r="G419" s="733">
        <f>F419+1</f>
        <v>2022</v>
      </c>
      <c r="H419" s="733">
        <f>G419+1</f>
        <v>2023</v>
      </c>
      <c r="I419" s="733">
        <f>H419+1</f>
        <v>2024</v>
      </c>
      <c r="J419" s="733">
        <f>I419+1</f>
        <v>2025</v>
      </c>
      <c r="K419" s="733">
        <f>J419+1</f>
        <v>2026</v>
      </c>
      <c r="L419" s="491"/>
      <c r="M419" s="113"/>
      <c r="N419" s="679"/>
      <c r="O419" s="679"/>
      <c r="P419" s="679"/>
      <c r="Q419" s="674"/>
      <c r="R419" s="674"/>
      <c r="S419" s="674"/>
      <c r="T419" s="674"/>
      <c r="U419" s="674"/>
      <c r="V419" s="674"/>
      <c r="W419" s="491"/>
      <c r="X419" s="674"/>
      <c r="Y419" s="674"/>
      <c r="Z419" s="674"/>
      <c r="AA419" s="674"/>
      <c r="AB419" s="676"/>
      <c r="AC419" s="490"/>
      <c r="AD419" s="490"/>
      <c r="AE419" s="490"/>
      <c r="AF419" s="490"/>
      <c r="AG419" s="490"/>
    </row>
    <row r="420" spans="1:33" hidden="1" outlineLevel="2" x14ac:dyDescent="0.2">
      <c r="A420" s="243"/>
      <c r="B420" s="243"/>
      <c r="C420" s="243"/>
      <c r="D420" s="243"/>
      <c r="E420" s="433" t="s">
        <v>951</v>
      </c>
      <c r="F420" s="283">
        <f t="shared" ref="F420:K420" si="276">F421*INDEX(MBSIncCalc,$C417,3)</f>
        <v>0</v>
      </c>
      <c r="G420" s="283">
        <f t="shared" si="276"/>
        <v>0</v>
      </c>
      <c r="H420" s="283">
        <f t="shared" si="276"/>
        <v>0</v>
      </c>
      <c r="I420" s="283">
        <f t="shared" si="276"/>
        <v>0</v>
      </c>
      <c r="J420" s="283">
        <f t="shared" si="276"/>
        <v>0</v>
      </c>
      <c r="K420" s="283">
        <f t="shared" si="276"/>
        <v>0</v>
      </c>
      <c r="L420" s="490"/>
      <c r="M420" s="680"/>
      <c r="N420" s="664"/>
      <c r="O420" s="664"/>
      <c r="P420" s="664"/>
      <c r="Q420" s="681"/>
      <c r="R420" s="681"/>
      <c r="S420" s="681"/>
      <c r="T420" s="681"/>
      <c r="U420" s="681"/>
      <c r="V420" s="681"/>
      <c r="W420" s="493"/>
      <c r="X420" s="561">
        <f>INDEX(MBSIncItems,C417,1)</f>
        <v>0</v>
      </c>
      <c r="Y420" s="561">
        <f>FirstYear</f>
        <v>2021</v>
      </c>
      <c r="Z420" s="560">
        <f>IF(F421&lt;&gt;0,F421-F423,0)</f>
        <v>0</v>
      </c>
      <c r="AA420" s="560">
        <f>IF(F429&lt;&gt;0,F429-F431,0)</f>
        <v>0</v>
      </c>
      <c r="AB420" s="676"/>
      <c r="AC420" s="490"/>
      <c r="AD420" s="490"/>
      <c r="AE420" s="490"/>
      <c r="AF420" s="490"/>
      <c r="AG420" s="490"/>
    </row>
    <row r="421" spans="1:33" hidden="1" outlineLevel="2" x14ac:dyDescent="0.2">
      <c r="A421" s="243"/>
      <c r="B421" s="672"/>
      <c r="C421" s="242" t="str">
        <f>INDEX(MBSIncCalc,C417,2)</f>
        <v/>
      </c>
      <c r="D421" s="243"/>
      <c r="E421" s="62" t="s">
        <v>1310</v>
      </c>
      <c r="F421" s="63">
        <f t="shared" ref="F421:K421" si="277">IF(INDEX(MBSIncRate,$C417,2)=2,IFERROR(INDEX(PBSScriptsNew,$C421,F418),0),IFERROR(INDEX(MBSPBSInc,$C417,INDEX(MBSIncRate,$C417,3)*7+F418),0) * IFERROR(INDEX(MBSIncPopSplit,$C417),0)) * INDEX(MBSIncRate,$C417,1) * INDEX(MBSIncRate,$C417,4)</f>
        <v>0</v>
      </c>
      <c r="G421" s="63">
        <f t="shared" si="277"/>
        <v>0</v>
      </c>
      <c r="H421" s="63">
        <f t="shared" si="277"/>
        <v>0</v>
      </c>
      <c r="I421" s="63">
        <f t="shared" si="277"/>
        <v>0</v>
      </c>
      <c r="J421" s="63">
        <f t="shared" si="277"/>
        <v>0</v>
      </c>
      <c r="K421" s="63">
        <f t="shared" si="277"/>
        <v>0</v>
      </c>
      <c r="L421" s="490"/>
      <c r="M421" s="493"/>
      <c r="N421" s="493"/>
      <c r="O421" s="664"/>
      <c r="P421" s="664"/>
      <c r="Q421" s="681"/>
      <c r="R421" s="681"/>
      <c r="S421" s="681"/>
      <c r="T421" s="681"/>
      <c r="U421" s="681"/>
      <c r="V421" s="681"/>
      <c r="W421" s="493"/>
      <c r="X421" s="561">
        <f>X420</f>
        <v>0</v>
      </c>
      <c r="Y421" s="561">
        <f>Y420+1</f>
        <v>2022</v>
      </c>
      <c r="Z421" s="560">
        <f>IF(G421&lt;&gt;0,G421-G423,0)</f>
        <v>0</v>
      </c>
      <c r="AA421" s="560">
        <f>IF(G429&lt;&gt;0,G429-G431,0)</f>
        <v>0</v>
      </c>
      <c r="AB421" s="674"/>
      <c r="AC421" s="490"/>
      <c r="AD421" s="490"/>
      <c r="AE421" s="490"/>
      <c r="AF421" s="490"/>
      <c r="AG421" s="490"/>
    </row>
    <row r="422" spans="1:33" hidden="1" outlineLevel="2" x14ac:dyDescent="0.2">
      <c r="A422" s="243"/>
      <c r="B422" s="242">
        <v>5</v>
      </c>
      <c r="C422" s="242">
        <v>6</v>
      </c>
      <c r="D422" s="243"/>
      <c r="E422" s="496" t="s">
        <v>1307</v>
      </c>
      <c r="F422" s="63" t="str">
        <f t="shared" ref="F422:K422" si="278">IFERROR(F421*INDEX(MBSIncItems,$C417,$B422)*INDEX(MBSIncItems,$C417,$C422),"")</f>
        <v/>
      </c>
      <c r="G422" s="63" t="str">
        <f t="shared" si="278"/>
        <v/>
      </c>
      <c r="H422" s="63" t="str">
        <f t="shared" si="278"/>
        <v/>
      </c>
      <c r="I422" s="63" t="str">
        <f t="shared" si="278"/>
        <v/>
      </c>
      <c r="J422" s="63" t="str">
        <f t="shared" si="278"/>
        <v/>
      </c>
      <c r="K422" s="63" t="str">
        <f t="shared" si="278"/>
        <v/>
      </c>
      <c r="L422" s="490"/>
      <c r="M422" s="493"/>
      <c r="N422" s="493"/>
      <c r="O422" s="682"/>
      <c r="P422" s="754"/>
      <c r="Q422" s="681"/>
      <c r="R422" s="681"/>
      <c r="S422" s="681"/>
      <c r="T422" s="681"/>
      <c r="U422" s="681"/>
      <c r="V422" s="681"/>
      <c r="W422" s="493"/>
      <c r="X422" s="561">
        <f t="shared" ref="X422:X425" si="279">X421</f>
        <v>0</v>
      </c>
      <c r="Y422" s="561">
        <f>Y421+1</f>
        <v>2023</v>
      </c>
      <c r="Z422" s="560">
        <f>IF(H421&lt;&gt;0,H421-H423,0)</f>
        <v>0</v>
      </c>
      <c r="AA422" s="560">
        <f>IF(H429&lt;&gt;0,H429-H431,0)</f>
        <v>0</v>
      </c>
      <c r="AB422" s="674"/>
      <c r="AC422" s="490"/>
      <c r="AD422" s="490"/>
      <c r="AE422" s="490"/>
      <c r="AF422" s="490"/>
      <c r="AG422" s="490"/>
    </row>
    <row r="423" spans="1:33" hidden="1" outlineLevel="2" x14ac:dyDescent="0.2">
      <c r="A423" s="416"/>
      <c r="B423" s="242">
        <v>4</v>
      </c>
      <c r="C423" s="242">
        <v>6</v>
      </c>
      <c r="D423" s="243"/>
      <c r="E423" s="496" t="s">
        <v>1306</v>
      </c>
      <c r="F423" s="63" t="str">
        <f t="shared" ref="F423:K423" si="280">IFERROR(F421*INDEX(MBSIncItems,$C417,$B423)*INDEX(MBSIncItems,$C417,$C423),"")</f>
        <v/>
      </c>
      <c r="G423" s="63" t="str">
        <f t="shared" si="280"/>
        <v/>
      </c>
      <c r="H423" s="63" t="str">
        <f t="shared" si="280"/>
        <v/>
      </c>
      <c r="I423" s="63" t="str">
        <f t="shared" si="280"/>
        <v/>
      </c>
      <c r="J423" s="63" t="str">
        <f t="shared" si="280"/>
        <v/>
      </c>
      <c r="K423" s="63" t="str">
        <f t="shared" si="280"/>
        <v/>
      </c>
      <c r="L423" s="416"/>
      <c r="M423" s="416"/>
      <c r="N423" s="416"/>
      <c r="O423" s="416"/>
      <c r="P423" s="416"/>
      <c r="Q423" s="416"/>
      <c r="R423" s="416"/>
      <c r="S423" s="416"/>
      <c r="T423" s="416"/>
      <c r="U423" s="416"/>
      <c r="V423" s="416"/>
      <c r="W423" s="493"/>
      <c r="X423" s="561">
        <f t="shared" si="279"/>
        <v>0</v>
      </c>
      <c r="Y423" s="561">
        <f>Y422+1</f>
        <v>2024</v>
      </c>
      <c r="Z423" s="560">
        <f>IF(I421&lt;&gt;0,I421-I423,0)</f>
        <v>0</v>
      </c>
      <c r="AA423" s="560">
        <f>IF(I429&lt;&gt;0,I429-I431,0)</f>
        <v>0</v>
      </c>
      <c r="AB423" s="675"/>
      <c r="AC423" s="490"/>
      <c r="AD423" s="490"/>
      <c r="AE423" s="490"/>
      <c r="AF423" s="490"/>
      <c r="AG423" s="490"/>
    </row>
    <row r="424" spans="1:33" hidden="1" outlineLevel="2" x14ac:dyDescent="0.2">
      <c r="A424" s="243"/>
      <c r="B424" s="242"/>
      <c r="C424" s="242">
        <v>7</v>
      </c>
      <c r="D424" s="243"/>
      <c r="E424" s="497" t="s">
        <v>1308</v>
      </c>
      <c r="F424" s="63" t="str">
        <f t="shared" ref="F424:K424" si="281">IFERROR(F421*INDEX(MBSIncItems,$C417,$C424),"")</f>
        <v/>
      </c>
      <c r="G424" s="63" t="str">
        <f t="shared" si="281"/>
        <v/>
      </c>
      <c r="H424" s="63" t="str">
        <f t="shared" si="281"/>
        <v/>
      </c>
      <c r="I424" s="63" t="str">
        <f t="shared" si="281"/>
        <v/>
      </c>
      <c r="J424" s="63" t="str">
        <f t="shared" si="281"/>
        <v/>
      </c>
      <c r="K424" s="63" t="str">
        <f t="shared" si="281"/>
        <v/>
      </c>
      <c r="L424" s="490"/>
      <c r="M424" s="493"/>
      <c r="N424" s="493"/>
      <c r="O424" s="682"/>
      <c r="P424" s="754"/>
      <c r="Q424" s="681"/>
      <c r="R424" s="681"/>
      <c r="S424" s="681"/>
      <c r="T424" s="681"/>
      <c r="U424" s="681"/>
      <c r="V424" s="681"/>
      <c r="W424" s="493"/>
      <c r="X424" s="561">
        <f t="shared" si="279"/>
        <v>0</v>
      </c>
      <c r="Y424" s="561">
        <f>Y423+1</f>
        <v>2025</v>
      </c>
      <c r="Z424" s="560">
        <f>IF(J421&lt;&gt;0,J421-J423,0)</f>
        <v>0</v>
      </c>
      <c r="AA424" s="560">
        <f>IF(J429&lt;&gt;0,J429-J431,0)</f>
        <v>0</v>
      </c>
      <c r="AB424" s="675"/>
      <c r="AC424" s="490"/>
      <c r="AD424" s="490"/>
      <c r="AE424" s="490"/>
      <c r="AF424" s="490"/>
      <c r="AG424" s="490"/>
    </row>
    <row r="425" spans="1:33" hidden="1" outlineLevel="2" x14ac:dyDescent="0.2">
      <c r="A425" s="243"/>
      <c r="B425" s="493"/>
      <c r="C425" s="493"/>
      <c r="D425" s="493"/>
      <c r="E425" s="493"/>
      <c r="F425" s="493"/>
      <c r="G425" s="493"/>
      <c r="H425" s="493"/>
      <c r="I425" s="493"/>
      <c r="J425" s="493"/>
      <c r="K425" s="493"/>
      <c r="L425" s="490"/>
      <c r="M425" s="493"/>
      <c r="N425" s="493"/>
      <c r="O425" s="682"/>
      <c r="P425" s="682"/>
      <c r="Q425" s="681"/>
      <c r="R425" s="681"/>
      <c r="S425" s="681"/>
      <c r="T425" s="681"/>
      <c r="U425" s="681"/>
      <c r="V425" s="681"/>
      <c r="W425" s="493"/>
      <c r="X425" s="561">
        <f t="shared" si="279"/>
        <v>0</v>
      </c>
      <c r="Y425" s="561">
        <f>Y424+1</f>
        <v>2026</v>
      </c>
      <c r="Z425" s="560">
        <f>IF(K421&lt;&gt;0,K421-K423,0)</f>
        <v>0</v>
      </c>
      <c r="AA425" s="560">
        <f>IF(K429&lt;&gt;0,K429-K431,0)</f>
        <v>0</v>
      </c>
      <c r="AB425" s="675"/>
      <c r="AC425" s="490"/>
      <c r="AD425" s="490"/>
      <c r="AE425" s="490"/>
      <c r="AF425" s="490"/>
      <c r="AG425" s="490"/>
    </row>
    <row r="426" spans="1:33" hidden="1" outlineLevel="2" x14ac:dyDescent="0.2">
      <c r="A426" s="243"/>
      <c r="B426" s="243"/>
      <c r="C426" s="243"/>
      <c r="D426" s="677"/>
      <c r="E426" s="677"/>
      <c r="F426" s="495">
        <v>2</v>
      </c>
      <c r="G426" s="495">
        <v>3</v>
      </c>
      <c r="H426" s="495">
        <v>4</v>
      </c>
      <c r="I426" s="495">
        <v>5</v>
      </c>
      <c r="J426" s="495">
        <v>6</v>
      </c>
      <c r="K426" s="495">
        <v>7</v>
      </c>
      <c r="L426" s="490"/>
      <c r="M426" s="243"/>
      <c r="N426" s="678"/>
      <c r="O426" s="678"/>
      <c r="P426" s="678"/>
      <c r="Q426" s="673"/>
      <c r="R426" s="673"/>
      <c r="S426" s="673"/>
      <c r="T426" s="673"/>
      <c r="U426" s="673"/>
      <c r="V426" s="673"/>
      <c r="W426" s="490"/>
      <c r="X426" s="676"/>
      <c r="Y426" s="676"/>
      <c r="Z426" s="676"/>
      <c r="AA426" s="676"/>
      <c r="AB426" s="675"/>
      <c r="AC426" s="490"/>
      <c r="AD426" s="490"/>
      <c r="AE426" s="490"/>
      <c r="AF426" s="490"/>
      <c r="AG426" s="490"/>
    </row>
    <row r="427" spans="1:33" ht="15.75" hidden="1" outlineLevel="2" x14ac:dyDescent="0.2">
      <c r="A427" s="243"/>
      <c r="B427" s="243"/>
      <c r="C427" s="243"/>
      <c r="D427" s="663" t="s">
        <v>1</v>
      </c>
      <c r="E427" s="663"/>
      <c r="F427" s="751">
        <f>FirstYear</f>
        <v>2021</v>
      </c>
      <c r="G427" s="751">
        <f>F427+1</f>
        <v>2022</v>
      </c>
      <c r="H427" s="751">
        <f>G427+1</f>
        <v>2023</v>
      </c>
      <c r="I427" s="751">
        <f>H427+1</f>
        <v>2024</v>
      </c>
      <c r="J427" s="751">
        <f>I427+1</f>
        <v>2025</v>
      </c>
      <c r="K427" s="751">
        <f>J427+1</f>
        <v>2026</v>
      </c>
      <c r="L427" s="491"/>
      <c r="M427" s="243"/>
      <c r="N427" s="685"/>
      <c r="O427" s="685"/>
      <c r="P427" s="685"/>
      <c r="Q427" s="673"/>
      <c r="R427" s="673"/>
      <c r="S427" s="673"/>
      <c r="T427" s="673"/>
      <c r="U427" s="673"/>
      <c r="V427" s="673"/>
      <c r="W427" s="491"/>
      <c r="X427" s="676"/>
      <c r="Y427" s="676"/>
      <c r="Z427" s="676"/>
      <c r="AA427" s="676"/>
      <c r="AB427" s="675"/>
      <c r="AC427" s="490"/>
      <c r="AD427" s="490"/>
      <c r="AE427" s="490"/>
      <c r="AF427" s="490"/>
      <c r="AG427" s="490"/>
    </row>
    <row r="428" spans="1:33" hidden="1" outlineLevel="2" x14ac:dyDescent="0.2">
      <c r="A428" s="243"/>
      <c r="B428" s="243"/>
      <c r="C428" s="243"/>
      <c r="D428" s="243"/>
      <c r="E428" s="433" t="s">
        <v>951</v>
      </c>
      <c r="F428" s="283">
        <f t="shared" ref="F428:K428" si="282">F429*INDEX(MBSIncCalc,$C417,3)</f>
        <v>0</v>
      </c>
      <c r="G428" s="283">
        <f t="shared" si="282"/>
        <v>0</v>
      </c>
      <c r="H428" s="283">
        <f t="shared" si="282"/>
        <v>0</v>
      </c>
      <c r="I428" s="283">
        <f t="shared" si="282"/>
        <v>0</v>
      </c>
      <c r="J428" s="283">
        <f t="shared" si="282"/>
        <v>0</v>
      </c>
      <c r="K428" s="283">
        <f t="shared" si="282"/>
        <v>0</v>
      </c>
      <c r="L428" s="490"/>
      <c r="M428" s="615"/>
      <c r="N428" s="615"/>
      <c r="O428" s="678"/>
      <c r="P428" s="678"/>
      <c r="Q428" s="673"/>
      <c r="R428" s="673"/>
      <c r="S428" s="673"/>
      <c r="T428" s="673"/>
      <c r="U428" s="673"/>
      <c r="V428" s="673"/>
      <c r="W428" s="490"/>
      <c r="X428" s="676"/>
      <c r="Y428" s="676"/>
      <c r="Z428" s="676"/>
      <c r="AA428" s="676"/>
      <c r="AB428" s="676"/>
      <c r="AC428" s="490"/>
      <c r="AD428" s="490"/>
      <c r="AE428" s="490"/>
      <c r="AF428" s="490"/>
      <c r="AG428" s="490"/>
    </row>
    <row r="429" spans="1:33" hidden="1" outlineLevel="2" x14ac:dyDescent="0.2">
      <c r="A429" s="243"/>
      <c r="B429" s="672"/>
      <c r="C429" s="242" t="str">
        <f>C421</f>
        <v/>
      </c>
      <c r="D429" s="243"/>
      <c r="E429" s="62" t="s">
        <v>1310</v>
      </c>
      <c r="F429" s="63">
        <f t="shared" ref="F429:K429" si="283">IF(INDEX(MBSIncRate,$C417,2)=2,IFERROR(INDEX(RPBSScriptsNew,$C429,F426),0),IFERROR(INDEX(MBSRPBSInc,$C417,INDEX(MBSIncRate,$C417,3)*7+F426),0) * IFERROR(INDEX(MBSIncPopSplit,$C417),0)) * INDEX(MBSIncRate,$C417,1) * INDEX(MBSIncRate,$C417,4)</f>
        <v>0</v>
      </c>
      <c r="G429" s="63">
        <f t="shared" si="283"/>
        <v>0</v>
      </c>
      <c r="H429" s="63">
        <f t="shared" si="283"/>
        <v>0</v>
      </c>
      <c r="I429" s="63">
        <f t="shared" si="283"/>
        <v>0</v>
      </c>
      <c r="J429" s="63">
        <f t="shared" si="283"/>
        <v>0</v>
      </c>
      <c r="K429" s="63">
        <f t="shared" si="283"/>
        <v>0</v>
      </c>
      <c r="L429" s="490"/>
      <c r="M429" s="243"/>
      <c r="N429" s="753"/>
      <c r="O429" s="678"/>
      <c r="P429" s="678"/>
      <c r="Q429" s="673"/>
      <c r="R429" s="673"/>
      <c r="S429" s="673"/>
      <c r="T429" s="673"/>
      <c r="U429" s="673"/>
      <c r="V429" s="673"/>
      <c r="W429" s="490"/>
      <c r="X429" s="676"/>
      <c r="Y429" s="676"/>
      <c r="Z429" s="676"/>
      <c r="AA429" s="676"/>
      <c r="AB429" s="676"/>
      <c r="AC429" s="490"/>
      <c r="AD429" s="490"/>
      <c r="AE429" s="490"/>
      <c r="AF429" s="490"/>
      <c r="AG429" s="490"/>
    </row>
    <row r="430" spans="1:33" hidden="1" outlineLevel="2" x14ac:dyDescent="0.2">
      <c r="A430" s="243"/>
      <c r="B430" s="242">
        <v>5</v>
      </c>
      <c r="C430" s="242">
        <v>6</v>
      </c>
      <c r="D430" s="243"/>
      <c r="E430" s="496" t="s">
        <v>1307</v>
      </c>
      <c r="F430" s="63" t="str">
        <f t="shared" ref="F430:K430" si="284">IFERROR(F429*INDEX(MBSIncItems,$C417,$B430)*INDEX(MBSIncItems,$C417,$C430),"")</f>
        <v/>
      </c>
      <c r="G430" s="63" t="str">
        <f t="shared" si="284"/>
        <v/>
      </c>
      <c r="H430" s="63" t="str">
        <f t="shared" si="284"/>
        <v/>
      </c>
      <c r="I430" s="63" t="str">
        <f t="shared" si="284"/>
        <v/>
      </c>
      <c r="J430" s="63" t="str">
        <f t="shared" si="284"/>
        <v/>
      </c>
      <c r="K430" s="63" t="str">
        <f t="shared" si="284"/>
        <v/>
      </c>
      <c r="L430" s="490"/>
      <c r="M430" s="683"/>
      <c r="N430" s="753"/>
      <c r="O430" s="678"/>
      <c r="P430" s="678"/>
      <c r="Q430" s="673"/>
      <c r="R430" s="673"/>
      <c r="S430" s="673"/>
      <c r="T430" s="673"/>
      <c r="U430" s="673"/>
      <c r="V430" s="673"/>
      <c r="W430" s="490"/>
      <c r="X430" s="676"/>
      <c r="Y430" s="676"/>
      <c r="Z430" s="676"/>
      <c r="AA430" s="676"/>
      <c r="AB430" s="676"/>
      <c r="AC430" s="490"/>
      <c r="AD430" s="490"/>
      <c r="AE430" s="490"/>
      <c r="AF430" s="490"/>
      <c r="AG430" s="490"/>
    </row>
    <row r="431" spans="1:33" hidden="1" outlineLevel="2" x14ac:dyDescent="0.2">
      <c r="A431" s="243"/>
      <c r="B431" s="242">
        <v>4</v>
      </c>
      <c r="C431" s="242">
        <v>6</v>
      </c>
      <c r="D431" s="243"/>
      <c r="E431" s="496" t="s">
        <v>1306</v>
      </c>
      <c r="F431" s="63" t="str">
        <f t="shared" ref="F431:K431" si="285">IFERROR(F429*INDEX(MBSIncItems,$C417,$B431)*INDEX(MBSIncItems,$C417,$C431),"")</f>
        <v/>
      </c>
      <c r="G431" s="63" t="str">
        <f t="shared" si="285"/>
        <v/>
      </c>
      <c r="H431" s="63" t="str">
        <f t="shared" si="285"/>
        <v/>
      </c>
      <c r="I431" s="63" t="str">
        <f t="shared" si="285"/>
        <v/>
      </c>
      <c r="J431" s="63" t="str">
        <f t="shared" si="285"/>
        <v/>
      </c>
      <c r="K431" s="63" t="str">
        <f t="shared" si="285"/>
        <v/>
      </c>
      <c r="L431" s="490"/>
      <c r="M431" s="684"/>
      <c r="N431" s="682"/>
      <c r="O431" s="678"/>
      <c r="P431" s="678"/>
      <c r="Q431" s="673"/>
      <c r="R431" s="673"/>
      <c r="S431" s="673"/>
      <c r="T431" s="673"/>
      <c r="U431" s="673"/>
      <c r="V431" s="673"/>
      <c r="W431" s="490"/>
      <c r="X431" s="676"/>
      <c r="Y431" s="676"/>
      <c r="Z431" s="676"/>
      <c r="AA431" s="676"/>
      <c r="AB431" s="676"/>
      <c r="AC431" s="490"/>
      <c r="AD431" s="490"/>
      <c r="AE431" s="490"/>
      <c r="AF431" s="490"/>
      <c r="AG431" s="490"/>
    </row>
    <row r="432" spans="1:33" hidden="1" outlineLevel="2" x14ac:dyDescent="0.2">
      <c r="A432" s="243"/>
      <c r="B432" s="242"/>
      <c r="C432" s="242">
        <v>7</v>
      </c>
      <c r="D432" s="243"/>
      <c r="E432" s="497" t="s">
        <v>1308</v>
      </c>
      <c r="F432" s="63" t="str">
        <f t="shared" ref="F432:K432" si="286">IFERROR(F429*INDEX(MBSIncItems,$C417,$C432),"")</f>
        <v/>
      </c>
      <c r="G432" s="63" t="str">
        <f t="shared" si="286"/>
        <v/>
      </c>
      <c r="H432" s="63" t="str">
        <f t="shared" si="286"/>
        <v/>
      </c>
      <c r="I432" s="63" t="str">
        <f t="shared" si="286"/>
        <v/>
      </c>
      <c r="J432" s="63" t="str">
        <f t="shared" si="286"/>
        <v/>
      </c>
      <c r="K432" s="63" t="str">
        <f t="shared" si="286"/>
        <v/>
      </c>
      <c r="L432" s="490"/>
      <c r="M432" s="684"/>
      <c r="N432" s="682"/>
      <c r="O432" s="678"/>
      <c r="P432" s="678"/>
      <c r="Q432" s="673"/>
      <c r="R432" s="673"/>
      <c r="S432" s="673"/>
      <c r="T432" s="673"/>
      <c r="U432" s="673"/>
      <c r="V432" s="673"/>
      <c r="W432" s="490"/>
      <c r="X432" s="676"/>
      <c r="Y432" s="676"/>
      <c r="Z432" s="676"/>
      <c r="AA432" s="676"/>
      <c r="AB432" s="676"/>
      <c r="AC432" s="490"/>
      <c r="AD432" s="490"/>
      <c r="AE432" s="490"/>
      <c r="AF432" s="490"/>
      <c r="AG432" s="490"/>
    </row>
    <row r="433" spans="1:33" hidden="1" outlineLevel="1" x14ac:dyDescent="0.2">
      <c r="A433" s="243"/>
      <c r="B433" s="493"/>
      <c r="C433" s="493"/>
      <c r="D433" s="493"/>
      <c r="E433" s="493"/>
      <c r="F433" s="493"/>
      <c r="G433" s="493"/>
      <c r="H433" s="493"/>
      <c r="I433" s="493"/>
      <c r="J433" s="493"/>
      <c r="K433" s="493"/>
      <c r="L433" s="490"/>
      <c r="M433" s="243"/>
      <c r="N433" s="678"/>
      <c r="O433" s="678"/>
      <c r="P433" s="678"/>
      <c r="Q433" s="673"/>
      <c r="R433" s="673"/>
      <c r="S433" s="673"/>
      <c r="T433" s="673"/>
      <c r="U433" s="673"/>
      <c r="V433" s="673"/>
      <c r="W433" s="490"/>
      <c r="X433" s="676"/>
      <c r="Y433" s="676"/>
      <c r="Z433" s="676"/>
      <c r="AA433" s="676"/>
      <c r="AB433" s="676"/>
      <c r="AC433" s="490"/>
      <c r="AD433" s="490"/>
      <c r="AE433" s="490"/>
      <c r="AF433" s="490"/>
      <c r="AG433" s="490"/>
    </row>
    <row r="434" spans="1:33" ht="15.75" hidden="1" outlineLevel="1" x14ac:dyDescent="0.2">
      <c r="A434" s="243"/>
      <c r="B434" s="243"/>
      <c r="C434" s="242">
        <v>20</v>
      </c>
      <c r="D434" s="79" t="str">
        <f>INDEX(MBSIncNames,C434)</f>
        <v>** NOT USED **</v>
      </c>
      <c r="E434" s="79"/>
      <c r="F434" s="115"/>
      <c r="G434" s="115"/>
      <c r="H434" s="115"/>
      <c r="I434" s="115"/>
      <c r="J434" s="821" t="str">
        <f>IF(D434&lt;&gt;MsgNotUsed,"Co-payment group " &amp; K263,"")</f>
        <v/>
      </c>
      <c r="K434" s="821"/>
      <c r="L434" s="115"/>
      <c r="M434" s="115"/>
      <c r="N434" s="115"/>
      <c r="O434" s="115"/>
      <c r="P434" s="115"/>
      <c r="Q434" s="115"/>
      <c r="R434" s="115"/>
      <c r="S434" s="115"/>
      <c r="T434" s="115"/>
      <c r="U434" s="115"/>
      <c r="V434" s="115"/>
      <c r="W434" s="491"/>
      <c r="X434" s="490"/>
      <c r="Y434" s="490"/>
      <c r="Z434" s="490"/>
      <c r="AA434" s="490"/>
      <c r="AB434" s="676"/>
      <c r="AC434" s="490"/>
      <c r="AD434" s="490"/>
      <c r="AE434" s="490"/>
      <c r="AF434" s="490"/>
      <c r="AG434" s="490"/>
    </row>
    <row r="435" spans="1:33" hidden="1" outlineLevel="2" x14ac:dyDescent="0.2">
      <c r="A435" s="243"/>
      <c r="B435" s="243"/>
      <c r="C435" s="243"/>
      <c r="D435" s="243"/>
      <c r="E435" s="243"/>
      <c r="F435" s="495">
        <v>2</v>
      </c>
      <c r="G435" s="495">
        <v>3</v>
      </c>
      <c r="H435" s="495">
        <v>4</v>
      </c>
      <c r="I435" s="495">
        <v>5</v>
      </c>
      <c r="J435" s="495">
        <v>6</v>
      </c>
      <c r="K435" s="495">
        <v>7</v>
      </c>
      <c r="L435" s="495"/>
      <c r="M435" s="243"/>
      <c r="N435" s="243"/>
      <c r="O435" s="243"/>
      <c r="P435" s="243"/>
      <c r="Q435" s="243"/>
      <c r="R435" s="243"/>
      <c r="S435" s="243"/>
      <c r="T435" s="243"/>
      <c r="U435" s="243"/>
      <c r="V435" s="243"/>
      <c r="W435" s="490"/>
      <c r="X435" s="490"/>
      <c r="Y435" s="490"/>
      <c r="Z435" s="490"/>
      <c r="AA435" s="490"/>
      <c r="AB435" s="676"/>
      <c r="AC435" s="490"/>
      <c r="AD435" s="490"/>
      <c r="AE435" s="490"/>
      <c r="AF435" s="490"/>
      <c r="AG435" s="490"/>
    </row>
    <row r="436" spans="1:33" ht="15" hidden="1" outlineLevel="2" collapsed="1" x14ac:dyDescent="0.2">
      <c r="A436" s="243"/>
      <c r="B436" s="243"/>
      <c r="C436" s="243"/>
      <c r="D436" s="663" t="s">
        <v>0</v>
      </c>
      <c r="E436" s="663"/>
      <c r="F436" s="733">
        <f>FirstYear</f>
        <v>2021</v>
      </c>
      <c r="G436" s="733">
        <f>F436+1</f>
        <v>2022</v>
      </c>
      <c r="H436" s="733">
        <f>G436+1</f>
        <v>2023</v>
      </c>
      <c r="I436" s="733">
        <f>H436+1</f>
        <v>2024</v>
      </c>
      <c r="J436" s="733">
        <f>I436+1</f>
        <v>2025</v>
      </c>
      <c r="K436" s="733">
        <f>J436+1</f>
        <v>2026</v>
      </c>
      <c r="L436" s="491"/>
      <c r="M436" s="113"/>
      <c r="N436" s="679"/>
      <c r="O436" s="679"/>
      <c r="P436" s="679"/>
      <c r="Q436" s="674"/>
      <c r="R436" s="674"/>
      <c r="S436" s="674"/>
      <c r="T436" s="674"/>
      <c r="U436" s="674"/>
      <c r="V436" s="674"/>
      <c r="W436" s="491"/>
      <c r="X436" s="674"/>
      <c r="Y436" s="674"/>
      <c r="Z436" s="674"/>
      <c r="AA436" s="674"/>
      <c r="AB436" s="676"/>
      <c r="AC436" s="490"/>
      <c r="AD436" s="490"/>
      <c r="AE436" s="490"/>
      <c r="AF436" s="490"/>
      <c r="AG436" s="490"/>
    </row>
    <row r="437" spans="1:33" hidden="1" outlineLevel="2" x14ac:dyDescent="0.2">
      <c r="A437" s="243"/>
      <c r="B437" s="243"/>
      <c r="C437" s="243"/>
      <c r="D437" s="243"/>
      <c r="E437" s="433" t="s">
        <v>951</v>
      </c>
      <c r="F437" s="283">
        <f t="shared" ref="F437:K437" si="287">F438*INDEX(MBSIncCalc,$C434,3)</f>
        <v>0</v>
      </c>
      <c r="G437" s="283">
        <f t="shared" si="287"/>
        <v>0</v>
      </c>
      <c r="H437" s="283">
        <f t="shared" si="287"/>
        <v>0</v>
      </c>
      <c r="I437" s="283">
        <f t="shared" si="287"/>
        <v>0</v>
      </c>
      <c r="J437" s="283">
        <f t="shared" si="287"/>
        <v>0</v>
      </c>
      <c r="K437" s="283">
        <f t="shared" si="287"/>
        <v>0</v>
      </c>
      <c r="L437" s="490"/>
      <c r="M437" s="680"/>
      <c r="N437" s="664"/>
      <c r="O437" s="664"/>
      <c r="P437" s="664"/>
      <c r="Q437" s="681"/>
      <c r="R437" s="681"/>
      <c r="S437" s="681"/>
      <c r="T437" s="681"/>
      <c r="U437" s="681"/>
      <c r="V437" s="681"/>
      <c r="W437" s="493"/>
      <c r="X437" s="561">
        <f>INDEX(MBSIncItems,C434,1)</f>
        <v>0</v>
      </c>
      <c r="Y437" s="561">
        <f>FirstYear</f>
        <v>2021</v>
      </c>
      <c r="Z437" s="560">
        <f>IF(F438&lt;&gt;0,F438-F440,0)</f>
        <v>0</v>
      </c>
      <c r="AA437" s="560">
        <f>IF(F446&lt;&gt;0,F446-F448,0)</f>
        <v>0</v>
      </c>
      <c r="AB437" s="676"/>
      <c r="AC437" s="490"/>
      <c r="AD437" s="490"/>
      <c r="AE437" s="490"/>
      <c r="AF437" s="490"/>
      <c r="AG437" s="490"/>
    </row>
    <row r="438" spans="1:33" hidden="1" outlineLevel="2" x14ac:dyDescent="0.2">
      <c r="A438" s="243"/>
      <c r="B438" s="672"/>
      <c r="C438" s="242" t="str">
        <f>INDEX(MBSIncCalc,C434,2)</f>
        <v/>
      </c>
      <c r="D438" s="243"/>
      <c r="E438" s="62" t="s">
        <v>1310</v>
      </c>
      <c r="F438" s="63">
        <f t="shared" ref="F438:K438" si="288">IF(INDEX(MBSIncRate,$C434,2)=2,IFERROR(INDEX(PBSScriptsNew,$C438,F435),0),IFERROR(INDEX(MBSPBSInc,$C434,INDEX(MBSIncRate,$C434,3)*7+F435),0) * IFERROR(INDEX(MBSIncPopSplit,$C434),0)) * INDEX(MBSIncRate,$C434,1) * INDEX(MBSIncRate,$C434,4)</f>
        <v>0</v>
      </c>
      <c r="G438" s="63">
        <f t="shared" si="288"/>
        <v>0</v>
      </c>
      <c r="H438" s="63">
        <f t="shared" si="288"/>
        <v>0</v>
      </c>
      <c r="I438" s="63">
        <f t="shared" si="288"/>
        <v>0</v>
      </c>
      <c r="J438" s="63">
        <f t="shared" si="288"/>
        <v>0</v>
      </c>
      <c r="K438" s="63">
        <f t="shared" si="288"/>
        <v>0</v>
      </c>
      <c r="L438" s="490"/>
      <c r="M438" s="493"/>
      <c r="N438" s="493"/>
      <c r="O438" s="664"/>
      <c r="P438" s="664"/>
      <c r="Q438" s="681"/>
      <c r="R438" s="681"/>
      <c r="S438" s="681"/>
      <c r="T438" s="681"/>
      <c r="U438" s="681"/>
      <c r="V438" s="681"/>
      <c r="W438" s="493"/>
      <c r="X438" s="561">
        <f>X437</f>
        <v>0</v>
      </c>
      <c r="Y438" s="561">
        <f>Y437+1</f>
        <v>2022</v>
      </c>
      <c r="Z438" s="560">
        <f>IF(G438&lt;&gt;0,G438-G440,0)</f>
        <v>0</v>
      </c>
      <c r="AA438" s="560">
        <f>IF(G446&lt;&gt;0,G446-G448,0)</f>
        <v>0</v>
      </c>
      <c r="AB438" s="676"/>
      <c r="AC438" s="490"/>
      <c r="AD438" s="490"/>
      <c r="AE438" s="490"/>
      <c r="AF438" s="490"/>
      <c r="AG438" s="490"/>
    </row>
    <row r="439" spans="1:33" hidden="1" outlineLevel="2" x14ac:dyDescent="0.2">
      <c r="A439" s="243"/>
      <c r="B439" s="242">
        <v>5</v>
      </c>
      <c r="C439" s="242">
        <v>6</v>
      </c>
      <c r="D439" s="243"/>
      <c r="E439" s="496" t="s">
        <v>1307</v>
      </c>
      <c r="F439" s="63" t="str">
        <f t="shared" ref="F439:K439" si="289">IFERROR(F438*INDEX(MBSIncItems,$C434,$B439)*INDEX(MBSIncItems,$C434,$C439),"")</f>
        <v/>
      </c>
      <c r="G439" s="63" t="str">
        <f t="shared" si="289"/>
        <v/>
      </c>
      <c r="H439" s="63" t="str">
        <f t="shared" si="289"/>
        <v/>
      </c>
      <c r="I439" s="63" t="str">
        <f t="shared" si="289"/>
        <v/>
      </c>
      <c r="J439" s="63" t="str">
        <f t="shared" si="289"/>
        <v/>
      </c>
      <c r="K439" s="63" t="str">
        <f t="shared" si="289"/>
        <v/>
      </c>
      <c r="L439" s="490"/>
      <c r="M439" s="493"/>
      <c r="N439" s="493"/>
      <c r="O439" s="682"/>
      <c r="P439" s="754"/>
      <c r="Q439" s="681"/>
      <c r="R439" s="681"/>
      <c r="S439" s="681"/>
      <c r="T439" s="681"/>
      <c r="U439" s="681"/>
      <c r="V439" s="681"/>
      <c r="W439" s="493"/>
      <c r="X439" s="561">
        <f>X438</f>
        <v>0</v>
      </c>
      <c r="Y439" s="561">
        <f>Y438+1</f>
        <v>2023</v>
      </c>
      <c r="Z439" s="560">
        <f>IF(H438&lt;&gt;0,H438-H440,0)</f>
        <v>0</v>
      </c>
      <c r="AA439" s="560">
        <f>IF(H446&lt;&gt;0,H446-H448,0)</f>
        <v>0</v>
      </c>
      <c r="AB439" s="674"/>
      <c r="AC439" s="490"/>
      <c r="AD439" s="490"/>
      <c r="AE439" s="490"/>
      <c r="AF439" s="490"/>
      <c r="AG439" s="490"/>
    </row>
    <row r="440" spans="1:33" hidden="1" outlineLevel="2" x14ac:dyDescent="0.2">
      <c r="A440" s="416"/>
      <c r="B440" s="242">
        <v>4</v>
      </c>
      <c r="C440" s="242">
        <v>6</v>
      </c>
      <c r="D440" s="243"/>
      <c r="E440" s="496" t="s">
        <v>1306</v>
      </c>
      <c r="F440" s="63" t="str">
        <f t="shared" ref="F440:K440" si="290">IFERROR(F438*INDEX(MBSIncItems,$C434,$B440)*INDEX(MBSIncItems,$C434,$C440),"")</f>
        <v/>
      </c>
      <c r="G440" s="63" t="str">
        <f t="shared" si="290"/>
        <v/>
      </c>
      <c r="H440" s="63" t="str">
        <f t="shared" si="290"/>
        <v/>
      </c>
      <c r="I440" s="63" t="str">
        <f t="shared" si="290"/>
        <v/>
      </c>
      <c r="J440" s="63" t="str">
        <f t="shared" si="290"/>
        <v/>
      </c>
      <c r="K440" s="63" t="str">
        <f t="shared" si="290"/>
        <v/>
      </c>
      <c r="L440" s="416"/>
      <c r="M440" s="416"/>
      <c r="N440" s="416"/>
      <c r="O440" s="416"/>
      <c r="P440" s="416"/>
      <c r="Q440" s="416"/>
      <c r="R440" s="416"/>
      <c r="S440" s="416"/>
      <c r="T440" s="416"/>
      <c r="U440" s="416"/>
      <c r="V440" s="416"/>
      <c r="W440" s="493"/>
      <c r="X440" s="561">
        <f>X439</f>
        <v>0</v>
      </c>
      <c r="Y440" s="561">
        <f>Y439+1</f>
        <v>2024</v>
      </c>
      <c r="Z440" s="560">
        <f>IF(I438&lt;&gt;0,I438-I440,0)</f>
        <v>0</v>
      </c>
      <c r="AA440" s="560">
        <f>IF(I446&lt;&gt;0,I446-I448,0)</f>
        <v>0</v>
      </c>
      <c r="AB440" s="674"/>
      <c r="AC440" s="490"/>
      <c r="AD440" s="490"/>
      <c r="AE440" s="490"/>
      <c r="AF440" s="490"/>
      <c r="AG440" s="490"/>
    </row>
    <row r="441" spans="1:33" hidden="1" outlineLevel="2" x14ac:dyDescent="0.2">
      <c r="A441" s="243"/>
      <c r="B441" s="242"/>
      <c r="C441" s="242">
        <v>7</v>
      </c>
      <c r="D441" s="243"/>
      <c r="E441" s="497" t="s">
        <v>1308</v>
      </c>
      <c r="F441" s="63" t="str">
        <f t="shared" ref="F441:K441" si="291">IFERROR(F438*INDEX(MBSIncItems,$C434,$C441),"")</f>
        <v/>
      </c>
      <c r="G441" s="63" t="str">
        <f t="shared" si="291"/>
        <v/>
      </c>
      <c r="H441" s="63" t="str">
        <f t="shared" si="291"/>
        <v/>
      </c>
      <c r="I441" s="63" t="str">
        <f t="shared" si="291"/>
        <v/>
      </c>
      <c r="J441" s="63" t="str">
        <f t="shared" si="291"/>
        <v/>
      </c>
      <c r="K441" s="63" t="str">
        <f t="shared" si="291"/>
        <v/>
      </c>
      <c r="L441" s="490"/>
      <c r="M441" s="493"/>
      <c r="N441" s="493"/>
      <c r="O441" s="682"/>
      <c r="P441" s="754"/>
      <c r="Q441" s="681"/>
      <c r="R441" s="681"/>
      <c r="S441" s="681"/>
      <c r="T441" s="681"/>
      <c r="U441" s="681"/>
      <c r="V441" s="681"/>
      <c r="W441" s="493"/>
      <c r="X441" s="561">
        <f>X440</f>
        <v>0</v>
      </c>
      <c r="Y441" s="561">
        <f>Y440+1</f>
        <v>2025</v>
      </c>
      <c r="Z441" s="560">
        <f>IF(J438&lt;&gt;0,J438-J440,0)</f>
        <v>0</v>
      </c>
      <c r="AA441" s="560">
        <f>IF(J446&lt;&gt;0,J446-J448,0)</f>
        <v>0</v>
      </c>
      <c r="AB441" s="675"/>
      <c r="AC441" s="490"/>
      <c r="AD441" s="490"/>
      <c r="AE441" s="490"/>
      <c r="AF441" s="490"/>
      <c r="AG441" s="490"/>
    </row>
    <row r="442" spans="1:33" hidden="1" outlineLevel="2" x14ac:dyDescent="0.2">
      <c r="A442" s="243"/>
      <c r="B442" s="493"/>
      <c r="C442" s="493"/>
      <c r="D442" s="493"/>
      <c r="E442" s="493"/>
      <c r="F442" s="493"/>
      <c r="G442" s="493"/>
      <c r="H442" s="493"/>
      <c r="I442" s="493"/>
      <c r="J442" s="493"/>
      <c r="K442" s="493"/>
      <c r="L442" s="490"/>
      <c r="M442" s="493"/>
      <c r="N442" s="493"/>
      <c r="O442" s="682"/>
      <c r="P442" s="682"/>
      <c r="Q442" s="681"/>
      <c r="R442" s="681"/>
      <c r="S442" s="681"/>
      <c r="T442" s="681"/>
      <c r="U442" s="681"/>
      <c r="V442" s="681"/>
      <c r="W442" s="493"/>
      <c r="X442" s="561">
        <f>X441</f>
        <v>0</v>
      </c>
      <c r="Y442" s="561">
        <f>Y441+1</f>
        <v>2026</v>
      </c>
      <c r="Z442" s="560">
        <f>IF(K438&lt;&gt;0,K438-K440,0)</f>
        <v>0</v>
      </c>
      <c r="AA442" s="560">
        <f>IF(K446&lt;&gt;0,K446-K448,0)</f>
        <v>0</v>
      </c>
      <c r="AB442" s="675"/>
      <c r="AC442" s="490"/>
      <c r="AD442" s="490"/>
      <c r="AE442" s="490"/>
      <c r="AF442" s="490"/>
      <c r="AG442" s="490"/>
    </row>
    <row r="443" spans="1:33" hidden="1" outlineLevel="2" x14ac:dyDescent="0.2">
      <c r="A443" s="243"/>
      <c r="B443" s="243"/>
      <c r="C443" s="243"/>
      <c r="D443" s="677"/>
      <c r="E443" s="677"/>
      <c r="F443" s="495">
        <v>2</v>
      </c>
      <c r="G443" s="495">
        <v>3</v>
      </c>
      <c r="H443" s="495">
        <v>4</v>
      </c>
      <c r="I443" s="495">
        <v>5</v>
      </c>
      <c r="J443" s="495">
        <v>6</v>
      </c>
      <c r="K443" s="495">
        <v>7</v>
      </c>
      <c r="L443" s="490"/>
      <c r="M443" s="243"/>
      <c r="N443" s="678"/>
      <c r="O443" s="678"/>
      <c r="P443" s="678"/>
      <c r="Q443" s="673"/>
      <c r="R443" s="673"/>
      <c r="S443" s="673"/>
      <c r="T443" s="673"/>
      <c r="U443" s="673"/>
      <c r="V443" s="673"/>
      <c r="W443" s="490"/>
      <c r="X443" s="676"/>
      <c r="Y443" s="676"/>
      <c r="Z443" s="676"/>
      <c r="AA443" s="676"/>
      <c r="AB443" s="675"/>
      <c r="AC443" s="490"/>
      <c r="AD443" s="490"/>
      <c r="AE443" s="490"/>
      <c r="AF443" s="490"/>
      <c r="AG443" s="490"/>
    </row>
    <row r="444" spans="1:33" ht="15.75" hidden="1" outlineLevel="2" x14ac:dyDescent="0.2">
      <c r="A444" s="243"/>
      <c r="B444" s="243"/>
      <c r="C444" s="243"/>
      <c r="D444" s="663" t="s">
        <v>1</v>
      </c>
      <c r="E444" s="663"/>
      <c r="F444" s="751">
        <f>FirstYear</f>
        <v>2021</v>
      </c>
      <c r="G444" s="751">
        <f>F444+1</f>
        <v>2022</v>
      </c>
      <c r="H444" s="751">
        <f>G444+1</f>
        <v>2023</v>
      </c>
      <c r="I444" s="751">
        <f>H444+1</f>
        <v>2024</v>
      </c>
      <c r="J444" s="751">
        <f>I444+1</f>
        <v>2025</v>
      </c>
      <c r="K444" s="751">
        <f>J444+1</f>
        <v>2026</v>
      </c>
      <c r="L444" s="491"/>
      <c r="M444" s="243"/>
      <c r="N444" s="685"/>
      <c r="O444" s="685"/>
      <c r="P444" s="685"/>
      <c r="Q444" s="673"/>
      <c r="R444" s="673"/>
      <c r="S444" s="673"/>
      <c r="T444" s="673"/>
      <c r="U444" s="673"/>
      <c r="V444" s="673"/>
      <c r="W444" s="491"/>
      <c r="X444" s="676"/>
      <c r="Y444" s="676"/>
      <c r="Z444" s="676"/>
      <c r="AA444" s="676"/>
      <c r="AB444" s="675"/>
      <c r="AC444" s="490"/>
      <c r="AD444" s="490"/>
      <c r="AE444" s="490"/>
      <c r="AF444" s="490"/>
      <c r="AG444" s="490"/>
    </row>
    <row r="445" spans="1:33" hidden="1" outlineLevel="2" x14ac:dyDescent="0.2">
      <c r="A445" s="243"/>
      <c r="B445" s="243"/>
      <c r="C445" s="243"/>
      <c r="D445" s="243"/>
      <c r="E445" s="433" t="s">
        <v>951</v>
      </c>
      <c r="F445" s="283">
        <f t="shared" ref="F445:K445" si="292">F446*INDEX(MBSIncCalc,$C434,3)</f>
        <v>0</v>
      </c>
      <c r="G445" s="283">
        <f t="shared" si="292"/>
        <v>0</v>
      </c>
      <c r="H445" s="283">
        <f t="shared" si="292"/>
        <v>0</v>
      </c>
      <c r="I445" s="283">
        <f t="shared" si="292"/>
        <v>0</v>
      </c>
      <c r="J445" s="283">
        <f t="shared" si="292"/>
        <v>0</v>
      </c>
      <c r="K445" s="283">
        <f t="shared" si="292"/>
        <v>0</v>
      </c>
      <c r="L445" s="490"/>
      <c r="M445" s="615"/>
      <c r="N445" s="615"/>
      <c r="O445" s="678"/>
      <c r="P445" s="678"/>
      <c r="Q445" s="673"/>
      <c r="R445" s="673"/>
      <c r="S445" s="673"/>
      <c r="T445" s="673"/>
      <c r="U445" s="673"/>
      <c r="V445" s="673"/>
      <c r="W445" s="490"/>
      <c r="X445" s="676"/>
      <c r="Y445" s="676"/>
      <c r="Z445" s="676"/>
      <c r="AA445" s="676"/>
      <c r="AB445" s="675"/>
      <c r="AC445" s="490"/>
      <c r="AD445" s="490"/>
      <c r="AE445" s="490"/>
      <c r="AF445" s="490"/>
      <c r="AG445" s="490"/>
    </row>
    <row r="446" spans="1:33" hidden="1" outlineLevel="2" x14ac:dyDescent="0.2">
      <c r="A446" s="243"/>
      <c r="B446" s="672"/>
      <c r="C446" s="242" t="str">
        <f>C438</f>
        <v/>
      </c>
      <c r="D446" s="243"/>
      <c r="E446" s="62" t="s">
        <v>1310</v>
      </c>
      <c r="F446" s="63">
        <f t="shared" ref="F446:K446" si="293">IF(INDEX(MBSIncRate,$C434,2)=2,IFERROR(INDEX(RPBSScriptsNew,$C446,F443),0),IFERROR(INDEX(MBSRPBSInc,$C434,INDEX(MBSIncRate,$C434,3)*7+F443),0) * IFERROR(INDEX(MBSIncPopSplit,$C434),0)) * INDEX(MBSIncRate,$C434,1) * INDEX(MBSIncRate,$C434,4)</f>
        <v>0</v>
      </c>
      <c r="G446" s="63">
        <f t="shared" si="293"/>
        <v>0</v>
      </c>
      <c r="H446" s="63">
        <f t="shared" si="293"/>
        <v>0</v>
      </c>
      <c r="I446" s="63">
        <f t="shared" si="293"/>
        <v>0</v>
      </c>
      <c r="J446" s="63">
        <f t="shared" si="293"/>
        <v>0</v>
      </c>
      <c r="K446" s="63">
        <f t="shared" si="293"/>
        <v>0</v>
      </c>
      <c r="L446" s="490"/>
      <c r="M446" s="243"/>
      <c r="N446" s="753"/>
      <c r="O446" s="678"/>
      <c r="P446" s="678"/>
      <c r="Q446" s="673"/>
      <c r="R446" s="673"/>
      <c r="S446" s="673"/>
      <c r="T446" s="673"/>
      <c r="U446" s="673"/>
      <c r="V446" s="673"/>
      <c r="W446" s="490"/>
      <c r="X446" s="676"/>
      <c r="Y446" s="676"/>
      <c r="Z446" s="676"/>
      <c r="AA446" s="676"/>
      <c r="AB446" s="676"/>
      <c r="AC446" s="490"/>
      <c r="AD446" s="490"/>
      <c r="AE446" s="490"/>
      <c r="AF446" s="490"/>
      <c r="AG446" s="490"/>
    </row>
    <row r="447" spans="1:33" hidden="1" outlineLevel="2" x14ac:dyDescent="0.2">
      <c r="A447" s="243"/>
      <c r="B447" s="242">
        <v>5</v>
      </c>
      <c r="C447" s="242">
        <v>6</v>
      </c>
      <c r="D447" s="243"/>
      <c r="E447" s="496" t="s">
        <v>1307</v>
      </c>
      <c r="F447" s="63" t="str">
        <f t="shared" ref="F447:K447" si="294">IFERROR(F446*INDEX(MBSIncItems,$C434,$B447)*INDEX(MBSIncItems,$C434,$C447),"")</f>
        <v/>
      </c>
      <c r="G447" s="63" t="str">
        <f t="shared" si="294"/>
        <v/>
      </c>
      <c r="H447" s="63" t="str">
        <f t="shared" si="294"/>
        <v/>
      </c>
      <c r="I447" s="63" t="str">
        <f t="shared" si="294"/>
        <v/>
      </c>
      <c r="J447" s="63" t="str">
        <f t="shared" si="294"/>
        <v/>
      </c>
      <c r="K447" s="63" t="str">
        <f t="shared" si="294"/>
        <v/>
      </c>
      <c r="L447" s="490"/>
      <c r="M447" s="683"/>
      <c r="N447" s="753"/>
      <c r="O447" s="678"/>
      <c r="P447" s="678"/>
      <c r="Q447" s="673"/>
      <c r="R447" s="673"/>
      <c r="S447" s="673"/>
      <c r="T447" s="673"/>
      <c r="U447" s="673"/>
      <c r="V447" s="673"/>
      <c r="W447" s="490"/>
      <c r="X447" s="676"/>
      <c r="Y447" s="676"/>
      <c r="Z447" s="676"/>
      <c r="AA447" s="676"/>
      <c r="AB447" s="676"/>
      <c r="AC447" s="490"/>
      <c r="AD447" s="490"/>
      <c r="AE447" s="490"/>
      <c r="AF447" s="490"/>
      <c r="AG447" s="490"/>
    </row>
    <row r="448" spans="1:33" hidden="1" outlineLevel="2" x14ac:dyDescent="0.2">
      <c r="A448" s="243"/>
      <c r="B448" s="242">
        <v>4</v>
      </c>
      <c r="C448" s="242">
        <v>6</v>
      </c>
      <c r="D448" s="243"/>
      <c r="E448" s="496" t="s">
        <v>1306</v>
      </c>
      <c r="F448" s="63" t="str">
        <f t="shared" ref="F448:K448" si="295">IFERROR(F446*INDEX(MBSIncItems,$C434,$B448)*INDEX(MBSIncItems,$C434,$C448),"")</f>
        <v/>
      </c>
      <c r="G448" s="63" t="str">
        <f t="shared" si="295"/>
        <v/>
      </c>
      <c r="H448" s="63" t="str">
        <f t="shared" si="295"/>
        <v/>
      </c>
      <c r="I448" s="63" t="str">
        <f t="shared" si="295"/>
        <v/>
      </c>
      <c r="J448" s="63" t="str">
        <f t="shared" si="295"/>
        <v/>
      </c>
      <c r="K448" s="63" t="str">
        <f t="shared" si="295"/>
        <v/>
      </c>
      <c r="L448" s="490"/>
      <c r="M448" s="684"/>
      <c r="N448" s="682"/>
      <c r="O448" s="678"/>
      <c r="P448" s="678"/>
      <c r="Q448" s="673"/>
      <c r="R448" s="673"/>
      <c r="S448" s="673"/>
      <c r="T448" s="673"/>
      <c r="U448" s="673"/>
      <c r="V448" s="673"/>
      <c r="W448" s="490"/>
      <c r="X448" s="676"/>
      <c r="Y448" s="676"/>
      <c r="Z448" s="676"/>
      <c r="AA448" s="676"/>
      <c r="AB448" s="676"/>
      <c r="AC448" s="490"/>
      <c r="AD448" s="490"/>
      <c r="AE448" s="490"/>
      <c r="AF448" s="490"/>
      <c r="AG448" s="490"/>
    </row>
    <row r="449" spans="1:54" hidden="1" outlineLevel="2" x14ac:dyDescent="0.2">
      <c r="A449" s="243"/>
      <c r="B449" s="242"/>
      <c r="C449" s="242">
        <v>7</v>
      </c>
      <c r="D449" s="243"/>
      <c r="E449" s="497" t="s">
        <v>1308</v>
      </c>
      <c r="F449" s="63" t="str">
        <f t="shared" ref="F449:K449" si="296">IFERROR(F446*INDEX(MBSIncItems,$C434,$C449),"")</f>
        <v/>
      </c>
      <c r="G449" s="63" t="str">
        <f t="shared" si="296"/>
        <v/>
      </c>
      <c r="H449" s="63" t="str">
        <f t="shared" si="296"/>
        <v/>
      </c>
      <c r="I449" s="63" t="str">
        <f t="shared" si="296"/>
        <v/>
      </c>
      <c r="J449" s="63" t="str">
        <f t="shared" si="296"/>
        <v/>
      </c>
      <c r="K449" s="63" t="str">
        <f t="shared" si="296"/>
        <v/>
      </c>
      <c r="L449" s="490"/>
      <c r="M449" s="684"/>
      <c r="N449" s="682"/>
      <c r="O449" s="678"/>
      <c r="P449" s="678"/>
      <c r="Q449" s="673"/>
      <c r="R449" s="673"/>
      <c r="S449" s="673"/>
      <c r="T449" s="673"/>
      <c r="U449" s="673"/>
      <c r="V449" s="673"/>
      <c r="W449" s="490"/>
      <c r="X449" s="676"/>
      <c r="Y449" s="676"/>
      <c r="Z449" s="676"/>
      <c r="AA449" s="676"/>
      <c r="AB449" s="676"/>
      <c r="AC449" s="490"/>
      <c r="AD449" s="490"/>
      <c r="AE449" s="490"/>
      <c r="AF449" s="490"/>
      <c r="AG449" s="490"/>
    </row>
    <row r="450" spans="1:54" hidden="1" outlineLevel="1" x14ac:dyDescent="0.2">
      <c r="A450" s="243"/>
      <c r="B450" s="243"/>
      <c r="C450" s="243"/>
      <c r="D450" s="677"/>
      <c r="E450" s="677"/>
      <c r="F450" s="243"/>
      <c r="G450" s="243"/>
      <c r="H450" s="243"/>
      <c r="I450" s="243"/>
      <c r="J450" s="243"/>
      <c r="K450" s="243"/>
      <c r="L450" s="243"/>
      <c r="M450" s="243"/>
      <c r="N450" s="678"/>
      <c r="O450" s="678"/>
      <c r="P450" s="678"/>
      <c r="Q450" s="673"/>
      <c r="R450" s="673"/>
      <c r="S450" s="673"/>
      <c r="T450" s="673"/>
      <c r="U450" s="673"/>
      <c r="V450" s="673"/>
      <c r="W450" s="490"/>
      <c r="X450" s="676"/>
      <c r="Y450" s="676"/>
      <c r="Z450" s="676"/>
      <c r="AA450" s="676"/>
      <c r="AB450" s="676"/>
      <c r="AC450" s="490"/>
      <c r="AD450" s="490"/>
      <c r="AE450" s="490"/>
      <c r="AF450" s="490"/>
      <c r="AG450" s="490"/>
    </row>
    <row r="451" spans="1:54" collapsed="1" x14ac:dyDescent="0.2">
      <c r="A451" s="243"/>
      <c r="B451" s="243"/>
      <c r="C451" s="243"/>
      <c r="D451" s="677"/>
      <c r="E451" s="677"/>
      <c r="F451" s="243"/>
      <c r="G451" s="243"/>
      <c r="H451" s="243"/>
      <c r="I451" s="243"/>
      <c r="J451" s="243"/>
      <c r="K451" s="243"/>
      <c r="L451" s="243"/>
      <c r="M451" s="243"/>
      <c r="N451" s="678"/>
      <c r="O451" s="678"/>
      <c r="P451" s="678"/>
      <c r="Q451" s="673"/>
      <c r="R451" s="673"/>
      <c r="S451" s="673"/>
      <c r="T451" s="673"/>
      <c r="U451" s="673"/>
      <c r="V451" s="673"/>
      <c r="W451" s="490"/>
      <c r="X451" s="676"/>
      <c r="Y451" s="676"/>
      <c r="Z451" s="676"/>
      <c r="AA451" s="676"/>
      <c r="AB451" s="676"/>
      <c r="AC451" s="490"/>
      <c r="AD451" s="490"/>
      <c r="AE451" s="490"/>
      <c r="AF451" s="490"/>
      <c r="AG451" s="490"/>
    </row>
    <row r="452" spans="1:54" ht="15.75" x14ac:dyDescent="0.2">
      <c r="A452" s="243"/>
      <c r="B452" s="243"/>
      <c r="C452" s="243"/>
      <c r="D452" s="79" t="s">
        <v>877</v>
      </c>
      <c r="E452" s="79"/>
      <c r="F452" s="115"/>
      <c r="G452" s="115"/>
      <c r="H452" s="115"/>
      <c r="I452" s="115"/>
      <c r="J452" s="115"/>
      <c r="K452" s="115"/>
      <c r="L452" s="115"/>
      <c r="M452" s="115"/>
      <c r="N452" s="115"/>
      <c r="O452" s="115"/>
      <c r="P452" s="115"/>
      <c r="Q452" s="115"/>
      <c r="R452" s="115"/>
      <c r="S452" s="115"/>
      <c r="T452" s="115"/>
      <c r="U452" s="115"/>
      <c r="V452" s="115"/>
      <c r="X452" s="490"/>
      <c r="Y452" s="490"/>
      <c r="Z452" s="490"/>
      <c r="AA452" s="490"/>
      <c r="AB452" s="676"/>
      <c r="AC452" s="490"/>
      <c r="AD452" s="490"/>
      <c r="AE452" s="490"/>
      <c r="AF452" s="490"/>
      <c r="AG452" s="490"/>
    </row>
    <row r="453" spans="1:54" hidden="1" outlineLevel="1" x14ac:dyDescent="0.2">
      <c r="A453" s="113"/>
      <c r="B453" s="113"/>
      <c r="C453" s="113"/>
      <c r="D453" s="243"/>
      <c r="E453" s="243"/>
      <c r="F453" s="671"/>
      <c r="G453" s="113"/>
      <c r="H453" s="113"/>
      <c r="I453" s="113"/>
      <c r="J453" s="113"/>
      <c r="K453" s="113"/>
      <c r="L453" s="113"/>
      <c r="M453" s="113"/>
      <c r="N453" s="113"/>
      <c r="O453" s="113"/>
      <c r="P453" s="113"/>
      <c r="Q453" s="113"/>
      <c r="R453" s="113"/>
      <c r="S453" s="113"/>
      <c r="T453" s="113"/>
      <c r="U453" s="113"/>
      <c r="V453" s="113"/>
      <c r="W453" s="491"/>
      <c r="X453" s="491"/>
      <c r="Y453" s="491"/>
      <c r="Z453" s="491"/>
      <c r="AA453" s="491"/>
      <c r="AB453" s="676"/>
      <c r="AC453" s="490"/>
      <c r="AD453" s="490"/>
      <c r="AE453" s="490"/>
      <c r="AF453" s="490"/>
      <c r="AG453" s="490"/>
    </row>
    <row r="454" spans="1:54" hidden="1" outlineLevel="1" collapsed="1" x14ac:dyDescent="0.2">
      <c r="A454" s="113"/>
      <c r="B454" s="113"/>
      <c r="C454" s="113"/>
      <c r="D454" s="243" t="s">
        <v>853</v>
      </c>
      <c r="E454" s="243"/>
      <c r="F454" s="671"/>
      <c r="G454" s="113"/>
      <c r="H454" s="113"/>
      <c r="I454" s="113"/>
      <c r="J454" s="113"/>
      <c r="K454" s="113"/>
      <c r="L454" s="113"/>
      <c r="M454" s="113"/>
      <c r="N454" s="113"/>
      <c r="O454" s="113"/>
      <c r="P454" s="113"/>
      <c r="Q454" s="113"/>
      <c r="R454" s="113"/>
      <c r="S454" s="113"/>
      <c r="T454" s="113"/>
      <c r="U454" s="113"/>
      <c r="V454" s="113"/>
      <c r="W454" s="491"/>
      <c r="X454" s="491"/>
      <c r="Y454" s="491"/>
      <c r="Z454" s="491"/>
      <c r="AA454" s="491"/>
      <c r="AB454" s="676"/>
      <c r="AC454" s="490"/>
      <c r="AD454" s="490"/>
      <c r="AE454" s="490"/>
      <c r="AF454" s="490"/>
      <c r="AG454" s="490"/>
    </row>
    <row r="455" spans="1:54" hidden="1" outlineLevel="1" x14ac:dyDescent="0.2">
      <c r="A455" s="113"/>
      <c r="B455" s="113"/>
      <c r="C455" s="113"/>
      <c r="D455" s="243" t="s">
        <v>233</v>
      </c>
      <c r="E455" s="243"/>
      <c r="F455" s="671"/>
      <c r="G455" s="113"/>
      <c r="H455" s="113"/>
      <c r="I455" s="113"/>
      <c r="J455" s="113"/>
      <c r="K455" s="113"/>
      <c r="L455" s="113"/>
      <c r="M455" s="113"/>
      <c r="N455" s="113"/>
      <c r="O455" s="113"/>
      <c r="P455" s="491"/>
      <c r="Q455" s="113"/>
      <c r="R455" s="113"/>
      <c r="S455" s="113"/>
      <c r="T455" s="113"/>
      <c r="U455" s="113"/>
      <c r="V455" s="113"/>
      <c r="W455" s="491"/>
      <c r="X455" s="491"/>
      <c r="Y455" s="491"/>
      <c r="Z455" s="491"/>
      <c r="AA455" s="491"/>
      <c r="AB455" s="491"/>
      <c r="AC455" s="491"/>
      <c r="AD455" s="491"/>
      <c r="AE455" s="491"/>
      <c r="AF455" s="491"/>
      <c r="AG455" s="491"/>
      <c r="AH455" s="491"/>
      <c r="AI455" s="242">
        <v>1</v>
      </c>
      <c r="AJ455" s="242">
        <v>2</v>
      </c>
      <c r="AK455" s="242">
        <v>3</v>
      </c>
      <c r="AL455" s="242">
        <v>4</v>
      </c>
      <c r="AM455" s="242">
        <v>5</v>
      </c>
      <c r="AN455" s="242">
        <v>6</v>
      </c>
      <c r="AP455" s="242">
        <v>1</v>
      </c>
      <c r="AQ455" s="242">
        <v>2</v>
      </c>
      <c r="AR455" s="242">
        <v>3</v>
      </c>
      <c r="AS455" s="242">
        <v>4</v>
      </c>
      <c r="AT455" s="242">
        <v>5</v>
      </c>
      <c r="AU455" s="242">
        <v>6</v>
      </c>
    </row>
    <row r="456" spans="1:54" hidden="1" outlineLevel="1" x14ac:dyDescent="0.2">
      <c r="A456" s="113"/>
      <c r="B456" s="113"/>
      <c r="C456" s="113"/>
      <c r="D456" s="243"/>
      <c r="E456" s="243"/>
      <c r="F456" s="671"/>
      <c r="G456" s="113"/>
      <c r="H456" s="113"/>
      <c r="I456" s="113"/>
      <c r="J456" s="113"/>
      <c r="K456" s="113"/>
      <c r="L456" s="113"/>
      <c r="M456" s="113"/>
      <c r="N456" s="113"/>
      <c r="O456" s="113"/>
      <c r="P456" s="113"/>
      <c r="Q456" s="113"/>
      <c r="R456" s="113"/>
      <c r="S456" s="113"/>
      <c r="T456" s="113"/>
      <c r="U456" s="113"/>
      <c r="V456" s="113"/>
      <c r="W456" s="491"/>
      <c r="X456" s="491"/>
      <c r="Y456" s="491"/>
      <c r="Z456" s="491"/>
      <c r="AA456" s="491"/>
      <c r="AH456" s="491"/>
      <c r="AI456" s="855" t="str">
        <f>AH112</f>
        <v/>
      </c>
      <c r="AJ456" s="855"/>
      <c r="AK456" s="855"/>
      <c r="AL456" s="855"/>
      <c r="AM456" s="855"/>
      <c r="AN456" s="855"/>
      <c r="AP456" s="855" t="str">
        <f>AO112</f>
        <v/>
      </c>
      <c r="AQ456" s="855"/>
      <c r="AR456" s="855"/>
      <c r="AS456" s="855"/>
      <c r="AT456" s="855"/>
      <c r="AU456" s="855"/>
    </row>
    <row r="457" spans="1:54" ht="38.25" hidden="1" outlineLevel="1" x14ac:dyDescent="0.2">
      <c r="A457" s="113"/>
      <c r="B457" s="113"/>
      <c r="C457" s="113"/>
      <c r="D457" s="67" t="s">
        <v>307</v>
      </c>
      <c r="E457" s="897" t="s">
        <v>810</v>
      </c>
      <c r="F457" s="898"/>
      <c r="G457" s="67" t="s">
        <v>34</v>
      </c>
      <c r="H457" s="67" t="s">
        <v>75</v>
      </c>
      <c r="I457" s="67" t="s">
        <v>431</v>
      </c>
      <c r="J457" s="67" t="s">
        <v>76</v>
      </c>
      <c r="K457" s="67" t="s">
        <v>756</v>
      </c>
      <c r="L457" s="728" t="s">
        <v>1254</v>
      </c>
      <c r="M457" s="728" t="str">
        <f>"Number of services / patient / " &amp; IF(TxDuration=3,"course","year")</f>
        <v>Number of services / patient / year</v>
      </c>
      <c r="N457" s="728" t="s">
        <v>1255</v>
      </c>
      <c r="O457" s="67" t="s">
        <v>234</v>
      </c>
      <c r="P457" s="67" t="s">
        <v>56</v>
      </c>
      <c r="Q457" s="67" t="s">
        <v>364</v>
      </c>
      <c r="R457" s="897" t="s">
        <v>1191</v>
      </c>
      <c r="S457" s="897"/>
      <c r="T457" s="897"/>
      <c r="U457" s="897"/>
      <c r="V457" s="897"/>
      <c r="AB457" s="229" t="s">
        <v>310</v>
      </c>
      <c r="AC457" s="229" t="s">
        <v>308</v>
      </c>
      <c r="AD457" s="229" t="s">
        <v>309</v>
      </c>
      <c r="AE457" s="229" t="s">
        <v>291</v>
      </c>
      <c r="AF457" s="229" t="s">
        <v>949</v>
      </c>
      <c r="AG457" s="492" t="s">
        <v>1192</v>
      </c>
      <c r="AH457" s="491"/>
      <c r="AI457" s="229">
        <f>FirstYear</f>
        <v>2021</v>
      </c>
      <c r="AJ457" s="229">
        <f>AI457+1</f>
        <v>2022</v>
      </c>
      <c r="AK457" s="229">
        <f>AJ457+1</f>
        <v>2023</v>
      </c>
      <c r="AL457" s="229">
        <f>AK457+1</f>
        <v>2024</v>
      </c>
      <c r="AM457" s="229">
        <f>AL457+1</f>
        <v>2025</v>
      </c>
      <c r="AN457" s="229">
        <f>AM457+1</f>
        <v>2026</v>
      </c>
      <c r="AP457" s="229">
        <f>FirstYear</f>
        <v>2021</v>
      </c>
      <c r="AQ457" s="229">
        <f>AP457+1</f>
        <v>2022</v>
      </c>
      <c r="AR457" s="229">
        <f>AQ457+1</f>
        <v>2023</v>
      </c>
      <c r="AS457" s="229">
        <f>AR457+1</f>
        <v>2024</v>
      </c>
      <c r="AT457" s="229">
        <f>AS457+1</f>
        <v>2025</v>
      </c>
      <c r="AU457" s="229">
        <f>AT457+1</f>
        <v>2026</v>
      </c>
      <c r="AV457" s="491"/>
      <c r="AW457" s="491"/>
      <c r="AX457" s="491"/>
      <c r="AY457" s="491"/>
      <c r="AZ457" s="491"/>
      <c r="BA457" s="491"/>
      <c r="BB457" s="491"/>
    </row>
    <row r="458" spans="1:54" hidden="1" outlineLevel="1" x14ac:dyDescent="0.2">
      <c r="A458" s="113"/>
      <c r="B458" s="113"/>
      <c r="C458" s="242">
        <v>1</v>
      </c>
      <c r="D458" s="502"/>
      <c r="E458" s="837"/>
      <c r="F458" s="899"/>
      <c r="G458" s="51" t="str">
        <f t="shared" ref="G458:G467" si="297">IFERROR(INDEX(ServiceSplitPublic,K458),"")</f>
        <v/>
      </c>
      <c r="H458" s="51" t="str">
        <f t="shared" ref="H458:H467" si="298">IFERROR(INDEX(ServiceSplitPrivate,K458),"")</f>
        <v/>
      </c>
      <c r="I458" s="152"/>
      <c r="J458" s="51" t="str">
        <f t="shared" ref="J458:J467" si="299">IF(I458&lt;&gt;"",1-I458,"")</f>
        <v/>
      </c>
      <c r="K458" s="360"/>
      <c r="L458" s="360"/>
      <c r="M458" s="499"/>
      <c r="N458" s="499"/>
      <c r="O458" s="500"/>
      <c r="P458" s="501"/>
      <c r="Q458" s="244"/>
      <c r="R458" s="888"/>
      <c r="S458" s="888"/>
      <c r="T458" s="888"/>
      <c r="U458" s="888"/>
      <c r="V458" s="888"/>
      <c r="AB458" s="71" t="str">
        <f t="shared" ref="AB458:AB477" si="300">IF(INDEX(MBSDecItems,C458,1)&lt;&gt;"",INDEX(MBSDecItems,C458,1) &amp; " - " &amp; INDEX(MBSDecItems,C458,2),MsgNotUsed)</f>
        <v>** NOT USED **</v>
      </c>
      <c r="AC458" s="242">
        <f>IF(AD458=1,-1,1)</f>
        <v>1</v>
      </c>
      <c r="AD458" s="242">
        <f t="shared" ref="AD458:AD477" si="301">IFERROR(MATCH(L458,MBSBasis,0),0)</f>
        <v>0</v>
      </c>
      <c r="AE458" s="470">
        <f t="shared" ref="AE458:AE477" si="302">IFERROR(VLOOKUP(P458,TPShortCode,2,FALSE)-1,0)</f>
        <v>0</v>
      </c>
      <c r="AF458" s="470">
        <f t="shared" ref="AF458:AF477" si="303">CHOOSE(AD458+1,0,M458,N458)</f>
        <v>0</v>
      </c>
      <c r="AG458" s="752">
        <f t="shared" ref="AG458:AG477" ca="1" si="304">IFERROR(MATCH(R458,DTGPops,0),0)</f>
        <v>0</v>
      </c>
      <c r="AH458" s="491"/>
      <c r="AI458" s="514">
        <f t="shared" ref="AI458:AN467" ca="1" si="305">IF($AG458&lt;&gt;0,INDEX(PxTxPhase1Adj,$AG458,AI$455),0)</f>
        <v>0</v>
      </c>
      <c r="AJ458" s="514">
        <f t="shared" ca="1" si="305"/>
        <v>0</v>
      </c>
      <c r="AK458" s="514">
        <f t="shared" ca="1" si="305"/>
        <v>0</v>
      </c>
      <c r="AL458" s="514">
        <f t="shared" ca="1" si="305"/>
        <v>0</v>
      </c>
      <c r="AM458" s="514">
        <f t="shared" ca="1" si="305"/>
        <v>0</v>
      </c>
      <c r="AN458" s="514">
        <f t="shared" ca="1" si="305"/>
        <v>0</v>
      </c>
      <c r="AP458" s="514">
        <f t="shared" ref="AP458:AU467" ca="1" si="306">IF($AG458&lt;&gt;0,INDEX(PxTxPhase2Adj,$AG458,AP$455),0)</f>
        <v>0</v>
      </c>
      <c r="AQ458" s="514">
        <f t="shared" ca="1" si="306"/>
        <v>0</v>
      </c>
      <c r="AR458" s="514">
        <f t="shared" ca="1" si="306"/>
        <v>0</v>
      </c>
      <c r="AS458" s="514">
        <f t="shared" ca="1" si="306"/>
        <v>0</v>
      </c>
      <c r="AT458" s="514">
        <f t="shared" ca="1" si="306"/>
        <v>0</v>
      </c>
      <c r="AU458" s="514">
        <f t="shared" ca="1" si="306"/>
        <v>0</v>
      </c>
      <c r="AV458" s="491"/>
      <c r="AW458" s="491"/>
      <c r="AX458" s="491"/>
      <c r="AY458" s="491"/>
      <c r="AZ458" s="491"/>
      <c r="BA458" s="491"/>
      <c r="BB458" s="491"/>
    </row>
    <row r="459" spans="1:54" hidden="1" outlineLevel="1" x14ac:dyDescent="0.2">
      <c r="A459" s="113"/>
      <c r="B459" s="113"/>
      <c r="C459" s="242">
        <v>2</v>
      </c>
      <c r="D459" s="502"/>
      <c r="E459" s="837"/>
      <c r="F459" s="899"/>
      <c r="G459" s="51" t="str">
        <f t="shared" si="297"/>
        <v/>
      </c>
      <c r="H459" s="51" t="str">
        <f t="shared" si="298"/>
        <v/>
      </c>
      <c r="I459" s="152"/>
      <c r="J459" s="51" t="str">
        <f t="shared" si="299"/>
        <v/>
      </c>
      <c r="K459" s="360"/>
      <c r="L459" s="360"/>
      <c r="M459" s="499"/>
      <c r="N459" s="499"/>
      <c r="O459" s="500"/>
      <c r="P459" s="501"/>
      <c r="Q459" s="244"/>
      <c r="R459" s="888"/>
      <c r="S459" s="888"/>
      <c r="T459" s="888"/>
      <c r="U459" s="888"/>
      <c r="V459" s="888"/>
      <c r="AB459" s="71" t="str">
        <f t="shared" si="300"/>
        <v>** NOT USED **</v>
      </c>
      <c r="AC459" s="242">
        <f t="shared" ref="AC459:AC467" si="307">IF(AD459=1,-1,1)</f>
        <v>1</v>
      </c>
      <c r="AD459" s="242">
        <f t="shared" si="301"/>
        <v>0</v>
      </c>
      <c r="AE459" s="470">
        <f t="shared" si="302"/>
        <v>0</v>
      </c>
      <c r="AF459" s="470">
        <f t="shared" si="303"/>
        <v>0</v>
      </c>
      <c r="AG459" s="752">
        <f t="shared" ca="1" si="304"/>
        <v>0</v>
      </c>
      <c r="AH459" s="491"/>
      <c r="AI459" s="514">
        <f t="shared" ca="1" si="305"/>
        <v>0</v>
      </c>
      <c r="AJ459" s="514">
        <f t="shared" ca="1" si="305"/>
        <v>0</v>
      </c>
      <c r="AK459" s="514">
        <f t="shared" ca="1" si="305"/>
        <v>0</v>
      </c>
      <c r="AL459" s="514">
        <f t="shared" ca="1" si="305"/>
        <v>0</v>
      </c>
      <c r="AM459" s="514">
        <f t="shared" ca="1" si="305"/>
        <v>0</v>
      </c>
      <c r="AN459" s="514">
        <f t="shared" ca="1" si="305"/>
        <v>0</v>
      </c>
      <c r="AP459" s="514">
        <f t="shared" ca="1" si="306"/>
        <v>0</v>
      </c>
      <c r="AQ459" s="514">
        <f t="shared" ca="1" si="306"/>
        <v>0</v>
      </c>
      <c r="AR459" s="514">
        <f t="shared" ca="1" si="306"/>
        <v>0</v>
      </c>
      <c r="AS459" s="514">
        <f t="shared" ca="1" si="306"/>
        <v>0</v>
      </c>
      <c r="AT459" s="514">
        <f t="shared" ca="1" si="306"/>
        <v>0</v>
      </c>
      <c r="AU459" s="514">
        <f t="shared" ca="1" si="306"/>
        <v>0</v>
      </c>
      <c r="AV459" s="491"/>
      <c r="AW459" s="491"/>
      <c r="AX459" s="491"/>
      <c r="AY459" s="491"/>
      <c r="AZ459" s="491"/>
      <c r="BA459" s="491"/>
      <c r="BB459" s="491"/>
    </row>
    <row r="460" spans="1:54" hidden="1" outlineLevel="1" x14ac:dyDescent="0.2">
      <c r="A460" s="113"/>
      <c r="B460" s="113"/>
      <c r="C460" s="242">
        <v>3</v>
      </c>
      <c r="D460" s="502"/>
      <c r="E460" s="837"/>
      <c r="F460" s="899"/>
      <c r="G460" s="51" t="str">
        <f t="shared" si="297"/>
        <v/>
      </c>
      <c r="H460" s="51" t="str">
        <f t="shared" si="298"/>
        <v/>
      </c>
      <c r="I460" s="152"/>
      <c r="J460" s="51" t="str">
        <f t="shared" si="299"/>
        <v/>
      </c>
      <c r="K460" s="360"/>
      <c r="L460" s="360"/>
      <c r="M460" s="499"/>
      <c r="N460" s="499"/>
      <c r="O460" s="500"/>
      <c r="P460" s="501"/>
      <c r="Q460" s="244"/>
      <c r="R460" s="888"/>
      <c r="S460" s="888"/>
      <c r="T460" s="888"/>
      <c r="U460" s="888"/>
      <c r="V460" s="888"/>
      <c r="AB460" s="71" t="str">
        <f t="shared" si="300"/>
        <v>** NOT USED **</v>
      </c>
      <c r="AC460" s="242">
        <f t="shared" si="307"/>
        <v>1</v>
      </c>
      <c r="AD460" s="242">
        <f t="shared" si="301"/>
        <v>0</v>
      </c>
      <c r="AE460" s="470">
        <f t="shared" si="302"/>
        <v>0</v>
      </c>
      <c r="AF460" s="470">
        <f t="shared" si="303"/>
        <v>0</v>
      </c>
      <c r="AG460" s="752">
        <f t="shared" ca="1" si="304"/>
        <v>0</v>
      </c>
      <c r="AH460" s="491"/>
      <c r="AI460" s="514">
        <f t="shared" ca="1" si="305"/>
        <v>0</v>
      </c>
      <c r="AJ460" s="514">
        <f t="shared" ca="1" si="305"/>
        <v>0</v>
      </c>
      <c r="AK460" s="514">
        <f t="shared" ca="1" si="305"/>
        <v>0</v>
      </c>
      <c r="AL460" s="514">
        <f t="shared" ca="1" si="305"/>
        <v>0</v>
      </c>
      <c r="AM460" s="514">
        <f t="shared" ca="1" si="305"/>
        <v>0</v>
      </c>
      <c r="AN460" s="514">
        <f t="shared" ca="1" si="305"/>
        <v>0</v>
      </c>
      <c r="AP460" s="514">
        <f t="shared" ca="1" si="306"/>
        <v>0</v>
      </c>
      <c r="AQ460" s="514">
        <f t="shared" ca="1" si="306"/>
        <v>0</v>
      </c>
      <c r="AR460" s="514">
        <f t="shared" ca="1" si="306"/>
        <v>0</v>
      </c>
      <c r="AS460" s="514">
        <f t="shared" ca="1" si="306"/>
        <v>0</v>
      </c>
      <c r="AT460" s="514">
        <f t="shared" ca="1" si="306"/>
        <v>0</v>
      </c>
      <c r="AU460" s="514">
        <f t="shared" ca="1" si="306"/>
        <v>0</v>
      </c>
      <c r="AV460" s="491"/>
      <c r="AW460" s="491"/>
      <c r="AX460" s="491"/>
      <c r="AY460" s="491"/>
      <c r="AZ460" s="491"/>
      <c r="BA460" s="491"/>
      <c r="BB460" s="491"/>
    </row>
    <row r="461" spans="1:54" hidden="1" outlineLevel="1" x14ac:dyDescent="0.2">
      <c r="A461" s="113"/>
      <c r="B461" s="113"/>
      <c r="C461" s="242">
        <v>4</v>
      </c>
      <c r="D461" s="502"/>
      <c r="E461" s="837"/>
      <c r="F461" s="899"/>
      <c r="G461" s="51" t="str">
        <f t="shared" si="297"/>
        <v/>
      </c>
      <c r="H461" s="51" t="str">
        <f t="shared" si="298"/>
        <v/>
      </c>
      <c r="I461" s="152"/>
      <c r="J461" s="51" t="str">
        <f t="shared" si="299"/>
        <v/>
      </c>
      <c r="K461" s="360"/>
      <c r="L461" s="360"/>
      <c r="M461" s="499"/>
      <c r="N461" s="499"/>
      <c r="O461" s="500"/>
      <c r="P461" s="501"/>
      <c r="Q461" s="244"/>
      <c r="R461" s="888"/>
      <c r="S461" s="888"/>
      <c r="T461" s="888"/>
      <c r="U461" s="888"/>
      <c r="V461" s="888"/>
      <c r="AB461" s="71" t="str">
        <f t="shared" si="300"/>
        <v>** NOT USED **</v>
      </c>
      <c r="AC461" s="242">
        <f t="shared" si="307"/>
        <v>1</v>
      </c>
      <c r="AD461" s="242">
        <f t="shared" si="301"/>
        <v>0</v>
      </c>
      <c r="AE461" s="470">
        <f t="shared" si="302"/>
        <v>0</v>
      </c>
      <c r="AF461" s="470">
        <f t="shared" si="303"/>
        <v>0</v>
      </c>
      <c r="AG461" s="752">
        <f t="shared" ca="1" si="304"/>
        <v>0</v>
      </c>
      <c r="AH461" s="491"/>
      <c r="AI461" s="514">
        <f t="shared" ca="1" si="305"/>
        <v>0</v>
      </c>
      <c r="AJ461" s="514">
        <f t="shared" ca="1" si="305"/>
        <v>0</v>
      </c>
      <c r="AK461" s="514">
        <f t="shared" ca="1" si="305"/>
        <v>0</v>
      </c>
      <c r="AL461" s="514">
        <f t="shared" ca="1" si="305"/>
        <v>0</v>
      </c>
      <c r="AM461" s="514">
        <f t="shared" ca="1" si="305"/>
        <v>0</v>
      </c>
      <c r="AN461" s="514">
        <f t="shared" ca="1" si="305"/>
        <v>0</v>
      </c>
      <c r="AP461" s="514">
        <f t="shared" ca="1" si="306"/>
        <v>0</v>
      </c>
      <c r="AQ461" s="514">
        <f t="shared" ca="1" si="306"/>
        <v>0</v>
      </c>
      <c r="AR461" s="514">
        <f t="shared" ca="1" si="306"/>
        <v>0</v>
      </c>
      <c r="AS461" s="514">
        <f t="shared" ca="1" si="306"/>
        <v>0</v>
      </c>
      <c r="AT461" s="514">
        <f t="shared" ca="1" si="306"/>
        <v>0</v>
      </c>
      <c r="AU461" s="514">
        <f t="shared" ca="1" si="306"/>
        <v>0</v>
      </c>
      <c r="AV461" s="491"/>
      <c r="AW461" s="491"/>
      <c r="AX461" s="491"/>
      <c r="AY461" s="491"/>
      <c r="AZ461" s="491"/>
      <c r="BA461" s="491"/>
      <c r="BB461" s="491"/>
    </row>
    <row r="462" spans="1:54" hidden="1" outlineLevel="1" x14ac:dyDescent="0.2">
      <c r="A462" s="113"/>
      <c r="B462" s="113"/>
      <c r="C462" s="242">
        <v>5</v>
      </c>
      <c r="D462" s="502"/>
      <c r="E462" s="837"/>
      <c r="F462" s="899"/>
      <c r="G462" s="51" t="str">
        <f t="shared" si="297"/>
        <v/>
      </c>
      <c r="H462" s="51" t="str">
        <f t="shared" si="298"/>
        <v/>
      </c>
      <c r="I462" s="152"/>
      <c r="J462" s="51" t="str">
        <f t="shared" si="299"/>
        <v/>
      </c>
      <c r="K462" s="360"/>
      <c r="L462" s="360"/>
      <c r="M462" s="499"/>
      <c r="N462" s="499"/>
      <c r="O462" s="500"/>
      <c r="P462" s="501"/>
      <c r="Q462" s="244"/>
      <c r="R462" s="888"/>
      <c r="S462" s="888"/>
      <c r="T462" s="888"/>
      <c r="U462" s="888"/>
      <c r="V462" s="888"/>
      <c r="AB462" s="71" t="str">
        <f t="shared" si="300"/>
        <v>** NOT USED **</v>
      </c>
      <c r="AC462" s="242">
        <f t="shared" si="307"/>
        <v>1</v>
      </c>
      <c r="AD462" s="242">
        <f t="shared" si="301"/>
        <v>0</v>
      </c>
      <c r="AE462" s="470">
        <f t="shared" si="302"/>
        <v>0</v>
      </c>
      <c r="AF462" s="470">
        <f t="shared" si="303"/>
        <v>0</v>
      </c>
      <c r="AG462" s="752">
        <f t="shared" ca="1" si="304"/>
        <v>0</v>
      </c>
      <c r="AH462" s="491"/>
      <c r="AI462" s="514">
        <f t="shared" ca="1" si="305"/>
        <v>0</v>
      </c>
      <c r="AJ462" s="514">
        <f t="shared" ca="1" si="305"/>
        <v>0</v>
      </c>
      <c r="AK462" s="514">
        <f t="shared" ca="1" si="305"/>
        <v>0</v>
      </c>
      <c r="AL462" s="514">
        <f t="shared" ca="1" si="305"/>
        <v>0</v>
      </c>
      <c r="AM462" s="514">
        <f t="shared" ca="1" si="305"/>
        <v>0</v>
      </c>
      <c r="AN462" s="514">
        <f t="shared" ca="1" si="305"/>
        <v>0</v>
      </c>
      <c r="AP462" s="514">
        <f t="shared" ca="1" si="306"/>
        <v>0</v>
      </c>
      <c r="AQ462" s="514">
        <f t="shared" ca="1" si="306"/>
        <v>0</v>
      </c>
      <c r="AR462" s="514">
        <f t="shared" ca="1" si="306"/>
        <v>0</v>
      </c>
      <c r="AS462" s="514">
        <f t="shared" ca="1" si="306"/>
        <v>0</v>
      </c>
      <c r="AT462" s="514">
        <f t="shared" ca="1" si="306"/>
        <v>0</v>
      </c>
      <c r="AU462" s="514">
        <f t="shared" ca="1" si="306"/>
        <v>0</v>
      </c>
      <c r="AV462" s="491"/>
      <c r="AW462" s="491"/>
      <c r="AX462" s="491"/>
      <c r="AY462" s="491"/>
      <c r="AZ462" s="491"/>
      <c r="BA462" s="491"/>
      <c r="BB462" s="491"/>
    </row>
    <row r="463" spans="1:54" hidden="1" outlineLevel="1" x14ac:dyDescent="0.2">
      <c r="A463" s="113"/>
      <c r="B463" s="113"/>
      <c r="C463" s="242">
        <v>6</v>
      </c>
      <c r="D463" s="502"/>
      <c r="E463" s="837"/>
      <c r="F463" s="899"/>
      <c r="G463" s="51" t="str">
        <f t="shared" si="297"/>
        <v/>
      </c>
      <c r="H463" s="51" t="str">
        <f t="shared" si="298"/>
        <v/>
      </c>
      <c r="I463" s="152"/>
      <c r="J463" s="51" t="str">
        <f t="shared" si="299"/>
        <v/>
      </c>
      <c r="K463" s="360"/>
      <c r="L463" s="360"/>
      <c r="M463" s="499"/>
      <c r="N463" s="499"/>
      <c r="O463" s="500"/>
      <c r="P463" s="501"/>
      <c r="Q463" s="244"/>
      <c r="R463" s="888"/>
      <c r="S463" s="888"/>
      <c r="T463" s="888"/>
      <c r="U463" s="888"/>
      <c r="V463" s="888"/>
      <c r="AB463" s="71" t="str">
        <f t="shared" si="300"/>
        <v>** NOT USED **</v>
      </c>
      <c r="AC463" s="242">
        <f t="shared" si="307"/>
        <v>1</v>
      </c>
      <c r="AD463" s="242">
        <f t="shared" si="301"/>
        <v>0</v>
      </c>
      <c r="AE463" s="470">
        <f t="shared" si="302"/>
        <v>0</v>
      </c>
      <c r="AF463" s="470">
        <f t="shared" si="303"/>
        <v>0</v>
      </c>
      <c r="AG463" s="752">
        <f t="shared" ca="1" si="304"/>
        <v>0</v>
      </c>
      <c r="AH463" s="491"/>
      <c r="AI463" s="514">
        <f t="shared" ca="1" si="305"/>
        <v>0</v>
      </c>
      <c r="AJ463" s="514">
        <f t="shared" ca="1" si="305"/>
        <v>0</v>
      </c>
      <c r="AK463" s="514">
        <f t="shared" ca="1" si="305"/>
        <v>0</v>
      </c>
      <c r="AL463" s="514">
        <f t="shared" ca="1" si="305"/>
        <v>0</v>
      </c>
      <c r="AM463" s="514">
        <f t="shared" ca="1" si="305"/>
        <v>0</v>
      </c>
      <c r="AN463" s="514">
        <f t="shared" ca="1" si="305"/>
        <v>0</v>
      </c>
      <c r="AP463" s="514">
        <f t="shared" ca="1" si="306"/>
        <v>0</v>
      </c>
      <c r="AQ463" s="514">
        <f t="shared" ca="1" si="306"/>
        <v>0</v>
      </c>
      <c r="AR463" s="514">
        <f t="shared" ca="1" si="306"/>
        <v>0</v>
      </c>
      <c r="AS463" s="514">
        <f t="shared" ca="1" si="306"/>
        <v>0</v>
      </c>
      <c r="AT463" s="514">
        <f t="shared" ca="1" si="306"/>
        <v>0</v>
      </c>
      <c r="AU463" s="514">
        <f t="shared" ca="1" si="306"/>
        <v>0</v>
      </c>
      <c r="AV463" s="491"/>
      <c r="AW463" s="491"/>
      <c r="AX463" s="491"/>
      <c r="AY463" s="491"/>
      <c r="AZ463" s="491"/>
      <c r="BA463" s="491"/>
      <c r="BB463" s="491"/>
    </row>
    <row r="464" spans="1:54" hidden="1" outlineLevel="1" x14ac:dyDescent="0.2">
      <c r="A464" s="113"/>
      <c r="B464" s="113"/>
      <c r="C464" s="242">
        <v>7</v>
      </c>
      <c r="D464" s="502"/>
      <c r="E464" s="837"/>
      <c r="F464" s="899"/>
      <c r="G464" s="51" t="str">
        <f t="shared" si="297"/>
        <v/>
      </c>
      <c r="H464" s="51" t="str">
        <f t="shared" si="298"/>
        <v/>
      </c>
      <c r="I464" s="152"/>
      <c r="J464" s="51" t="str">
        <f t="shared" si="299"/>
        <v/>
      </c>
      <c r="K464" s="360"/>
      <c r="L464" s="360"/>
      <c r="M464" s="499"/>
      <c r="N464" s="499"/>
      <c r="O464" s="500"/>
      <c r="P464" s="501"/>
      <c r="Q464" s="244"/>
      <c r="R464" s="888"/>
      <c r="S464" s="888"/>
      <c r="T464" s="888"/>
      <c r="U464" s="888"/>
      <c r="V464" s="888"/>
      <c r="AB464" s="71" t="str">
        <f t="shared" si="300"/>
        <v>** NOT USED **</v>
      </c>
      <c r="AC464" s="242">
        <f t="shared" si="307"/>
        <v>1</v>
      </c>
      <c r="AD464" s="242">
        <f t="shared" si="301"/>
        <v>0</v>
      </c>
      <c r="AE464" s="470">
        <f t="shared" si="302"/>
        <v>0</v>
      </c>
      <c r="AF464" s="470">
        <f t="shared" si="303"/>
        <v>0</v>
      </c>
      <c r="AG464" s="752">
        <f t="shared" ca="1" si="304"/>
        <v>0</v>
      </c>
      <c r="AH464" s="491"/>
      <c r="AI464" s="514">
        <f t="shared" ca="1" si="305"/>
        <v>0</v>
      </c>
      <c r="AJ464" s="514">
        <f t="shared" ca="1" si="305"/>
        <v>0</v>
      </c>
      <c r="AK464" s="514">
        <f t="shared" ca="1" si="305"/>
        <v>0</v>
      </c>
      <c r="AL464" s="514">
        <f t="shared" ca="1" si="305"/>
        <v>0</v>
      </c>
      <c r="AM464" s="514">
        <f t="shared" ca="1" si="305"/>
        <v>0</v>
      </c>
      <c r="AN464" s="514">
        <f t="shared" ca="1" si="305"/>
        <v>0</v>
      </c>
      <c r="AP464" s="514">
        <f t="shared" ca="1" si="306"/>
        <v>0</v>
      </c>
      <c r="AQ464" s="514">
        <f t="shared" ca="1" si="306"/>
        <v>0</v>
      </c>
      <c r="AR464" s="514">
        <f t="shared" ca="1" si="306"/>
        <v>0</v>
      </c>
      <c r="AS464" s="514">
        <f t="shared" ca="1" si="306"/>
        <v>0</v>
      </c>
      <c r="AT464" s="514">
        <f t="shared" ca="1" si="306"/>
        <v>0</v>
      </c>
      <c r="AU464" s="514">
        <f t="shared" ca="1" si="306"/>
        <v>0</v>
      </c>
      <c r="AV464" s="491"/>
      <c r="AW464" s="491"/>
      <c r="AX464" s="491"/>
      <c r="AY464" s="491"/>
      <c r="AZ464" s="491"/>
      <c r="BA464" s="491"/>
      <c r="BB464" s="491"/>
    </row>
    <row r="465" spans="1:54" hidden="1" outlineLevel="1" x14ac:dyDescent="0.2">
      <c r="A465" s="113"/>
      <c r="B465" s="113"/>
      <c r="C465" s="242">
        <v>8</v>
      </c>
      <c r="D465" s="502"/>
      <c r="E465" s="837"/>
      <c r="F465" s="899"/>
      <c r="G465" s="51" t="str">
        <f t="shared" si="297"/>
        <v/>
      </c>
      <c r="H465" s="51" t="str">
        <f t="shared" si="298"/>
        <v/>
      </c>
      <c r="I465" s="152"/>
      <c r="J465" s="51" t="str">
        <f t="shared" si="299"/>
        <v/>
      </c>
      <c r="K465" s="360"/>
      <c r="L465" s="360"/>
      <c r="M465" s="499"/>
      <c r="N465" s="499"/>
      <c r="O465" s="500"/>
      <c r="P465" s="501"/>
      <c r="Q465" s="244"/>
      <c r="R465" s="888"/>
      <c r="S465" s="888"/>
      <c r="T465" s="888"/>
      <c r="U465" s="888"/>
      <c r="V465" s="888"/>
      <c r="AB465" s="71" t="str">
        <f t="shared" si="300"/>
        <v>** NOT USED **</v>
      </c>
      <c r="AC465" s="242">
        <f t="shared" si="307"/>
        <v>1</v>
      </c>
      <c r="AD465" s="242">
        <f t="shared" si="301"/>
        <v>0</v>
      </c>
      <c r="AE465" s="470">
        <f t="shared" si="302"/>
        <v>0</v>
      </c>
      <c r="AF465" s="470">
        <f t="shared" si="303"/>
        <v>0</v>
      </c>
      <c r="AG465" s="752">
        <f t="shared" ca="1" si="304"/>
        <v>0</v>
      </c>
      <c r="AH465" s="491"/>
      <c r="AI465" s="514">
        <f t="shared" ca="1" si="305"/>
        <v>0</v>
      </c>
      <c r="AJ465" s="514">
        <f t="shared" ca="1" si="305"/>
        <v>0</v>
      </c>
      <c r="AK465" s="514">
        <f t="shared" ca="1" si="305"/>
        <v>0</v>
      </c>
      <c r="AL465" s="514">
        <f t="shared" ca="1" si="305"/>
        <v>0</v>
      </c>
      <c r="AM465" s="514">
        <f t="shared" ca="1" si="305"/>
        <v>0</v>
      </c>
      <c r="AN465" s="514">
        <f t="shared" ca="1" si="305"/>
        <v>0</v>
      </c>
      <c r="AP465" s="514">
        <f t="shared" ca="1" si="306"/>
        <v>0</v>
      </c>
      <c r="AQ465" s="514">
        <f t="shared" ca="1" si="306"/>
        <v>0</v>
      </c>
      <c r="AR465" s="514">
        <f t="shared" ca="1" si="306"/>
        <v>0</v>
      </c>
      <c r="AS465" s="514">
        <f t="shared" ca="1" si="306"/>
        <v>0</v>
      </c>
      <c r="AT465" s="514">
        <f t="shared" ca="1" si="306"/>
        <v>0</v>
      </c>
      <c r="AU465" s="514">
        <f t="shared" ca="1" si="306"/>
        <v>0</v>
      </c>
      <c r="AV465" s="491"/>
      <c r="AW465" s="491"/>
      <c r="AX465" s="491"/>
      <c r="AY465" s="491"/>
      <c r="AZ465" s="491"/>
      <c r="BA465" s="491"/>
      <c r="BB465" s="491"/>
    </row>
    <row r="466" spans="1:54" hidden="1" outlineLevel="1" x14ac:dyDescent="0.2">
      <c r="A466" s="113"/>
      <c r="B466" s="113"/>
      <c r="C466" s="242">
        <v>9</v>
      </c>
      <c r="D466" s="502"/>
      <c r="E466" s="837"/>
      <c r="F466" s="899"/>
      <c r="G466" s="51" t="str">
        <f t="shared" si="297"/>
        <v/>
      </c>
      <c r="H466" s="51" t="str">
        <f t="shared" si="298"/>
        <v/>
      </c>
      <c r="I466" s="152"/>
      <c r="J466" s="51" t="str">
        <f t="shared" si="299"/>
        <v/>
      </c>
      <c r="K466" s="360"/>
      <c r="L466" s="360"/>
      <c r="M466" s="499"/>
      <c r="N466" s="499"/>
      <c r="O466" s="500"/>
      <c r="P466" s="501"/>
      <c r="Q466" s="244"/>
      <c r="R466" s="888"/>
      <c r="S466" s="888"/>
      <c r="T466" s="888"/>
      <c r="U466" s="888"/>
      <c r="V466" s="888"/>
      <c r="AB466" s="71" t="str">
        <f t="shared" si="300"/>
        <v>** NOT USED **</v>
      </c>
      <c r="AC466" s="242">
        <f t="shared" si="307"/>
        <v>1</v>
      </c>
      <c r="AD466" s="242">
        <f t="shared" si="301"/>
        <v>0</v>
      </c>
      <c r="AE466" s="470">
        <f t="shared" si="302"/>
        <v>0</v>
      </c>
      <c r="AF466" s="470">
        <f t="shared" si="303"/>
        <v>0</v>
      </c>
      <c r="AG466" s="752">
        <f t="shared" ca="1" si="304"/>
        <v>0</v>
      </c>
      <c r="AH466" s="491"/>
      <c r="AI466" s="514">
        <f t="shared" ca="1" si="305"/>
        <v>0</v>
      </c>
      <c r="AJ466" s="514">
        <f t="shared" ca="1" si="305"/>
        <v>0</v>
      </c>
      <c r="AK466" s="514">
        <f t="shared" ca="1" si="305"/>
        <v>0</v>
      </c>
      <c r="AL466" s="514">
        <f t="shared" ca="1" si="305"/>
        <v>0</v>
      </c>
      <c r="AM466" s="514">
        <f t="shared" ca="1" si="305"/>
        <v>0</v>
      </c>
      <c r="AN466" s="514">
        <f t="shared" ca="1" si="305"/>
        <v>0</v>
      </c>
      <c r="AP466" s="514">
        <f t="shared" ca="1" si="306"/>
        <v>0</v>
      </c>
      <c r="AQ466" s="514">
        <f t="shared" ca="1" si="306"/>
        <v>0</v>
      </c>
      <c r="AR466" s="514">
        <f t="shared" ca="1" si="306"/>
        <v>0</v>
      </c>
      <c r="AS466" s="514">
        <f t="shared" ca="1" si="306"/>
        <v>0</v>
      </c>
      <c r="AT466" s="514">
        <f t="shared" ca="1" si="306"/>
        <v>0</v>
      </c>
      <c r="AU466" s="514">
        <f t="shared" ca="1" si="306"/>
        <v>0</v>
      </c>
      <c r="AV466" s="491"/>
      <c r="AW466" s="491"/>
      <c r="AX466" s="491"/>
      <c r="AY466" s="491"/>
      <c r="AZ466" s="491"/>
      <c r="BA466" s="491"/>
      <c r="BB466" s="491"/>
    </row>
    <row r="467" spans="1:54" hidden="1" outlineLevel="1" x14ac:dyDescent="0.2">
      <c r="A467" s="113"/>
      <c r="B467" s="113"/>
      <c r="C467" s="242">
        <v>10</v>
      </c>
      <c r="D467" s="502"/>
      <c r="E467" s="837"/>
      <c r="F467" s="899"/>
      <c r="G467" s="51" t="str">
        <f t="shared" si="297"/>
        <v/>
      </c>
      <c r="H467" s="51" t="str">
        <f t="shared" si="298"/>
        <v/>
      </c>
      <c r="I467" s="152"/>
      <c r="J467" s="51" t="str">
        <f t="shared" si="299"/>
        <v/>
      </c>
      <c r="K467" s="360"/>
      <c r="L467" s="360"/>
      <c r="M467" s="499"/>
      <c r="N467" s="499"/>
      <c r="O467" s="500"/>
      <c r="P467" s="501"/>
      <c r="Q467" s="244"/>
      <c r="R467" s="888"/>
      <c r="S467" s="888"/>
      <c r="T467" s="888"/>
      <c r="U467" s="888"/>
      <c r="V467" s="888"/>
      <c r="AB467" s="71" t="str">
        <f t="shared" si="300"/>
        <v>** NOT USED **</v>
      </c>
      <c r="AC467" s="242">
        <f t="shared" si="307"/>
        <v>1</v>
      </c>
      <c r="AD467" s="242">
        <f t="shared" si="301"/>
        <v>0</v>
      </c>
      <c r="AE467" s="470">
        <f t="shared" si="302"/>
        <v>0</v>
      </c>
      <c r="AF467" s="470">
        <f t="shared" si="303"/>
        <v>0</v>
      </c>
      <c r="AG467" s="752">
        <f t="shared" ca="1" si="304"/>
        <v>0</v>
      </c>
      <c r="AH467" s="491"/>
      <c r="AI467" s="514">
        <f t="shared" ca="1" si="305"/>
        <v>0</v>
      </c>
      <c r="AJ467" s="514">
        <f t="shared" ca="1" si="305"/>
        <v>0</v>
      </c>
      <c r="AK467" s="514">
        <f t="shared" ca="1" si="305"/>
        <v>0</v>
      </c>
      <c r="AL467" s="514">
        <f t="shared" ca="1" si="305"/>
        <v>0</v>
      </c>
      <c r="AM467" s="514">
        <f t="shared" ca="1" si="305"/>
        <v>0</v>
      </c>
      <c r="AN467" s="514">
        <f t="shared" ca="1" si="305"/>
        <v>0</v>
      </c>
      <c r="AP467" s="514">
        <f t="shared" ca="1" si="306"/>
        <v>0</v>
      </c>
      <c r="AQ467" s="514">
        <f t="shared" ca="1" si="306"/>
        <v>0</v>
      </c>
      <c r="AR467" s="514">
        <f t="shared" ca="1" si="306"/>
        <v>0</v>
      </c>
      <c r="AS467" s="514">
        <f t="shared" ca="1" si="306"/>
        <v>0</v>
      </c>
      <c r="AT467" s="514">
        <f t="shared" ca="1" si="306"/>
        <v>0</v>
      </c>
      <c r="AU467" s="514">
        <f t="shared" ca="1" si="306"/>
        <v>0</v>
      </c>
      <c r="AV467" s="491"/>
      <c r="AW467" s="491"/>
      <c r="AX467" s="491"/>
      <c r="AY467" s="491"/>
      <c r="AZ467" s="491"/>
      <c r="BA467" s="491"/>
      <c r="BB467" s="491"/>
    </row>
    <row r="468" spans="1:54" hidden="1" outlineLevel="1" x14ac:dyDescent="0.2">
      <c r="A468" s="113"/>
      <c r="B468" s="113"/>
      <c r="C468" s="242">
        <v>11</v>
      </c>
      <c r="D468" s="732"/>
      <c r="E468" s="837"/>
      <c r="F468" s="899"/>
      <c r="G468" s="51" t="str">
        <f t="shared" ref="G468:G477" si="308">IFERROR(INDEX(ServiceSplitPublic,K468),"")</f>
        <v/>
      </c>
      <c r="H468" s="51" t="str">
        <f t="shared" ref="H468:H477" si="309">IFERROR(INDEX(ServiceSplitPrivate,K468),"")</f>
        <v/>
      </c>
      <c r="I468" s="152"/>
      <c r="J468" s="51" t="str">
        <f t="shared" ref="J468:J477" si="310">IF(I468&lt;&gt;"",1-I468,"")</f>
        <v/>
      </c>
      <c r="K468" s="360"/>
      <c r="L468" s="360"/>
      <c r="M468" s="499"/>
      <c r="N468" s="499"/>
      <c r="O468" s="500"/>
      <c r="P468" s="501"/>
      <c r="Q468" s="244"/>
      <c r="R468" s="888"/>
      <c r="S468" s="888"/>
      <c r="T468" s="888"/>
      <c r="U468" s="888"/>
      <c r="V468" s="888"/>
      <c r="W468" s="491"/>
      <c r="X468" s="491"/>
      <c r="Z468" s="491"/>
      <c r="AA468" s="491"/>
      <c r="AB468" s="71" t="str">
        <f t="shared" si="300"/>
        <v>** NOT USED **</v>
      </c>
      <c r="AC468" s="242">
        <f t="shared" ref="AC468:AC477" si="311">IF(AD468=1,-1,1)</f>
        <v>1</v>
      </c>
      <c r="AD468" s="242">
        <f t="shared" si="301"/>
        <v>0</v>
      </c>
      <c r="AE468" s="470">
        <f t="shared" si="302"/>
        <v>0</v>
      </c>
      <c r="AF468" s="470">
        <f t="shared" si="303"/>
        <v>0</v>
      </c>
      <c r="AG468" s="752">
        <f t="shared" ca="1" si="304"/>
        <v>0</v>
      </c>
      <c r="AH468" s="491"/>
      <c r="AI468" s="514">
        <f t="shared" ref="AI468:AN477" ca="1" si="312">IF($AG468&lt;&gt;0,INDEX(PxTxPhase1Adj,$AG468,AI$455),0)</f>
        <v>0</v>
      </c>
      <c r="AJ468" s="514">
        <f t="shared" ca="1" si="312"/>
        <v>0</v>
      </c>
      <c r="AK468" s="514">
        <f t="shared" ca="1" si="312"/>
        <v>0</v>
      </c>
      <c r="AL468" s="514">
        <f t="shared" ca="1" si="312"/>
        <v>0</v>
      </c>
      <c r="AM468" s="514">
        <f t="shared" ca="1" si="312"/>
        <v>0</v>
      </c>
      <c r="AN468" s="514">
        <f t="shared" ca="1" si="312"/>
        <v>0</v>
      </c>
      <c r="AO468" s="491"/>
      <c r="AP468" s="514">
        <f t="shared" ref="AP468:AU477" ca="1" si="313">IF($AG468&lt;&gt;0,INDEX(PxTxPhase2Adj,$AG468,AP$455),0)</f>
        <v>0</v>
      </c>
      <c r="AQ468" s="514">
        <f t="shared" ca="1" si="313"/>
        <v>0</v>
      </c>
      <c r="AR468" s="514">
        <f t="shared" ca="1" si="313"/>
        <v>0</v>
      </c>
      <c r="AS468" s="514">
        <f t="shared" ca="1" si="313"/>
        <v>0</v>
      </c>
      <c r="AT468" s="514">
        <f t="shared" ca="1" si="313"/>
        <v>0</v>
      </c>
      <c r="AU468" s="514">
        <f t="shared" ca="1" si="313"/>
        <v>0</v>
      </c>
      <c r="AV468" s="491"/>
      <c r="AW468" s="491"/>
      <c r="AX468" s="491"/>
      <c r="AY468" s="491"/>
      <c r="AZ468" s="491"/>
      <c r="BA468" s="491"/>
      <c r="BB468" s="491"/>
    </row>
    <row r="469" spans="1:54" hidden="1" outlineLevel="1" x14ac:dyDescent="0.2">
      <c r="A469" s="113"/>
      <c r="B469" s="113"/>
      <c r="C469" s="242">
        <v>12</v>
      </c>
      <c r="D469" s="732"/>
      <c r="E469" s="837"/>
      <c r="F469" s="899"/>
      <c r="G469" s="51" t="str">
        <f t="shared" si="308"/>
        <v/>
      </c>
      <c r="H469" s="51" t="str">
        <f t="shared" si="309"/>
        <v/>
      </c>
      <c r="I469" s="152"/>
      <c r="J469" s="51" t="str">
        <f t="shared" si="310"/>
        <v/>
      </c>
      <c r="K469" s="360"/>
      <c r="L469" s="360"/>
      <c r="M469" s="499"/>
      <c r="N469" s="499"/>
      <c r="O469" s="500"/>
      <c r="P469" s="501"/>
      <c r="Q469" s="244"/>
      <c r="R469" s="888"/>
      <c r="S469" s="888"/>
      <c r="T469" s="888"/>
      <c r="U469" s="888"/>
      <c r="V469" s="888"/>
      <c r="W469" s="491"/>
      <c r="X469" s="491"/>
      <c r="Z469" s="491"/>
      <c r="AA469" s="491"/>
      <c r="AB469" s="71" t="str">
        <f t="shared" si="300"/>
        <v>** NOT USED **</v>
      </c>
      <c r="AC469" s="242">
        <f t="shared" si="311"/>
        <v>1</v>
      </c>
      <c r="AD469" s="242">
        <f t="shared" si="301"/>
        <v>0</v>
      </c>
      <c r="AE469" s="470">
        <f t="shared" si="302"/>
        <v>0</v>
      </c>
      <c r="AF469" s="470">
        <f t="shared" si="303"/>
        <v>0</v>
      </c>
      <c r="AG469" s="752">
        <f t="shared" ca="1" si="304"/>
        <v>0</v>
      </c>
      <c r="AH469" s="491"/>
      <c r="AI469" s="514">
        <f t="shared" ca="1" si="312"/>
        <v>0</v>
      </c>
      <c r="AJ469" s="514">
        <f t="shared" ca="1" si="312"/>
        <v>0</v>
      </c>
      <c r="AK469" s="514">
        <f t="shared" ca="1" si="312"/>
        <v>0</v>
      </c>
      <c r="AL469" s="514">
        <f t="shared" ca="1" si="312"/>
        <v>0</v>
      </c>
      <c r="AM469" s="514">
        <f t="shared" ca="1" si="312"/>
        <v>0</v>
      </c>
      <c r="AN469" s="514">
        <f t="shared" ca="1" si="312"/>
        <v>0</v>
      </c>
      <c r="AO469" s="491"/>
      <c r="AP469" s="514">
        <f t="shared" ca="1" si="313"/>
        <v>0</v>
      </c>
      <c r="AQ469" s="514">
        <f t="shared" ca="1" si="313"/>
        <v>0</v>
      </c>
      <c r="AR469" s="514">
        <f t="shared" ca="1" si="313"/>
        <v>0</v>
      </c>
      <c r="AS469" s="514">
        <f t="shared" ca="1" si="313"/>
        <v>0</v>
      </c>
      <c r="AT469" s="514">
        <f t="shared" ca="1" si="313"/>
        <v>0</v>
      </c>
      <c r="AU469" s="514">
        <f t="shared" ca="1" si="313"/>
        <v>0</v>
      </c>
      <c r="AV469" s="491"/>
      <c r="AW469" s="491"/>
      <c r="AX469" s="491"/>
      <c r="AY469" s="491"/>
      <c r="AZ469" s="491"/>
      <c r="BA469" s="491"/>
      <c r="BB469" s="491"/>
    </row>
    <row r="470" spans="1:54" hidden="1" outlineLevel="1" x14ac:dyDescent="0.2">
      <c r="A470" s="113"/>
      <c r="B470" s="113"/>
      <c r="C470" s="242">
        <v>13</v>
      </c>
      <c r="D470" s="732"/>
      <c r="E470" s="837"/>
      <c r="F470" s="899"/>
      <c r="G470" s="51" t="str">
        <f t="shared" si="308"/>
        <v/>
      </c>
      <c r="H470" s="51" t="str">
        <f t="shared" si="309"/>
        <v/>
      </c>
      <c r="I470" s="152"/>
      <c r="J470" s="51" t="str">
        <f t="shared" si="310"/>
        <v/>
      </c>
      <c r="K470" s="360"/>
      <c r="L470" s="360"/>
      <c r="M470" s="499"/>
      <c r="N470" s="499"/>
      <c r="O470" s="500"/>
      <c r="P470" s="501"/>
      <c r="Q470" s="244"/>
      <c r="R470" s="888"/>
      <c r="S470" s="888"/>
      <c r="T470" s="888"/>
      <c r="U470" s="888"/>
      <c r="V470" s="888"/>
      <c r="W470" s="491"/>
      <c r="X470" s="491"/>
      <c r="Z470" s="491"/>
      <c r="AA470" s="491"/>
      <c r="AB470" s="71" t="str">
        <f t="shared" si="300"/>
        <v>** NOT USED **</v>
      </c>
      <c r="AC470" s="242">
        <f t="shared" si="311"/>
        <v>1</v>
      </c>
      <c r="AD470" s="242">
        <f t="shared" si="301"/>
        <v>0</v>
      </c>
      <c r="AE470" s="470">
        <f t="shared" si="302"/>
        <v>0</v>
      </c>
      <c r="AF470" s="470">
        <f t="shared" si="303"/>
        <v>0</v>
      </c>
      <c r="AG470" s="752">
        <f t="shared" ca="1" si="304"/>
        <v>0</v>
      </c>
      <c r="AH470" s="491"/>
      <c r="AI470" s="514">
        <f t="shared" ca="1" si="312"/>
        <v>0</v>
      </c>
      <c r="AJ470" s="514">
        <f t="shared" ca="1" si="312"/>
        <v>0</v>
      </c>
      <c r="AK470" s="514">
        <f t="shared" ca="1" si="312"/>
        <v>0</v>
      </c>
      <c r="AL470" s="514">
        <f t="shared" ca="1" si="312"/>
        <v>0</v>
      </c>
      <c r="AM470" s="514">
        <f t="shared" ca="1" si="312"/>
        <v>0</v>
      </c>
      <c r="AN470" s="514">
        <f t="shared" ca="1" si="312"/>
        <v>0</v>
      </c>
      <c r="AO470" s="491"/>
      <c r="AP470" s="514">
        <f t="shared" ca="1" si="313"/>
        <v>0</v>
      </c>
      <c r="AQ470" s="514">
        <f t="shared" ca="1" si="313"/>
        <v>0</v>
      </c>
      <c r="AR470" s="514">
        <f t="shared" ca="1" si="313"/>
        <v>0</v>
      </c>
      <c r="AS470" s="514">
        <f t="shared" ca="1" si="313"/>
        <v>0</v>
      </c>
      <c r="AT470" s="514">
        <f t="shared" ca="1" si="313"/>
        <v>0</v>
      </c>
      <c r="AU470" s="514">
        <f t="shared" ca="1" si="313"/>
        <v>0</v>
      </c>
      <c r="AV470" s="491"/>
      <c r="AW470" s="491"/>
      <c r="AX470" s="491"/>
      <c r="AY470" s="491"/>
      <c r="AZ470" s="491"/>
      <c r="BA470" s="491"/>
      <c r="BB470" s="491"/>
    </row>
    <row r="471" spans="1:54" hidden="1" outlineLevel="1" x14ac:dyDescent="0.2">
      <c r="A471" s="113"/>
      <c r="B471" s="113"/>
      <c r="C471" s="242">
        <v>14</v>
      </c>
      <c r="D471" s="732"/>
      <c r="E471" s="837"/>
      <c r="F471" s="899"/>
      <c r="G471" s="51" t="str">
        <f t="shared" si="308"/>
        <v/>
      </c>
      <c r="H471" s="51" t="str">
        <f t="shared" si="309"/>
        <v/>
      </c>
      <c r="I471" s="152"/>
      <c r="J471" s="51" t="str">
        <f t="shared" si="310"/>
        <v/>
      </c>
      <c r="K471" s="360"/>
      <c r="L471" s="360"/>
      <c r="M471" s="499"/>
      <c r="N471" s="499"/>
      <c r="O471" s="500"/>
      <c r="P471" s="501"/>
      <c r="Q471" s="244"/>
      <c r="R471" s="888"/>
      <c r="S471" s="888"/>
      <c r="T471" s="888"/>
      <c r="U471" s="888"/>
      <c r="V471" s="888"/>
      <c r="W471" s="491"/>
      <c r="X471" s="491"/>
      <c r="Z471" s="491"/>
      <c r="AA471" s="491"/>
      <c r="AB471" s="71" t="str">
        <f t="shared" si="300"/>
        <v>** NOT USED **</v>
      </c>
      <c r="AC471" s="242">
        <f t="shared" si="311"/>
        <v>1</v>
      </c>
      <c r="AD471" s="242">
        <f t="shared" si="301"/>
        <v>0</v>
      </c>
      <c r="AE471" s="470">
        <f t="shared" si="302"/>
        <v>0</v>
      </c>
      <c r="AF471" s="470">
        <f t="shared" si="303"/>
        <v>0</v>
      </c>
      <c r="AG471" s="752">
        <f t="shared" ca="1" si="304"/>
        <v>0</v>
      </c>
      <c r="AH471" s="491"/>
      <c r="AI471" s="514">
        <f t="shared" ca="1" si="312"/>
        <v>0</v>
      </c>
      <c r="AJ471" s="514">
        <f t="shared" ca="1" si="312"/>
        <v>0</v>
      </c>
      <c r="AK471" s="514">
        <f t="shared" ca="1" si="312"/>
        <v>0</v>
      </c>
      <c r="AL471" s="514">
        <f t="shared" ca="1" si="312"/>
        <v>0</v>
      </c>
      <c r="AM471" s="514">
        <f t="shared" ca="1" si="312"/>
        <v>0</v>
      </c>
      <c r="AN471" s="514">
        <f t="shared" ca="1" si="312"/>
        <v>0</v>
      </c>
      <c r="AO471" s="491"/>
      <c r="AP471" s="514">
        <f t="shared" ca="1" si="313"/>
        <v>0</v>
      </c>
      <c r="AQ471" s="514">
        <f t="shared" ca="1" si="313"/>
        <v>0</v>
      </c>
      <c r="AR471" s="514">
        <f t="shared" ca="1" si="313"/>
        <v>0</v>
      </c>
      <c r="AS471" s="514">
        <f t="shared" ca="1" si="313"/>
        <v>0</v>
      </c>
      <c r="AT471" s="514">
        <f t="shared" ca="1" si="313"/>
        <v>0</v>
      </c>
      <c r="AU471" s="514">
        <f t="shared" ca="1" si="313"/>
        <v>0</v>
      </c>
      <c r="AV471" s="491"/>
      <c r="AW471" s="491"/>
      <c r="AX471" s="491"/>
      <c r="AY471" s="491"/>
      <c r="AZ471" s="491"/>
      <c r="BA471" s="491"/>
      <c r="BB471" s="491"/>
    </row>
    <row r="472" spans="1:54" hidden="1" outlineLevel="1" x14ac:dyDescent="0.2">
      <c r="A472" s="113"/>
      <c r="B472" s="113"/>
      <c r="C472" s="242">
        <v>15</v>
      </c>
      <c r="D472" s="732"/>
      <c r="E472" s="837"/>
      <c r="F472" s="899"/>
      <c r="G472" s="51" t="str">
        <f t="shared" si="308"/>
        <v/>
      </c>
      <c r="H472" s="51" t="str">
        <f t="shared" si="309"/>
        <v/>
      </c>
      <c r="I472" s="152"/>
      <c r="J472" s="51" t="str">
        <f t="shared" si="310"/>
        <v/>
      </c>
      <c r="K472" s="360"/>
      <c r="L472" s="360"/>
      <c r="M472" s="499"/>
      <c r="N472" s="499"/>
      <c r="O472" s="500"/>
      <c r="P472" s="501"/>
      <c r="Q472" s="244"/>
      <c r="R472" s="888"/>
      <c r="S472" s="888"/>
      <c r="T472" s="888"/>
      <c r="U472" s="888"/>
      <c r="V472" s="888"/>
      <c r="W472" s="491"/>
      <c r="X472" s="491"/>
      <c r="Z472" s="491"/>
      <c r="AA472" s="491"/>
      <c r="AB472" s="71" t="str">
        <f t="shared" si="300"/>
        <v>** NOT USED **</v>
      </c>
      <c r="AC472" s="242">
        <f t="shared" si="311"/>
        <v>1</v>
      </c>
      <c r="AD472" s="242">
        <f t="shared" si="301"/>
        <v>0</v>
      </c>
      <c r="AE472" s="470">
        <f t="shared" si="302"/>
        <v>0</v>
      </c>
      <c r="AF472" s="470">
        <f t="shared" si="303"/>
        <v>0</v>
      </c>
      <c r="AG472" s="752">
        <f t="shared" ca="1" si="304"/>
        <v>0</v>
      </c>
      <c r="AH472" s="491"/>
      <c r="AI472" s="514">
        <f t="shared" ca="1" si="312"/>
        <v>0</v>
      </c>
      <c r="AJ472" s="514">
        <f t="shared" ca="1" si="312"/>
        <v>0</v>
      </c>
      <c r="AK472" s="514">
        <f t="shared" ca="1" si="312"/>
        <v>0</v>
      </c>
      <c r="AL472" s="514">
        <f t="shared" ca="1" si="312"/>
        <v>0</v>
      </c>
      <c r="AM472" s="514">
        <f t="shared" ca="1" si="312"/>
        <v>0</v>
      </c>
      <c r="AN472" s="514">
        <f t="shared" ca="1" si="312"/>
        <v>0</v>
      </c>
      <c r="AO472" s="491"/>
      <c r="AP472" s="514">
        <f t="shared" ca="1" si="313"/>
        <v>0</v>
      </c>
      <c r="AQ472" s="514">
        <f t="shared" ca="1" si="313"/>
        <v>0</v>
      </c>
      <c r="AR472" s="514">
        <f t="shared" ca="1" si="313"/>
        <v>0</v>
      </c>
      <c r="AS472" s="514">
        <f t="shared" ca="1" si="313"/>
        <v>0</v>
      </c>
      <c r="AT472" s="514">
        <f t="shared" ca="1" si="313"/>
        <v>0</v>
      </c>
      <c r="AU472" s="514">
        <f t="shared" ca="1" si="313"/>
        <v>0</v>
      </c>
      <c r="AV472" s="491"/>
      <c r="AW472" s="491"/>
      <c r="AX472" s="491"/>
      <c r="AY472" s="491"/>
      <c r="AZ472" s="491"/>
      <c r="BA472" s="491"/>
      <c r="BB472" s="491"/>
    </row>
    <row r="473" spans="1:54" hidden="1" outlineLevel="1" x14ac:dyDescent="0.2">
      <c r="A473" s="113"/>
      <c r="B473" s="113"/>
      <c r="C473" s="242">
        <v>16</v>
      </c>
      <c r="D473" s="732"/>
      <c r="E473" s="837"/>
      <c r="F473" s="899"/>
      <c r="G473" s="51" t="str">
        <f t="shared" si="308"/>
        <v/>
      </c>
      <c r="H473" s="51" t="str">
        <f t="shared" si="309"/>
        <v/>
      </c>
      <c r="I473" s="152"/>
      <c r="J473" s="51" t="str">
        <f t="shared" si="310"/>
        <v/>
      </c>
      <c r="K473" s="360"/>
      <c r="L473" s="360"/>
      <c r="M473" s="499"/>
      <c r="N473" s="499"/>
      <c r="O473" s="500"/>
      <c r="P473" s="501"/>
      <c r="Q473" s="244"/>
      <c r="R473" s="888"/>
      <c r="S473" s="888"/>
      <c r="T473" s="888"/>
      <c r="U473" s="888"/>
      <c r="V473" s="888"/>
      <c r="W473" s="491"/>
      <c r="X473" s="491"/>
      <c r="Z473" s="491"/>
      <c r="AA473" s="491"/>
      <c r="AB473" s="71" t="str">
        <f t="shared" si="300"/>
        <v>** NOT USED **</v>
      </c>
      <c r="AC473" s="242">
        <f t="shared" si="311"/>
        <v>1</v>
      </c>
      <c r="AD473" s="242">
        <f t="shared" si="301"/>
        <v>0</v>
      </c>
      <c r="AE473" s="470">
        <f t="shared" si="302"/>
        <v>0</v>
      </c>
      <c r="AF473" s="470">
        <f t="shared" si="303"/>
        <v>0</v>
      </c>
      <c r="AG473" s="752">
        <f t="shared" ca="1" si="304"/>
        <v>0</v>
      </c>
      <c r="AH473" s="491"/>
      <c r="AI473" s="514">
        <f t="shared" ca="1" si="312"/>
        <v>0</v>
      </c>
      <c r="AJ473" s="514">
        <f t="shared" ca="1" si="312"/>
        <v>0</v>
      </c>
      <c r="AK473" s="514">
        <f t="shared" ca="1" si="312"/>
        <v>0</v>
      </c>
      <c r="AL473" s="514">
        <f t="shared" ca="1" si="312"/>
        <v>0</v>
      </c>
      <c r="AM473" s="514">
        <f t="shared" ca="1" si="312"/>
        <v>0</v>
      </c>
      <c r="AN473" s="514">
        <f t="shared" ca="1" si="312"/>
        <v>0</v>
      </c>
      <c r="AO473" s="491"/>
      <c r="AP473" s="514">
        <f t="shared" ca="1" si="313"/>
        <v>0</v>
      </c>
      <c r="AQ473" s="514">
        <f t="shared" ca="1" si="313"/>
        <v>0</v>
      </c>
      <c r="AR473" s="514">
        <f t="shared" ca="1" si="313"/>
        <v>0</v>
      </c>
      <c r="AS473" s="514">
        <f t="shared" ca="1" si="313"/>
        <v>0</v>
      </c>
      <c r="AT473" s="514">
        <f t="shared" ca="1" si="313"/>
        <v>0</v>
      </c>
      <c r="AU473" s="514">
        <f t="shared" ca="1" si="313"/>
        <v>0</v>
      </c>
      <c r="AV473" s="491"/>
      <c r="AW473" s="491"/>
      <c r="AX473" s="491"/>
      <c r="AY473" s="491"/>
      <c r="AZ473" s="491"/>
      <c r="BA473" s="491"/>
      <c r="BB473" s="491"/>
    </row>
    <row r="474" spans="1:54" hidden="1" outlineLevel="1" x14ac:dyDescent="0.2">
      <c r="A474" s="113"/>
      <c r="B474" s="113"/>
      <c r="C474" s="242">
        <v>17</v>
      </c>
      <c r="D474" s="732"/>
      <c r="E474" s="837"/>
      <c r="F474" s="899"/>
      <c r="G474" s="51" t="str">
        <f t="shared" si="308"/>
        <v/>
      </c>
      <c r="H474" s="51" t="str">
        <f t="shared" si="309"/>
        <v/>
      </c>
      <c r="I474" s="152"/>
      <c r="J474" s="51" t="str">
        <f t="shared" si="310"/>
        <v/>
      </c>
      <c r="K474" s="360"/>
      <c r="L474" s="360"/>
      <c r="M474" s="499"/>
      <c r="N474" s="499"/>
      <c r="O474" s="500"/>
      <c r="P474" s="501"/>
      <c r="Q474" s="244"/>
      <c r="R474" s="888"/>
      <c r="S474" s="888"/>
      <c r="T474" s="888"/>
      <c r="U474" s="888"/>
      <c r="V474" s="888"/>
      <c r="W474" s="491"/>
      <c r="X474" s="491"/>
      <c r="Z474" s="491"/>
      <c r="AA474" s="491"/>
      <c r="AB474" s="71" t="str">
        <f t="shared" si="300"/>
        <v>** NOT USED **</v>
      </c>
      <c r="AC474" s="242">
        <f t="shared" si="311"/>
        <v>1</v>
      </c>
      <c r="AD474" s="242">
        <f t="shared" si="301"/>
        <v>0</v>
      </c>
      <c r="AE474" s="470">
        <f t="shared" si="302"/>
        <v>0</v>
      </c>
      <c r="AF474" s="470">
        <f t="shared" si="303"/>
        <v>0</v>
      </c>
      <c r="AG474" s="752">
        <f t="shared" ca="1" si="304"/>
        <v>0</v>
      </c>
      <c r="AH474" s="491"/>
      <c r="AI474" s="514">
        <f t="shared" ca="1" si="312"/>
        <v>0</v>
      </c>
      <c r="AJ474" s="514">
        <f t="shared" ca="1" si="312"/>
        <v>0</v>
      </c>
      <c r="AK474" s="514">
        <f t="shared" ca="1" si="312"/>
        <v>0</v>
      </c>
      <c r="AL474" s="514">
        <f t="shared" ca="1" si="312"/>
        <v>0</v>
      </c>
      <c r="AM474" s="514">
        <f t="shared" ca="1" si="312"/>
        <v>0</v>
      </c>
      <c r="AN474" s="514">
        <f t="shared" ca="1" si="312"/>
        <v>0</v>
      </c>
      <c r="AO474" s="491"/>
      <c r="AP474" s="514">
        <f t="shared" ca="1" si="313"/>
        <v>0</v>
      </c>
      <c r="AQ474" s="514">
        <f t="shared" ca="1" si="313"/>
        <v>0</v>
      </c>
      <c r="AR474" s="514">
        <f t="shared" ca="1" si="313"/>
        <v>0</v>
      </c>
      <c r="AS474" s="514">
        <f t="shared" ca="1" si="313"/>
        <v>0</v>
      </c>
      <c r="AT474" s="514">
        <f t="shared" ca="1" si="313"/>
        <v>0</v>
      </c>
      <c r="AU474" s="514">
        <f t="shared" ca="1" si="313"/>
        <v>0</v>
      </c>
      <c r="AV474" s="491"/>
      <c r="AW474" s="491"/>
      <c r="AX474" s="491"/>
      <c r="AY474" s="491"/>
      <c r="AZ474" s="491"/>
      <c r="BA474" s="491"/>
      <c r="BB474" s="491"/>
    </row>
    <row r="475" spans="1:54" hidden="1" outlineLevel="1" x14ac:dyDescent="0.2">
      <c r="A475" s="113"/>
      <c r="B475" s="113"/>
      <c r="C475" s="242">
        <v>18</v>
      </c>
      <c r="D475" s="732"/>
      <c r="E475" s="837"/>
      <c r="F475" s="899"/>
      <c r="G475" s="51" t="str">
        <f t="shared" si="308"/>
        <v/>
      </c>
      <c r="H475" s="51" t="str">
        <f t="shared" si="309"/>
        <v/>
      </c>
      <c r="I475" s="152"/>
      <c r="J475" s="51" t="str">
        <f t="shared" si="310"/>
        <v/>
      </c>
      <c r="K475" s="360"/>
      <c r="L475" s="360"/>
      <c r="M475" s="499"/>
      <c r="N475" s="499"/>
      <c r="O475" s="500"/>
      <c r="P475" s="501"/>
      <c r="Q475" s="244"/>
      <c r="R475" s="888"/>
      <c r="S475" s="888"/>
      <c r="T475" s="888"/>
      <c r="U475" s="888"/>
      <c r="V475" s="888"/>
      <c r="W475" s="491"/>
      <c r="X475" s="491"/>
      <c r="Z475" s="491"/>
      <c r="AA475" s="491"/>
      <c r="AB475" s="71" t="str">
        <f t="shared" si="300"/>
        <v>** NOT USED **</v>
      </c>
      <c r="AC475" s="242">
        <f t="shared" si="311"/>
        <v>1</v>
      </c>
      <c r="AD475" s="242">
        <f t="shared" si="301"/>
        <v>0</v>
      </c>
      <c r="AE475" s="470">
        <f t="shared" si="302"/>
        <v>0</v>
      </c>
      <c r="AF475" s="470">
        <f t="shared" si="303"/>
        <v>0</v>
      </c>
      <c r="AG475" s="752">
        <f t="shared" ca="1" si="304"/>
        <v>0</v>
      </c>
      <c r="AH475" s="491"/>
      <c r="AI475" s="514">
        <f t="shared" ca="1" si="312"/>
        <v>0</v>
      </c>
      <c r="AJ475" s="514">
        <f t="shared" ca="1" si="312"/>
        <v>0</v>
      </c>
      <c r="AK475" s="514">
        <f t="shared" ca="1" si="312"/>
        <v>0</v>
      </c>
      <c r="AL475" s="514">
        <f t="shared" ca="1" si="312"/>
        <v>0</v>
      </c>
      <c r="AM475" s="514">
        <f t="shared" ca="1" si="312"/>
        <v>0</v>
      </c>
      <c r="AN475" s="514">
        <f t="shared" ca="1" si="312"/>
        <v>0</v>
      </c>
      <c r="AO475" s="491"/>
      <c r="AP475" s="514">
        <f t="shared" ca="1" si="313"/>
        <v>0</v>
      </c>
      <c r="AQ475" s="514">
        <f t="shared" ca="1" si="313"/>
        <v>0</v>
      </c>
      <c r="AR475" s="514">
        <f t="shared" ca="1" si="313"/>
        <v>0</v>
      </c>
      <c r="AS475" s="514">
        <f t="shared" ca="1" si="313"/>
        <v>0</v>
      </c>
      <c r="AT475" s="514">
        <f t="shared" ca="1" si="313"/>
        <v>0</v>
      </c>
      <c r="AU475" s="514">
        <f t="shared" ca="1" si="313"/>
        <v>0</v>
      </c>
      <c r="AV475" s="491"/>
      <c r="AW475" s="491"/>
      <c r="AX475" s="491"/>
      <c r="AY475" s="491"/>
      <c r="AZ475" s="491"/>
      <c r="BA475" s="491"/>
      <c r="BB475" s="491"/>
    </row>
    <row r="476" spans="1:54" hidden="1" outlineLevel="1" x14ac:dyDescent="0.2">
      <c r="A476" s="113"/>
      <c r="B476" s="113"/>
      <c r="C476" s="242">
        <v>19</v>
      </c>
      <c r="D476" s="732"/>
      <c r="E476" s="837"/>
      <c r="F476" s="899"/>
      <c r="G476" s="51" t="str">
        <f t="shared" si="308"/>
        <v/>
      </c>
      <c r="H476" s="51" t="str">
        <f t="shared" si="309"/>
        <v/>
      </c>
      <c r="I476" s="152"/>
      <c r="J476" s="51" t="str">
        <f t="shared" si="310"/>
        <v/>
      </c>
      <c r="K476" s="360"/>
      <c r="L476" s="360"/>
      <c r="M476" s="499"/>
      <c r="N476" s="499"/>
      <c r="O476" s="500"/>
      <c r="P476" s="501"/>
      <c r="Q476" s="244"/>
      <c r="R476" s="888"/>
      <c r="S476" s="888"/>
      <c r="T476" s="888"/>
      <c r="U476" s="888"/>
      <c r="V476" s="888"/>
      <c r="W476" s="491"/>
      <c r="X476" s="491"/>
      <c r="Z476" s="491"/>
      <c r="AA476" s="491"/>
      <c r="AB476" s="71" t="str">
        <f t="shared" si="300"/>
        <v>** NOT USED **</v>
      </c>
      <c r="AC476" s="242">
        <f t="shared" si="311"/>
        <v>1</v>
      </c>
      <c r="AD476" s="242">
        <f t="shared" si="301"/>
        <v>0</v>
      </c>
      <c r="AE476" s="470">
        <f t="shared" si="302"/>
        <v>0</v>
      </c>
      <c r="AF476" s="470">
        <f t="shared" si="303"/>
        <v>0</v>
      </c>
      <c r="AG476" s="752">
        <f t="shared" ca="1" si="304"/>
        <v>0</v>
      </c>
      <c r="AH476" s="491"/>
      <c r="AI476" s="514">
        <f t="shared" ca="1" si="312"/>
        <v>0</v>
      </c>
      <c r="AJ476" s="514">
        <f t="shared" ca="1" si="312"/>
        <v>0</v>
      </c>
      <c r="AK476" s="514">
        <f t="shared" ca="1" si="312"/>
        <v>0</v>
      </c>
      <c r="AL476" s="514">
        <f t="shared" ca="1" si="312"/>
        <v>0</v>
      </c>
      <c r="AM476" s="514">
        <f t="shared" ca="1" si="312"/>
        <v>0</v>
      </c>
      <c r="AN476" s="514">
        <f t="shared" ca="1" si="312"/>
        <v>0</v>
      </c>
      <c r="AO476" s="491"/>
      <c r="AP476" s="514">
        <f t="shared" ca="1" si="313"/>
        <v>0</v>
      </c>
      <c r="AQ476" s="514">
        <f t="shared" ca="1" si="313"/>
        <v>0</v>
      </c>
      <c r="AR476" s="514">
        <f t="shared" ca="1" si="313"/>
        <v>0</v>
      </c>
      <c r="AS476" s="514">
        <f t="shared" ca="1" si="313"/>
        <v>0</v>
      </c>
      <c r="AT476" s="514">
        <f t="shared" ca="1" si="313"/>
        <v>0</v>
      </c>
      <c r="AU476" s="514">
        <f t="shared" ca="1" si="313"/>
        <v>0</v>
      </c>
      <c r="AV476" s="491"/>
      <c r="AW476" s="491"/>
      <c r="AX476" s="491"/>
      <c r="AY476" s="491"/>
      <c r="AZ476" s="491"/>
      <c r="BA476" s="491"/>
      <c r="BB476" s="491"/>
    </row>
    <row r="477" spans="1:54" hidden="1" outlineLevel="1" x14ac:dyDescent="0.2">
      <c r="A477" s="113"/>
      <c r="B477" s="113"/>
      <c r="C477" s="242">
        <v>20</v>
      </c>
      <c r="D477" s="732"/>
      <c r="E477" s="837"/>
      <c r="F477" s="899"/>
      <c r="G477" s="51" t="str">
        <f t="shared" si="308"/>
        <v/>
      </c>
      <c r="H477" s="51" t="str">
        <f t="shared" si="309"/>
        <v/>
      </c>
      <c r="I477" s="152"/>
      <c r="J477" s="51" t="str">
        <f t="shared" si="310"/>
        <v/>
      </c>
      <c r="K477" s="360"/>
      <c r="L477" s="360"/>
      <c r="M477" s="499"/>
      <c r="N477" s="499"/>
      <c r="O477" s="500"/>
      <c r="P477" s="501"/>
      <c r="Q477" s="244"/>
      <c r="R477" s="888"/>
      <c r="S477" s="888"/>
      <c r="T477" s="888"/>
      <c r="U477" s="888"/>
      <c r="V477" s="888"/>
      <c r="W477" s="491"/>
      <c r="X477" s="491"/>
      <c r="Z477" s="491"/>
      <c r="AA477" s="491"/>
      <c r="AB477" s="71" t="str">
        <f t="shared" si="300"/>
        <v>** NOT USED **</v>
      </c>
      <c r="AC477" s="242">
        <f t="shared" si="311"/>
        <v>1</v>
      </c>
      <c r="AD477" s="242">
        <f t="shared" si="301"/>
        <v>0</v>
      </c>
      <c r="AE477" s="470">
        <f t="shared" si="302"/>
        <v>0</v>
      </c>
      <c r="AF477" s="470">
        <f t="shared" si="303"/>
        <v>0</v>
      </c>
      <c r="AG477" s="730">
        <f t="shared" ca="1" si="304"/>
        <v>0</v>
      </c>
      <c r="AH477" s="491"/>
      <c r="AI477" s="514">
        <f t="shared" ca="1" si="312"/>
        <v>0</v>
      </c>
      <c r="AJ477" s="514">
        <f t="shared" ca="1" si="312"/>
        <v>0</v>
      </c>
      <c r="AK477" s="514">
        <f t="shared" ca="1" si="312"/>
        <v>0</v>
      </c>
      <c r="AL477" s="514">
        <f t="shared" ca="1" si="312"/>
        <v>0</v>
      </c>
      <c r="AM477" s="514">
        <f t="shared" ca="1" si="312"/>
        <v>0</v>
      </c>
      <c r="AN477" s="514">
        <f t="shared" ca="1" si="312"/>
        <v>0</v>
      </c>
      <c r="AO477" s="491"/>
      <c r="AP477" s="514">
        <f t="shared" ca="1" si="313"/>
        <v>0</v>
      </c>
      <c r="AQ477" s="514">
        <f t="shared" ca="1" si="313"/>
        <v>0</v>
      </c>
      <c r="AR477" s="514">
        <f t="shared" ca="1" si="313"/>
        <v>0</v>
      </c>
      <c r="AS477" s="514">
        <f t="shared" ca="1" si="313"/>
        <v>0</v>
      </c>
      <c r="AT477" s="514">
        <f t="shared" ca="1" si="313"/>
        <v>0</v>
      </c>
      <c r="AU477" s="514">
        <f t="shared" ca="1" si="313"/>
        <v>0</v>
      </c>
      <c r="AV477" s="491"/>
      <c r="AW477" s="491"/>
      <c r="AX477" s="491"/>
      <c r="AY477" s="491"/>
      <c r="AZ477" s="491"/>
      <c r="BA477" s="491"/>
      <c r="BB477" s="491"/>
    </row>
    <row r="478" spans="1:54" hidden="1" outlineLevel="1" x14ac:dyDescent="0.2">
      <c r="A478" s="113"/>
      <c r="B478" s="113"/>
      <c r="C478" s="113"/>
      <c r="D478" s="113"/>
      <c r="E478" s="113"/>
      <c r="F478" s="113"/>
      <c r="G478" s="113"/>
      <c r="H478" s="113"/>
      <c r="I478" s="113"/>
      <c r="J478" s="113"/>
      <c r="K478" s="113"/>
      <c r="L478" s="113"/>
      <c r="M478" s="113"/>
      <c r="N478" s="113"/>
      <c r="O478" s="113"/>
      <c r="P478" s="113"/>
      <c r="Q478" s="113"/>
      <c r="R478" s="113"/>
      <c r="S478" s="113"/>
      <c r="T478" s="113"/>
      <c r="U478" s="113"/>
      <c r="V478" s="113"/>
      <c r="W478" s="491"/>
      <c r="X478" s="491"/>
      <c r="Y478" s="491"/>
      <c r="Z478" s="491"/>
      <c r="AA478" s="491"/>
      <c r="AV478" s="491"/>
      <c r="AW478" s="491"/>
      <c r="AX478" s="491"/>
      <c r="AY478" s="491"/>
      <c r="AZ478" s="491"/>
      <c r="BA478" s="491"/>
      <c r="BB478" s="491"/>
    </row>
    <row r="479" spans="1:54" hidden="1" outlineLevel="1" x14ac:dyDescent="0.2">
      <c r="A479" s="113"/>
      <c r="B479" s="113"/>
      <c r="C479" s="113"/>
      <c r="D479" s="113"/>
      <c r="E479" s="113"/>
      <c r="F479" s="113"/>
      <c r="G479" s="113"/>
      <c r="H479" s="113"/>
      <c r="I479" s="113"/>
      <c r="J479" s="113"/>
      <c r="K479" s="113"/>
      <c r="L479" s="113"/>
      <c r="M479" s="113"/>
      <c r="N479" s="113"/>
      <c r="O479" s="113"/>
      <c r="P479" s="113"/>
      <c r="Q479" s="113"/>
      <c r="R479" s="113"/>
      <c r="S479" s="113"/>
      <c r="T479" s="113"/>
      <c r="U479" s="113"/>
      <c r="V479" s="113"/>
      <c r="W479" s="491"/>
      <c r="X479" s="491"/>
      <c r="Y479" s="491"/>
      <c r="Z479" s="491"/>
      <c r="AA479" s="491"/>
      <c r="AV479" s="491"/>
      <c r="AW479" s="491"/>
      <c r="AX479" s="491"/>
      <c r="AY479" s="491"/>
      <c r="AZ479" s="491"/>
      <c r="BA479" s="491"/>
      <c r="BB479" s="491"/>
    </row>
    <row r="480" spans="1:54" ht="15.75" hidden="1" outlineLevel="1" x14ac:dyDescent="0.2">
      <c r="A480" s="113"/>
      <c r="B480" s="113"/>
      <c r="C480" s="113"/>
      <c r="D480" s="79" t="s">
        <v>878</v>
      </c>
      <c r="E480" s="494"/>
      <c r="F480" s="115"/>
      <c r="G480" s="115"/>
      <c r="H480" s="115"/>
      <c r="I480" s="115"/>
      <c r="J480" s="115"/>
      <c r="K480" s="115"/>
      <c r="L480" s="115"/>
      <c r="M480" s="115"/>
      <c r="N480" s="115"/>
      <c r="O480" s="115"/>
      <c r="P480" s="115"/>
      <c r="Q480" s="115"/>
      <c r="R480" s="115"/>
      <c r="S480" s="115"/>
      <c r="T480" s="115"/>
      <c r="U480" s="115"/>
      <c r="V480" s="115"/>
      <c r="X480" s="493"/>
      <c r="Y480" s="493"/>
      <c r="Z480" s="491"/>
      <c r="AA480" s="491"/>
      <c r="AH480" s="491"/>
      <c r="AV480" s="491"/>
      <c r="AW480" s="491"/>
      <c r="AX480" s="491"/>
      <c r="AY480" s="491"/>
      <c r="AZ480" s="491"/>
      <c r="BA480" s="491"/>
      <c r="BB480" s="491"/>
    </row>
    <row r="481" spans="1:54" hidden="1" outlineLevel="1" x14ac:dyDescent="0.2">
      <c r="A481" s="113"/>
      <c r="B481" s="113"/>
      <c r="C481" s="113"/>
      <c r="D481" s="113"/>
      <c r="E481" s="113"/>
      <c r="F481" s="113"/>
      <c r="G481" s="113"/>
      <c r="H481" s="113"/>
      <c r="I481" s="113"/>
      <c r="J481" s="113"/>
      <c r="K481" s="113"/>
      <c r="L481" s="113"/>
      <c r="M481" s="113"/>
      <c r="N481" s="113"/>
      <c r="O481" s="113"/>
      <c r="P481" s="113"/>
      <c r="Q481" s="113"/>
      <c r="R481" s="113"/>
      <c r="S481" s="113"/>
      <c r="T481" s="113"/>
      <c r="U481" s="113"/>
      <c r="V481" s="113"/>
      <c r="W481" s="491"/>
      <c r="X481" s="491"/>
      <c r="Y481" s="491"/>
      <c r="Z481" s="491"/>
      <c r="AA481" s="491"/>
      <c r="AV481" s="491"/>
      <c r="AW481" s="491"/>
      <c r="AX481" s="491"/>
      <c r="AY481" s="491"/>
      <c r="AZ481" s="491"/>
      <c r="BA481" s="491"/>
      <c r="BB481" s="491"/>
    </row>
    <row r="482" spans="1:54" ht="25.5" hidden="1" outlineLevel="1" x14ac:dyDescent="0.2">
      <c r="A482" s="113"/>
      <c r="B482" s="113"/>
      <c r="C482" s="113"/>
      <c r="D482" s="897" t="s">
        <v>311</v>
      </c>
      <c r="E482" s="897"/>
      <c r="F482" s="897"/>
      <c r="G482" s="897" t="s">
        <v>854</v>
      </c>
      <c r="H482" s="898"/>
      <c r="I482" s="898"/>
      <c r="J482" s="67" t="s">
        <v>314</v>
      </c>
      <c r="K482" s="113"/>
      <c r="L482" s="113"/>
      <c r="M482" s="113"/>
      <c r="N482" s="113"/>
      <c r="O482" s="113"/>
      <c r="P482" s="113"/>
      <c r="Q482" s="113"/>
      <c r="R482" s="113"/>
      <c r="X482" s="725"/>
      <c r="Y482" s="229" t="s">
        <v>247</v>
      </c>
      <c r="Z482" s="229" t="s">
        <v>815</v>
      </c>
      <c r="AA482" s="229" t="str">
        <f>"Fee @ " &amp; TEXT(MBSRebateRate,"00%")</f>
        <v>Fee @ 80%</v>
      </c>
      <c r="AV482" s="491"/>
      <c r="AW482" s="491"/>
      <c r="AX482" s="491"/>
      <c r="AY482" s="491"/>
      <c r="AZ482" s="491"/>
      <c r="BA482" s="491"/>
      <c r="BB482" s="491"/>
    </row>
    <row r="483" spans="1:54" ht="13.5" hidden="1" outlineLevel="1" thickBot="1" x14ac:dyDescent="0.25">
      <c r="A483" s="113"/>
      <c r="B483" s="113"/>
      <c r="C483" s="242">
        <v>1</v>
      </c>
      <c r="D483" s="886" t="str">
        <f t="shared" ref="D483:D492" si="314">INDEX(MBSDecNames,C483)</f>
        <v>** NOT USED **</v>
      </c>
      <c r="E483" s="886"/>
      <c r="F483" s="886"/>
      <c r="G483" s="887"/>
      <c r="H483" s="888"/>
      <c r="I483" s="888"/>
      <c r="J483" s="68" t="str">
        <f t="shared" ref="J483:J502" si="315">IF(AD458=2,IF(AND(D483&lt;&gt;MsgNotUsed,G483=""),"All scripts","Specific medicine"),IF(AD458=1,"All patients",""))</f>
        <v/>
      </c>
      <c r="K483" s="113"/>
      <c r="L483" s="113"/>
      <c r="M483" s="113"/>
      <c r="N483" s="113"/>
      <c r="O483" s="113"/>
      <c r="P483" s="113"/>
      <c r="Q483" s="113"/>
      <c r="R483" s="113"/>
      <c r="X483" s="726"/>
      <c r="Y483" s="242">
        <f t="shared" ref="Y483:Y502" si="316">IF(OR(D483=MsgNotUsed,AD458=1),0,1)</f>
        <v>0</v>
      </c>
      <c r="Z483" s="242" t="str">
        <f t="shared" ref="Z483:Z502" si="317">IF(G483&lt;&gt;"",MATCH(G483,NamesScriptsChangedTx,0),IF(J483="All scripts",21,""))</f>
        <v/>
      </c>
      <c r="AA483" s="756">
        <f t="shared" ref="AA483:AA502" si="318">O458*MBSRebateRate</f>
        <v>0</v>
      </c>
      <c r="AV483" s="491"/>
      <c r="AW483" s="491"/>
      <c r="AX483" s="491"/>
      <c r="AY483" s="491"/>
      <c r="AZ483" s="491"/>
      <c r="BA483" s="491"/>
      <c r="BB483" s="491"/>
    </row>
    <row r="484" spans="1:54" hidden="1" outlineLevel="1" x14ac:dyDescent="0.2">
      <c r="A484" s="113"/>
      <c r="B484" s="113"/>
      <c r="C484" s="242">
        <v>2</v>
      </c>
      <c r="D484" s="886" t="str">
        <f t="shared" si="314"/>
        <v>** NOT USED **</v>
      </c>
      <c r="E484" s="886"/>
      <c r="F484" s="886"/>
      <c r="G484" s="887"/>
      <c r="H484" s="888"/>
      <c r="I484" s="888"/>
      <c r="J484" s="68" t="str">
        <f t="shared" si="315"/>
        <v/>
      </c>
      <c r="K484" s="113"/>
      <c r="L484" s="113"/>
      <c r="M484" s="113"/>
      <c r="N484" s="113"/>
      <c r="O484" s="113"/>
      <c r="P484" s="113"/>
      <c r="Q484" s="113"/>
      <c r="R484" s="113"/>
      <c r="X484" s="726"/>
      <c r="Y484" s="242">
        <f t="shared" si="316"/>
        <v>0</v>
      </c>
      <c r="Z484" s="242" t="str">
        <f t="shared" si="317"/>
        <v/>
      </c>
      <c r="AA484" s="756">
        <f t="shared" si="318"/>
        <v>0</v>
      </c>
      <c r="AH484" s="889" t="s">
        <v>225</v>
      </c>
      <c r="AI484" s="890"/>
      <c r="AJ484" s="890"/>
      <c r="AK484" s="890"/>
      <c r="AL484" s="890"/>
      <c r="AM484" s="890"/>
      <c r="AN484" s="890"/>
      <c r="AO484" s="890"/>
      <c r="AP484" s="890"/>
      <c r="AQ484" s="890"/>
      <c r="AR484" s="890"/>
      <c r="AS484" s="890"/>
      <c r="AT484" s="890"/>
      <c r="AU484" s="890"/>
      <c r="AV484" s="890"/>
      <c r="AW484" s="890"/>
      <c r="AX484" s="890"/>
      <c r="AY484" s="890"/>
      <c r="AZ484" s="890"/>
      <c r="BA484" s="890"/>
      <c r="BB484" s="891"/>
    </row>
    <row r="485" spans="1:54" ht="13.5" hidden="1" outlineLevel="1" thickBot="1" x14ac:dyDescent="0.25">
      <c r="A485" s="113"/>
      <c r="B485" s="113"/>
      <c r="C485" s="242">
        <v>3</v>
      </c>
      <c r="D485" s="886" t="str">
        <f t="shared" si="314"/>
        <v>** NOT USED **</v>
      </c>
      <c r="E485" s="886"/>
      <c r="F485" s="886"/>
      <c r="G485" s="887"/>
      <c r="H485" s="888"/>
      <c r="I485" s="888"/>
      <c r="J485" s="68" t="str">
        <f t="shared" si="315"/>
        <v/>
      </c>
      <c r="K485" s="113"/>
      <c r="L485" s="113"/>
      <c r="M485" s="113"/>
      <c r="N485" s="113"/>
      <c r="O485" s="113"/>
      <c r="P485" s="113"/>
      <c r="Q485" s="113"/>
      <c r="R485" s="113"/>
      <c r="X485" s="726"/>
      <c r="Y485" s="242">
        <f t="shared" si="316"/>
        <v>0</v>
      </c>
      <c r="Z485" s="242" t="str">
        <f t="shared" si="317"/>
        <v/>
      </c>
      <c r="AA485" s="756">
        <f t="shared" si="318"/>
        <v>0</v>
      </c>
      <c r="AH485" s="892" t="str">
        <f>TxPhase1PxTotal</f>
        <v/>
      </c>
      <c r="AI485" s="893"/>
      <c r="AJ485" s="893"/>
      <c r="AK485" s="893"/>
      <c r="AL485" s="893"/>
      <c r="AM485" s="893"/>
      <c r="AN485" s="894"/>
      <c r="AO485" s="895" t="str">
        <f>TxPhase2PxTotal</f>
        <v/>
      </c>
      <c r="AP485" s="893"/>
      <c r="AQ485" s="893"/>
      <c r="AR485" s="893"/>
      <c r="AS485" s="893"/>
      <c r="AT485" s="893"/>
      <c r="AU485" s="894"/>
      <c r="AV485" s="895" t="s">
        <v>427</v>
      </c>
      <c r="AW485" s="893"/>
      <c r="AX485" s="893"/>
      <c r="AY485" s="893"/>
      <c r="AZ485" s="893"/>
      <c r="BA485" s="893"/>
      <c r="BB485" s="896"/>
    </row>
    <row r="486" spans="1:54" hidden="1" outlineLevel="1" x14ac:dyDescent="0.2">
      <c r="A486" s="113"/>
      <c r="B486" s="113"/>
      <c r="C486" s="242">
        <v>4</v>
      </c>
      <c r="D486" s="886" t="str">
        <f t="shared" si="314"/>
        <v>** NOT USED **</v>
      </c>
      <c r="E486" s="886"/>
      <c r="F486" s="886"/>
      <c r="G486" s="887"/>
      <c r="H486" s="888"/>
      <c r="I486" s="888"/>
      <c r="J486" s="68" t="str">
        <f t="shared" si="315"/>
        <v/>
      </c>
      <c r="K486" s="113"/>
      <c r="L486" s="113"/>
      <c r="M486" s="113"/>
      <c r="N486" s="113"/>
      <c r="O486" s="113"/>
      <c r="P486" s="113"/>
      <c r="Q486" s="113"/>
      <c r="R486" s="113"/>
      <c r="X486" s="726"/>
      <c r="Y486" s="242">
        <f t="shared" si="316"/>
        <v>0</v>
      </c>
      <c r="Z486" s="242" t="str">
        <f t="shared" si="317"/>
        <v/>
      </c>
      <c r="AA486" s="756">
        <f t="shared" si="318"/>
        <v>0</v>
      </c>
      <c r="AH486" s="379"/>
      <c r="AI486" s="380">
        <f>FirstYear</f>
        <v>2021</v>
      </c>
      <c r="AJ486" s="380">
        <f>AI486+1</f>
        <v>2022</v>
      </c>
      <c r="AK486" s="380">
        <f>AJ486+1</f>
        <v>2023</v>
      </c>
      <c r="AL486" s="380">
        <f>AK486+1</f>
        <v>2024</v>
      </c>
      <c r="AM486" s="380">
        <f>AL486+1</f>
        <v>2025</v>
      </c>
      <c r="AN486" s="381">
        <f>AM486+1</f>
        <v>2026</v>
      </c>
      <c r="AO486" s="744"/>
      <c r="AP486" s="380">
        <f>FirstYear</f>
        <v>2021</v>
      </c>
      <c r="AQ486" s="380">
        <f>AP486+1</f>
        <v>2022</v>
      </c>
      <c r="AR486" s="380">
        <f>AQ486+1</f>
        <v>2023</v>
      </c>
      <c r="AS486" s="380">
        <f>AR486+1</f>
        <v>2024</v>
      </c>
      <c r="AT486" s="380">
        <f>AS486+1</f>
        <v>2025</v>
      </c>
      <c r="AU486" s="747">
        <f>AT486+1</f>
        <v>2026</v>
      </c>
      <c r="AV486" s="379"/>
      <c r="AW486" s="380">
        <f>FirstYear</f>
        <v>2021</v>
      </c>
      <c r="AX486" s="380">
        <f>AW486+1</f>
        <v>2022</v>
      </c>
      <c r="AY486" s="380">
        <f>AX486+1</f>
        <v>2023</v>
      </c>
      <c r="AZ486" s="380">
        <f>AY486+1</f>
        <v>2024</v>
      </c>
      <c r="BA486" s="380">
        <f>AZ486+1</f>
        <v>2025</v>
      </c>
      <c r="BB486" s="381">
        <f>BA486+1</f>
        <v>2026</v>
      </c>
    </row>
    <row r="487" spans="1:54" hidden="1" outlineLevel="1" x14ac:dyDescent="0.2">
      <c r="A487" s="113"/>
      <c r="B487" s="113"/>
      <c r="C487" s="242">
        <v>5</v>
      </c>
      <c r="D487" s="886" t="str">
        <f t="shared" si="314"/>
        <v>** NOT USED **</v>
      </c>
      <c r="E487" s="886"/>
      <c r="F487" s="886"/>
      <c r="G487" s="887"/>
      <c r="H487" s="888"/>
      <c r="I487" s="888"/>
      <c r="J487" s="68" t="str">
        <f t="shared" si="315"/>
        <v/>
      </c>
      <c r="K487" s="113"/>
      <c r="L487" s="113"/>
      <c r="M487" s="113"/>
      <c r="N487" s="113"/>
      <c r="O487" s="113"/>
      <c r="P487" s="113"/>
      <c r="Q487" s="113"/>
      <c r="R487" s="113"/>
      <c r="X487" s="726"/>
      <c r="Y487" s="242">
        <f t="shared" si="316"/>
        <v>0</v>
      </c>
      <c r="Z487" s="242" t="str">
        <f t="shared" si="317"/>
        <v/>
      </c>
      <c r="AA487" s="756">
        <f t="shared" si="318"/>
        <v>0</v>
      </c>
      <c r="AH487" s="516">
        <v>1</v>
      </c>
      <c r="AI487" s="514">
        <f t="shared" ref="AI487:AN496" si="319">IF(OR(ScriptSourceCode=1,ScriptSourceCode=3),AI458-AI511,0)</f>
        <v>0</v>
      </c>
      <c r="AJ487" s="514">
        <f t="shared" si="319"/>
        <v>0</v>
      </c>
      <c r="AK487" s="514">
        <f t="shared" si="319"/>
        <v>0</v>
      </c>
      <c r="AL487" s="514">
        <f t="shared" si="319"/>
        <v>0</v>
      </c>
      <c r="AM487" s="514">
        <f t="shared" si="319"/>
        <v>0</v>
      </c>
      <c r="AN487" s="515">
        <f t="shared" si="319"/>
        <v>0</v>
      </c>
      <c r="AO487" s="745"/>
      <c r="AP487" s="514">
        <f t="shared" ref="AP487:AU496" si="320">IF(OR(ScriptSourceCode=1,ScriptSourceCode=3),AP458-AP511,0)</f>
        <v>0</v>
      </c>
      <c r="AQ487" s="514">
        <f t="shared" si="320"/>
        <v>0</v>
      </c>
      <c r="AR487" s="514">
        <f t="shared" si="320"/>
        <v>0</v>
      </c>
      <c r="AS487" s="514">
        <f t="shared" si="320"/>
        <v>0</v>
      </c>
      <c r="AT487" s="514">
        <f t="shared" si="320"/>
        <v>0</v>
      </c>
      <c r="AU487" s="748">
        <f t="shared" si="320"/>
        <v>0</v>
      </c>
      <c r="AV487" s="516"/>
      <c r="AW487" s="514">
        <f t="shared" ref="AW487:AW496" si="321">AI487+AP487</f>
        <v>0</v>
      </c>
      <c r="AX487" s="514">
        <f t="shared" ref="AX487:AX496" si="322">AJ487+AQ487</f>
        <v>0</v>
      </c>
      <c r="AY487" s="514">
        <f t="shared" ref="AY487:AY496" si="323">AK487+AR487</f>
        <v>0</v>
      </c>
      <c r="AZ487" s="514">
        <f t="shared" ref="AZ487:AZ496" si="324">AL487+AS487</f>
        <v>0</v>
      </c>
      <c r="BA487" s="514">
        <f t="shared" ref="BA487:BA496" si="325">AM487+AT487</f>
        <v>0</v>
      </c>
      <c r="BB487" s="515">
        <f t="shared" ref="BB487:BB496" si="326">AN487+AU487</f>
        <v>0</v>
      </c>
    </row>
    <row r="488" spans="1:54" hidden="1" outlineLevel="1" x14ac:dyDescent="0.2">
      <c r="A488" s="113"/>
      <c r="B488" s="113"/>
      <c r="C488" s="242">
        <v>6</v>
      </c>
      <c r="D488" s="886" t="str">
        <f t="shared" si="314"/>
        <v>** NOT USED **</v>
      </c>
      <c r="E488" s="886"/>
      <c r="F488" s="886"/>
      <c r="G488" s="887"/>
      <c r="H488" s="888"/>
      <c r="I488" s="888"/>
      <c r="J488" s="68" t="str">
        <f t="shared" si="315"/>
        <v/>
      </c>
      <c r="K488" s="113"/>
      <c r="L488" s="113"/>
      <c r="M488" s="113"/>
      <c r="N488" s="113"/>
      <c r="O488" s="113"/>
      <c r="P488" s="113"/>
      <c r="Q488" s="113"/>
      <c r="R488" s="113"/>
      <c r="X488" s="726"/>
      <c r="Y488" s="242">
        <f t="shared" si="316"/>
        <v>0</v>
      </c>
      <c r="Z488" s="242" t="str">
        <f t="shared" si="317"/>
        <v/>
      </c>
      <c r="AA488" s="756">
        <f t="shared" si="318"/>
        <v>0</v>
      </c>
      <c r="AH488" s="516">
        <v>2</v>
      </c>
      <c r="AI488" s="514">
        <f t="shared" si="319"/>
        <v>0</v>
      </c>
      <c r="AJ488" s="514">
        <f t="shared" si="319"/>
        <v>0</v>
      </c>
      <c r="AK488" s="514">
        <f t="shared" si="319"/>
        <v>0</v>
      </c>
      <c r="AL488" s="514">
        <f t="shared" si="319"/>
        <v>0</v>
      </c>
      <c r="AM488" s="514">
        <f t="shared" si="319"/>
        <v>0</v>
      </c>
      <c r="AN488" s="515">
        <f t="shared" si="319"/>
        <v>0</v>
      </c>
      <c r="AO488" s="745"/>
      <c r="AP488" s="514">
        <f t="shared" si="320"/>
        <v>0</v>
      </c>
      <c r="AQ488" s="514">
        <f t="shared" si="320"/>
        <v>0</v>
      </c>
      <c r="AR488" s="514">
        <f t="shared" si="320"/>
        <v>0</v>
      </c>
      <c r="AS488" s="514">
        <f t="shared" si="320"/>
        <v>0</v>
      </c>
      <c r="AT488" s="514">
        <f t="shared" si="320"/>
        <v>0</v>
      </c>
      <c r="AU488" s="748">
        <f t="shared" si="320"/>
        <v>0</v>
      </c>
      <c r="AV488" s="516"/>
      <c r="AW488" s="514">
        <f t="shared" si="321"/>
        <v>0</v>
      </c>
      <c r="AX488" s="514">
        <f t="shared" si="322"/>
        <v>0</v>
      </c>
      <c r="AY488" s="514">
        <f t="shared" si="323"/>
        <v>0</v>
      </c>
      <c r="AZ488" s="514">
        <f t="shared" si="324"/>
        <v>0</v>
      </c>
      <c r="BA488" s="514">
        <f t="shared" si="325"/>
        <v>0</v>
      </c>
      <c r="BB488" s="515">
        <f t="shared" si="326"/>
        <v>0</v>
      </c>
    </row>
    <row r="489" spans="1:54" hidden="1" outlineLevel="1" x14ac:dyDescent="0.2">
      <c r="A489" s="113"/>
      <c r="B489" s="113"/>
      <c r="C489" s="242">
        <v>7</v>
      </c>
      <c r="D489" s="886" t="str">
        <f t="shared" si="314"/>
        <v>** NOT USED **</v>
      </c>
      <c r="E489" s="886"/>
      <c r="F489" s="886"/>
      <c r="G489" s="887"/>
      <c r="H489" s="888"/>
      <c r="I489" s="888"/>
      <c r="J489" s="68" t="str">
        <f t="shared" si="315"/>
        <v/>
      </c>
      <c r="K489" s="113"/>
      <c r="L489" s="113"/>
      <c r="M489" s="113"/>
      <c r="N489" s="113"/>
      <c r="O489" s="113"/>
      <c r="P489" s="113"/>
      <c r="Q489" s="113"/>
      <c r="R489" s="113"/>
      <c r="X489" s="726"/>
      <c r="Y489" s="242">
        <f t="shared" si="316"/>
        <v>0</v>
      </c>
      <c r="Z489" s="242" t="str">
        <f t="shared" si="317"/>
        <v/>
      </c>
      <c r="AA489" s="756">
        <f t="shared" si="318"/>
        <v>0</v>
      </c>
      <c r="AH489" s="516">
        <v>3</v>
      </c>
      <c r="AI489" s="514">
        <f t="shared" si="319"/>
        <v>0</v>
      </c>
      <c r="AJ489" s="514">
        <f t="shared" si="319"/>
        <v>0</v>
      </c>
      <c r="AK489" s="514">
        <f t="shared" si="319"/>
        <v>0</v>
      </c>
      <c r="AL489" s="514">
        <f t="shared" si="319"/>
        <v>0</v>
      </c>
      <c r="AM489" s="514">
        <f t="shared" si="319"/>
        <v>0</v>
      </c>
      <c r="AN489" s="515">
        <f t="shared" si="319"/>
        <v>0</v>
      </c>
      <c r="AO489" s="745"/>
      <c r="AP489" s="514">
        <f t="shared" si="320"/>
        <v>0</v>
      </c>
      <c r="AQ489" s="514">
        <f t="shared" si="320"/>
        <v>0</v>
      </c>
      <c r="AR489" s="514">
        <f t="shared" si="320"/>
        <v>0</v>
      </c>
      <c r="AS489" s="514">
        <f t="shared" si="320"/>
        <v>0</v>
      </c>
      <c r="AT489" s="514">
        <f t="shared" si="320"/>
        <v>0</v>
      </c>
      <c r="AU489" s="748">
        <f t="shared" si="320"/>
        <v>0</v>
      </c>
      <c r="AV489" s="516"/>
      <c r="AW489" s="514">
        <f t="shared" si="321"/>
        <v>0</v>
      </c>
      <c r="AX489" s="514">
        <f t="shared" si="322"/>
        <v>0</v>
      </c>
      <c r="AY489" s="514">
        <f t="shared" si="323"/>
        <v>0</v>
      </c>
      <c r="AZ489" s="514">
        <f t="shared" si="324"/>
        <v>0</v>
      </c>
      <c r="BA489" s="514">
        <f t="shared" si="325"/>
        <v>0</v>
      </c>
      <c r="BB489" s="515">
        <f t="shared" si="326"/>
        <v>0</v>
      </c>
    </row>
    <row r="490" spans="1:54" hidden="1" outlineLevel="1" x14ac:dyDescent="0.2">
      <c r="A490" s="113"/>
      <c r="B490" s="113"/>
      <c r="C490" s="242">
        <v>8</v>
      </c>
      <c r="D490" s="886" t="str">
        <f t="shared" si="314"/>
        <v>** NOT USED **</v>
      </c>
      <c r="E490" s="886"/>
      <c r="F490" s="886"/>
      <c r="G490" s="887"/>
      <c r="H490" s="888"/>
      <c r="I490" s="888"/>
      <c r="J490" s="68" t="str">
        <f t="shared" si="315"/>
        <v/>
      </c>
      <c r="K490" s="113"/>
      <c r="L490" s="113"/>
      <c r="M490" s="113"/>
      <c r="N490" s="113"/>
      <c r="O490" s="113"/>
      <c r="P490" s="113"/>
      <c r="Q490" s="113"/>
      <c r="R490" s="113"/>
      <c r="X490" s="726"/>
      <c r="Y490" s="242">
        <f t="shared" si="316"/>
        <v>0</v>
      </c>
      <c r="Z490" s="242" t="str">
        <f t="shared" si="317"/>
        <v/>
      </c>
      <c r="AA490" s="756">
        <f t="shared" si="318"/>
        <v>0</v>
      </c>
      <c r="AH490" s="516">
        <v>4</v>
      </c>
      <c r="AI490" s="514">
        <f t="shared" si="319"/>
        <v>0</v>
      </c>
      <c r="AJ490" s="514">
        <f t="shared" si="319"/>
        <v>0</v>
      </c>
      <c r="AK490" s="514">
        <f t="shared" si="319"/>
        <v>0</v>
      </c>
      <c r="AL490" s="514">
        <f t="shared" si="319"/>
        <v>0</v>
      </c>
      <c r="AM490" s="514">
        <f t="shared" si="319"/>
        <v>0</v>
      </c>
      <c r="AN490" s="515">
        <f t="shared" si="319"/>
        <v>0</v>
      </c>
      <c r="AO490" s="745"/>
      <c r="AP490" s="514">
        <f t="shared" si="320"/>
        <v>0</v>
      </c>
      <c r="AQ490" s="514">
        <f t="shared" si="320"/>
        <v>0</v>
      </c>
      <c r="AR490" s="514">
        <f t="shared" si="320"/>
        <v>0</v>
      </c>
      <c r="AS490" s="514">
        <f t="shared" si="320"/>
        <v>0</v>
      </c>
      <c r="AT490" s="514">
        <f t="shared" si="320"/>
        <v>0</v>
      </c>
      <c r="AU490" s="748">
        <f t="shared" si="320"/>
        <v>0</v>
      </c>
      <c r="AV490" s="516"/>
      <c r="AW490" s="514">
        <f t="shared" si="321"/>
        <v>0</v>
      </c>
      <c r="AX490" s="514">
        <f t="shared" si="322"/>
        <v>0</v>
      </c>
      <c r="AY490" s="514">
        <f t="shared" si="323"/>
        <v>0</v>
      </c>
      <c r="AZ490" s="514">
        <f t="shared" si="324"/>
        <v>0</v>
      </c>
      <c r="BA490" s="514">
        <f t="shared" si="325"/>
        <v>0</v>
      </c>
      <c r="BB490" s="515">
        <f t="shared" si="326"/>
        <v>0</v>
      </c>
    </row>
    <row r="491" spans="1:54" hidden="1" outlineLevel="1" x14ac:dyDescent="0.2">
      <c r="A491" s="113"/>
      <c r="B491" s="113"/>
      <c r="C491" s="242">
        <v>9</v>
      </c>
      <c r="D491" s="886" t="str">
        <f t="shared" si="314"/>
        <v>** NOT USED **</v>
      </c>
      <c r="E491" s="886"/>
      <c r="F491" s="886"/>
      <c r="G491" s="887"/>
      <c r="H491" s="888"/>
      <c r="I491" s="888"/>
      <c r="J491" s="68" t="str">
        <f t="shared" si="315"/>
        <v/>
      </c>
      <c r="K491" s="113"/>
      <c r="L491" s="113"/>
      <c r="M491" s="113"/>
      <c r="N491" s="113"/>
      <c r="O491" s="113"/>
      <c r="P491" s="113"/>
      <c r="Q491" s="113"/>
      <c r="R491" s="113"/>
      <c r="X491" s="726"/>
      <c r="Y491" s="242">
        <f t="shared" si="316"/>
        <v>0</v>
      </c>
      <c r="Z491" s="242" t="str">
        <f t="shared" si="317"/>
        <v/>
      </c>
      <c r="AA491" s="756">
        <f t="shared" si="318"/>
        <v>0</v>
      </c>
      <c r="AH491" s="516">
        <v>5</v>
      </c>
      <c r="AI491" s="514">
        <f t="shared" si="319"/>
        <v>0</v>
      </c>
      <c r="AJ491" s="514">
        <f t="shared" si="319"/>
        <v>0</v>
      </c>
      <c r="AK491" s="514">
        <f t="shared" si="319"/>
        <v>0</v>
      </c>
      <c r="AL491" s="514">
        <f t="shared" si="319"/>
        <v>0</v>
      </c>
      <c r="AM491" s="514">
        <f t="shared" si="319"/>
        <v>0</v>
      </c>
      <c r="AN491" s="515">
        <f t="shared" si="319"/>
        <v>0</v>
      </c>
      <c r="AO491" s="745"/>
      <c r="AP491" s="514">
        <f t="shared" si="320"/>
        <v>0</v>
      </c>
      <c r="AQ491" s="514">
        <f t="shared" si="320"/>
        <v>0</v>
      </c>
      <c r="AR491" s="514">
        <f t="shared" si="320"/>
        <v>0</v>
      </c>
      <c r="AS491" s="514">
        <f t="shared" si="320"/>
        <v>0</v>
      </c>
      <c r="AT491" s="514">
        <f t="shared" si="320"/>
        <v>0</v>
      </c>
      <c r="AU491" s="748">
        <f t="shared" si="320"/>
        <v>0</v>
      </c>
      <c r="AV491" s="516"/>
      <c r="AW491" s="514">
        <f t="shared" si="321"/>
        <v>0</v>
      </c>
      <c r="AX491" s="514">
        <f t="shared" si="322"/>
        <v>0</v>
      </c>
      <c r="AY491" s="514">
        <f t="shared" si="323"/>
        <v>0</v>
      </c>
      <c r="AZ491" s="514">
        <f t="shared" si="324"/>
        <v>0</v>
      </c>
      <c r="BA491" s="514">
        <f t="shared" si="325"/>
        <v>0</v>
      </c>
      <c r="BB491" s="515">
        <f t="shared" si="326"/>
        <v>0</v>
      </c>
    </row>
    <row r="492" spans="1:54" hidden="1" outlineLevel="1" x14ac:dyDescent="0.2">
      <c r="A492" s="113"/>
      <c r="B492" s="113"/>
      <c r="C492" s="242">
        <v>10</v>
      </c>
      <c r="D492" s="886" t="str">
        <f t="shared" si="314"/>
        <v>** NOT USED **</v>
      </c>
      <c r="E492" s="886"/>
      <c r="F492" s="886"/>
      <c r="G492" s="887"/>
      <c r="H492" s="888"/>
      <c r="I492" s="888"/>
      <c r="J492" s="68" t="str">
        <f t="shared" si="315"/>
        <v/>
      </c>
      <c r="K492" s="113"/>
      <c r="L492" s="113"/>
      <c r="M492" s="113"/>
      <c r="N492" s="113"/>
      <c r="O492" s="113"/>
      <c r="P492" s="113"/>
      <c r="Q492" s="113"/>
      <c r="R492" s="113"/>
      <c r="X492" s="726"/>
      <c r="Y492" s="242">
        <f t="shared" si="316"/>
        <v>0</v>
      </c>
      <c r="Z492" s="242" t="str">
        <f t="shared" si="317"/>
        <v/>
      </c>
      <c r="AA492" s="756">
        <f t="shared" si="318"/>
        <v>0</v>
      </c>
      <c r="AH492" s="516">
        <v>6</v>
      </c>
      <c r="AI492" s="514">
        <f t="shared" si="319"/>
        <v>0</v>
      </c>
      <c r="AJ492" s="514">
        <f t="shared" si="319"/>
        <v>0</v>
      </c>
      <c r="AK492" s="514">
        <f t="shared" si="319"/>
        <v>0</v>
      </c>
      <c r="AL492" s="514">
        <f t="shared" si="319"/>
        <v>0</v>
      </c>
      <c r="AM492" s="514">
        <f t="shared" si="319"/>
        <v>0</v>
      </c>
      <c r="AN492" s="515">
        <f t="shared" si="319"/>
        <v>0</v>
      </c>
      <c r="AO492" s="745"/>
      <c r="AP492" s="514">
        <f t="shared" si="320"/>
        <v>0</v>
      </c>
      <c r="AQ492" s="514">
        <f t="shared" si="320"/>
        <v>0</v>
      </c>
      <c r="AR492" s="514">
        <f t="shared" si="320"/>
        <v>0</v>
      </c>
      <c r="AS492" s="514">
        <f t="shared" si="320"/>
        <v>0</v>
      </c>
      <c r="AT492" s="514">
        <f t="shared" si="320"/>
        <v>0</v>
      </c>
      <c r="AU492" s="748">
        <f t="shared" si="320"/>
        <v>0</v>
      </c>
      <c r="AV492" s="516"/>
      <c r="AW492" s="514">
        <f t="shared" si="321"/>
        <v>0</v>
      </c>
      <c r="AX492" s="514">
        <f t="shared" si="322"/>
        <v>0</v>
      </c>
      <c r="AY492" s="514">
        <f t="shared" si="323"/>
        <v>0</v>
      </c>
      <c r="AZ492" s="514">
        <f t="shared" si="324"/>
        <v>0</v>
      </c>
      <c r="BA492" s="514">
        <f t="shared" si="325"/>
        <v>0</v>
      </c>
      <c r="BB492" s="515">
        <f t="shared" si="326"/>
        <v>0</v>
      </c>
    </row>
    <row r="493" spans="1:54" hidden="1" outlineLevel="1" x14ac:dyDescent="0.2">
      <c r="A493" s="113"/>
      <c r="B493" s="113"/>
      <c r="C493" s="242">
        <v>11</v>
      </c>
      <c r="D493" s="886" t="str">
        <f t="shared" ref="D493:D502" si="327">INDEX(MBSDecNames,C493)</f>
        <v>** NOT USED **</v>
      </c>
      <c r="E493" s="886"/>
      <c r="F493" s="886"/>
      <c r="G493" s="887"/>
      <c r="H493" s="888"/>
      <c r="I493" s="888"/>
      <c r="J493" s="68" t="str">
        <f t="shared" si="315"/>
        <v/>
      </c>
      <c r="K493" s="113"/>
      <c r="L493" s="113"/>
      <c r="M493" s="113"/>
      <c r="N493" s="113"/>
      <c r="O493" s="113"/>
      <c r="P493" s="113"/>
      <c r="Q493" s="113"/>
      <c r="R493" s="113"/>
      <c r="X493" s="491"/>
      <c r="Y493" s="242">
        <f t="shared" si="316"/>
        <v>0</v>
      </c>
      <c r="Z493" s="242" t="str">
        <f t="shared" si="317"/>
        <v/>
      </c>
      <c r="AA493" s="756">
        <f t="shared" si="318"/>
        <v>0</v>
      </c>
      <c r="AH493" s="516">
        <v>7</v>
      </c>
      <c r="AI493" s="514">
        <f t="shared" si="319"/>
        <v>0</v>
      </c>
      <c r="AJ493" s="514">
        <f t="shared" si="319"/>
        <v>0</v>
      </c>
      <c r="AK493" s="514">
        <f t="shared" si="319"/>
        <v>0</v>
      </c>
      <c r="AL493" s="514">
        <f t="shared" si="319"/>
        <v>0</v>
      </c>
      <c r="AM493" s="514">
        <f t="shared" si="319"/>
        <v>0</v>
      </c>
      <c r="AN493" s="515">
        <f t="shared" si="319"/>
        <v>0</v>
      </c>
      <c r="AO493" s="745"/>
      <c r="AP493" s="514">
        <f t="shared" si="320"/>
        <v>0</v>
      </c>
      <c r="AQ493" s="514">
        <f t="shared" si="320"/>
        <v>0</v>
      </c>
      <c r="AR493" s="514">
        <f t="shared" si="320"/>
        <v>0</v>
      </c>
      <c r="AS493" s="514">
        <f t="shared" si="320"/>
        <v>0</v>
      </c>
      <c r="AT493" s="514">
        <f t="shared" si="320"/>
        <v>0</v>
      </c>
      <c r="AU493" s="748">
        <f t="shared" si="320"/>
        <v>0</v>
      </c>
      <c r="AV493" s="516"/>
      <c r="AW493" s="514">
        <f t="shared" si="321"/>
        <v>0</v>
      </c>
      <c r="AX493" s="514">
        <f t="shared" si="322"/>
        <v>0</v>
      </c>
      <c r="AY493" s="514">
        <f t="shared" si="323"/>
        <v>0</v>
      </c>
      <c r="AZ493" s="514">
        <f t="shared" si="324"/>
        <v>0</v>
      </c>
      <c r="BA493" s="514">
        <f t="shared" si="325"/>
        <v>0</v>
      </c>
      <c r="BB493" s="515">
        <f t="shared" si="326"/>
        <v>0</v>
      </c>
    </row>
    <row r="494" spans="1:54" hidden="1" outlineLevel="1" x14ac:dyDescent="0.2">
      <c r="A494" s="113"/>
      <c r="B494" s="113"/>
      <c r="C494" s="242">
        <v>12</v>
      </c>
      <c r="D494" s="886" t="str">
        <f t="shared" si="327"/>
        <v>** NOT USED **</v>
      </c>
      <c r="E494" s="886"/>
      <c r="F494" s="886"/>
      <c r="G494" s="887"/>
      <c r="H494" s="888"/>
      <c r="I494" s="888"/>
      <c r="J494" s="68" t="str">
        <f t="shared" si="315"/>
        <v/>
      </c>
      <c r="K494" s="113"/>
      <c r="L494" s="113"/>
      <c r="M494" s="113"/>
      <c r="N494" s="113"/>
      <c r="O494" s="113"/>
      <c r="P494" s="113"/>
      <c r="Q494" s="113"/>
      <c r="R494" s="113"/>
      <c r="X494" s="491"/>
      <c r="Y494" s="242">
        <f t="shared" si="316"/>
        <v>0</v>
      </c>
      <c r="Z494" s="242" t="str">
        <f t="shared" si="317"/>
        <v/>
      </c>
      <c r="AA494" s="756">
        <f t="shared" si="318"/>
        <v>0</v>
      </c>
      <c r="AH494" s="516">
        <v>8</v>
      </c>
      <c r="AI494" s="514">
        <f t="shared" si="319"/>
        <v>0</v>
      </c>
      <c r="AJ494" s="514">
        <f t="shared" si="319"/>
        <v>0</v>
      </c>
      <c r="AK494" s="514">
        <f t="shared" si="319"/>
        <v>0</v>
      </c>
      <c r="AL494" s="514">
        <f t="shared" si="319"/>
        <v>0</v>
      </c>
      <c r="AM494" s="514">
        <f t="shared" si="319"/>
        <v>0</v>
      </c>
      <c r="AN494" s="515">
        <f t="shared" si="319"/>
        <v>0</v>
      </c>
      <c r="AO494" s="745"/>
      <c r="AP494" s="514">
        <f t="shared" si="320"/>
        <v>0</v>
      </c>
      <c r="AQ494" s="514">
        <f t="shared" si="320"/>
        <v>0</v>
      </c>
      <c r="AR494" s="514">
        <f t="shared" si="320"/>
        <v>0</v>
      </c>
      <c r="AS494" s="514">
        <f t="shared" si="320"/>
        <v>0</v>
      </c>
      <c r="AT494" s="514">
        <f t="shared" si="320"/>
        <v>0</v>
      </c>
      <c r="AU494" s="748">
        <f t="shared" si="320"/>
        <v>0</v>
      </c>
      <c r="AV494" s="516"/>
      <c r="AW494" s="514">
        <f t="shared" si="321"/>
        <v>0</v>
      </c>
      <c r="AX494" s="514">
        <f t="shared" si="322"/>
        <v>0</v>
      </c>
      <c r="AY494" s="514">
        <f t="shared" si="323"/>
        <v>0</v>
      </c>
      <c r="AZ494" s="514">
        <f t="shared" si="324"/>
        <v>0</v>
      </c>
      <c r="BA494" s="514">
        <f t="shared" si="325"/>
        <v>0</v>
      </c>
      <c r="BB494" s="515">
        <f t="shared" si="326"/>
        <v>0</v>
      </c>
    </row>
    <row r="495" spans="1:54" hidden="1" outlineLevel="1" x14ac:dyDescent="0.2">
      <c r="A495" s="113"/>
      <c r="B495" s="113"/>
      <c r="C495" s="242">
        <v>13</v>
      </c>
      <c r="D495" s="886" t="str">
        <f t="shared" si="327"/>
        <v>** NOT USED **</v>
      </c>
      <c r="E495" s="886"/>
      <c r="F495" s="886"/>
      <c r="G495" s="887"/>
      <c r="H495" s="888"/>
      <c r="I495" s="888"/>
      <c r="J495" s="68" t="str">
        <f t="shared" si="315"/>
        <v/>
      </c>
      <c r="K495" s="113"/>
      <c r="L495" s="113"/>
      <c r="M495" s="113"/>
      <c r="N495" s="113"/>
      <c r="O495" s="113"/>
      <c r="P495" s="113"/>
      <c r="Q495" s="113"/>
      <c r="R495" s="113"/>
      <c r="X495" s="491"/>
      <c r="Y495" s="242">
        <f t="shared" si="316"/>
        <v>0</v>
      </c>
      <c r="Z495" s="242" t="str">
        <f t="shared" si="317"/>
        <v/>
      </c>
      <c r="AA495" s="756">
        <f t="shared" si="318"/>
        <v>0</v>
      </c>
      <c r="AH495" s="516">
        <v>9</v>
      </c>
      <c r="AI495" s="514">
        <f t="shared" si="319"/>
        <v>0</v>
      </c>
      <c r="AJ495" s="514">
        <f t="shared" si="319"/>
        <v>0</v>
      </c>
      <c r="AK495" s="514">
        <f t="shared" si="319"/>
        <v>0</v>
      </c>
      <c r="AL495" s="514">
        <f t="shared" si="319"/>
        <v>0</v>
      </c>
      <c r="AM495" s="514">
        <f t="shared" si="319"/>
        <v>0</v>
      </c>
      <c r="AN495" s="515">
        <f t="shared" si="319"/>
        <v>0</v>
      </c>
      <c r="AO495" s="745"/>
      <c r="AP495" s="514">
        <f t="shared" si="320"/>
        <v>0</v>
      </c>
      <c r="AQ495" s="514">
        <f t="shared" si="320"/>
        <v>0</v>
      </c>
      <c r="AR495" s="514">
        <f t="shared" si="320"/>
        <v>0</v>
      </c>
      <c r="AS495" s="514">
        <f t="shared" si="320"/>
        <v>0</v>
      </c>
      <c r="AT495" s="514">
        <f t="shared" si="320"/>
        <v>0</v>
      </c>
      <c r="AU495" s="748">
        <f t="shared" si="320"/>
        <v>0</v>
      </c>
      <c r="AV495" s="516"/>
      <c r="AW495" s="514">
        <f t="shared" si="321"/>
        <v>0</v>
      </c>
      <c r="AX495" s="514">
        <f t="shared" si="322"/>
        <v>0</v>
      </c>
      <c r="AY495" s="514">
        <f t="shared" si="323"/>
        <v>0</v>
      </c>
      <c r="AZ495" s="514">
        <f t="shared" si="324"/>
        <v>0</v>
      </c>
      <c r="BA495" s="514">
        <f t="shared" si="325"/>
        <v>0</v>
      </c>
      <c r="BB495" s="515">
        <f t="shared" si="326"/>
        <v>0</v>
      </c>
    </row>
    <row r="496" spans="1:54" hidden="1" outlineLevel="1" x14ac:dyDescent="0.2">
      <c r="A496" s="113"/>
      <c r="B496" s="113"/>
      <c r="C496" s="242">
        <v>14</v>
      </c>
      <c r="D496" s="886" t="str">
        <f t="shared" si="327"/>
        <v>** NOT USED **</v>
      </c>
      <c r="E496" s="886"/>
      <c r="F496" s="886"/>
      <c r="G496" s="887"/>
      <c r="H496" s="888"/>
      <c r="I496" s="888"/>
      <c r="J496" s="68" t="str">
        <f t="shared" si="315"/>
        <v/>
      </c>
      <c r="K496" s="113"/>
      <c r="L496" s="113"/>
      <c r="M496" s="113"/>
      <c r="N496" s="113"/>
      <c r="O496" s="113"/>
      <c r="P496" s="113"/>
      <c r="Q496" s="113"/>
      <c r="R496" s="113"/>
      <c r="X496" s="491"/>
      <c r="Y496" s="242">
        <f t="shared" si="316"/>
        <v>0</v>
      </c>
      <c r="Z496" s="242" t="str">
        <f t="shared" si="317"/>
        <v/>
      </c>
      <c r="AA496" s="756">
        <f t="shared" si="318"/>
        <v>0</v>
      </c>
      <c r="AH496" s="516">
        <v>10</v>
      </c>
      <c r="AI496" s="514">
        <f t="shared" si="319"/>
        <v>0</v>
      </c>
      <c r="AJ496" s="514">
        <f t="shared" si="319"/>
        <v>0</v>
      </c>
      <c r="AK496" s="514">
        <f t="shared" si="319"/>
        <v>0</v>
      </c>
      <c r="AL496" s="514">
        <f t="shared" si="319"/>
        <v>0</v>
      </c>
      <c r="AM496" s="514">
        <f t="shared" si="319"/>
        <v>0</v>
      </c>
      <c r="AN496" s="515">
        <f t="shared" si="319"/>
        <v>0</v>
      </c>
      <c r="AO496" s="745"/>
      <c r="AP496" s="514">
        <f t="shared" si="320"/>
        <v>0</v>
      </c>
      <c r="AQ496" s="514">
        <f t="shared" si="320"/>
        <v>0</v>
      </c>
      <c r="AR496" s="514">
        <f t="shared" si="320"/>
        <v>0</v>
      </c>
      <c r="AS496" s="514">
        <f t="shared" si="320"/>
        <v>0</v>
      </c>
      <c r="AT496" s="514">
        <f t="shared" si="320"/>
        <v>0</v>
      </c>
      <c r="AU496" s="748">
        <f t="shared" si="320"/>
        <v>0</v>
      </c>
      <c r="AV496" s="516"/>
      <c r="AW496" s="514">
        <f t="shared" si="321"/>
        <v>0</v>
      </c>
      <c r="AX496" s="514">
        <f t="shared" si="322"/>
        <v>0</v>
      </c>
      <c r="AY496" s="514">
        <f t="shared" si="323"/>
        <v>0</v>
      </c>
      <c r="AZ496" s="514">
        <f t="shared" si="324"/>
        <v>0</v>
      </c>
      <c r="BA496" s="514">
        <f t="shared" si="325"/>
        <v>0</v>
      </c>
      <c r="BB496" s="515">
        <f t="shared" si="326"/>
        <v>0</v>
      </c>
    </row>
    <row r="497" spans="1:54" hidden="1" outlineLevel="1" x14ac:dyDescent="0.2">
      <c r="A497" s="113"/>
      <c r="B497" s="113"/>
      <c r="C497" s="242">
        <v>15</v>
      </c>
      <c r="D497" s="886" t="str">
        <f t="shared" si="327"/>
        <v>** NOT USED **</v>
      </c>
      <c r="E497" s="886"/>
      <c r="F497" s="886"/>
      <c r="G497" s="887"/>
      <c r="H497" s="888"/>
      <c r="I497" s="888"/>
      <c r="J497" s="68" t="str">
        <f t="shared" si="315"/>
        <v/>
      </c>
      <c r="K497" s="113"/>
      <c r="L497" s="113"/>
      <c r="M497" s="113"/>
      <c r="N497" s="113"/>
      <c r="O497" s="113"/>
      <c r="P497" s="113"/>
      <c r="Q497" s="113"/>
      <c r="R497" s="113"/>
      <c r="X497" s="491"/>
      <c r="Y497" s="242">
        <f t="shared" si="316"/>
        <v>0</v>
      </c>
      <c r="Z497" s="242" t="str">
        <f t="shared" si="317"/>
        <v/>
      </c>
      <c r="AA497" s="756">
        <f t="shared" si="318"/>
        <v>0</v>
      </c>
      <c r="AH497" s="516">
        <v>11</v>
      </c>
      <c r="AI497" s="514">
        <f t="shared" ref="AI497:AN506" si="328">IF(OR(ScriptSourceCode=1,ScriptSourceCode=3),AI468-AI521,0)</f>
        <v>0</v>
      </c>
      <c r="AJ497" s="514">
        <f t="shared" si="328"/>
        <v>0</v>
      </c>
      <c r="AK497" s="514">
        <f t="shared" si="328"/>
        <v>0</v>
      </c>
      <c r="AL497" s="514">
        <f t="shared" si="328"/>
        <v>0</v>
      </c>
      <c r="AM497" s="514">
        <f t="shared" si="328"/>
        <v>0</v>
      </c>
      <c r="AN497" s="515">
        <f t="shared" si="328"/>
        <v>0</v>
      </c>
      <c r="AO497" s="745"/>
      <c r="AP497" s="514">
        <f t="shared" ref="AP497:AU506" si="329">IF(OR(ScriptSourceCode=1,ScriptSourceCode=3),AP468-AP521,0)</f>
        <v>0</v>
      </c>
      <c r="AQ497" s="514">
        <f t="shared" si="329"/>
        <v>0</v>
      </c>
      <c r="AR497" s="514">
        <f t="shared" si="329"/>
        <v>0</v>
      </c>
      <c r="AS497" s="514">
        <f t="shared" si="329"/>
        <v>0</v>
      </c>
      <c r="AT497" s="514">
        <f t="shared" si="329"/>
        <v>0</v>
      </c>
      <c r="AU497" s="748">
        <f t="shared" si="329"/>
        <v>0</v>
      </c>
      <c r="AV497" s="516"/>
      <c r="AW497" s="514">
        <f t="shared" ref="AW497:AW506" si="330">AI497+AP497</f>
        <v>0</v>
      </c>
      <c r="AX497" s="514">
        <f t="shared" ref="AX497:AX506" si="331">AJ497+AQ497</f>
        <v>0</v>
      </c>
      <c r="AY497" s="514">
        <f t="shared" ref="AY497:AY506" si="332">AK497+AR497</f>
        <v>0</v>
      </c>
      <c r="AZ497" s="514">
        <f t="shared" ref="AZ497:AZ506" si="333">AL497+AS497</f>
        <v>0</v>
      </c>
      <c r="BA497" s="514">
        <f t="shared" ref="BA497:BA506" si="334">AM497+AT497</f>
        <v>0</v>
      </c>
      <c r="BB497" s="515">
        <f t="shared" ref="BB497:BB506" si="335">AN497+AU497</f>
        <v>0</v>
      </c>
    </row>
    <row r="498" spans="1:54" hidden="1" outlineLevel="1" x14ac:dyDescent="0.2">
      <c r="A498" s="113"/>
      <c r="B498" s="113"/>
      <c r="C498" s="242">
        <v>16</v>
      </c>
      <c r="D498" s="886" t="str">
        <f t="shared" si="327"/>
        <v>** NOT USED **</v>
      </c>
      <c r="E498" s="886"/>
      <c r="F498" s="886"/>
      <c r="G498" s="887"/>
      <c r="H498" s="888"/>
      <c r="I498" s="888"/>
      <c r="J498" s="68" t="str">
        <f t="shared" si="315"/>
        <v/>
      </c>
      <c r="K498" s="113"/>
      <c r="L498" s="113"/>
      <c r="M498" s="113"/>
      <c r="N498" s="113"/>
      <c r="O498" s="113"/>
      <c r="P498" s="113"/>
      <c r="Q498" s="113"/>
      <c r="R498" s="113"/>
      <c r="X498" s="491"/>
      <c r="Y498" s="242">
        <f t="shared" si="316"/>
        <v>0</v>
      </c>
      <c r="Z498" s="242" t="str">
        <f t="shared" si="317"/>
        <v/>
      </c>
      <c r="AA498" s="756">
        <f t="shared" si="318"/>
        <v>0</v>
      </c>
      <c r="AH498" s="516">
        <v>12</v>
      </c>
      <c r="AI498" s="514">
        <f t="shared" si="328"/>
        <v>0</v>
      </c>
      <c r="AJ498" s="514">
        <f t="shared" si="328"/>
        <v>0</v>
      </c>
      <c r="AK498" s="514">
        <f t="shared" si="328"/>
        <v>0</v>
      </c>
      <c r="AL498" s="514">
        <f t="shared" si="328"/>
        <v>0</v>
      </c>
      <c r="AM498" s="514">
        <f t="shared" si="328"/>
        <v>0</v>
      </c>
      <c r="AN498" s="515">
        <f t="shared" si="328"/>
        <v>0</v>
      </c>
      <c r="AO498" s="745"/>
      <c r="AP498" s="514">
        <f t="shared" si="329"/>
        <v>0</v>
      </c>
      <c r="AQ498" s="514">
        <f t="shared" si="329"/>
        <v>0</v>
      </c>
      <c r="AR498" s="514">
        <f t="shared" si="329"/>
        <v>0</v>
      </c>
      <c r="AS498" s="514">
        <f t="shared" si="329"/>
        <v>0</v>
      </c>
      <c r="AT498" s="514">
        <f t="shared" si="329"/>
        <v>0</v>
      </c>
      <c r="AU498" s="748">
        <f t="shared" si="329"/>
        <v>0</v>
      </c>
      <c r="AV498" s="516"/>
      <c r="AW498" s="514">
        <f t="shared" si="330"/>
        <v>0</v>
      </c>
      <c r="AX498" s="514">
        <f t="shared" si="331"/>
        <v>0</v>
      </c>
      <c r="AY498" s="514">
        <f t="shared" si="332"/>
        <v>0</v>
      </c>
      <c r="AZ498" s="514">
        <f t="shared" si="333"/>
        <v>0</v>
      </c>
      <c r="BA498" s="514">
        <f t="shared" si="334"/>
        <v>0</v>
      </c>
      <c r="BB498" s="515">
        <f t="shared" si="335"/>
        <v>0</v>
      </c>
    </row>
    <row r="499" spans="1:54" hidden="1" outlineLevel="1" x14ac:dyDescent="0.2">
      <c r="A499" s="113"/>
      <c r="B499" s="113"/>
      <c r="C499" s="242">
        <v>17</v>
      </c>
      <c r="D499" s="886" t="str">
        <f t="shared" si="327"/>
        <v>** NOT USED **</v>
      </c>
      <c r="E499" s="886"/>
      <c r="F499" s="886"/>
      <c r="G499" s="887"/>
      <c r="H499" s="888"/>
      <c r="I499" s="888"/>
      <c r="J499" s="68" t="str">
        <f t="shared" si="315"/>
        <v/>
      </c>
      <c r="K499" s="113"/>
      <c r="L499" s="113"/>
      <c r="M499" s="113"/>
      <c r="N499" s="113"/>
      <c r="O499" s="113"/>
      <c r="P499" s="113"/>
      <c r="Q499" s="113"/>
      <c r="R499" s="113"/>
      <c r="X499" s="491"/>
      <c r="Y499" s="242">
        <f t="shared" si="316"/>
        <v>0</v>
      </c>
      <c r="Z499" s="242" t="str">
        <f t="shared" si="317"/>
        <v/>
      </c>
      <c r="AA499" s="756">
        <f t="shared" si="318"/>
        <v>0</v>
      </c>
      <c r="AH499" s="516">
        <v>13</v>
      </c>
      <c r="AI499" s="514">
        <f t="shared" si="328"/>
        <v>0</v>
      </c>
      <c r="AJ499" s="514">
        <f t="shared" si="328"/>
        <v>0</v>
      </c>
      <c r="AK499" s="514">
        <f t="shared" si="328"/>
        <v>0</v>
      </c>
      <c r="AL499" s="514">
        <f t="shared" si="328"/>
        <v>0</v>
      </c>
      <c r="AM499" s="514">
        <f t="shared" si="328"/>
        <v>0</v>
      </c>
      <c r="AN499" s="515">
        <f t="shared" si="328"/>
        <v>0</v>
      </c>
      <c r="AO499" s="745"/>
      <c r="AP499" s="514">
        <f t="shared" si="329"/>
        <v>0</v>
      </c>
      <c r="AQ499" s="514">
        <f t="shared" si="329"/>
        <v>0</v>
      </c>
      <c r="AR499" s="514">
        <f t="shared" si="329"/>
        <v>0</v>
      </c>
      <c r="AS499" s="514">
        <f t="shared" si="329"/>
        <v>0</v>
      </c>
      <c r="AT499" s="514">
        <f t="shared" si="329"/>
        <v>0</v>
      </c>
      <c r="AU499" s="748">
        <f t="shared" si="329"/>
        <v>0</v>
      </c>
      <c r="AV499" s="516"/>
      <c r="AW499" s="514">
        <f t="shared" si="330"/>
        <v>0</v>
      </c>
      <c r="AX499" s="514">
        <f t="shared" si="331"/>
        <v>0</v>
      </c>
      <c r="AY499" s="514">
        <f t="shared" si="332"/>
        <v>0</v>
      </c>
      <c r="AZ499" s="514">
        <f t="shared" si="333"/>
        <v>0</v>
      </c>
      <c r="BA499" s="514">
        <f t="shared" si="334"/>
        <v>0</v>
      </c>
      <c r="BB499" s="515">
        <f t="shared" si="335"/>
        <v>0</v>
      </c>
    </row>
    <row r="500" spans="1:54" hidden="1" outlineLevel="1" x14ac:dyDescent="0.2">
      <c r="A500" s="113"/>
      <c r="B500" s="113"/>
      <c r="C500" s="242">
        <v>18</v>
      </c>
      <c r="D500" s="886" t="str">
        <f t="shared" si="327"/>
        <v>** NOT USED **</v>
      </c>
      <c r="E500" s="886"/>
      <c r="F500" s="886"/>
      <c r="G500" s="887"/>
      <c r="H500" s="888"/>
      <c r="I500" s="888"/>
      <c r="J500" s="68" t="str">
        <f t="shared" si="315"/>
        <v/>
      </c>
      <c r="K500" s="113"/>
      <c r="L500" s="113"/>
      <c r="M500" s="113"/>
      <c r="N500" s="113"/>
      <c r="O500" s="113"/>
      <c r="P500" s="113"/>
      <c r="Q500" s="113"/>
      <c r="R500" s="113"/>
      <c r="X500" s="491"/>
      <c r="Y500" s="242">
        <f t="shared" si="316"/>
        <v>0</v>
      </c>
      <c r="Z500" s="242" t="str">
        <f t="shared" si="317"/>
        <v/>
      </c>
      <c r="AA500" s="756">
        <f t="shared" si="318"/>
        <v>0</v>
      </c>
      <c r="AH500" s="516">
        <v>14</v>
      </c>
      <c r="AI500" s="514">
        <f t="shared" si="328"/>
        <v>0</v>
      </c>
      <c r="AJ500" s="514">
        <f t="shared" si="328"/>
        <v>0</v>
      </c>
      <c r="AK500" s="514">
        <f t="shared" si="328"/>
        <v>0</v>
      </c>
      <c r="AL500" s="514">
        <f t="shared" si="328"/>
        <v>0</v>
      </c>
      <c r="AM500" s="514">
        <f t="shared" si="328"/>
        <v>0</v>
      </c>
      <c r="AN500" s="515">
        <f t="shared" si="328"/>
        <v>0</v>
      </c>
      <c r="AO500" s="745"/>
      <c r="AP500" s="514">
        <f t="shared" si="329"/>
        <v>0</v>
      </c>
      <c r="AQ500" s="514">
        <f t="shared" si="329"/>
        <v>0</v>
      </c>
      <c r="AR500" s="514">
        <f t="shared" si="329"/>
        <v>0</v>
      </c>
      <c r="AS500" s="514">
        <f t="shared" si="329"/>
        <v>0</v>
      </c>
      <c r="AT500" s="514">
        <f t="shared" si="329"/>
        <v>0</v>
      </c>
      <c r="AU500" s="748">
        <f t="shared" si="329"/>
        <v>0</v>
      </c>
      <c r="AV500" s="516"/>
      <c r="AW500" s="514">
        <f t="shared" si="330"/>
        <v>0</v>
      </c>
      <c r="AX500" s="514">
        <f t="shared" si="331"/>
        <v>0</v>
      </c>
      <c r="AY500" s="514">
        <f t="shared" si="332"/>
        <v>0</v>
      </c>
      <c r="AZ500" s="514">
        <f t="shared" si="333"/>
        <v>0</v>
      </c>
      <c r="BA500" s="514">
        <f t="shared" si="334"/>
        <v>0</v>
      </c>
      <c r="BB500" s="515">
        <f t="shared" si="335"/>
        <v>0</v>
      </c>
    </row>
    <row r="501" spans="1:54" hidden="1" outlineLevel="1" x14ac:dyDescent="0.2">
      <c r="A501" s="113"/>
      <c r="B501" s="113"/>
      <c r="C501" s="242">
        <v>19</v>
      </c>
      <c r="D501" s="886" t="str">
        <f t="shared" si="327"/>
        <v>** NOT USED **</v>
      </c>
      <c r="E501" s="886"/>
      <c r="F501" s="886"/>
      <c r="G501" s="887"/>
      <c r="H501" s="888"/>
      <c r="I501" s="888"/>
      <c r="J501" s="68" t="str">
        <f t="shared" si="315"/>
        <v/>
      </c>
      <c r="K501" s="113"/>
      <c r="L501" s="113"/>
      <c r="M501" s="113"/>
      <c r="N501" s="113"/>
      <c r="O501" s="113"/>
      <c r="P501" s="113"/>
      <c r="Q501" s="113"/>
      <c r="R501" s="113"/>
      <c r="X501" s="491"/>
      <c r="Y501" s="242">
        <f t="shared" si="316"/>
        <v>0</v>
      </c>
      <c r="Z501" s="242" t="str">
        <f t="shared" si="317"/>
        <v/>
      </c>
      <c r="AA501" s="756">
        <f t="shared" si="318"/>
        <v>0</v>
      </c>
      <c r="AH501" s="516">
        <v>15</v>
      </c>
      <c r="AI501" s="514">
        <f t="shared" si="328"/>
        <v>0</v>
      </c>
      <c r="AJ501" s="514">
        <f t="shared" si="328"/>
        <v>0</v>
      </c>
      <c r="AK501" s="514">
        <f t="shared" si="328"/>
        <v>0</v>
      </c>
      <c r="AL501" s="514">
        <f t="shared" si="328"/>
        <v>0</v>
      </c>
      <c r="AM501" s="514">
        <f t="shared" si="328"/>
        <v>0</v>
      </c>
      <c r="AN501" s="515">
        <f t="shared" si="328"/>
        <v>0</v>
      </c>
      <c r="AO501" s="745"/>
      <c r="AP501" s="514">
        <f t="shared" si="329"/>
        <v>0</v>
      </c>
      <c r="AQ501" s="514">
        <f t="shared" si="329"/>
        <v>0</v>
      </c>
      <c r="AR501" s="514">
        <f t="shared" si="329"/>
        <v>0</v>
      </c>
      <c r="AS501" s="514">
        <f t="shared" si="329"/>
        <v>0</v>
      </c>
      <c r="AT501" s="514">
        <f t="shared" si="329"/>
        <v>0</v>
      </c>
      <c r="AU501" s="748">
        <f t="shared" si="329"/>
        <v>0</v>
      </c>
      <c r="AV501" s="516"/>
      <c r="AW501" s="514">
        <f t="shared" si="330"/>
        <v>0</v>
      </c>
      <c r="AX501" s="514">
        <f t="shared" si="331"/>
        <v>0</v>
      </c>
      <c r="AY501" s="514">
        <f t="shared" si="332"/>
        <v>0</v>
      </c>
      <c r="AZ501" s="514">
        <f t="shared" si="333"/>
        <v>0</v>
      </c>
      <c r="BA501" s="514">
        <f t="shared" si="334"/>
        <v>0</v>
      </c>
      <c r="BB501" s="515">
        <f t="shared" si="335"/>
        <v>0</v>
      </c>
    </row>
    <row r="502" spans="1:54" hidden="1" outlineLevel="1" x14ac:dyDescent="0.2">
      <c r="A502" s="113"/>
      <c r="B502" s="113"/>
      <c r="C502" s="242">
        <v>20</v>
      </c>
      <c r="D502" s="886" t="str">
        <f t="shared" si="327"/>
        <v>** NOT USED **</v>
      </c>
      <c r="E502" s="886"/>
      <c r="F502" s="886"/>
      <c r="G502" s="887"/>
      <c r="H502" s="888"/>
      <c r="I502" s="888"/>
      <c r="J502" s="68" t="str">
        <f t="shared" si="315"/>
        <v/>
      </c>
      <c r="K502" s="113"/>
      <c r="L502" s="113"/>
      <c r="M502" s="113"/>
      <c r="N502" s="113"/>
      <c r="O502" s="113"/>
      <c r="P502" s="113"/>
      <c r="Q502" s="113"/>
      <c r="R502" s="113"/>
      <c r="X502" s="491"/>
      <c r="Y502" s="242">
        <f t="shared" si="316"/>
        <v>0</v>
      </c>
      <c r="Z502" s="242" t="str">
        <f t="shared" si="317"/>
        <v/>
      </c>
      <c r="AA502" s="756">
        <f t="shared" si="318"/>
        <v>0</v>
      </c>
      <c r="AH502" s="516">
        <v>16</v>
      </c>
      <c r="AI502" s="514">
        <f t="shared" si="328"/>
        <v>0</v>
      </c>
      <c r="AJ502" s="514">
        <f t="shared" si="328"/>
        <v>0</v>
      </c>
      <c r="AK502" s="514">
        <f t="shared" si="328"/>
        <v>0</v>
      </c>
      <c r="AL502" s="514">
        <f t="shared" si="328"/>
        <v>0</v>
      </c>
      <c r="AM502" s="514">
        <f t="shared" si="328"/>
        <v>0</v>
      </c>
      <c r="AN502" s="515">
        <f t="shared" si="328"/>
        <v>0</v>
      </c>
      <c r="AO502" s="745"/>
      <c r="AP502" s="514">
        <f t="shared" si="329"/>
        <v>0</v>
      </c>
      <c r="AQ502" s="514">
        <f t="shared" si="329"/>
        <v>0</v>
      </c>
      <c r="AR502" s="514">
        <f t="shared" si="329"/>
        <v>0</v>
      </c>
      <c r="AS502" s="514">
        <f t="shared" si="329"/>
        <v>0</v>
      </c>
      <c r="AT502" s="514">
        <f t="shared" si="329"/>
        <v>0</v>
      </c>
      <c r="AU502" s="748">
        <f t="shared" si="329"/>
        <v>0</v>
      </c>
      <c r="AV502" s="516"/>
      <c r="AW502" s="514">
        <f t="shared" si="330"/>
        <v>0</v>
      </c>
      <c r="AX502" s="514">
        <f t="shared" si="331"/>
        <v>0</v>
      </c>
      <c r="AY502" s="514">
        <f t="shared" si="332"/>
        <v>0</v>
      </c>
      <c r="AZ502" s="514">
        <f t="shared" si="333"/>
        <v>0</v>
      </c>
      <c r="BA502" s="514">
        <f t="shared" si="334"/>
        <v>0</v>
      </c>
      <c r="BB502" s="515">
        <f t="shared" si="335"/>
        <v>0</v>
      </c>
    </row>
    <row r="503" spans="1:54" hidden="1" outlineLevel="1" x14ac:dyDescent="0.2">
      <c r="A503" s="113"/>
      <c r="B503" s="113"/>
      <c r="C503" s="113"/>
      <c r="D503" s="673"/>
      <c r="E503" s="673"/>
      <c r="F503" s="113"/>
      <c r="G503" s="113"/>
      <c r="H503" s="113"/>
      <c r="I503" s="113"/>
      <c r="J503" s="113"/>
      <c r="K503" s="113"/>
      <c r="L503" s="113"/>
      <c r="M503" s="113"/>
      <c r="N503" s="113"/>
      <c r="O503" s="113"/>
      <c r="P503" s="113"/>
      <c r="Q503" s="113"/>
      <c r="R503" s="113"/>
      <c r="S503" s="113"/>
      <c r="T503" s="113"/>
      <c r="U503" s="113"/>
      <c r="V503" s="113"/>
      <c r="X503" s="491"/>
      <c r="Y503"/>
      <c r="Z503"/>
      <c r="AA503" s="491"/>
      <c r="AH503" s="516">
        <v>17</v>
      </c>
      <c r="AI503" s="514">
        <f t="shared" si="328"/>
        <v>0</v>
      </c>
      <c r="AJ503" s="514">
        <f t="shared" si="328"/>
        <v>0</v>
      </c>
      <c r="AK503" s="514">
        <f t="shared" si="328"/>
        <v>0</v>
      </c>
      <c r="AL503" s="514">
        <f t="shared" si="328"/>
        <v>0</v>
      </c>
      <c r="AM503" s="514">
        <f t="shared" si="328"/>
        <v>0</v>
      </c>
      <c r="AN503" s="515">
        <f t="shared" si="328"/>
        <v>0</v>
      </c>
      <c r="AO503" s="745"/>
      <c r="AP503" s="514">
        <f t="shared" si="329"/>
        <v>0</v>
      </c>
      <c r="AQ503" s="514">
        <f t="shared" si="329"/>
        <v>0</v>
      </c>
      <c r="AR503" s="514">
        <f t="shared" si="329"/>
        <v>0</v>
      </c>
      <c r="AS503" s="514">
        <f t="shared" si="329"/>
        <v>0</v>
      </c>
      <c r="AT503" s="514">
        <f t="shared" si="329"/>
        <v>0</v>
      </c>
      <c r="AU503" s="748">
        <f t="shared" si="329"/>
        <v>0</v>
      </c>
      <c r="AV503" s="516"/>
      <c r="AW503" s="514">
        <f t="shared" si="330"/>
        <v>0</v>
      </c>
      <c r="AX503" s="514">
        <f t="shared" si="331"/>
        <v>0</v>
      </c>
      <c r="AY503" s="514">
        <f t="shared" si="332"/>
        <v>0</v>
      </c>
      <c r="AZ503" s="514">
        <f t="shared" si="333"/>
        <v>0</v>
      </c>
      <c r="BA503" s="514">
        <f t="shared" si="334"/>
        <v>0</v>
      </c>
      <c r="BB503" s="515">
        <f t="shared" si="335"/>
        <v>0</v>
      </c>
    </row>
    <row r="504" spans="1:54" hidden="1" outlineLevel="1" x14ac:dyDescent="0.2">
      <c r="A504" s="243"/>
      <c r="B504" s="243"/>
      <c r="C504" s="243"/>
      <c r="D504" s="243" t="s">
        <v>306</v>
      </c>
      <c r="E504" s="243"/>
      <c r="F504" s="243"/>
      <c r="G504" s="243"/>
      <c r="H504" s="243"/>
      <c r="I504" s="243"/>
      <c r="J504" s="243"/>
      <c r="K504" s="243"/>
      <c r="L504" s="243"/>
      <c r="M504" s="243"/>
      <c r="N504" s="243"/>
      <c r="O504" s="243"/>
      <c r="P504" s="243"/>
      <c r="Q504" s="243"/>
      <c r="R504" s="243"/>
      <c r="S504" s="243"/>
      <c r="T504" s="243"/>
      <c r="U504" s="243"/>
      <c r="V504" s="243"/>
      <c r="X504" s="490"/>
      <c r="Y504" s="490"/>
      <c r="Z504" s="490"/>
      <c r="AA504" s="490"/>
      <c r="AB504" s="491"/>
      <c r="AC504" s="491"/>
      <c r="AD504" s="491"/>
      <c r="AE504" s="491"/>
      <c r="AF504" s="491"/>
      <c r="AG504" s="491"/>
      <c r="AH504" s="516">
        <v>18</v>
      </c>
      <c r="AI504" s="514">
        <f t="shared" si="328"/>
        <v>0</v>
      </c>
      <c r="AJ504" s="514">
        <f t="shared" si="328"/>
        <v>0</v>
      </c>
      <c r="AK504" s="514">
        <f t="shared" si="328"/>
        <v>0</v>
      </c>
      <c r="AL504" s="514">
        <f t="shared" si="328"/>
        <v>0</v>
      </c>
      <c r="AM504" s="514">
        <f t="shared" si="328"/>
        <v>0</v>
      </c>
      <c r="AN504" s="515">
        <f t="shared" si="328"/>
        <v>0</v>
      </c>
      <c r="AO504" s="745"/>
      <c r="AP504" s="514">
        <f t="shared" si="329"/>
        <v>0</v>
      </c>
      <c r="AQ504" s="514">
        <f t="shared" si="329"/>
        <v>0</v>
      </c>
      <c r="AR504" s="514">
        <f t="shared" si="329"/>
        <v>0</v>
      </c>
      <c r="AS504" s="514">
        <f t="shared" si="329"/>
        <v>0</v>
      </c>
      <c r="AT504" s="514">
        <f t="shared" si="329"/>
        <v>0</v>
      </c>
      <c r="AU504" s="748">
        <f t="shared" si="329"/>
        <v>0</v>
      </c>
      <c r="AV504" s="516"/>
      <c r="AW504" s="514">
        <f t="shared" si="330"/>
        <v>0</v>
      </c>
      <c r="AX504" s="514">
        <f t="shared" si="331"/>
        <v>0</v>
      </c>
      <c r="AY504" s="514">
        <f t="shared" si="332"/>
        <v>0</v>
      </c>
      <c r="AZ504" s="514">
        <f t="shared" si="333"/>
        <v>0</v>
      </c>
      <c r="BA504" s="514">
        <f t="shared" si="334"/>
        <v>0</v>
      </c>
      <c r="BB504" s="515">
        <f t="shared" si="335"/>
        <v>0</v>
      </c>
    </row>
    <row r="505" spans="1:54" hidden="1" outlineLevel="1" collapsed="1" x14ac:dyDescent="0.2">
      <c r="A505" s="243"/>
      <c r="B505" s="243"/>
      <c r="C505" s="243"/>
      <c r="D505" s="243"/>
      <c r="E505" s="243"/>
      <c r="F505" s="243"/>
      <c r="G505" s="243"/>
      <c r="H505" s="243"/>
      <c r="I505" s="243"/>
      <c r="J505" s="243"/>
      <c r="K505" s="243"/>
      <c r="L505" s="243"/>
      <c r="M505" s="243"/>
      <c r="N505" s="243"/>
      <c r="O505" s="243"/>
      <c r="P505" s="243"/>
      <c r="Q505" s="243"/>
      <c r="R505" s="243"/>
      <c r="S505" s="243"/>
      <c r="T505" s="243"/>
      <c r="U505" s="243"/>
      <c r="V505" s="243"/>
      <c r="X505" s="490"/>
      <c r="Y505" s="490"/>
      <c r="Z505" s="490"/>
      <c r="AA505" s="490"/>
      <c r="AB505" s="491"/>
      <c r="AC505" s="491"/>
      <c r="AD505" s="491"/>
      <c r="AE505" s="491"/>
      <c r="AF505" s="491"/>
      <c r="AG505" s="491"/>
      <c r="AH505" s="516">
        <v>19</v>
      </c>
      <c r="AI505" s="514">
        <f t="shared" si="328"/>
        <v>0</v>
      </c>
      <c r="AJ505" s="514">
        <f t="shared" si="328"/>
        <v>0</v>
      </c>
      <c r="AK505" s="514">
        <f t="shared" si="328"/>
        <v>0</v>
      </c>
      <c r="AL505" s="514">
        <f t="shared" si="328"/>
        <v>0</v>
      </c>
      <c r="AM505" s="514">
        <f t="shared" si="328"/>
        <v>0</v>
      </c>
      <c r="AN505" s="515">
        <f t="shared" si="328"/>
        <v>0</v>
      </c>
      <c r="AO505" s="745"/>
      <c r="AP505" s="514">
        <f t="shared" si="329"/>
        <v>0</v>
      </c>
      <c r="AQ505" s="514">
        <f t="shared" si="329"/>
        <v>0</v>
      </c>
      <c r="AR505" s="514">
        <f t="shared" si="329"/>
        <v>0</v>
      </c>
      <c r="AS505" s="514">
        <f t="shared" si="329"/>
        <v>0</v>
      </c>
      <c r="AT505" s="514">
        <f t="shared" si="329"/>
        <v>0</v>
      </c>
      <c r="AU505" s="748">
        <f t="shared" si="329"/>
        <v>0</v>
      </c>
      <c r="AV505" s="516"/>
      <c r="AW505" s="514">
        <f t="shared" si="330"/>
        <v>0</v>
      </c>
      <c r="AX505" s="514">
        <f t="shared" si="331"/>
        <v>0</v>
      </c>
      <c r="AY505" s="514">
        <f t="shared" si="332"/>
        <v>0</v>
      </c>
      <c r="AZ505" s="514">
        <f t="shared" si="333"/>
        <v>0</v>
      </c>
      <c r="BA505" s="514">
        <f t="shared" si="334"/>
        <v>0</v>
      </c>
      <c r="BB505" s="515">
        <f t="shared" si="335"/>
        <v>0</v>
      </c>
    </row>
    <row r="506" spans="1:54" ht="16.5" hidden="1" outlineLevel="1" thickBot="1" x14ac:dyDescent="0.25">
      <c r="A506" s="243"/>
      <c r="B506" s="243"/>
      <c r="C506" s="242">
        <v>1</v>
      </c>
      <c r="D506" s="79" t="str">
        <f>INDEX(MBSDecNames,C506)</f>
        <v>** NOT USED **</v>
      </c>
      <c r="E506" s="79"/>
      <c r="F506" s="115"/>
      <c r="G506" s="115"/>
      <c r="H506" s="115"/>
      <c r="I506" s="115"/>
      <c r="J506" s="821" t="str">
        <f>IF(D506&lt;&gt;MsgNotUsed,"Co-payment group " &amp; K458,"")</f>
        <v/>
      </c>
      <c r="K506" s="821"/>
      <c r="L506" s="115"/>
      <c r="M506" s="115"/>
      <c r="N506" s="115"/>
      <c r="O506" s="115"/>
      <c r="P506" s="115"/>
      <c r="Q506" s="115"/>
      <c r="R506" s="115"/>
      <c r="S506" s="115"/>
      <c r="T506" s="115"/>
      <c r="U506" s="115"/>
      <c r="V506" s="115"/>
      <c r="W506" s="491"/>
      <c r="X506" s="490"/>
      <c r="Y506" s="490"/>
      <c r="Z506" s="490"/>
      <c r="AA506" s="490"/>
      <c r="AB506" s="491"/>
      <c r="AC506" s="491"/>
      <c r="AD506" s="491"/>
      <c r="AE506" s="491"/>
      <c r="AF506" s="491"/>
      <c r="AG506" s="491"/>
      <c r="AH506" s="519">
        <v>20</v>
      </c>
      <c r="AI506" s="517">
        <f t="shared" si="328"/>
        <v>0</v>
      </c>
      <c r="AJ506" s="517">
        <f t="shared" si="328"/>
        <v>0</v>
      </c>
      <c r="AK506" s="517">
        <f t="shared" si="328"/>
        <v>0</v>
      </c>
      <c r="AL506" s="517">
        <f t="shared" si="328"/>
        <v>0</v>
      </c>
      <c r="AM506" s="517">
        <f t="shared" si="328"/>
        <v>0</v>
      </c>
      <c r="AN506" s="518">
        <f t="shared" si="328"/>
        <v>0</v>
      </c>
      <c r="AO506" s="746"/>
      <c r="AP506" s="517">
        <f t="shared" si="329"/>
        <v>0</v>
      </c>
      <c r="AQ506" s="517">
        <f t="shared" si="329"/>
        <v>0</v>
      </c>
      <c r="AR506" s="517">
        <f t="shared" si="329"/>
        <v>0</v>
      </c>
      <c r="AS506" s="517">
        <f t="shared" si="329"/>
        <v>0</v>
      </c>
      <c r="AT506" s="517">
        <f t="shared" si="329"/>
        <v>0</v>
      </c>
      <c r="AU506" s="749">
        <f t="shared" si="329"/>
        <v>0</v>
      </c>
      <c r="AV506" s="519"/>
      <c r="AW506" s="517">
        <f t="shared" si="330"/>
        <v>0</v>
      </c>
      <c r="AX506" s="517">
        <f t="shared" si="331"/>
        <v>0</v>
      </c>
      <c r="AY506" s="517">
        <f t="shared" si="332"/>
        <v>0</v>
      </c>
      <c r="AZ506" s="517">
        <f t="shared" si="333"/>
        <v>0</v>
      </c>
      <c r="BA506" s="517">
        <f t="shared" si="334"/>
        <v>0</v>
      </c>
      <c r="BB506" s="518">
        <f t="shared" si="335"/>
        <v>0</v>
      </c>
    </row>
    <row r="507" spans="1:54" ht="13.5" hidden="1" outlineLevel="2" thickBot="1" x14ac:dyDescent="0.25">
      <c r="A507" s="243"/>
      <c r="B507" s="243"/>
      <c r="C507" s="243"/>
      <c r="D507" s="243"/>
      <c r="E507" s="243"/>
      <c r="F507" s="495">
        <v>2</v>
      </c>
      <c r="G507" s="495">
        <v>3</v>
      </c>
      <c r="H507" s="495">
        <v>4</v>
      </c>
      <c r="I507" s="495">
        <v>5</v>
      </c>
      <c r="J507" s="495">
        <v>6</v>
      </c>
      <c r="K507" s="495">
        <v>7</v>
      </c>
      <c r="L507" s="495"/>
      <c r="M507" s="243"/>
      <c r="N507" s="243"/>
      <c r="O507" s="243"/>
      <c r="P507" s="243"/>
      <c r="Q507" s="243"/>
      <c r="R507" s="243"/>
      <c r="S507" s="243"/>
      <c r="T507" s="243"/>
      <c r="U507" s="243"/>
      <c r="V507" s="243"/>
      <c r="W507" s="490"/>
      <c r="X507" s="490"/>
      <c r="Y507" s="490"/>
      <c r="Z507" s="490"/>
      <c r="AA507" s="490"/>
      <c r="AB507" s="491"/>
      <c r="AC507" s="491"/>
      <c r="AD507" s="491"/>
      <c r="AE507" s="491"/>
      <c r="AF507" s="491"/>
      <c r="AG507" s="491"/>
      <c r="AH507" s="491"/>
      <c r="AI507" s="491"/>
      <c r="AJ507" s="491"/>
      <c r="AK507" s="491"/>
      <c r="AL507" s="491"/>
      <c r="AM507" s="491"/>
      <c r="AN507" s="491"/>
      <c r="AO507" s="491"/>
      <c r="AP507" s="491"/>
      <c r="AQ507" s="491"/>
      <c r="AR507" s="491"/>
      <c r="AS507" s="491"/>
      <c r="AT507" s="491"/>
      <c r="AU507" s="491"/>
      <c r="AV507" s="491"/>
      <c r="AW507" s="491"/>
      <c r="AX507" s="491"/>
      <c r="AY507" s="491"/>
      <c r="AZ507" s="491"/>
      <c r="BA507" s="491"/>
      <c r="BB507" s="491"/>
    </row>
    <row r="508" spans="1:54" ht="15" hidden="1" outlineLevel="2" x14ac:dyDescent="0.2">
      <c r="A508" s="243"/>
      <c r="B508" s="243"/>
      <c r="C508" s="243"/>
      <c r="D508" s="663" t="s">
        <v>0</v>
      </c>
      <c r="E508" s="663"/>
      <c r="F508" s="630">
        <f>FirstYear</f>
        <v>2021</v>
      </c>
      <c r="G508" s="630">
        <f>F508+1</f>
        <v>2022</v>
      </c>
      <c r="H508" s="630">
        <f>G508+1</f>
        <v>2023</v>
      </c>
      <c r="I508" s="630">
        <f>H508+1</f>
        <v>2024</v>
      </c>
      <c r="J508" s="630">
        <f>I508+1</f>
        <v>2025</v>
      </c>
      <c r="K508" s="630">
        <f>J508+1</f>
        <v>2026</v>
      </c>
      <c r="L508" s="491"/>
      <c r="M508" s="113"/>
      <c r="N508" s="679"/>
      <c r="O508" s="679"/>
      <c r="P508" s="679"/>
      <c r="Q508" s="674"/>
      <c r="R508" s="674"/>
      <c r="S508" s="674"/>
      <c r="T508" s="674"/>
      <c r="U508" s="674"/>
      <c r="V508" s="674"/>
      <c r="W508" s="491"/>
      <c r="X508" s="674"/>
      <c r="Y508" s="674"/>
      <c r="Z508" s="674"/>
      <c r="AA508" s="674"/>
      <c r="AB508" s="490"/>
      <c r="AC508" s="490"/>
      <c r="AD508" s="490"/>
      <c r="AE508" s="490"/>
      <c r="AF508" s="490"/>
      <c r="AG508" s="490"/>
      <c r="AH508" s="889" t="s">
        <v>226</v>
      </c>
      <c r="AI508" s="890"/>
      <c r="AJ508" s="890"/>
      <c r="AK508" s="890"/>
      <c r="AL508" s="890"/>
      <c r="AM508" s="890"/>
      <c r="AN508" s="890"/>
      <c r="AO508" s="890"/>
      <c r="AP508" s="890"/>
      <c r="AQ508" s="890"/>
      <c r="AR508" s="890"/>
      <c r="AS508" s="890"/>
      <c r="AT508" s="890"/>
      <c r="AU508" s="890"/>
      <c r="AV508" s="890"/>
      <c r="AW508" s="890"/>
      <c r="AX508" s="890"/>
      <c r="AY508" s="890"/>
      <c r="AZ508" s="890"/>
      <c r="BA508" s="890"/>
      <c r="BB508" s="891"/>
    </row>
    <row r="509" spans="1:54" ht="13.5" hidden="1" outlineLevel="2" collapsed="1" thickBot="1" x14ac:dyDescent="0.25">
      <c r="A509" s="243"/>
      <c r="B509" s="243"/>
      <c r="C509" s="243"/>
      <c r="D509" s="243"/>
      <c r="E509" s="433" t="s">
        <v>951</v>
      </c>
      <c r="F509" s="283">
        <f t="shared" ref="F509:K509" si="336">F510*INDEX(MBSDecCalc,$C506,3)</f>
        <v>0</v>
      </c>
      <c r="G509" s="283">
        <f t="shared" si="336"/>
        <v>0</v>
      </c>
      <c r="H509" s="283">
        <f t="shared" si="336"/>
        <v>0</v>
      </c>
      <c r="I509" s="283">
        <f t="shared" si="336"/>
        <v>0</v>
      </c>
      <c r="J509" s="283">
        <f t="shared" si="336"/>
        <v>0</v>
      </c>
      <c r="K509" s="283">
        <f t="shared" si="336"/>
        <v>0</v>
      </c>
      <c r="L509" s="490"/>
      <c r="M509" s="680"/>
      <c r="N509" s="664"/>
      <c r="O509" s="664"/>
      <c r="P509" s="664"/>
      <c r="Q509" s="681"/>
      <c r="R509" s="681"/>
      <c r="S509" s="681"/>
      <c r="T509" s="681"/>
      <c r="U509" s="681"/>
      <c r="V509" s="681"/>
      <c r="W509" s="493"/>
      <c r="X509" s="561">
        <f>INDEX(MBSDecItems,C506,1)</f>
        <v>0</v>
      </c>
      <c r="Y509" s="561">
        <f>FirstYear</f>
        <v>2021</v>
      </c>
      <c r="Z509" s="560">
        <f>IF(F510&lt;&gt;0,F510-F512,0)</f>
        <v>0</v>
      </c>
      <c r="AA509" s="560">
        <f>IF(F518&lt;&gt;0,F518-F520,0)</f>
        <v>0</v>
      </c>
      <c r="AB509" s="490"/>
      <c r="AC509" s="490"/>
      <c r="AD509" s="490"/>
      <c r="AE509" s="490"/>
      <c r="AF509" s="490"/>
      <c r="AG509" s="490"/>
      <c r="AH509" s="892" t="str">
        <f>AH485</f>
        <v/>
      </c>
      <c r="AI509" s="893"/>
      <c r="AJ509" s="893"/>
      <c r="AK509" s="893"/>
      <c r="AL509" s="893"/>
      <c r="AM509" s="893"/>
      <c r="AN509" s="894"/>
      <c r="AO509" s="895" t="str">
        <f>AO485</f>
        <v/>
      </c>
      <c r="AP509" s="893"/>
      <c r="AQ509" s="893"/>
      <c r="AR509" s="893"/>
      <c r="AS509" s="893"/>
      <c r="AT509" s="893"/>
      <c r="AU509" s="894"/>
      <c r="AV509" s="895" t="s">
        <v>427</v>
      </c>
      <c r="AW509" s="893"/>
      <c r="AX509" s="893"/>
      <c r="AY509" s="893"/>
      <c r="AZ509" s="893"/>
      <c r="BA509" s="893"/>
      <c r="BB509" s="896"/>
    </row>
    <row r="510" spans="1:54" hidden="1" outlineLevel="2" x14ac:dyDescent="0.2">
      <c r="A510" s="243"/>
      <c r="B510" s="672"/>
      <c r="C510" s="242" t="str">
        <f>INDEX(MBSDecCalc,C506,2)</f>
        <v/>
      </c>
      <c r="D510" s="243"/>
      <c r="E510" s="62" t="s">
        <v>1310</v>
      </c>
      <c r="F510" s="63">
        <f t="shared" ref="F510:K510" si="337">IF(INDEX(MBSDecRate,$C506,2)=2,IFERROR(INDEX(PBSScriptsChanged,$C510,F507),0),IFERROR(INDEX(MBSPBSDec,$C506,INDEX(MBSDecRate,$C506,3)*7+F507),0) * IFERROR(INDEX(MBSDecPopSplit,$C506),0)) * INDEX(MBSDecRate,$C506,1) * INDEX(MBSDecRate,$C506,4)</f>
        <v>0</v>
      </c>
      <c r="G510" s="63">
        <f t="shared" si="337"/>
        <v>0</v>
      </c>
      <c r="H510" s="63">
        <f t="shared" si="337"/>
        <v>0</v>
      </c>
      <c r="I510" s="63">
        <f t="shared" si="337"/>
        <v>0</v>
      </c>
      <c r="J510" s="63">
        <f t="shared" si="337"/>
        <v>0</v>
      </c>
      <c r="K510" s="63">
        <f t="shared" si="337"/>
        <v>0</v>
      </c>
      <c r="L510" s="490"/>
      <c r="M510" s="493"/>
      <c r="N510" s="493"/>
      <c r="O510" s="664"/>
      <c r="P510" s="664"/>
      <c r="Q510" s="681"/>
      <c r="R510" s="681"/>
      <c r="S510" s="681"/>
      <c r="T510" s="681"/>
      <c r="U510" s="681"/>
      <c r="V510" s="681"/>
      <c r="W510" s="493"/>
      <c r="X510" s="561">
        <f>X509</f>
        <v>0</v>
      </c>
      <c r="Y510" s="561">
        <f>Y509+1</f>
        <v>2022</v>
      </c>
      <c r="Z510" s="560">
        <f>IF(G510&lt;&gt;0,G510-G512,0)</f>
        <v>0</v>
      </c>
      <c r="AA510" s="560">
        <f>IF(G518&lt;&gt;0,G518-G520,0)</f>
        <v>0</v>
      </c>
      <c r="AB510" s="490"/>
      <c r="AC510" s="490"/>
      <c r="AD510" s="490"/>
      <c r="AE510" s="490"/>
      <c r="AF510" s="490"/>
      <c r="AG510" s="490"/>
      <c r="AH510" s="379"/>
      <c r="AI510" s="380">
        <f>FirstYear</f>
        <v>2021</v>
      </c>
      <c r="AJ510" s="380">
        <f>AI510+1</f>
        <v>2022</v>
      </c>
      <c r="AK510" s="380">
        <f>AJ510+1</f>
        <v>2023</v>
      </c>
      <c r="AL510" s="380">
        <f>AK510+1</f>
        <v>2024</v>
      </c>
      <c r="AM510" s="380">
        <f>AL510+1</f>
        <v>2025</v>
      </c>
      <c r="AN510" s="381">
        <f>AM510+1</f>
        <v>2026</v>
      </c>
      <c r="AO510" s="744"/>
      <c r="AP510" s="380">
        <f>FirstYear</f>
        <v>2021</v>
      </c>
      <c r="AQ510" s="380">
        <f>AP510+1</f>
        <v>2022</v>
      </c>
      <c r="AR510" s="380">
        <f>AQ510+1</f>
        <v>2023</v>
      </c>
      <c r="AS510" s="380">
        <f>AR510+1</f>
        <v>2024</v>
      </c>
      <c r="AT510" s="380">
        <f>AS510+1</f>
        <v>2025</v>
      </c>
      <c r="AU510" s="747">
        <f>AT510+1</f>
        <v>2026</v>
      </c>
      <c r="AV510" s="379"/>
      <c r="AW510" s="380">
        <f>FirstYear</f>
        <v>2021</v>
      </c>
      <c r="AX510" s="380">
        <f>AW510+1</f>
        <v>2022</v>
      </c>
      <c r="AY510" s="380">
        <f>AX510+1</f>
        <v>2023</v>
      </c>
      <c r="AZ510" s="380">
        <f>AY510+1</f>
        <v>2024</v>
      </c>
      <c r="BA510" s="380">
        <f>AZ510+1</f>
        <v>2025</v>
      </c>
      <c r="BB510" s="381">
        <f>BA510+1</f>
        <v>2026</v>
      </c>
    </row>
    <row r="511" spans="1:54" hidden="1" outlineLevel="2" x14ac:dyDescent="0.2">
      <c r="A511" s="243"/>
      <c r="B511" s="242">
        <v>5</v>
      </c>
      <c r="C511" s="242">
        <v>6</v>
      </c>
      <c r="D511" s="243"/>
      <c r="E511" s="496" t="s">
        <v>1307</v>
      </c>
      <c r="F511" s="63" t="str">
        <f t="shared" ref="F511:K511" si="338">IFERROR(F510*INDEX(MBSDecItems,$C506,$B511)*INDEX(MBSDecItems,$C506,$C511),"")</f>
        <v/>
      </c>
      <c r="G511" s="63" t="str">
        <f t="shared" si="338"/>
        <v/>
      </c>
      <c r="H511" s="63" t="str">
        <f t="shared" si="338"/>
        <v/>
      </c>
      <c r="I511" s="63" t="str">
        <f t="shared" si="338"/>
        <v/>
      </c>
      <c r="J511" s="63" t="str">
        <f t="shared" si="338"/>
        <v/>
      </c>
      <c r="K511" s="63" t="str">
        <f t="shared" si="338"/>
        <v/>
      </c>
      <c r="L511" s="490"/>
      <c r="M511" s="493"/>
      <c r="N511" s="493"/>
      <c r="O511" s="682"/>
      <c r="P511" s="754"/>
      <c r="Q511" s="681"/>
      <c r="R511" s="681"/>
      <c r="S511" s="681"/>
      <c r="T511" s="681"/>
      <c r="U511" s="681"/>
      <c r="V511" s="681"/>
      <c r="W511" s="493"/>
      <c r="X511" s="561">
        <f t="shared" ref="X511:X514" si="339">X510</f>
        <v>0</v>
      </c>
      <c r="Y511" s="561">
        <f>Y510+1</f>
        <v>2023</v>
      </c>
      <c r="Z511" s="560">
        <f>IF(H510&lt;&gt;0,H510-H512,0)</f>
        <v>0</v>
      </c>
      <c r="AA511" s="560">
        <f>IF(H518&lt;&gt;0,H518-H520,0)</f>
        <v>0</v>
      </c>
      <c r="AB511" s="491"/>
      <c r="AC511" s="491"/>
      <c r="AD511" s="491"/>
      <c r="AE511" s="491"/>
      <c r="AF511" s="491"/>
      <c r="AG511" s="491"/>
      <c r="AH511" s="516">
        <v>1</v>
      </c>
      <c r="AI511" s="514">
        <f t="shared" ref="AI511:AN520" si="340">IF(OR(ScriptSourceCode=1,ScriptSourceCode=3),IF($AG458&lt;&gt;0,ROUND(AI458*INDEX(PxTxPhase1Adj,$AG458,9),0),0),0)</f>
        <v>0</v>
      </c>
      <c r="AJ511" s="514">
        <f t="shared" si="340"/>
        <v>0</v>
      </c>
      <c r="AK511" s="514">
        <f t="shared" si="340"/>
        <v>0</v>
      </c>
      <c r="AL511" s="514">
        <f t="shared" si="340"/>
        <v>0</v>
      </c>
      <c r="AM511" s="514">
        <f t="shared" si="340"/>
        <v>0</v>
      </c>
      <c r="AN511" s="515">
        <f t="shared" si="340"/>
        <v>0</v>
      </c>
      <c r="AO511" s="745"/>
      <c r="AP511" s="514">
        <f t="shared" ref="AP511:AU520" si="341">IF(OR(ScriptSourceCode=1,ScriptSourceCode=3),IF($AG458&lt;&gt;0,ROUND(AP458*INDEX(PxTxPhase1Adj,$AG458,9),0),0),0)</f>
        <v>0</v>
      </c>
      <c r="AQ511" s="514">
        <f t="shared" si="341"/>
        <v>0</v>
      </c>
      <c r="AR511" s="514">
        <f t="shared" si="341"/>
        <v>0</v>
      </c>
      <c r="AS511" s="514">
        <f t="shared" si="341"/>
        <v>0</v>
      </c>
      <c r="AT511" s="514">
        <f t="shared" si="341"/>
        <v>0</v>
      </c>
      <c r="AU511" s="748">
        <f t="shared" si="341"/>
        <v>0</v>
      </c>
      <c r="AV511" s="516"/>
      <c r="AW511" s="514">
        <f t="shared" ref="AW511:AW518" si="342">AI511+AP511</f>
        <v>0</v>
      </c>
      <c r="AX511" s="514">
        <f t="shared" ref="AX511:AX518" si="343">AJ511+AQ511</f>
        <v>0</v>
      </c>
      <c r="AY511" s="514">
        <f t="shared" ref="AY511:AY518" si="344">AK511+AR511</f>
        <v>0</v>
      </c>
      <c r="AZ511" s="514">
        <f t="shared" ref="AZ511:AZ518" si="345">AL511+AS511</f>
        <v>0</v>
      </c>
      <c r="BA511" s="514">
        <f t="shared" ref="BA511:BA518" si="346">AM511+AT511</f>
        <v>0</v>
      </c>
      <c r="BB511" s="515">
        <f t="shared" ref="BB511:BB518" si="347">AN511+AU511</f>
        <v>0</v>
      </c>
    </row>
    <row r="512" spans="1:54" hidden="1" outlineLevel="2" x14ac:dyDescent="0.2">
      <c r="A512" s="416"/>
      <c r="B512" s="242">
        <v>4</v>
      </c>
      <c r="C512" s="242">
        <v>6</v>
      </c>
      <c r="D512" s="243"/>
      <c r="E512" s="496" t="s">
        <v>1306</v>
      </c>
      <c r="F512" s="63" t="str">
        <f t="shared" ref="F512:K512" si="348">IFERROR(F510*INDEX(MBSDecItems,$C506,$B512)*INDEX(MBSDecItems,$C506,$C512),"")</f>
        <v/>
      </c>
      <c r="G512" s="63" t="str">
        <f t="shared" si="348"/>
        <v/>
      </c>
      <c r="H512" s="63" t="str">
        <f t="shared" si="348"/>
        <v/>
      </c>
      <c r="I512" s="63" t="str">
        <f t="shared" si="348"/>
        <v/>
      </c>
      <c r="J512" s="63" t="str">
        <f t="shared" si="348"/>
        <v/>
      </c>
      <c r="K512" s="63" t="str">
        <f t="shared" si="348"/>
        <v/>
      </c>
      <c r="L512" s="416"/>
      <c r="M512" s="416"/>
      <c r="N512" s="416"/>
      <c r="O512" s="416"/>
      <c r="P512" s="416"/>
      <c r="Q512" s="416"/>
      <c r="R512" s="416"/>
      <c r="S512" s="416"/>
      <c r="T512" s="416"/>
      <c r="U512" s="416"/>
      <c r="V512" s="416"/>
      <c r="W512" s="493"/>
      <c r="X512" s="561">
        <f t="shared" si="339"/>
        <v>0</v>
      </c>
      <c r="Y512" s="561">
        <f>Y511+1</f>
        <v>2024</v>
      </c>
      <c r="Z512" s="560">
        <f>IF(I510&lt;&gt;0,I510-I512,0)</f>
        <v>0</v>
      </c>
      <c r="AA512" s="560">
        <f>IF(I518&lt;&gt;0,I518-I520,0)</f>
        <v>0</v>
      </c>
      <c r="AB512" s="674"/>
      <c r="AC512" s="490"/>
      <c r="AD512" s="490"/>
      <c r="AE512" s="490"/>
      <c r="AF512" s="490"/>
      <c r="AG512" s="490"/>
      <c r="AH512" s="516">
        <v>2</v>
      </c>
      <c r="AI512" s="514">
        <f t="shared" si="340"/>
        <v>0</v>
      </c>
      <c r="AJ512" s="514">
        <f t="shared" si="340"/>
        <v>0</v>
      </c>
      <c r="AK512" s="514">
        <f t="shared" si="340"/>
        <v>0</v>
      </c>
      <c r="AL512" s="514">
        <f t="shared" si="340"/>
        <v>0</v>
      </c>
      <c r="AM512" s="514">
        <f t="shared" si="340"/>
        <v>0</v>
      </c>
      <c r="AN512" s="515">
        <f t="shared" si="340"/>
        <v>0</v>
      </c>
      <c r="AO512" s="745"/>
      <c r="AP512" s="514">
        <f t="shared" si="341"/>
        <v>0</v>
      </c>
      <c r="AQ512" s="514">
        <f t="shared" si="341"/>
        <v>0</v>
      </c>
      <c r="AR512" s="514">
        <f t="shared" si="341"/>
        <v>0</v>
      </c>
      <c r="AS512" s="514">
        <f t="shared" si="341"/>
        <v>0</v>
      </c>
      <c r="AT512" s="514">
        <f t="shared" si="341"/>
        <v>0</v>
      </c>
      <c r="AU512" s="748">
        <f t="shared" si="341"/>
        <v>0</v>
      </c>
      <c r="AV512" s="516"/>
      <c r="AW512" s="514">
        <f t="shared" si="342"/>
        <v>0</v>
      </c>
      <c r="AX512" s="514">
        <f t="shared" si="343"/>
        <v>0</v>
      </c>
      <c r="AY512" s="514">
        <f t="shared" si="344"/>
        <v>0</v>
      </c>
      <c r="AZ512" s="514">
        <f t="shared" si="345"/>
        <v>0</v>
      </c>
      <c r="BA512" s="514">
        <f t="shared" si="346"/>
        <v>0</v>
      </c>
      <c r="BB512" s="515">
        <f t="shared" si="347"/>
        <v>0</v>
      </c>
    </row>
    <row r="513" spans="1:54" hidden="1" outlineLevel="2" x14ac:dyDescent="0.2">
      <c r="A513" s="243"/>
      <c r="B513" s="242"/>
      <c r="C513" s="242">
        <v>7</v>
      </c>
      <c r="D513" s="243"/>
      <c r="E513" s="497" t="s">
        <v>1308</v>
      </c>
      <c r="F513" s="63" t="str">
        <f t="shared" ref="F513:K513" si="349">IFERROR(F510*INDEX(MBSDecItems,$C506,$C513),"")</f>
        <v/>
      </c>
      <c r="G513" s="63" t="str">
        <f t="shared" si="349"/>
        <v/>
      </c>
      <c r="H513" s="63" t="str">
        <f t="shared" si="349"/>
        <v/>
      </c>
      <c r="I513" s="63" t="str">
        <f t="shared" si="349"/>
        <v/>
      </c>
      <c r="J513" s="63" t="str">
        <f t="shared" si="349"/>
        <v/>
      </c>
      <c r="K513" s="63" t="str">
        <f t="shared" si="349"/>
        <v/>
      </c>
      <c r="L513" s="490"/>
      <c r="M513" s="493"/>
      <c r="N513" s="493"/>
      <c r="O513" s="682"/>
      <c r="P513" s="754"/>
      <c r="Q513" s="681"/>
      <c r="R513" s="681"/>
      <c r="S513" s="681"/>
      <c r="T513" s="681"/>
      <c r="U513" s="681"/>
      <c r="V513" s="681"/>
      <c r="W513" s="493"/>
      <c r="X513" s="561">
        <f t="shared" si="339"/>
        <v>0</v>
      </c>
      <c r="Y513" s="561">
        <f>Y512+1</f>
        <v>2025</v>
      </c>
      <c r="Z513" s="560">
        <f>IF(J510&lt;&gt;0,J510-J512,0)</f>
        <v>0</v>
      </c>
      <c r="AA513" s="560">
        <f>IF(J518&lt;&gt;0,J518-J520,0)</f>
        <v>0</v>
      </c>
      <c r="AB513" s="675"/>
      <c r="AC513" s="490"/>
      <c r="AD513" s="490"/>
      <c r="AE513" s="490"/>
      <c r="AF513" s="490"/>
      <c r="AG513" s="490"/>
      <c r="AH513" s="516">
        <v>3</v>
      </c>
      <c r="AI513" s="514">
        <f t="shared" si="340"/>
        <v>0</v>
      </c>
      <c r="AJ513" s="514">
        <f t="shared" si="340"/>
        <v>0</v>
      </c>
      <c r="AK513" s="514">
        <f t="shared" si="340"/>
        <v>0</v>
      </c>
      <c r="AL513" s="514">
        <f t="shared" si="340"/>
        <v>0</v>
      </c>
      <c r="AM513" s="514">
        <f t="shared" si="340"/>
        <v>0</v>
      </c>
      <c r="AN513" s="515">
        <f t="shared" si="340"/>
        <v>0</v>
      </c>
      <c r="AO513" s="745"/>
      <c r="AP513" s="514">
        <f t="shared" si="341"/>
        <v>0</v>
      </c>
      <c r="AQ513" s="514">
        <f t="shared" si="341"/>
        <v>0</v>
      </c>
      <c r="AR513" s="514">
        <f t="shared" si="341"/>
        <v>0</v>
      </c>
      <c r="AS513" s="514">
        <f t="shared" si="341"/>
        <v>0</v>
      </c>
      <c r="AT513" s="514">
        <f t="shared" si="341"/>
        <v>0</v>
      </c>
      <c r="AU513" s="748">
        <f t="shared" si="341"/>
        <v>0</v>
      </c>
      <c r="AV513" s="516"/>
      <c r="AW513" s="514">
        <f t="shared" si="342"/>
        <v>0</v>
      </c>
      <c r="AX513" s="514">
        <f t="shared" si="343"/>
        <v>0</v>
      </c>
      <c r="AY513" s="514">
        <f t="shared" si="344"/>
        <v>0</v>
      </c>
      <c r="AZ513" s="514">
        <f t="shared" si="345"/>
        <v>0</v>
      </c>
      <c r="BA513" s="514">
        <f t="shared" si="346"/>
        <v>0</v>
      </c>
      <c r="BB513" s="515">
        <f t="shared" si="347"/>
        <v>0</v>
      </c>
    </row>
    <row r="514" spans="1:54" hidden="1" outlineLevel="2" x14ac:dyDescent="0.2">
      <c r="A514" s="243"/>
      <c r="B514" s="493"/>
      <c r="C514" s="493"/>
      <c r="D514" s="493"/>
      <c r="E514" s="493"/>
      <c r="F514" s="493"/>
      <c r="G514" s="493"/>
      <c r="H514" s="493"/>
      <c r="I514" s="493"/>
      <c r="J514" s="493"/>
      <c r="K514" s="493"/>
      <c r="L514" s="490"/>
      <c r="M514" s="493"/>
      <c r="N514" s="493"/>
      <c r="O514" s="682"/>
      <c r="P514" s="682"/>
      <c r="Q514" s="681"/>
      <c r="R514" s="681"/>
      <c r="S514" s="681"/>
      <c r="T514" s="681"/>
      <c r="U514" s="681"/>
      <c r="V514" s="681"/>
      <c r="W514" s="493"/>
      <c r="X514" s="561">
        <f t="shared" si="339"/>
        <v>0</v>
      </c>
      <c r="Y514" s="561">
        <f>Y513+1</f>
        <v>2026</v>
      </c>
      <c r="Z514" s="560">
        <f>IF(K510&lt;&gt;0,K510-K512,0)</f>
        <v>0</v>
      </c>
      <c r="AA514" s="560">
        <f>IF(K518&lt;&gt;0,K518-K520,0)</f>
        <v>0</v>
      </c>
      <c r="AB514" s="675"/>
      <c r="AC514" s="490"/>
      <c r="AD514" s="490"/>
      <c r="AE514" s="490"/>
      <c r="AF514" s="490"/>
      <c r="AG514" s="490"/>
      <c r="AH514" s="516">
        <v>4</v>
      </c>
      <c r="AI514" s="514">
        <f t="shared" si="340"/>
        <v>0</v>
      </c>
      <c r="AJ514" s="514">
        <f t="shared" si="340"/>
        <v>0</v>
      </c>
      <c r="AK514" s="514">
        <f t="shared" si="340"/>
        <v>0</v>
      </c>
      <c r="AL514" s="514">
        <f t="shared" si="340"/>
        <v>0</v>
      </c>
      <c r="AM514" s="514">
        <f t="shared" si="340"/>
        <v>0</v>
      </c>
      <c r="AN514" s="515">
        <f t="shared" si="340"/>
        <v>0</v>
      </c>
      <c r="AO514" s="745"/>
      <c r="AP514" s="514">
        <f t="shared" si="341"/>
        <v>0</v>
      </c>
      <c r="AQ514" s="514">
        <f t="shared" si="341"/>
        <v>0</v>
      </c>
      <c r="AR514" s="514">
        <f t="shared" si="341"/>
        <v>0</v>
      </c>
      <c r="AS514" s="514">
        <f t="shared" si="341"/>
        <v>0</v>
      </c>
      <c r="AT514" s="514">
        <f t="shared" si="341"/>
        <v>0</v>
      </c>
      <c r="AU514" s="748">
        <f t="shared" si="341"/>
        <v>0</v>
      </c>
      <c r="AV514" s="516"/>
      <c r="AW514" s="514">
        <f t="shared" si="342"/>
        <v>0</v>
      </c>
      <c r="AX514" s="514">
        <f t="shared" si="343"/>
        <v>0</v>
      </c>
      <c r="AY514" s="514">
        <f t="shared" si="344"/>
        <v>0</v>
      </c>
      <c r="AZ514" s="514">
        <f t="shared" si="345"/>
        <v>0</v>
      </c>
      <c r="BA514" s="514">
        <f t="shared" si="346"/>
        <v>0</v>
      </c>
      <c r="BB514" s="515">
        <f t="shared" si="347"/>
        <v>0</v>
      </c>
    </row>
    <row r="515" spans="1:54" hidden="1" outlineLevel="2" x14ac:dyDescent="0.2">
      <c r="A515" s="243"/>
      <c r="B515" s="243"/>
      <c r="C515" s="243"/>
      <c r="D515" s="677"/>
      <c r="E515" s="677"/>
      <c r="F515" s="495">
        <v>2</v>
      </c>
      <c r="G515" s="495">
        <v>3</v>
      </c>
      <c r="H515" s="495">
        <v>4</v>
      </c>
      <c r="I515" s="495">
        <v>5</v>
      </c>
      <c r="J515" s="495">
        <v>6</v>
      </c>
      <c r="K515" s="495">
        <v>7</v>
      </c>
      <c r="L515" s="490"/>
      <c r="M515" s="243"/>
      <c r="N515" s="678"/>
      <c r="O515" s="678"/>
      <c r="P515" s="678"/>
      <c r="Q515" s="673"/>
      <c r="R515" s="673"/>
      <c r="S515" s="673"/>
      <c r="T515" s="673"/>
      <c r="U515" s="673"/>
      <c r="V515" s="673"/>
      <c r="W515" s="490"/>
      <c r="X515" s="676"/>
      <c r="Y515" s="676"/>
      <c r="Z515" s="676"/>
      <c r="AA515" s="676"/>
      <c r="AB515" s="675"/>
      <c r="AC515" s="490"/>
      <c r="AD515" s="490"/>
      <c r="AE515" s="490"/>
      <c r="AF515" s="490"/>
      <c r="AG515" s="490"/>
      <c r="AH515" s="516">
        <v>5</v>
      </c>
      <c r="AI515" s="514">
        <f t="shared" si="340"/>
        <v>0</v>
      </c>
      <c r="AJ515" s="514">
        <f t="shared" si="340"/>
        <v>0</v>
      </c>
      <c r="AK515" s="514">
        <f t="shared" si="340"/>
        <v>0</v>
      </c>
      <c r="AL515" s="514">
        <f t="shared" si="340"/>
        <v>0</v>
      </c>
      <c r="AM515" s="514">
        <f t="shared" si="340"/>
        <v>0</v>
      </c>
      <c r="AN515" s="515">
        <f t="shared" si="340"/>
        <v>0</v>
      </c>
      <c r="AO515" s="745"/>
      <c r="AP515" s="514">
        <f t="shared" si="341"/>
        <v>0</v>
      </c>
      <c r="AQ515" s="514">
        <f t="shared" si="341"/>
        <v>0</v>
      </c>
      <c r="AR515" s="514">
        <f t="shared" si="341"/>
        <v>0</v>
      </c>
      <c r="AS515" s="514">
        <f t="shared" si="341"/>
        <v>0</v>
      </c>
      <c r="AT515" s="514">
        <f t="shared" si="341"/>
        <v>0</v>
      </c>
      <c r="AU515" s="748">
        <f t="shared" si="341"/>
        <v>0</v>
      </c>
      <c r="AV515" s="516"/>
      <c r="AW515" s="514">
        <f t="shared" si="342"/>
        <v>0</v>
      </c>
      <c r="AX515" s="514">
        <f t="shared" si="343"/>
        <v>0</v>
      </c>
      <c r="AY515" s="514">
        <f t="shared" si="344"/>
        <v>0</v>
      </c>
      <c r="AZ515" s="514">
        <f t="shared" si="345"/>
        <v>0</v>
      </c>
      <c r="BA515" s="514">
        <f t="shared" si="346"/>
        <v>0</v>
      </c>
      <c r="BB515" s="515">
        <f t="shared" si="347"/>
        <v>0</v>
      </c>
    </row>
    <row r="516" spans="1:54" ht="15.75" hidden="1" outlineLevel="2" x14ac:dyDescent="0.2">
      <c r="A516" s="243"/>
      <c r="B516" s="243"/>
      <c r="C516" s="243"/>
      <c r="D516" s="663" t="s">
        <v>1</v>
      </c>
      <c r="E516" s="663"/>
      <c r="F516" s="751">
        <f>FirstYear</f>
        <v>2021</v>
      </c>
      <c r="G516" s="751">
        <f>F516+1</f>
        <v>2022</v>
      </c>
      <c r="H516" s="751">
        <f>G516+1</f>
        <v>2023</v>
      </c>
      <c r="I516" s="751">
        <f>H516+1</f>
        <v>2024</v>
      </c>
      <c r="J516" s="751">
        <f>I516+1</f>
        <v>2025</v>
      </c>
      <c r="K516" s="751">
        <f>J516+1</f>
        <v>2026</v>
      </c>
      <c r="L516" s="491"/>
      <c r="M516" s="243"/>
      <c r="N516" s="685"/>
      <c r="O516" s="685"/>
      <c r="P516" s="685"/>
      <c r="Q516" s="673"/>
      <c r="R516" s="673"/>
      <c r="S516" s="673"/>
      <c r="T516" s="673"/>
      <c r="U516" s="673"/>
      <c r="V516" s="673"/>
      <c r="W516" s="491"/>
      <c r="X516" s="676"/>
      <c r="Y516" s="676"/>
      <c r="Z516" s="676"/>
      <c r="AA516" s="676"/>
      <c r="AB516" s="675"/>
      <c r="AC516" s="490"/>
      <c r="AD516" s="490"/>
      <c r="AE516" s="490"/>
      <c r="AF516" s="490"/>
      <c r="AG516" s="490"/>
      <c r="AH516" s="516">
        <v>6</v>
      </c>
      <c r="AI516" s="514">
        <f t="shared" si="340"/>
        <v>0</v>
      </c>
      <c r="AJ516" s="514">
        <f t="shared" si="340"/>
        <v>0</v>
      </c>
      <c r="AK516" s="514">
        <f t="shared" si="340"/>
        <v>0</v>
      </c>
      <c r="AL516" s="514">
        <f t="shared" si="340"/>
        <v>0</v>
      </c>
      <c r="AM516" s="514">
        <f t="shared" si="340"/>
        <v>0</v>
      </c>
      <c r="AN516" s="515">
        <f t="shared" si="340"/>
        <v>0</v>
      </c>
      <c r="AO516" s="745"/>
      <c r="AP516" s="514">
        <f t="shared" si="341"/>
        <v>0</v>
      </c>
      <c r="AQ516" s="514">
        <f t="shared" si="341"/>
        <v>0</v>
      </c>
      <c r="AR516" s="514">
        <f t="shared" si="341"/>
        <v>0</v>
      </c>
      <c r="AS516" s="514">
        <f t="shared" si="341"/>
        <v>0</v>
      </c>
      <c r="AT516" s="514">
        <f t="shared" si="341"/>
        <v>0</v>
      </c>
      <c r="AU516" s="748">
        <f t="shared" si="341"/>
        <v>0</v>
      </c>
      <c r="AV516" s="516"/>
      <c r="AW516" s="514">
        <f t="shared" si="342"/>
        <v>0</v>
      </c>
      <c r="AX516" s="514">
        <f t="shared" si="343"/>
        <v>0</v>
      </c>
      <c r="AY516" s="514">
        <f t="shared" si="344"/>
        <v>0</v>
      </c>
      <c r="AZ516" s="514">
        <f t="shared" si="345"/>
        <v>0</v>
      </c>
      <c r="BA516" s="514">
        <f t="shared" si="346"/>
        <v>0</v>
      </c>
      <c r="BB516" s="515">
        <f t="shared" si="347"/>
        <v>0</v>
      </c>
    </row>
    <row r="517" spans="1:54" hidden="1" outlineLevel="2" x14ac:dyDescent="0.2">
      <c r="A517" s="243"/>
      <c r="B517" s="243"/>
      <c r="C517" s="243"/>
      <c r="D517" s="243"/>
      <c r="E517" s="433" t="s">
        <v>951</v>
      </c>
      <c r="F517" s="283">
        <f t="shared" ref="F517:K517" si="350">F518*INDEX(MBSDecCalc,$C506,3)</f>
        <v>0</v>
      </c>
      <c r="G517" s="283">
        <f t="shared" si="350"/>
        <v>0</v>
      </c>
      <c r="H517" s="283">
        <f t="shared" si="350"/>
        <v>0</v>
      </c>
      <c r="I517" s="283">
        <f t="shared" si="350"/>
        <v>0</v>
      </c>
      <c r="J517" s="283">
        <f t="shared" si="350"/>
        <v>0</v>
      </c>
      <c r="K517" s="283">
        <f t="shared" si="350"/>
        <v>0</v>
      </c>
      <c r="L517" s="490"/>
      <c r="M517" s="615"/>
      <c r="N517" s="615"/>
      <c r="O517" s="678"/>
      <c r="P517" s="678"/>
      <c r="Q517" s="673"/>
      <c r="R517" s="673"/>
      <c r="S517" s="673"/>
      <c r="T517" s="673"/>
      <c r="U517" s="673"/>
      <c r="V517" s="673"/>
      <c r="W517" s="490"/>
      <c r="X517" s="676"/>
      <c r="Y517" s="676"/>
      <c r="Z517" s="676"/>
      <c r="AA517" s="676"/>
      <c r="AB517" s="675"/>
      <c r="AC517" s="490"/>
      <c r="AD517" s="490"/>
      <c r="AE517" s="490"/>
      <c r="AF517" s="490"/>
      <c r="AG517" s="490"/>
      <c r="AH517" s="516">
        <v>7</v>
      </c>
      <c r="AI517" s="514">
        <f t="shared" si="340"/>
        <v>0</v>
      </c>
      <c r="AJ517" s="514">
        <f t="shared" si="340"/>
        <v>0</v>
      </c>
      <c r="AK517" s="514">
        <f t="shared" si="340"/>
        <v>0</v>
      </c>
      <c r="AL517" s="514">
        <f t="shared" si="340"/>
        <v>0</v>
      </c>
      <c r="AM517" s="514">
        <f t="shared" si="340"/>
        <v>0</v>
      </c>
      <c r="AN517" s="515">
        <f t="shared" si="340"/>
        <v>0</v>
      </c>
      <c r="AO517" s="745"/>
      <c r="AP517" s="514">
        <f t="shared" si="341"/>
        <v>0</v>
      </c>
      <c r="AQ517" s="514">
        <f t="shared" si="341"/>
        <v>0</v>
      </c>
      <c r="AR517" s="514">
        <f t="shared" si="341"/>
        <v>0</v>
      </c>
      <c r="AS517" s="514">
        <f t="shared" si="341"/>
        <v>0</v>
      </c>
      <c r="AT517" s="514">
        <f t="shared" si="341"/>
        <v>0</v>
      </c>
      <c r="AU517" s="748">
        <f t="shared" si="341"/>
        <v>0</v>
      </c>
      <c r="AV517" s="516"/>
      <c r="AW517" s="514">
        <f t="shared" si="342"/>
        <v>0</v>
      </c>
      <c r="AX517" s="514">
        <f t="shared" si="343"/>
        <v>0</v>
      </c>
      <c r="AY517" s="514">
        <f t="shared" si="344"/>
        <v>0</v>
      </c>
      <c r="AZ517" s="514">
        <f t="shared" si="345"/>
        <v>0</v>
      </c>
      <c r="BA517" s="514">
        <f t="shared" si="346"/>
        <v>0</v>
      </c>
      <c r="BB517" s="515">
        <f t="shared" si="347"/>
        <v>0</v>
      </c>
    </row>
    <row r="518" spans="1:54" hidden="1" outlineLevel="2" x14ac:dyDescent="0.2">
      <c r="A518" s="243"/>
      <c r="B518" s="672"/>
      <c r="C518" s="242" t="str">
        <f>C510</f>
        <v/>
      </c>
      <c r="D518" s="243"/>
      <c r="E518" s="62" t="s">
        <v>1310</v>
      </c>
      <c r="F518" s="63">
        <f t="shared" ref="F518:K518" si="351">IF(INDEX(MBSDecRate,$C506,2)=2,IFERROR(INDEX(RPBSScriptsChanged,$C518,F515),0),IFERROR(INDEX(MBSRPBSDec,$C506,INDEX(MBSDecRate,$C506,3)*7+F515),0) * IFERROR(INDEX(MBSDecPopSplit,$C506),0)) * INDEX(MBSDecRate,$C506,1) * INDEX(MBSDecRate,$C506,4)</f>
        <v>0</v>
      </c>
      <c r="G518" s="63">
        <f t="shared" si="351"/>
        <v>0</v>
      </c>
      <c r="H518" s="63">
        <f t="shared" si="351"/>
        <v>0</v>
      </c>
      <c r="I518" s="63">
        <f t="shared" si="351"/>
        <v>0</v>
      </c>
      <c r="J518" s="63">
        <f t="shared" si="351"/>
        <v>0</v>
      </c>
      <c r="K518" s="63">
        <f t="shared" si="351"/>
        <v>0</v>
      </c>
      <c r="L518" s="490"/>
      <c r="M518" s="243"/>
      <c r="N518" s="753"/>
      <c r="O518" s="678"/>
      <c r="P518" s="678"/>
      <c r="Q518" s="673"/>
      <c r="R518" s="673"/>
      <c r="S518" s="673"/>
      <c r="T518" s="673"/>
      <c r="U518" s="673"/>
      <c r="V518" s="673"/>
      <c r="W518" s="490"/>
      <c r="X518" s="676"/>
      <c r="Y518" s="676"/>
      <c r="Z518" s="676"/>
      <c r="AA518" s="676"/>
      <c r="AB518" s="675"/>
      <c r="AC518" s="490"/>
      <c r="AD518" s="490"/>
      <c r="AE518" s="490"/>
      <c r="AF518" s="490"/>
      <c r="AG518" s="490"/>
      <c r="AH518" s="516">
        <v>8</v>
      </c>
      <c r="AI518" s="514">
        <f t="shared" si="340"/>
        <v>0</v>
      </c>
      <c r="AJ518" s="514">
        <f t="shared" si="340"/>
        <v>0</v>
      </c>
      <c r="AK518" s="514">
        <f t="shared" si="340"/>
        <v>0</v>
      </c>
      <c r="AL518" s="514">
        <f t="shared" si="340"/>
        <v>0</v>
      </c>
      <c r="AM518" s="514">
        <f t="shared" si="340"/>
        <v>0</v>
      </c>
      <c r="AN518" s="515">
        <f t="shared" si="340"/>
        <v>0</v>
      </c>
      <c r="AO518" s="745"/>
      <c r="AP518" s="514">
        <f t="shared" si="341"/>
        <v>0</v>
      </c>
      <c r="AQ518" s="514">
        <f t="shared" si="341"/>
        <v>0</v>
      </c>
      <c r="AR518" s="514">
        <f t="shared" si="341"/>
        <v>0</v>
      </c>
      <c r="AS518" s="514">
        <f t="shared" si="341"/>
        <v>0</v>
      </c>
      <c r="AT518" s="514">
        <f t="shared" si="341"/>
        <v>0</v>
      </c>
      <c r="AU518" s="748">
        <f t="shared" si="341"/>
        <v>0</v>
      </c>
      <c r="AV518" s="516"/>
      <c r="AW518" s="514">
        <f t="shared" si="342"/>
        <v>0</v>
      </c>
      <c r="AX518" s="514">
        <f t="shared" si="343"/>
        <v>0</v>
      </c>
      <c r="AY518" s="514">
        <f t="shared" si="344"/>
        <v>0</v>
      </c>
      <c r="AZ518" s="514">
        <f t="shared" si="345"/>
        <v>0</v>
      </c>
      <c r="BA518" s="514">
        <f t="shared" si="346"/>
        <v>0</v>
      </c>
      <c r="BB518" s="515">
        <f t="shared" si="347"/>
        <v>0</v>
      </c>
    </row>
    <row r="519" spans="1:54" s="493" customFormat="1" hidden="1" outlineLevel="2" x14ac:dyDescent="0.2">
      <c r="A519" s="243"/>
      <c r="B519" s="242">
        <v>5</v>
      </c>
      <c r="C519" s="242">
        <v>6</v>
      </c>
      <c r="D519" s="243"/>
      <c r="E519" s="496" t="s">
        <v>1307</v>
      </c>
      <c r="F519" s="63" t="str">
        <f t="shared" ref="F519:K519" si="352">IFERROR(F518*INDEX(MBSDecItems,$C506,$B519)*INDEX(MBSDecItems,$C506,$C519),"")</f>
        <v/>
      </c>
      <c r="G519" s="63" t="str">
        <f t="shared" si="352"/>
        <v/>
      </c>
      <c r="H519" s="63" t="str">
        <f t="shared" si="352"/>
        <v/>
      </c>
      <c r="I519" s="63" t="str">
        <f t="shared" si="352"/>
        <v/>
      </c>
      <c r="J519" s="63" t="str">
        <f t="shared" si="352"/>
        <v/>
      </c>
      <c r="K519" s="63" t="str">
        <f t="shared" si="352"/>
        <v/>
      </c>
      <c r="L519" s="490"/>
      <c r="M519" s="683"/>
      <c r="N519" s="753"/>
      <c r="O519" s="678"/>
      <c r="P519" s="678"/>
      <c r="Q519" s="673"/>
      <c r="R519" s="673"/>
      <c r="S519" s="673"/>
      <c r="T519" s="673"/>
      <c r="U519" s="673"/>
      <c r="V519" s="673"/>
      <c r="W519" s="490"/>
      <c r="X519" s="676"/>
      <c r="Y519" s="676"/>
      <c r="Z519" s="676"/>
      <c r="AA519" s="676"/>
      <c r="AB519" s="676"/>
      <c r="AC519" s="490"/>
      <c r="AD519" s="490"/>
      <c r="AE519" s="490"/>
      <c r="AF519" s="490"/>
      <c r="AG519" s="490"/>
      <c r="AH519" s="516">
        <v>9</v>
      </c>
      <c r="AI519" s="514">
        <f t="shared" si="340"/>
        <v>0</v>
      </c>
      <c r="AJ519" s="514">
        <f t="shared" si="340"/>
        <v>0</v>
      </c>
      <c r="AK519" s="514">
        <f t="shared" si="340"/>
        <v>0</v>
      </c>
      <c r="AL519" s="514">
        <f t="shared" si="340"/>
        <v>0</v>
      </c>
      <c r="AM519" s="514">
        <f t="shared" si="340"/>
        <v>0</v>
      </c>
      <c r="AN519" s="515">
        <f t="shared" si="340"/>
        <v>0</v>
      </c>
      <c r="AO519" s="745"/>
      <c r="AP519" s="514">
        <f t="shared" si="341"/>
        <v>0</v>
      </c>
      <c r="AQ519" s="514">
        <f t="shared" si="341"/>
        <v>0</v>
      </c>
      <c r="AR519" s="514">
        <f t="shared" si="341"/>
        <v>0</v>
      </c>
      <c r="AS519" s="514">
        <f t="shared" si="341"/>
        <v>0</v>
      </c>
      <c r="AT519" s="514">
        <f t="shared" si="341"/>
        <v>0</v>
      </c>
      <c r="AU519" s="748">
        <f t="shared" si="341"/>
        <v>0</v>
      </c>
      <c r="AV519" s="516"/>
      <c r="AW519" s="514">
        <f t="shared" ref="AW519:BB520" si="353">AI519+AP519</f>
        <v>0</v>
      </c>
      <c r="AX519" s="514">
        <f t="shared" si="353"/>
        <v>0</v>
      </c>
      <c r="AY519" s="514">
        <f t="shared" si="353"/>
        <v>0</v>
      </c>
      <c r="AZ519" s="514">
        <f t="shared" si="353"/>
        <v>0</v>
      </c>
      <c r="BA519" s="514">
        <f t="shared" si="353"/>
        <v>0</v>
      </c>
      <c r="BB519" s="515">
        <f t="shared" si="353"/>
        <v>0</v>
      </c>
    </row>
    <row r="520" spans="1:54" hidden="1" outlineLevel="2" x14ac:dyDescent="0.2">
      <c r="A520" s="243"/>
      <c r="B520" s="242">
        <v>4</v>
      </c>
      <c r="C520" s="242">
        <v>6</v>
      </c>
      <c r="D520" s="243"/>
      <c r="E520" s="496" t="s">
        <v>1306</v>
      </c>
      <c r="F520" s="63" t="str">
        <f t="shared" ref="F520:K520" si="354">IFERROR(F518*INDEX(MBSDecItems,$C506,$B520)*INDEX(MBSDecItems,$C506,$C520),"")</f>
        <v/>
      </c>
      <c r="G520" s="63" t="str">
        <f t="shared" si="354"/>
        <v/>
      </c>
      <c r="H520" s="63" t="str">
        <f t="shared" si="354"/>
        <v/>
      </c>
      <c r="I520" s="63" t="str">
        <f t="shared" si="354"/>
        <v/>
      </c>
      <c r="J520" s="63" t="str">
        <f t="shared" si="354"/>
        <v/>
      </c>
      <c r="K520" s="63" t="str">
        <f t="shared" si="354"/>
        <v/>
      </c>
      <c r="L520" s="490"/>
      <c r="M520" s="684"/>
      <c r="N520" s="682"/>
      <c r="O520" s="678"/>
      <c r="P520" s="678"/>
      <c r="Q520" s="673"/>
      <c r="R520" s="673"/>
      <c r="S520" s="673"/>
      <c r="T520" s="673"/>
      <c r="U520" s="673"/>
      <c r="V520" s="673"/>
      <c r="W520" s="490"/>
      <c r="X520" s="676"/>
      <c r="Y520" s="676"/>
      <c r="Z520" s="676"/>
      <c r="AA520" s="676"/>
      <c r="AB520" s="676"/>
      <c r="AC520" s="490"/>
      <c r="AD520" s="490"/>
      <c r="AE520" s="490"/>
      <c r="AF520" s="490"/>
      <c r="AG520" s="490"/>
      <c r="AH520" s="516">
        <v>10</v>
      </c>
      <c r="AI520" s="514">
        <f t="shared" si="340"/>
        <v>0</v>
      </c>
      <c r="AJ520" s="514">
        <f t="shared" si="340"/>
        <v>0</v>
      </c>
      <c r="AK520" s="514">
        <f t="shared" si="340"/>
        <v>0</v>
      </c>
      <c r="AL520" s="514">
        <f t="shared" si="340"/>
        <v>0</v>
      </c>
      <c r="AM520" s="514">
        <f t="shared" si="340"/>
        <v>0</v>
      </c>
      <c r="AN520" s="515">
        <f t="shared" si="340"/>
        <v>0</v>
      </c>
      <c r="AO520" s="745"/>
      <c r="AP520" s="514">
        <f t="shared" si="341"/>
        <v>0</v>
      </c>
      <c r="AQ520" s="514">
        <f t="shared" si="341"/>
        <v>0</v>
      </c>
      <c r="AR520" s="514">
        <f t="shared" si="341"/>
        <v>0</v>
      </c>
      <c r="AS520" s="514">
        <f t="shared" si="341"/>
        <v>0</v>
      </c>
      <c r="AT520" s="514">
        <f t="shared" si="341"/>
        <v>0</v>
      </c>
      <c r="AU520" s="748">
        <f t="shared" si="341"/>
        <v>0</v>
      </c>
      <c r="AV520" s="516"/>
      <c r="AW520" s="514">
        <f t="shared" si="353"/>
        <v>0</v>
      </c>
      <c r="AX520" s="514">
        <f t="shared" si="353"/>
        <v>0</v>
      </c>
      <c r="AY520" s="514">
        <f t="shared" si="353"/>
        <v>0</v>
      </c>
      <c r="AZ520" s="514">
        <f t="shared" si="353"/>
        <v>0</v>
      </c>
      <c r="BA520" s="514">
        <f t="shared" si="353"/>
        <v>0</v>
      </c>
      <c r="BB520" s="515">
        <f t="shared" si="353"/>
        <v>0</v>
      </c>
    </row>
    <row r="521" spans="1:54" hidden="1" outlineLevel="2" x14ac:dyDescent="0.2">
      <c r="A521" s="243"/>
      <c r="B521" s="242"/>
      <c r="C521" s="242">
        <v>7</v>
      </c>
      <c r="D521" s="243"/>
      <c r="E521" s="497" t="s">
        <v>1308</v>
      </c>
      <c r="F521" s="63" t="str">
        <f t="shared" ref="F521:K521" si="355">IFERROR(F518*INDEX(MBSDecItems,$C506,$C521),"")</f>
        <v/>
      </c>
      <c r="G521" s="63" t="str">
        <f t="shared" si="355"/>
        <v/>
      </c>
      <c r="H521" s="63" t="str">
        <f t="shared" si="355"/>
        <v/>
      </c>
      <c r="I521" s="63" t="str">
        <f t="shared" si="355"/>
        <v/>
      </c>
      <c r="J521" s="63" t="str">
        <f t="shared" si="355"/>
        <v/>
      </c>
      <c r="K521" s="63" t="str">
        <f t="shared" si="355"/>
        <v/>
      </c>
      <c r="L521" s="490"/>
      <c r="M521" s="684"/>
      <c r="N521" s="682"/>
      <c r="O521" s="678"/>
      <c r="P521" s="678"/>
      <c r="Q521" s="673"/>
      <c r="R521" s="673"/>
      <c r="S521" s="673"/>
      <c r="T521" s="673"/>
      <c r="U521" s="673"/>
      <c r="V521" s="673"/>
      <c r="W521" s="490"/>
      <c r="X521" s="676"/>
      <c r="Y521" s="676"/>
      <c r="Z521" s="676"/>
      <c r="AA521" s="676"/>
      <c r="AB521" s="676"/>
      <c r="AC521" s="490"/>
      <c r="AD521" s="490"/>
      <c r="AE521" s="490"/>
      <c r="AF521" s="490"/>
      <c r="AG521" s="490"/>
      <c r="AH521" s="516">
        <v>11</v>
      </c>
      <c r="AI521" s="514">
        <f t="shared" ref="AI521:AN530" si="356">IF(OR(ScriptSourceCode=1,ScriptSourceCode=3),IF($AG468&lt;&gt;0,ROUND(AI468*INDEX(PxTxPhase1Adj,$AG468,9),0),0),0)</f>
        <v>0</v>
      </c>
      <c r="AJ521" s="514">
        <f t="shared" si="356"/>
        <v>0</v>
      </c>
      <c r="AK521" s="514">
        <f t="shared" si="356"/>
        <v>0</v>
      </c>
      <c r="AL521" s="514">
        <f t="shared" si="356"/>
        <v>0</v>
      </c>
      <c r="AM521" s="514">
        <f t="shared" si="356"/>
        <v>0</v>
      </c>
      <c r="AN521" s="515">
        <f t="shared" si="356"/>
        <v>0</v>
      </c>
      <c r="AO521" s="745"/>
      <c r="AP521" s="514">
        <f t="shared" ref="AP521:AU530" si="357">IF(OR(ScriptSourceCode=1,ScriptSourceCode=3),IF($AG468&lt;&gt;0,ROUND(AP468*INDEX(PxTxPhase1Adj,$AG468,9),0),0),0)</f>
        <v>0</v>
      </c>
      <c r="AQ521" s="514">
        <f t="shared" si="357"/>
        <v>0</v>
      </c>
      <c r="AR521" s="514">
        <f t="shared" si="357"/>
        <v>0</v>
      </c>
      <c r="AS521" s="514">
        <f t="shared" si="357"/>
        <v>0</v>
      </c>
      <c r="AT521" s="514">
        <f t="shared" si="357"/>
        <v>0</v>
      </c>
      <c r="AU521" s="748">
        <f t="shared" si="357"/>
        <v>0</v>
      </c>
      <c r="AV521" s="516"/>
      <c r="AW521" s="514">
        <f t="shared" ref="AW521:AW530" si="358">AI521+AP521</f>
        <v>0</v>
      </c>
      <c r="AX521" s="514">
        <f t="shared" ref="AX521:AX530" si="359">AJ521+AQ521</f>
        <v>0</v>
      </c>
      <c r="AY521" s="514">
        <f t="shared" ref="AY521:AY530" si="360">AK521+AR521</f>
        <v>0</v>
      </c>
      <c r="AZ521" s="514">
        <f t="shared" ref="AZ521:AZ530" si="361">AL521+AS521</f>
        <v>0</v>
      </c>
      <c r="BA521" s="514">
        <f t="shared" ref="BA521:BA530" si="362">AM521+AT521</f>
        <v>0</v>
      </c>
      <c r="BB521" s="515">
        <f t="shared" ref="BB521:BB530" si="363">AN521+AU521</f>
        <v>0</v>
      </c>
    </row>
    <row r="522" spans="1:54" s="493" customFormat="1" hidden="1" outlineLevel="1" x14ac:dyDescent="0.2">
      <c r="A522" s="243"/>
      <c r="B522" s="243"/>
      <c r="C522" s="243"/>
      <c r="D522" s="677"/>
      <c r="E522" s="677"/>
      <c r="F522" s="243"/>
      <c r="G522" s="243"/>
      <c r="H522" s="243"/>
      <c r="I522" s="243"/>
      <c r="J522" s="243"/>
      <c r="K522" s="243"/>
      <c r="L522" s="243"/>
      <c r="M522" s="243"/>
      <c r="N522" s="678"/>
      <c r="O522" s="678"/>
      <c r="P522" s="678"/>
      <c r="Q522" s="673"/>
      <c r="R522" s="673"/>
      <c r="S522" s="673"/>
      <c r="T522" s="673"/>
      <c r="U522" s="673"/>
      <c r="V522" s="673"/>
      <c r="W522" s="490"/>
      <c r="X522" s="676"/>
      <c r="Y522" s="676"/>
      <c r="Z522" s="676"/>
      <c r="AA522" s="676"/>
      <c r="AB522" s="676"/>
      <c r="AC522" s="490"/>
      <c r="AD522" s="490"/>
      <c r="AE522" s="490"/>
      <c r="AF522" s="490"/>
      <c r="AG522" s="490"/>
      <c r="AH522" s="516">
        <v>12</v>
      </c>
      <c r="AI522" s="514">
        <f t="shared" si="356"/>
        <v>0</v>
      </c>
      <c r="AJ522" s="514">
        <f t="shared" si="356"/>
        <v>0</v>
      </c>
      <c r="AK522" s="514">
        <f t="shared" si="356"/>
        <v>0</v>
      </c>
      <c r="AL522" s="514">
        <f t="shared" si="356"/>
        <v>0</v>
      </c>
      <c r="AM522" s="514">
        <f t="shared" si="356"/>
        <v>0</v>
      </c>
      <c r="AN522" s="515">
        <f t="shared" si="356"/>
        <v>0</v>
      </c>
      <c r="AO522" s="745"/>
      <c r="AP522" s="514">
        <f t="shared" si="357"/>
        <v>0</v>
      </c>
      <c r="AQ522" s="514">
        <f t="shared" si="357"/>
        <v>0</v>
      </c>
      <c r="AR522" s="514">
        <f t="shared" si="357"/>
        <v>0</v>
      </c>
      <c r="AS522" s="514">
        <f t="shared" si="357"/>
        <v>0</v>
      </c>
      <c r="AT522" s="514">
        <f t="shared" si="357"/>
        <v>0</v>
      </c>
      <c r="AU522" s="748">
        <f t="shared" si="357"/>
        <v>0</v>
      </c>
      <c r="AV522" s="516"/>
      <c r="AW522" s="514">
        <f t="shared" si="358"/>
        <v>0</v>
      </c>
      <c r="AX522" s="514">
        <f t="shared" si="359"/>
        <v>0</v>
      </c>
      <c r="AY522" s="514">
        <f t="shared" si="360"/>
        <v>0</v>
      </c>
      <c r="AZ522" s="514">
        <f t="shared" si="361"/>
        <v>0</v>
      </c>
      <c r="BA522" s="514">
        <f t="shared" si="362"/>
        <v>0</v>
      </c>
      <c r="BB522" s="515">
        <f t="shared" si="363"/>
        <v>0</v>
      </c>
    </row>
    <row r="523" spans="1:54" s="493" customFormat="1" ht="15.75" hidden="1" outlineLevel="1" x14ac:dyDescent="0.2">
      <c r="A523" s="243"/>
      <c r="B523" s="243"/>
      <c r="C523" s="242">
        <v>2</v>
      </c>
      <c r="D523" s="79" t="str">
        <f>INDEX(MBSDecNames,C523)</f>
        <v>** NOT USED **</v>
      </c>
      <c r="E523" s="79"/>
      <c r="F523" s="115"/>
      <c r="G523" s="115"/>
      <c r="H523" s="115"/>
      <c r="I523" s="115"/>
      <c r="J523" s="821" t="str">
        <f>IF(D523&lt;&gt;MsgNotUsed,"Co-payment group " &amp; K459,"")</f>
        <v/>
      </c>
      <c r="K523" s="821"/>
      <c r="L523" s="115"/>
      <c r="M523" s="115"/>
      <c r="N523" s="115"/>
      <c r="O523" s="115"/>
      <c r="P523" s="115"/>
      <c r="Q523" s="115"/>
      <c r="R523" s="115"/>
      <c r="S523" s="115"/>
      <c r="T523" s="115"/>
      <c r="U523" s="115"/>
      <c r="V523" s="115"/>
      <c r="W523" s="491"/>
      <c r="X523" s="490"/>
      <c r="Y523" s="490"/>
      <c r="Z523" s="490"/>
      <c r="AA523" s="490"/>
      <c r="AB523" s="676"/>
      <c r="AC523" s="490"/>
      <c r="AD523" s="490"/>
      <c r="AE523" s="490"/>
      <c r="AF523" s="490"/>
      <c r="AG523" s="490"/>
      <c r="AH523" s="516">
        <v>13</v>
      </c>
      <c r="AI523" s="514">
        <f t="shared" si="356"/>
        <v>0</v>
      </c>
      <c r="AJ523" s="514">
        <f t="shared" si="356"/>
        <v>0</v>
      </c>
      <c r="AK523" s="514">
        <f t="shared" si="356"/>
        <v>0</v>
      </c>
      <c r="AL523" s="514">
        <f t="shared" si="356"/>
        <v>0</v>
      </c>
      <c r="AM523" s="514">
        <f t="shared" si="356"/>
        <v>0</v>
      </c>
      <c r="AN523" s="515">
        <f t="shared" si="356"/>
        <v>0</v>
      </c>
      <c r="AO523" s="745"/>
      <c r="AP523" s="514">
        <f t="shared" si="357"/>
        <v>0</v>
      </c>
      <c r="AQ523" s="514">
        <f t="shared" si="357"/>
        <v>0</v>
      </c>
      <c r="AR523" s="514">
        <f t="shared" si="357"/>
        <v>0</v>
      </c>
      <c r="AS523" s="514">
        <f t="shared" si="357"/>
        <v>0</v>
      </c>
      <c r="AT523" s="514">
        <f t="shared" si="357"/>
        <v>0</v>
      </c>
      <c r="AU523" s="748">
        <f t="shared" si="357"/>
        <v>0</v>
      </c>
      <c r="AV523" s="516"/>
      <c r="AW523" s="514">
        <f t="shared" si="358"/>
        <v>0</v>
      </c>
      <c r="AX523" s="514">
        <f t="shared" si="359"/>
        <v>0</v>
      </c>
      <c r="AY523" s="514">
        <f t="shared" si="360"/>
        <v>0</v>
      </c>
      <c r="AZ523" s="514">
        <f t="shared" si="361"/>
        <v>0</v>
      </c>
      <c r="BA523" s="514">
        <f t="shared" si="362"/>
        <v>0</v>
      </c>
      <c r="BB523" s="515">
        <f t="shared" si="363"/>
        <v>0</v>
      </c>
    </row>
    <row r="524" spans="1:54" s="493" customFormat="1" hidden="1" outlineLevel="2" x14ac:dyDescent="0.2">
      <c r="A524" s="243"/>
      <c r="B524" s="243"/>
      <c r="C524" s="243"/>
      <c r="D524" s="243"/>
      <c r="E524" s="243"/>
      <c r="F524" s="495">
        <v>2</v>
      </c>
      <c r="G524" s="495">
        <v>3</v>
      </c>
      <c r="H524" s="495">
        <v>4</v>
      </c>
      <c r="I524" s="495">
        <v>5</v>
      </c>
      <c r="J524" s="495">
        <v>6</v>
      </c>
      <c r="K524" s="495">
        <v>7</v>
      </c>
      <c r="L524" s="495"/>
      <c r="M524" s="243"/>
      <c r="N524" s="243"/>
      <c r="O524" s="243"/>
      <c r="P524" s="243"/>
      <c r="Q524" s="243"/>
      <c r="R524" s="243"/>
      <c r="S524" s="243"/>
      <c r="T524" s="243"/>
      <c r="U524" s="243"/>
      <c r="V524" s="243"/>
      <c r="W524" s="490"/>
      <c r="X524" s="490"/>
      <c r="Y524" s="490"/>
      <c r="Z524" s="490"/>
      <c r="AA524" s="490"/>
      <c r="AB524" s="676"/>
      <c r="AC524" s="490"/>
      <c r="AD524" s="490"/>
      <c r="AE524" s="490"/>
      <c r="AF524" s="490"/>
      <c r="AG524" s="490"/>
      <c r="AH524" s="516">
        <v>14</v>
      </c>
      <c r="AI524" s="514">
        <f t="shared" si="356"/>
        <v>0</v>
      </c>
      <c r="AJ524" s="514">
        <f t="shared" si="356"/>
        <v>0</v>
      </c>
      <c r="AK524" s="514">
        <f t="shared" si="356"/>
        <v>0</v>
      </c>
      <c r="AL524" s="514">
        <f t="shared" si="356"/>
        <v>0</v>
      </c>
      <c r="AM524" s="514">
        <f t="shared" si="356"/>
        <v>0</v>
      </c>
      <c r="AN524" s="515">
        <f t="shared" si="356"/>
        <v>0</v>
      </c>
      <c r="AO524" s="745"/>
      <c r="AP524" s="514">
        <f t="shared" si="357"/>
        <v>0</v>
      </c>
      <c r="AQ524" s="514">
        <f t="shared" si="357"/>
        <v>0</v>
      </c>
      <c r="AR524" s="514">
        <f t="shared" si="357"/>
        <v>0</v>
      </c>
      <c r="AS524" s="514">
        <f t="shared" si="357"/>
        <v>0</v>
      </c>
      <c r="AT524" s="514">
        <f t="shared" si="357"/>
        <v>0</v>
      </c>
      <c r="AU524" s="748">
        <f t="shared" si="357"/>
        <v>0</v>
      </c>
      <c r="AV524" s="516"/>
      <c r="AW524" s="514">
        <f t="shared" si="358"/>
        <v>0</v>
      </c>
      <c r="AX524" s="514">
        <f t="shared" si="359"/>
        <v>0</v>
      </c>
      <c r="AY524" s="514">
        <f t="shared" si="360"/>
        <v>0</v>
      </c>
      <c r="AZ524" s="514">
        <f t="shared" si="361"/>
        <v>0</v>
      </c>
      <c r="BA524" s="514">
        <f t="shared" si="362"/>
        <v>0</v>
      </c>
      <c r="BB524" s="515">
        <f t="shared" si="363"/>
        <v>0</v>
      </c>
    </row>
    <row r="525" spans="1:54" s="493" customFormat="1" ht="15" hidden="1" outlineLevel="2" x14ac:dyDescent="0.2">
      <c r="A525" s="243"/>
      <c r="B525" s="243"/>
      <c r="C525" s="243"/>
      <c r="D525" s="663" t="s">
        <v>0</v>
      </c>
      <c r="E525" s="663"/>
      <c r="F525" s="630">
        <f>FirstYear</f>
        <v>2021</v>
      </c>
      <c r="G525" s="630">
        <f>F525+1</f>
        <v>2022</v>
      </c>
      <c r="H525" s="630">
        <f>G525+1</f>
        <v>2023</v>
      </c>
      <c r="I525" s="630">
        <f>H525+1</f>
        <v>2024</v>
      </c>
      <c r="J525" s="630">
        <f>I525+1</f>
        <v>2025</v>
      </c>
      <c r="K525" s="630">
        <f>J525+1</f>
        <v>2026</v>
      </c>
      <c r="L525" s="491"/>
      <c r="M525" s="113"/>
      <c r="N525" s="679"/>
      <c r="O525" s="679"/>
      <c r="P525" s="679"/>
      <c r="Q525" s="674"/>
      <c r="R525" s="674"/>
      <c r="S525" s="674"/>
      <c r="T525" s="674"/>
      <c r="U525" s="674"/>
      <c r="V525" s="674"/>
      <c r="W525" s="491"/>
      <c r="X525" s="674"/>
      <c r="Y525" s="674"/>
      <c r="Z525" s="674"/>
      <c r="AA525" s="674"/>
      <c r="AB525" s="676"/>
      <c r="AC525" s="490"/>
      <c r="AD525" s="490"/>
      <c r="AE525" s="490"/>
      <c r="AF525" s="490"/>
      <c r="AG525" s="490"/>
      <c r="AH525" s="516">
        <v>15</v>
      </c>
      <c r="AI525" s="514">
        <f t="shared" si="356"/>
        <v>0</v>
      </c>
      <c r="AJ525" s="514">
        <f t="shared" si="356"/>
        <v>0</v>
      </c>
      <c r="AK525" s="514">
        <f t="shared" si="356"/>
        <v>0</v>
      </c>
      <c r="AL525" s="514">
        <f t="shared" si="356"/>
        <v>0</v>
      </c>
      <c r="AM525" s="514">
        <f t="shared" si="356"/>
        <v>0</v>
      </c>
      <c r="AN525" s="515">
        <f t="shared" si="356"/>
        <v>0</v>
      </c>
      <c r="AO525" s="745"/>
      <c r="AP525" s="514">
        <f t="shared" si="357"/>
        <v>0</v>
      </c>
      <c r="AQ525" s="514">
        <f t="shared" si="357"/>
        <v>0</v>
      </c>
      <c r="AR525" s="514">
        <f t="shared" si="357"/>
        <v>0</v>
      </c>
      <c r="AS525" s="514">
        <f t="shared" si="357"/>
        <v>0</v>
      </c>
      <c r="AT525" s="514">
        <f t="shared" si="357"/>
        <v>0</v>
      </c>
      <c r="AU525" s="748">
        <f t="shared" si="357"/>
        <v>0</v>
      </c>
      <c r="AV525" s="516"/>
      <c r="AW525" s="514">
        <f t="shared" si="358"/>
        <v>0</v>
      </c>
      <c r="AX525" s="514">
        <f t="shared" si="359"/>
        <v>0</v>
      </c>
      <c r="AY525" s="514">
        <f t="shared" si="360"/>
        <v>0</v>
      </c>
      <c r="AZ525" s="514">
        <f t="shared" si="361"/>
        <v>0</v>
      </c>
      <c r="BA525" s="514">
        <f t="shared" si="362"/>
        <v>0</v>
      </c>
      <c r="BB525" s="515">
        <f t="shared" si="363"/>
        <v>0</v>
      </c>
    </row>
    <row r="526" spans="1:54" hidden="1" outlineLevel="2" collapsed="1" x14ac:dyDescent="0.2">
      <c r="A526" s="243"/>
      <c r="B526" s="243"/>
      <c r="C526" s="243"/>
      <c r="D526" s="243"/>
      <c r="E526" s="433" t="s">
        <v>951</v>
      </c>
      <c r="F526" s="283">
        <f t="shared" ref="F526:K526" si="364">F527*INDEX(MBSDecCalc,$C523,3)</f>
        <v>0</v>
      </c>
      <c r="G526" s="283">
        <f t="shared" si="364"/>
        <v>0</v>
      </c>
      <c r="H526" s="283">
        <f t="shared" si="364"/>
        <v>0</v>
      </c>
      <c r="I526" s="283">
        <f t="shared" si="364"/>
        <v>0</v>
      </c>
      <c r="J526" s="283">
        <f t="shared" si="364"/>
        <v>0</v>
      </c>
      <c r="K526" s="283">
        <f t="shared" si="364"/>
        <v>0</v>
      </c>
      <c r="L526" s="490"/>
      <c r="M526" s="680"/>
      <c r="N526" s="664"/>
      <c r="O526" s="664"/>
      <c r="P526" s="664"/>
      <c r="Q526" s="681"/>
      <c r="R526" s="681"/>
      <c r="S526" s="681"/>
      <c r="T526" s="681"/>
      <c r="U526" s="681"/>
      <c r="V526" s="681"/>
      <c r="W526" s="493"/>
      <c r="X526" s="561">
        <f>INDEX(MBSDecItems,C523,1)</f>
        <v>0</v>
      </c>
      <c r="Y526" s="561">
        <f>FirstYear</f>
        <v>2021</v>
      </c>
      <c r="Z526" s="560">
        <f>IF(F527&lt;&gt;0,F527-F529,0)</f>
        <v>0</v>
      </c>
      <c r="AA526" s="560">
        <f>IF(F535&lt;&gt;0,F535-F537,0)</f>
        <v>0</v>
      </c>
      <c r="AB526" s="676"/>
      <c r="AC526" s="490"/>
      <c r="AD526" s="490"/>
      <c r="AE526" s="490"/>
      <c r="AF526" s="490"/>
      <c r="AG526" s="490"/>
      <c r="AH526" s="516">
        <v>16</v>
      </c>
      <c r="AI526" s="514">
        <f t="shared" si="356"/>
        <v>0</v>
      </c>
      <c r="AJ526" s="514">
        <f t="shared" si="356"/>
        <v>0</v>
      </c>
      <c r="AK526" s="514">
        <f t="shared" si="356"/>
        <v>0</v>
      </c>
      <c r="AL526" s="514">
        <f t="shared" si="356"/>
        <v>0</v>
      </c>
      <c r="AM526" s="514">
        <f t="shared" si="356"/>
        <v>0</v>
      </c>
      <c r="AN526" s="515">
        <f t="shared" si="356"/>
        <v>0</v>
      </c>
      <c r="AO526" s="745"/>
      <c r="AP526" s="514">
        <f t="shared" si="357"/>
        <v>0</v>
      </c>
      <c r="AQ526" s="514">
        <f t="shared" si="357"/>
        <v>0</v>
      </c>
      <c r="AR526" s="514">
        <f t="shared" si="357"/>
        <v>0</v>
      </c>
      <c r="AS526" s="514">
        <f t="shared" si="357"/>
        <v>0</v>
      </c>
      <c r="AT526" s="514">
        <f t="shared" si="357"/>
        <v>0</v>
      </c>
      <c r="AU526" s="748">
        <f t="shared" si="357"/>
        <v>0</v>
      </c>
      <c r="AV526" s="516"/>
      <c r="AW526" s="514">
        <f t="shared" si="358"/>
        <v>0</v>
      </c>
      <c r="AX526" s="514">
        <f t="shared" si="359"/>
        <v>0</v>
      </c>
      <c r="AY526" s="514">
        <f t="shared" si="360"/>
        <v>0</v>
      </c>
      <c r="AZ526" s="514">
        <f t="shared" si="361"/>
        <v>0</v>
      </c>
      <c r="BA526" s="514">
        <f t="shared" si="362"/>
        <v>0</v>
      </c>
      <c r="BB526" s="515">
        <f t="shared" si="363"/>
        <v>0</v>
      </c>
    </row>
    <row r="527" spans="1:54" hidden="1" outlineLevel="2" x14ac:dyDescent="0.2">
      <c r="A527" s="243"/>
      <c r="B527" s="672"/>
      <c r="C527" s="242" t="str">
        <f>INDEX(MBSDecCalc,C523,2)</f>
        <v/>
      </c>
      <c r="D527" s="243"/>
      <c r="E527" s="62" t="s">
        <v>1310</v>
      </c>
      <c r="F527" s="63">
        <f t="shared" ref="F527:K527" si="365">IF(INDEX(MBSDecRate,$C523,2)=2,IFERROR(INDEX(PBSScriptsChanged,$C527,F524),0),IFERROR(INDEX(MBSPBSDec,$C523,INDEX(MBSDecRate,$C523,3)*7+F524),0) * IFERROR(INDEX(MBSDecPopSplit,$C523),0)) * INDEX(MBSDecRate,$C523,1) * INDEX(MBSDecRate,$C523,4)</f>
        <v>0</v>
      </c>
      <c r="G527" s="63">
        <f t="shared" si="365"/>
        <v>0</v>
      </c>
      <c r="H527" s="63">
        <f t="shared" si="365"/>
        <v>0</v>
      </c>
      <c r="I527" s="63">
        <f t="shared" si="365"/>
        <v>0</v>
      </c>
      <c r="J527" s="63">
        <f t="shared" si="365"/>
        <v>0</v>
      </c>
      <c r="K527" s="63">
        <f t="shared" si="365"/>
        <v>0</v>
      </c>
      <c r="L527" s="490"/>
      <c r="M527" s="493"/>
      <c r="N527" s="493"/>
      <c r="O527" s="664"/>
      <c r="P527" s="664"/>
      <c r="Q527" s="681"/>
      <c r="R527" s="681"/>
      <c r="S527" s="681"/>
      <c r="T527" s="681"/>
      <c r="U527" s="681"/>
      <c r="V527" s="681"/>
      <c r="W527" s="493"/>
      <c r="X527" s="561">
        <f>X526</f>
        <v>0</v>
      </c>
      <c r="Y527" s="561">
        <f>Y526+1</f>
        <v>2022</v>
      </c>
      <c r="Z527" s="560">
        <f>IF(G527&lt;&gt;0,G527-G529,0)</f>
        <v>0</v>
      </c>
      <c r="AA527" s="560">
        <f>IF(G535&lt;&gt;0,G535-G537,0)</f>
        <v>0</v>
      </c>
      <c r="AB527" s="676"/>
      <c r="AC527" s="490"/>
      <c r="AD527" s="490"/>
      <c r="AE527" s="490"/>
      <c r="AF527" s="490"/>
      <c r="AG527" s="490"/>
      <c r="AH527" s="516">
        <v>17</v>
      </c>
      <c r="AI527" s="514">
        <f t="shared" si="356"/>
        <v>0</v>
      </c>
      <c r="AJ527" s="514">
        <f t="shared" si="356"/>
        <v>0</v>
      </c>
      <c r="AK527" s="514">
        <f t="shared" si="356"/>
        <v>0</v>
      </c>
      <c r="AL527" s="514">
        <f t="shared" si="356"/>
        <v>0</v>
      </c>
      <c r="AM527" s="514">
        <f t="shared" si="356"/>
        <v>0</v>
      </c>
      <c r="AN527" s="515">
        <f t="shared" si="356"/>
        <v>0</v>
      </c>
      <c r="AO527" s="745"/>
      <c r="AP527" s="514">
        <f t="shared" si="357"/>
        <v>0</v>
      </c>
      <c r="AQ527" s="514">
        <f t="shared" si="357"/>
        <v>0</v>
      </c>
      <c r="AR527" s="514">
        <f t="shared" si="357"/>
        <v>0</v>
      </c>
      <c r="AS527" s="514">
        <f t="shared" si="357"/>
        <v>0</v>
      </c>
      <c r="AT527" s="514">
        <f t="shared" si="357"/>
        <v>0</v>
      </c>
      <c r="AU527" s="748">
        <f t="shared" si="357"/>
        <v>0</v>
      </c>
      <c r="AV527" s="516"/>
      <c r="AW527" s="514">
        <f t="shared" si="358"/>
        <v>0</v>
      </c>
      <c r="AX527" s="514">
        <f t="shared" si="359"/>
        <v>0</v>
      </c>
      <c r="AY527" s="514">
        <f t="shared" si="360"/>
        <v>0</v>
      </c>
      <c r="AZ527" s="514">
        <f t="shared" si="361"/>
        <v>0</v>
      </c>
      <c r="BA527" s="514">
        <f t="shared" si="362"/>
        <v>0</v>
      </c>
      <c r="BB527" s="515">
        <f t="shared" si="363"/>
        <v>0</v>
      </c>
    </row>
    <row r="528" spans="1:54" hidden="1" outlineLevel="2" x14ac:dyDescent="0.2">
      <c r="A528" s="243"/>
      <c r="B528" s="242">
        <v>5</v>
      </c>
      <c r="C528" s="242">
        <v>6</v>
      </c>
      <c r="D528" s="243"/>
      <c r="E528" s="496" t="s">
        <v>1307</v>
      </c>
      <c r="F528" s="63" t="str">
        <f t="shared" ref="F528:K528" si="366">IFERROR(F527*INDEX(MBSDecItems,$C523,$B528)*INDEX(MBSDecItems,$C523,$C528),"")</f>
        <v/>
      </c>
      <c r="G528" s="63" t="str">
        <f t="shared" si="366"/>
        <v/>
      </c>
      <c r="H528" s="63" t="str">
        <f t="shared" si="366"/>
        <v/>
      </c>
      <c r="I528" s="63" t="str">
        <f t="shared" si="366"/>
        <v/>
      </c>
      <c r="J528" s="63" t="str">
        <f t="shared" si="366"/>
        <v/>
      </c>
      <c r="K528" s="63" t="str">
        <f t="shared" si="366"/>
        <v/>
      </c>
      <c r="L528" s="490"/>
      <c r="M528" s="493"/>
      <c r="N528" s="493"/>
      <c r="O528" s="682"/>
      <c r="P528" s="754"/>
      <c r="Q528" s="681"/>
      <c r="R528" s="681"/>
      <c r="S528" s="681"/>
      <c r="T528" s="681"/>
      <c r="U528" s="681"/>
      <c r="V528" s="681"/>
      <c r="W528" s="493"/>
      <c r="X528" s="561">
        <f t="shared" ref="X528:X531" si="367">X527</f>
        <v>0</v>
      </c>
      <c r="Y528" s="561">
        <f>Y527+1</f>
        <v>2023</v>
      </c>
      <c r="Z528" s="560">
        <f>IF(H527&lt;&gt;0,H527-H529,0)</f>
        <v>0</v>
      </c>
      <c r="AA528" s="560">
        <f>IF(H535&lt;&gt;0,H535-H537,0)</f>
        <v>0</v>
      </c>
      <c r="AB528" s="676"/>
      <c r="AC528" s="490"/>
      <c r="AD528" s="490"/>
      <c r="AE528" s="490"/>
      <c r="AF528" s="490"/>
      <c r="AG528" s="490"/>
      <c r="AH528" s="516">
        <v>18</v>
      </c>
      <c r="AI528" s="514">
        <f t="shared" si="356"/>
        <v>0</v>
      </c>
      <c r="AJ528" s="514">
        <f t="shared" si="356"/>
        <v>0</v>
      </c>
      <c r="AK528" s="514">
        <f t="shared" si="356"/>
        <v>0</v>
      </c>
      <c r="AL528" s="514">
        <f t="shared" si="356"/>
        <v>0</v>
      </c>
      <c r="AM528" s="514">
        <f t="shared" si="356"/>
        <v>0</v>
      </c>
      <c r="AN528" s="515">
        <f t="shared" si="356"/>
        <v>0</v>
      </c>
      <c r="AO528" s="745"/>
      <c r="AP528" s="514">
        <f t="shared" si="357"/>
        <v>0</v>
      </c>
      <c r="AQ528" s="514">
        <f t="shared" si="357"/>
        <v>0</v>
      </c>
      <c r="AR528" s="514">
        <f t="shared" si="357"/>
        <v>0</v>
      </c>
      <c r="AS528" s="514">
        <f t="shared" si="357"/>
        <v>0</v>
      </c>
      <c r="AT528" s="514">
        <f t="shared" si="357"/>
        <v>0</v>
      </c>
      <c r="AU528" s="748">
        <f t="shared" si="357"/>
        <v>0</v>
      </c>
      <c r="AV528" s="516"/>
      <c r="AW528" s="514">
        <f t="shared" si="358"/>
        <v>0</v>
      </c>
      <c r="AX528" s="514">
        <f t="shared" si="359"/>
        <v>0</v>
      </c>
      <c r="AY528" s="514">
        <f t="shared" si="360"/>
        <v>0</v>
      </c>
      <c r="AZ528" s="514">
        <f t="shared" si="361"/>
        <v>0</v>
      </c>
      <c r="BA528" s="514">
        <f t="shared" si="362"/>
        <v>0</v>
      </c>
      <c r="BB528" s="515">
        <f t="shared" si="363"/>
        <v>0</v>
      </c>
    </row>
    <row r="529" spans="1:54" hidden="1" outlineLevel="2" x14ac:dyDescent="0.2">
      <c r="A529" s="416"/>
      <c r="B529" s="242">
        <v>4</v>
      </c>
      <c r="C529" s="242">
        <v>6</v>
      </c>
      <c r="D529" s="243"/>
      <c r="E529" s="496" t="s">
        <v>1306</v>
      </c>
      <c r="F529" s="63" t="str">
        <f t="shared" ref="F529:K529" si="368">IFERROR(F527*INDEX(MBSDecItems,$C523,$B529)*INDEX(MBSDecItems,$C523,$C529),"")</f>
        <v/>
      </c>
      <c r="G529" s="63" t="str">
        <f t="shared" si="368"/>
        <v/>
      </c>
      <c r="H529" s="63" t="str">
        <f t="shared" si="368"/>
        <v/>
      </c>
      <c r="I529" s="63" t="str">
        <f t="shared" si="368"/>
        <v/>
      </c>
      <c r="J529" s="63" t="str">
        <f t="shared" si="368"/>
        <v/>
      </c>
      <c r="K529" s="63" t="str">
        <f t="shared" si="368"/>
        <v/>
      </c>
      <c r="L529" s="416"/>
      <c r="M529" s="416"/>
      <c r="N529" s="416"/>
      <c r="O529" s="416"/>
      <c r="P529" s="416"/>
      <c r="Q529" s="416"/>
      <c r="R529" s="416"/>
      <c r="S529" s="416"/>
      <c r="T529" s="416"/>
      <c r="U529" s="416"/>
      <c r="V529" s="416"/>
      <c r="W529" s="493"/>
      <c r="X529" s="561">
        <f t="shared" si="367"/>
        <v>0</v>
      </c>
      <c r="Y529" s="561">
        <f>Y528+1</f>
        <v>2024</v>
      </c>
      <c r="Z529" s="560">
        <f>IF(I527&lt;&gt;0,I527-I529,0)</f>
        <v>0</v>
      </c>
      <c r="AA529" s="560">
        <f>IF(I535&lt;&gt;0,I535-I537,0)</f>
        <v>0</v>
      </c>
      <c r="AB529" s="674"/>
      <c r="AC529" s="490"/>
      <c r="AD529" s="490"/>
      <c r="AE529" s="490"/>
      <c r="AF529" s="490"/>
      <c r="AG529" s="490"/>
      <c r="AH529" s="516">
        <v>19</v>
      </c>
      <c r="AI529" s="514">
        <f t="shared" si="356"/>
        <v>0</v>
      </c>
      <c r="AJ529" s="514">
        <f t="shared" si="356"/>
        <v>0</v>
      </c>
      <c r="AK529" s="514">
        <f t="shared" si="356"/>
        <v>0</v>
      </c>
      <c r="AL529" s="514">
        <f t="shared" si="356"/>
        <v>0</v>
      </c>
      <c r="AM529" s="514">
        <f t="shared" si="356"/>
        <v>0</v>
      </c>
      <c r="AN529" s="515">
        <f t="shared" si="356"/>
        <v>0</v>
      </c>
      <c r="AO529" s="745"/>
      <c r="AP529" s="514">
        <f t="shared" si="357"/>
        <v>0</v>
      </c>
      <c r="AQ529" s="514">
        <f t="shared" si="357"/>
        <v>0</v>
      </c>
      <c r="AR529" s="514">
        <f t="shared" si="357"/>
        <v>0</v>
      </c>
      <c r="AS529" s="514">
        <f t="shared" si="357"/>
        <v>0</v>
      </c>
      <c r="AT529" s="514">
        <f t="shared" si="357"/>
        <v>0</v>
      </c>
      <c r="AU529" s="748">
        <f t="shared" si="357"/>
        <v>0</v>
      </c>
      <c r="AV529" s="516"/>
      <c r="AW529" s="514">
        <f t="shared" si="358"/>
        <v>0</v>
      </c>
      <c r="AX529" s="514">
        <f t="shared" si="359"/>
        <v>0</v>
      </c>
      <c r="AY529" s="514">
        <f t="shared" si="360"/>
        <v>0</v>
      </c>
      <c r="AZ529" s="514">
        <f t="shared" si="361"/>
        <v>0</v>
      </c>
      <c r="BA529" s="514">
        <f t="shared" si="362"/>
        <v>0</v>
      </c>
      <c r="BB529" s="515">
        <f t="shared" si="363"/>
        <v>0</v>
      </c>
    </row>
    <row r="530" spans="1:54" ht="13.5" hidden="1" outlineLevel="2" thickBot="1" x14ac:dyDescent="0.25">
      <c r="A530" s="243"/>
      <c r="B530" s="242"/>
      <c r="C530" s="242">
        <v>7</v>
      </c>
      <c r="D530" s="243"/>
      <c r="E530" s="497" t="s">
        <v>1308</v>
      </c>
      <c r="F530" s="63" t="str">
        <f t="shared" ref="F530:K530" si="369">IFERROR(F527*INDEX(MBSDecItems,$C523,$C530),"")</f>
        <v/>
      </c>
      <c r="G530" s="63" t="str">
        <f t="shared" si="369"/>
        <v/>
      </c>
      <c r="H530" s="63" t="str">
        <f t="shared" si="369"/>
        <v/>
      </c>
      <c r="I530" s="63" t="str">
        <f t="shared" si="369"/>
        <v/>
      </c>
      <c r="J530" s="63" t="str">
        <f t="shared" si="369"/>
        <v/>
      </c>
      <c r="K530" s="63" t="str">
        <f t="shared" si="369"/>
        <v/>
      </c>
      <c r="L530" s="490"/>
      <c r="M530" s="493"/>
      <c r="N530" s="493"/>
      <c r="O530" s="682"/>
      <c r="P530" s="754"/>
      <c r="Q530" s="681"/>
      <c r="R530" s="681"/>
      <c r="S530" s="681"/>
      <c r="T530" s="681"/>
      <c r="U530" s="681"/>
      <c r="V530" s="681"/>
      <c r="W530" s="493"/>
      <c r="X530" s="561">
        <f t="shared" si="367"/>
        <v>0</v>
      </c>
      <c r="Y530" s="561">
        <f>Y529+1</f>
        <v>2025</v>
      </c>
      <c r="Z530" s="560">
        <f>IF(J527&lt;&gt;0,J527-J529,0)</f>
        <v>0</v>
      </c>
      <c r="AA530" s="560">
        <f>IF(J535&lt;&gt;0,J535-J537,0)</f>
        <v>0</v>
      </c>
      <c r="AB530" s="674"/>
      <c r="AC530" s="490"/>
      <c r="AD530" s="490"/>
      <c r="AE530" s="490"/>
      <c r="AF530" s="490"/>
      <c r="AG530" s="490"/>
      <c r="AH530" s="519">
        <v>20</v>
      </c>
      <c r="AI530" s="517">
        <f t="shared" si="356"/>
        <v>0</v>
      </c>
      <c r="AJ530" s="517">
        <f t="shared" si="356"/>
        <v>0</v>
      </c>
      <c r="AK530" s="517">
        <f t="shared" si="356"/>
        <v>0</v>
      </c>
      <c r="AL530" s="517">
        <f t="shared" si="356"/>
        <v>0</v>
      </c>
      <c r="AM530" s="517">
        <f t="shared" si="356"/>
        <v>0</v>
      </c>
      <c r="AN530" s="518">
        <f t="shared" si="356"/>
        <v>0</v>
      </c>
      <c r="AO530" s="746"/>
      <c r="AP530" s="517">
        <f t="shared" si="357"/>
        <v>0</v>
      </c>
      <c r="AQ530" s="517">
        <f t="shared" si="357"/>
        <v>0</v>
      </c>
      <c r="AR530" s="517">
        <f t="shared" si="357"/>
        <v>0</v>
      </c>
      <c r="AS530" s="517">
        <f t="shared" si="357"/>
        <v>0</v>
      </c>
      <c r="AT530" s="517">
        <f t="shared" si="357"/>
        <v>0</v>
      </c>
      <c r="AU530" s="749">
        <f t="shared" si="357"/>
        <v>0</v>
      </c>
      <c r="AV530" s="519"/>
      <c r="AW530" s="517">
        <f t="shared" si="358"/>
        <v>0</v>
      </c>
      <c r="AX530" s="517">
        <f t="shared" si="359"/>
        <v>0</v>
      </c>
      <c r="AY530" s="517">
        <f t="shared" si="360"/>
        <v>0</v>
      </c>
      <c r="AZ530" s="517">
        <f t="shared" si="361"/>
        <v>0</v>
      </c>
      <c r="BA530" s="517">
        <f t="shared" si="362"/>
        <v>0</v>
      </c>
      <c r="BB530" s="518">
        <f t="shared" si="363"/>
        <v>0</v>
      </c>
    </row>
    <row r="531" spans="1:54" hidden="1" outlineLevel="2" x14ac:dyDescent="0.2">
      <c r="A531" s="243"/>
      <c r="B531" s="493"/>
      <c r="C531" s="493"/>
      <c r="D531" s="493"/>
      <c r="E531" s="493"/>
      <c r="F531" s="493"/>
      <c r="G531" s="493"/>
      <c r="H531" s="493"/>
      <c r="I531" s="493"/>
      <c r="J531" s="493"/>
      <c r="K531" s="493"/>
      <c r="L531" s="490"/>
      <c r="M531" s="493"/>
      <c r="N531" s="493"/>
      <c r="O531" s="682"/>
      <c r="P531" s="682"/>
      <c r="Q531" s="681"/>
      <c r="R531" s="681"/>
      <c r="S531" s="681"/>
      <c r="T531" s="681"/>
      <c r="U531" s="681"/>
      <c r="V531" s="681"/>
      <c r="W531" s="493"/>
      <c r="X531" s="561">
        <f t="shared" si="367"/>
        <v>0</v>
      </c>
      <c r="Y531" s="561">
        <f>Y530+1</f>
        <v>2026</v>
      </c>
      <c r="Z531" s="560">
        <f>IF(K527&lt;&gt;0,K527-K529,0)</f>
        <v>0</v>
      </c>
      <c r="AA531" s="560">
        <f>IF(K535&lt;&gt;0,K535-K537,0)</f>
        <v>0</v>
      </c>
      <c r="AB531" s="675"/>
      <c r="AC531" s="490"/>
      <c r="AD531" s="490"/>
      <c r="AE531" s="490"/>
      <c r="AF531" s="490"/>
      <c r="AG531" s="490"/>
    </row>
    <row r="532" spans="1:54" hidden="1" outlineLevel="2" x14ac:dyDescent="0.2">
      <c r="A532" s="243"/>
      <c r="B532" s="243"/>
      <c r="C532" s="243"/>
      <c r="D532" s="677"/>
      <c r="E532" s="677"/>
      <c r="F532" s="495">
        <v>2</v>
      </c>
      <c r="G532" s="495">
        <v>3</v>
      </c>
      <c r="H532" s="495">
        <v>4</v>
      </c>
      <c r="I532" s="495">
        <v>5</v>
      </c>
      <c r="J532" s="495">
        <v>6</v>
      </c>
      <c r="K532" s="495">
        <v>7</v>
      </c>
      <c r="L532" s="490"/>
      <c r="M532" s="243"/>
      <c r="N532" s="678"/>
      <c r="O532" s="678"/>
      <c r="P532" s="678"/>
      <c r="Q532" s="673"/>
      <c r="R532" s="673"/>
      <c r="S532" s="673"/>
      <c r="T532" s="673"/>
      <c r="U532" s="673"/>
      <c r="V532" s="673"/>
      <c r="W532" s="490"/>
      <c r="X532" s="676"/>
      <c r="Y532" s="676"/>
      <c r="Z532" s="676"/>
      <c r="AA532" s="676"/>
      <c r="AB532" s="675"/>
      <c r="AC532" s="490"/>
      <c r="AD532" s="490"/>
      <c r="AE532" s="490"/>
      <c r="AF532" s="490"/>
      <c r="AG532" s="490"/>
    </row>
    <row r="533" spans="1:54" ht="15.75" hidden="1" outlineLevel="2" x14ac:dyDescent="0.2">
      <c r="A533" s="243"/>
      <c r="B533" s="243"/>
      <c r="C533" s="243"/>
      <c r="D533" s="663" t="s">
        <v>1</v>
      </c>
      <c r="E533" s="663"/>
      <c r="F533" s="751">
        <f>FirstYear</f>
        <v>2021</v>
      </c>
      <c r="G533" s="751">
        <f>F533+1</f>
        <v>2022</v>
      </c>
      <c r="H533" s="751">
        <f>G533+1</f>
        <v>2023</v>
      </c>
      <c r="I533" s="751">
        <f>H533+1</f>
        <v>2024</v>
      </c>
      <c r="J533" s="751">
        <f>I533+1</f>
        <v>2025</v>
      </c>
      <c r="K533" s="751">
        <f>J533+1</f>
        <v>2026</v>
      </c>
      <c r="L533" s="491"/>
      <c r="M533" s="243"/>
      <c r="N533" s="685"/>
      <c r="O533" s="685"/>
      <c r="P533" s="685"/>
      <c r="Q533" s="673"/>
      <c r="R533" s="673"/>
      <c r="S533" s="673"/>
      <c r="T533" s="673"/>
      <c r="U533" s="673"/>
      <c r="V533" s="673"/>
      <c r="W533" s="491"/>
      <c r="X533" s="676"/>
      <c r="Y533" s="676"/>
      <c r="Z533" s="676"/>
      <c r="AA533" s="676"/>
      <c r="AB533" s="675"/>
      <c r="AC533" s="490"/>
      <c r="AD533" s="490"/>
      <c r="AE533" s="490"/>
      <c r="AF533" s="490"/>
      <c r="AG533" s="490"/>
    </row>
    <row r="534" spans="1:54" hidden="1" outlineLevel="2" x14ac:dyDescent="0.2">
      <c r="A534" s="243"/>
      <c r="B534" s="243"/>
      <c r="C534" s="243"/>
      <c r="D534" s="243"/>
      <c r="E534" s="433" t="s">
        <v>951</v>
      </c>
      <c r="F534" s="283">
        <f t="shared" ref="F534:K534" si="370">F535*INDEX(MBSDecCalc,$C523,3)</f>
        <v>0</v>
      </c>
      <c r="G534" s="283">
        <f t="shared" si="370"/>
        <v>0</v>
      </c>
      <c r="H534" s="283">
        <f t="shared" si="370"/>
        <v>0</v>
      </c>
      <c r="I534" s="283">
        <f t="shared" si="370"/>
        <v>0</v>
      </c>
      <c r="J534" s="283">
        <f t="shared" si="370"/>
        <v>0</v>
      </c>
      <c r="K534" s="283">
        <f t="shared" si="370"/>
        <v>0</v>
      </c>
      <c r="L534" s="490"/>
      <c r="M534" s="615"/>
      <c r="N534" s="615"/>
      <c r="O534" s="678"/>
      <c r="P534" s="678"/>
      <c r="Q534" s="673"/>
      <c r="R534" s="673"/>
      <c r="S534" s="673"/>
      <c r="T534" s="673"/>
      <c r="U534" s="673"/>
      <c r="V534" s="673"/>
      <c r="W534" s="490"/>
      <c r="X534" s="676"/>
      <c r="Y534" s="676"/>
      <c r="Z534" s="676"/>
      <c r="AA534" s="676"/>
      <c r="AB534" s="675"/>
      <c r="AC534" s="490"/>
      <c r="AD534" s="490"/>
      <c r="AE534" s="490"/>
      <c r="AF534" s="490"/>
      <c r="AG534" s="490"/>
    </row>
    <row r="535" spans="1:54" hidden="1" outlineLevel="2" x14ac:dyDescent="0.2">
      <c r="A535" s="243"/>
      <c r="B535" s="672"/>
      <c r="C535" s="242" t="str">
        <f>C527</f>
        <v/>
      </c>
      <c r="D535" s="243"/>
      <c r="E535" s="62" t="s">
        <v>1310</v>
      </c>
      <c r="F535" s="63">
        <f t="shared" ref="F535:K535" si="371">IF(INDEX(MBSDecRate,$C523,2)=2,IFERROR(INDEX(RPBSScriptsChanged,$C535,F532),0),IFERROR(INDEX(MBSRPBSDec,$C523,INDEX(MBSDecRate,$C523,3)*7+F532),0) * IFERROR(INDEX(MBSDecPopSplit,$C523),0)) * INDEX(MBSDecRate,$C523,1) * INDEX(MBSDecRate,$C523,4)</f>
        <v>0</v>
      </c>
      <c r="G535" s="63">
        <f t="shared" si="371"/>
        <v>0</v>
      </c>
      <c r="H535" s="63">
        <f t="shared" si="371"/>
        <v>0</v>
      </c>
      <c r="I535" s="63">
        <f t="shared" si="371"/>
        <v>0</v>
      </c>
      <c r="J535" s="63">
        <f t="shared" si="371"/>
        <v>0</v>
      </c>
      <c r="K535" s="63">
        <f t="shared" si="371"/>
        <v>0</v>
      </c>
      <c r="L535" s="490"/>
      <c r="M535" s="243"/>
      <c r="N535" s="753"/>
      <c r="O535" s="678"/>
      <c r="P535" s="678"/>
      <c r="Q535" s="673"/>
      <c r="R535" s="673"/>
      <c r="S535" s="673"/>
      <c r="T535" s="673"/>
      <c r="U535" s="673"/>
      <c r="V535" s="673"/>
      <c r="W535" s="490"/>
      <c r="X535" s="676"/>
      <c r="Y535" s="676"/>
      <c r="Z535" s="676"/>
      <c r="AA535" s="676"/>
      <c r="AB535" s="675"/>
      <c r="AC535" s="490"/>
      <c r="AD535" s="490"/>
      <c r="AE535" s="490"/>
      <c r="AF535" s="490"/>
      <c r="AG535" s="490"/>
    </row>
    <row r="536" spans="1:54" s="493" customFormat="1" hidden="1" outlineLevel="2" x14ac:dyDescent="0.2">
      <c r="A536" s="243"/>
      <c r="B536" s="242">
        <v>5</v>
      </c>
      <c r="C536" s="242">
        <v>6</v>
      </c>
      <c r="D536" s="243"/>
      <c r="E536" s="496" t="s">
        <v>1307</v>
      </c>
      <c r="F536" s="63" t="str">
        <f t="shared" ref="F536:K536" si="372">IFERROR(F535*INDEX(MBSDecItems,$C523,$B536)*INDEX(MBSDecItems,$C523,$C536),"")</f>
        <v/>
      </c>
      <c r="G536" s="63" t="str">
        <f t="shared" si="372"/>
        <v/>
      </c>
      <c r="H536" s="63" t="str">
        <f t="shared" si="372"/>
        <v/>
      </c>
      <c r="I536" s="63" t="str">
        <f t="shared" si="372"/>
        <v/>
      </c>
      <c r="J536" s="63" t="str">
        <f t="shared" si="372"/>
        <v/>
      </c>
      <c r="K536" s="63" t="str">
        <f t="shared" si="372"/>
        <v/>
      </c>
      <c r="L536" s="490"/>
      <c r="M536" s="683"/>
      <c r="N536" s="753"/>
      <c r="O536" s="678"/>
      <c r="P536" s="678"/>
      <c r="Q536" s="673"/>
      <c r="R536" s="673"/>
      <c r="S536" s="673"/>
      <c r="T536" s="673"/>
      <c r="U536" s="673"/>
      <c r="V536" s="673"/>
      <c r="W536" s="490"/>
      <c r="X536" s="676"/>
      <c r="Y536" s="676"/>
      <c r="Z536" s="676"/>
      <c r="AA536" s="676"/>
      <c r="AB536" s="676"/>
      <c r="AC536" s="490"/>
      <c r="AD536" s="490"/>
      <c r="AE536" s="490"/>
      <c r="AF536" s="490"/>
      <c r="AG536" s="490"/>
    </row>
    <row r="537" spans="1:54" hidden="1" outlineLevel="2" x14ac:dyDescent="0.2">
      <c r="A537" s="243"/>
      <c r="B537" s="242">
        <v>4</v>
      </c>
      <c r="C537" s="242">
        <v>6</v>
      </c>
      <c r="D537" s="243"/>
      <c r="E537" s="496" t="s">
        <v>1306</v>
      </c>
      <c r="F537" s="63" t="str">
        <f t="shared" ref="F537:K537" si="373">IFERROR(F535*INDEX(MBSDecItems,$C523,$B537)*INDEX(MBSDecItems,$C523,$C537),"")</f>
        <v/>
      </c>
      <c r="G537" s="63" t="str">
        <f t="shared" si="373"/>
        <v/>
      </c>
      <c r="H537" s="63" t="str">
        <f t="shared" si="373"/>
        <v/>
      </c>
      <c r="I537" s="63" t="str">
        <f t="shared" si="373"/>
        <v/>
      </c>
      <c r="J537" s="63" t="str">
        <f t="shared" si="373"/>
        <v/>
      </c>
      <c r="K537" s="63" t="str">
        <f t="shared" si="373"/>
        <v/>
      </c>
      <c r="L537" s="490"/>
      <c r="M537" s="684"/>
      <c r="N537" s="682"/>
      <c r="O537" s="678"/>
      <c r="P537" s="678"/>
      <c r="Q537" s="673"/>
      <c r="R537" s="673"/>
      <c r="S537" s="673"/>
      <c r="T537" s="673"/>
      <c r="U537" s="673"/>
      <c r="V537" s="673"/>
      <c r="W537" s="490"/>
      <c r="X537" s="676"/>
      <c r="Y537" s="676"/>
      <c r="Z537" s="676"/>
      <c r="AA537" s="676"/>
      <c r="AB537" s="676"/>
      <c r="AC537" s="490"/>
      <c r="AD537" s="490"/>
      <c r="AE537" s="490"/>
      <c r="AF537" s="490"/>
      <c r="AG537" s="490"/>
    </row>
    <row r="538" spans="1:54" s="493" customFormat="1" hidden="1" outlineLevel="2" x14ac:dyDescent="0.2">
      <c r="A538" s="243"/>
      <c r="B538" s="242"/>
      <c r="C538" s="242">
        <v>7</v>
      </c>
      <c r="D538" s="243"/>
      <c r="E538" s="497" t="s">
        <v>1308</v>
      </c>
      <c r="F538" s="63" t="str">
        <f t="shared" ref="F538:K538" si="374">IFERROR(F535*INDEX(MBSDecItems,$C523,$C538),"")</f>
        <v/>
      </c>
      <c r="G538" s="63" t="str">
        <f t="shared" si="374"/>
        <v/>
      </c>
      <c r="H538" s="63" t="str">
        <f t="shared" si="374"/>
        <v/>
      </c>
      <c r="I538" s="63" t="str">
        <f t="shared" si="374"/>
        <v/>
      </c>
      <c r="J538" s="63" t="str">
        <f t="shared" si="374"/>
        <v/>
      </c>
      <c r="K538" s="63" t="str">
        <f t="shared" si="374"/>
        <v/>
      </c>
      <c r="L538" s="490"/>
      <c r="M538" s="684"/>
      <c r="N538" s="682"/>
      <c r="O538" s="678"/>
      <c r="P538" s="678"/>
      <c r="Q538" s="673"/>
      <c r="R538" s="673"/>
      <c r="S538" s="673"/>
      <c r="T538" s="673"/>
      <c r="U538" s="673"/>
      <c r="V538" s="673"/>
      <c r="W538" s="490"/>
      <c r="X538" s="676"/>
      <c r="Y538" s="676"/>
      <c r="Z538" s="676"/>
      <c r="AA538" s="676"/>
      <c r="AB538" s="676"/>
      <c r="AC538" s="490"/>
      <c r="AD538" s="490"/>
      <c r="AE538" s="490"/>
      <c r="AF538" s="490"/>
      <c r="AG538" s="490"/>
    </row>
    <row r="539" spans="1:54" s="493" customFormat="1" hidden="1" outlineLevel="1" x14ac:dyDescent="0.2">
      <c r="A539" s="243"/>
      <c r="B539" s="243"/>
      <c r="C539" s="243"/>
      <c r="D539" s="677"/>
      <c r="E539" s="677"/>
      <c r="F539" s="243"/>
      <c r="G539" s="243"/>
      <c r="H539" s="243"/>
      <c r="I539" s="243"/>
      <c r="J539" s="243"/>
      <c r="K539" s="243"/>
      <c r="L539" s="243"/>
      <c r="M539" s="243"/>
      <c r="N539" s="678"/>
      <c r="O539" s="678"/>
      <c r="P539" s="678"/>
      <c r="Q539" s="673"/>
      <c r="R539" s="673"/>
      <c r="S539" s="673"/>
      <c r="T539" s="673"/>
      <c r="U539" s="673"/>
      <c r="V539" s="673"/>
      <c r="W539" s="490"/>
      <c r="X539" s="676"/>
      <c r="Y539" s="676"/>
      <c r="Z539" s="676"/>
      <c r="AA539" s="676"/>
      <c r="AB539" s="676"/>
      <c r="AC539" s="490"/>
      <c r="AD539" s="490"/>
      <c r="AE539" s="490"/>
      <c r="AF539" s="490"/>
      <c r="AG539" s="490"/>
      <c r="AH539" s="490"/>
      <c r="AI539" s="490"/>
      <c r="AJ539" s="490"/>
      <c r="AK539" s="490"/>
      <c r="AL539" s="490"/>
      <c r="AM539" s="490"/>
      <c r="AN539" s="490"/>
      <c r="AO539" s="490"/>
      <c r="AP539" s="490"/>
      <c r="AQ539" s="490"/>
      <c r="AR539" s="490"/>
      <c r="AS539" s="490"/>
      <c r="AT539" s="490"/>
      <c r="AU539" s="490"/>
      <c r="AV539" s="490"/>
      <c r="AW539" s="490"/>
      <c r="AX539" s="490"/>
      <c r="AY539" s="490"/>
      <c r="AZ539" s="490"/>
      <c r="BA539" s="490"/>
      <c r="BB539" s="490"/>
    </row>
    <row r="540" spans="1:54" s="493" customFormat="1" ht="15.75" hidden="1" outlineLevel="1" x14ac:dyDescent="0.2">
      <c r="A540" s="243"/>
      <c r="B540" s="243"/>
      <c r="C540" s="242">
        <v>3</v>
      </c>
      <c r="D540" s="79" t="str">
        <f>INDEX(MBSDecNames,C540)</f>
        <v>** NOT USED **</v>
      </c>
      <c r="E540" s="79"/>
      <c r="F540" s="115"/>
      <c r="G540" s="115"/>
      <c r="H540" s="115"/>
      <c r="I540" s="115"/>
      <c r="J540" s="821" t="str">
        <f>IF(D540&lt;&gt;MsgNotUsed,"Co-payment group " &amp; K460,"")</f>
        <v/>
      </c>
      <c r="K540" s="821"/>
      <c r="L540" s="115"/>
      <c r="M540" s="115"/>
      <c r="N540" s="115"/>
      <c r="O540" s="115"/>
      <c r="P540" s="115"/>
      <c r="Q540" s="115"/>
      <c r="R540" s="115"/>
      <c r="S540" s="115"/>
      <c r="T540" s="115"/>
      <c r="U540" s="115"/>
      <c r="V540" s="115"/>
      <c r="W540" s="491"/>
      <c r="X540" s="490"/>
      <c r="Y540" s="490"/>
      <c r="Z540" s="490"/>
      <c r="AA540" s="490"/>
      <c r="AB540" s="676"/>
      <c r="AC540" s="490"/>
      <c r="AD540" s="490"/>
      <c r="AE540" s="490"/>
      <c r="AF540" s="490"/>
      <c r="AG540" s="490"/>
    </row>
    <row r="541" spans="1:54" s="493" customFormat="1" hidden="1" outlineLevel="2" x14ac:dyDescent="0.2">
      <c r="A541" s="243"/>
      <c r="B541" s="243"/>
      <c r="C541" s="243"/>
      <c r="D541" s="243"/>
      <c r="E541" s="243"/>
      <c r="F541" s="495">
        <v>2</v>
      </c>
      <c r="G541" s="495">
        <v>3</v>
      </c>
      <c r="H541" s="495">
        <v>4</v>
      </c>
      <c r="I541" s="495">
        <v>5</v>
      </c>
      <c r="J541" s="495">
        <v>6</v>
      </c>
      <c r="K541" s="495">
        <v>7</v>
      </c>
      <c r="L541" s="495"/>
      <c r="M541" s="243"/>
      <c r="N541" s="243"/>
      <c r="O541" s="243"/>
      <c r="P541" s="243"/>
      <c r="Q541" s="243"/>
      <c r="R541" s="243"/>
      <c r="S541" s="243"/>
      <c r="T541" s="243"/>
      <c r="U541" s="243"/>
      <c r="V541" s="243"/>
      <c r="W541" s="490"/>
      <c r="X541" s="490"/>
      <c r="Y541" s="490"/>
      <c r="Z541" s="490"/>
      <c r="AA541" s="490"/>
      <c r="AB541" s="676"/>
      <c r="AC541" s="490"/>
      <c r="AD541" s="490"/>
      <c r="AE541" s="490"/>
      <c r="AF541" s="490"/>
      <c r="AG541" s="490"/>
    </row>
    <row r="542" spans="1:54" s="493" customFormat="1" ht="15" hidden="1" outlineLevel="2" x14ac:dyDescent="0.2">
      <c r="A542" s="243"/>
      <c r="B542" s="243"/>
      <c r="C542" s="243"/>
      <c r="D542" s="663" t="s">
        <v>0</v>
      </c>
      <c r="E542" s="663"/>
      <c r="F542" s="630">
        <f>FirstYear</f>
        <v>2021</v>
      </c>
      <c r="G542" s="630">
        <f>F542+1</f>
        <v>2022</v>
      </c>
      <c r="H542" s="630">
        <f>G542+1</f>
        <v>2023</v>
      </c>
      <c r="I542" s="630">
        <f>H542+1</f>
        <v>2024</v>
      </c>
      <c r="J542" s="630">
        <f>I542+1</f>
        <v>2025</v>
      </c>
      <c r="K542" s="630">
        <f>J542+1</f>
        <v>2026</v>
      </c>
      <c r="L542" s="491"/>
      <c r="M542" s="113"/>
      <c r="N542" s="679"/>
      <c r="O542" s="679"/>
      <c r="P542" s="679"/>
      <c r="Q542" s="674"/>
      <c r="R542" s="674"/>
      <c r="S542" s="674"/>
      <c r="T542" s="674"/>
      <c r="U542" s="674"/>
      <c r="V542" s="674"/>
      <c r="W542" s="491"/>
      <c r="X542" s="674"/>
      <c r="Y542" s="674"/>
      <c r="Z542" s="674"/>
      <c r="AA542" s="674"/>
      <c r="AB542" s="676"/>
      <c r="AC542" s="490"/>
      <c r="AD542" s="490"/>
      <c r="AE542" s="490"/>
      <c r="AF542" s="490"/>
      <c r="AG542" s="490"/>
    </row>
    <row r="543" spans="1:54" hidden="1" outlineLevel="2" collapsed="1" x14ac:dyDescent="0.2">
      <c r="A543" s="243"/>
      <c r="B543" s="243"/>
      <c r="C543" s="243"/>
      <c r="D543" s="243"/>
      <c r="E543" s="433" t="s">
        <v>951</v>
      </c>
      <c r="F543" s="283">
        <f t="shared" ref="F543:K543" si="375">F544*INDEX(MBSDecCalc,$C540,3)</f>
        <v>0</v>
      </c>
      <c r="G543" s="283">
        <f t="shared" si="375"/>
        <v>0</v>
      </c>
      <c r="H543" s="283">
        <f t="shared" si="375"/>
        <v>0</v>
      </c>
      <c r="I543" s="283">
        <f t="shared" si="375"/>
        <v>0</v>
      </c>
      <c r="J543" s="283">
        <f t="shared" si="375"/>
        <v>0</v>
      </c>
      <c r="K543" s="283">
        <f t="shared" si="375"/>
        <v>0</v>
      </c>
      <c r="L543" s="490"/>
      <c r="M543" s="680"/>
      <c r="N543" s="664"/>
      <c r="O543" s="664"/>
      <c r="P543" s="664"/>
      <c r="Q543" s="681"/>
      <c r="R543" s="681"/>
      <c r="S543" s="681"/>
      <c r="T543" s="681"/>
      <c r="U543" s="681"/>
      <c r="V543" s="681"/>
      <c r="W543" s="493"/>
      <c r="X543" s="561">
        <f>INDEX(MBSDecItems,C540,1)</f>
        <v>0</v>
      </c>
      <c r="Y543" s="561">
        <f>FirstYear</f>
        <v>2021</v>
      </c>
      <c r="Z543" s="560">
        <f>IF(F544&lt;&gt;0,F544-F546,0)</f>
        <v>0</v>
      </c>
      <c r="AA543" s="560">
        <f>IF(F552&lt;&gt;0,F552-F554,0)</f>
        <v>0</v>
      </c>
      <c r="AB543" s="676"/>
      <c r="AC543" s="490"/>
      <c r="AD543" s="490"/>
      <c r="AE543" s="490"/>
      <c r="AF543" s="490"/>
      <c r="AG543" s="490"/>
    </row>
    <row r="544" spans="1:54" hidden="1" outlineLevel="2" x14ac:dyDescent="0.2">
      <c r="A544" s="243"/>
      <c r="B544" s="672"/>
      <c r="C544" s="242" t="str">
        <f>INDEX(MBSDecCalc,C540,2)</f>
        <v/>
      </c>
      <c r="D544" s="243"/>
      <c r="E544" s="62" t="s">
        <v>1310</v>
      </c>
      <c r="F544" s="63">
        <f t="shared" ref="F544:K544" si="376">IF(INDEX(MBSDecRate,$C540,2)=2,IFERROR(INDEX(PBSScriptsChanged,$C544,F541),0),IFERROR(INDEX(MBSPBSDec,$C540,INDEX(MBSDecRate,$C540,3)*7+F541),0) * IFERROR(INDEX(MBSDecPopSplit,$C540),0)) * INDEX(MBSDecRate,$C540,1) * INDEX(MBSDecRate,$C540,4)</f>
        <v>0</v>
      </c>
      <c r="G544" s="63">
        <f t="shared" si="376"/>
        <v>0</v>
      </c>
      <c r="H544" s="63">
        <f t="shared" si="376"/>
        <v>0</v>
      </c>
      <c r="I544" s="63">
        <f t="shared" si="376"/>
        <v>0</v>
      </c>
      <c r="J544" s="63">
        <f t="shared" si="376"/>
        <v>0</v>
      </c>
      <c r="K544" s="63">
        <f t="shared" si="376"/>
        <v>0</v>
      </c>
      <c r="L544" s="490"/>
      <c r="M544" s="493"/>
      <c r="N544" s="493"/>
      <c r="O544" s="664"/>
      <c r="P544" s="664"/>
      <c r="Q544" s="681"/>
      <c r="R544" s="681"/>
      <c r="S544" s="681"/>
      <c r="T544" s="681"/>
      <c r="U544" s="681"/>
      <c r="V544" s="681"/>
      <c r="W544" s="493"/>
      <c r="X544" s="561">
        <f>X543</f>
        <v>0</v>
      </c>
      <c r="Y544" s="561">
        <f>Y543+1</f>
        <v>2022</v>
      </c>
      <c r="Z544" s="560">
        <f>IF(G544&lt;&gt;0,G544-G546,0)</f>
        <v>0</v>
      </c>
      <c r="AA544" s="560">
        <f>IF(G552&lt;&gt;0,G552-G554,0)</f>
        <v>0</v>
      </c>
      <c r="AB544" s="676"/>
      <c r="AC544" s="490"/>
      <c r="AD544" s="490"/>
      <c r="AE544" s="490"/>
      <c r="AF544" s="490"/>
      <c r="AG544" s="490"/>
    </row>
    <row r="545" spans="1:33" hidden="1" outlineLevel="2" x14ac:dyDescent="0.2">
      <c r="A545" s="243"/>
      <c r="B545" s="242">
        <v>5</v>
      </c>
      <c r="C545" s="242">
        <v>6</v>
      </c>
      <c r="D545" s="243"/>
      <c r="E545" s="496" t="s">
        <v>1307</v>
      </c>
      <c r="F545" s="63" t="str">
        <f t="shared" ref="F545:K545" si="377">IFERROR(F544*INDEX(MBSDecItems,$C540,$B545)*INDEX(MBSDecItems,$C540,$C545),"")</f>
        <v/>
      </c>
      <c r="G545" s="63" t="str">
        <f t="shared" si="377"/>
        <v/>
      </c>
      <c r="H545" s="63" t="str">
        <f t="shared" si="377"/>
        <v/>
      </c>
      <c r="I545" s="63" t="str">
        <f t="shared" si="377"/>
        <v/>
      </c>
      <c r="J545" s="63" t="str">
        <f t="shared" si="377"/>
        <v/>
      </c>
      <c r="K545" s="63" t="str">
        <f t="shared" si="377"/>
        <v/>
      </c>
      <c r="L545" s="490"/>
      <c r="M545" s="493"/>
      <c r="N545" s="493"/>
      <c r="O545" s="682"/>
      <c r="P545" s="754"/>
      <c r="Q545" s="681"/>
      <c r="R545" s="681"/>
      <c r="S545" s="681"/>
      <c r="T545" s="681"/>
      <c r="U545" s="681"/>
      <c r="V545" s="681"/>
      <c r="W545" s="493"/>
      <c r="X545" s="561">
        <f t="shared" ref="X545:X548" si="378">X544</f>
        <v>0</v>
      </c>
      <c r="Y545" s="561">
        <f>Y544+1</f>
        <v>2023</v>
      </c>
      <c r="Z545" s="560">
        <f>IF(H544&lt;&gt;0,H544-H546,0)</f>
        <v>0</v>
      </c>
      <c r="AA545" s="560">
        <f>IF(H552&lt;&gt;0,H552-H554,0)</f>
        <v>0</v>
      </c>
      <c r="AB545" s="676"/>
      <c r="AC545" s="490"/>
      <c r="AD545" s="490"/>
      <c r="AE545" s="490"/>
      <c r="AF545" s="490"/>
      <c r="AG545" s="490"/>
    </row>
    <row r="546" spans="1:33" hidden="1" outlineLevel="2" x14ac:dyDescent="0.2">
      <c r="A546" s="416"/>
      <c r="B546" s="242">
        <v>4</v>
      </c>
      <c r="C546" s="242">
        <v>6</v>
      </c>
      <c r="D546" s="243"/>
      <c r="E546" s="496" t="s">
        <v>1306</v>
      </c>
      <c r="F546" s="63" t="str">
        <f t="shared" ref="F546:K546" si="379">IFERROR(F544*INDEX(MBSDecItems,$C540,$B546)*INDEX(MBSDecItems,$C540,$C546),"")</f>
        <v/>
      </c>
      <c r="G546" s="63" t="str">
        <f t="shared" si="379"/>
        <v/>
      </c>
      <c r="H546" s="63" t="str">
        <f t="shared" si="379"/>
        <v/>
      </c>
      <c r="I546" s="63" t="str">
        <f t="shared" si="379"/>
        <v/>
      </c>
      <c r="J546" s="63" t="str">
        <f t="shared" si="379"/>
        <v/>
      </c>
      <c r="K546" s="63" t="str">
        <f t="shared" si="379"/>
        <v/>
      </c>
      <c r="L546" s="416"/>
      <c r="M546" s="416"/>
      <c r="N546" s="416"/>
      <c r="O546" s="416"/>
      <c r="P546" s="416"/>
      <c r="Q546" s="416"/>
      <c r="R546" s="416"/>
      <c r="S546" s="416"/>
      <c r="T546" s="416"/>
      <c r="U546" s="416"/>
      <c r="V546" s="416"/>
      <c r="W546" s="493"/>
      <c r="X546" s="561">
        <f t="shared" si="378"/>
        <v>0</v>
      </c>
      <c r="Y546" s="561">
        <f>Y545+1</f>
        <v>2024</v>
      </c>
      <c r="Z546" s="560">
        <f>IF(I544&lt;&gt;0,I544-I546,0)</f>
        <v>0</v>
      </c>
      <c r="AA546" s="560">
        <f>IF(I552&lt;&gt;0,I552-I554,0)</f>
        <v>0</v>
      </c>
      <c r="AB546" s="674"/>
      <c r="AC546" s="490"/>
      <c r="AD546" s="490"/>
      <c r="AE546" s="490"/>
      <c r="AF546" s="490"/>
      <c r="AG546" s="490"/>
    </row>
    <row r="547" spans="1:33" hidden="1" outlineLevel="2" x14ac:dyDescent="0.2">
      <c r="A547" s="243"/>
      <c r="B547" s="242"/>
      <c r="C547" s="242">
        <v>7</v>
      </c>
      <c r="D547" s="243"/>
      <c r="E547" s="497" t="s">
        <v>1308</v>
      </c>
      <c r="F547" s="63" t="str">
        <f t="shared" ref="F547:K547" si="380">IFERROR(F544*INDEX(MBSDecItems,$C540,$C547),"")</f>
        <v/>
      </c>
      <c r="G547" s="63" t="str">
        <f t="shared" si="380"/>
        <v/>
      </c>
      <c r="H547" s="63" t="str">
        <f t="shared" si="380"/>
        <v/>
      </c>
      <c r="I547" s="63" t="str">
        <f t="shared" si="380"/>
        <v/>
      </c>
      <c r="J547" s="63" t="str">
        <f t="shared" si="380"/>
        <v/>
      </c>
      <c r="K547" s="63" t="str">
        <f t="shared" si="380"/>
        <v/>
      </c>
      <c r="L547" s="490"/>
      <c r="M547" s="493"/>
      <c r="N547" s="493"/>
      <c r="O547" s="682"/>
      <c r="P547" s="754"/>
      <c r="Q547" s="681"/>
      <c r="R547" s="681"/>
      <c r="S547" s="681"/>
      <c r="T547" s="681"/>
      <c r="U547" s="681"/>
      <c r="V547" s="681"/>
      <c r="W547" s="493"/>
      <c r="X547" s="561">
        <f t="shared" si="378"/>
        <v>0</v>
      </c>
      <c r="Y547" s="561">
        <f>Y546+1</f>
        <v>2025</v>
      </c>
      <c r="Z547" s="560">
        <f>IF(J544&lt;&gt;0,J544-J546,0)</f>
        <v>0</v>
      </c>
      <c r="AA547" s="560">
        <f>IF(J552&lt;&gt;0,J552-J554,0)</f>
        <v>0</v>
      </c>
      <c r="AB547" s="674"/>
      <c r="AC547" s="490"/>
      <c r="AD547" s="490"/>
      <c r="AE547" s="490"/>
      <c r="AF547" s="490"/>
      <c r="AG547" s="490"/>
    </row>
    <row r="548" spans="1:33" hidden="1" outlineLevel="2" x14ac:dyDescent="0.2">
      <c r="A548" s="243"/>
      <c r="B548" s="493"/>
      <c r="C548" s="493"/>
      <c r="D548" s="493"/>
      <c r="E548" s="493"/>
      <c r="F548" s="493"/>
      <c r="G548" s="493"/>
      <c r="H548" s="493"/>
      <c r="I548" s="493"/>
      <c r="J548" s="493"/>
      <c r="K548" s="493"/>
      <c r="L548" s="490"/>
      <c r="M548" s="493"/>
      <c r="N548" s="493"/>
      <c r="O548" s="682"/>
      <c r="P548" s="682"/>
      <c r="Q548" s="681"/>
      <c r="R548" s="681"/>
      <c r="S548" s="681"/>
      <c r="T548" s="681"/>
      <c r="U548" s="681"/>
      <c r="V548" s="681"/>
      <c r="W548" s="493"/>
      <c r="X548" s="561">
        <f t="shared" si="378"/>
        <v>0</v>
      </c>
      <c r="Y548" s="561">
        <f>Y547+1</f>
        <v>2026</v>
      </c>
      <c r="Z548" s="560">
        <f>IF(K544&lt;&gt;0,K544-K546,0)</f>
        <v>0</v>
      </c>
      <c r="AA548" s="560">
        <f>IF(K552&lt;&gt;0,K552-K554,0)</f>
        <v>0</v>
      </c>
      <c r="AB548" s="675"/>
      <c r="AC548" s="490"/>
      <c r="AD548" s="490"/>
      <c r="AE548" s="490"/>
      <c r="AF548" s="490"/>
      <c r="AG548" s="490"/>
    </row>
    <row r="549" spans="1:33" hidden="1" outlineLevel="2" x14ac:dyDescent="0.2">
      <c r="A549" s="243"/>
      <c r="B549" s="243"/>
      <c r="C549" s="243"/>
      <c r="D549" s="677"/>
      <c r="E549" s="677"/>
      <c r="F549" s="495">
        <v>2</v>
      </c>
      <c r="G549" s="495">
        <v>3</v>
      </c>
      <c r="H549" s="495">
        <v>4</v>
      </c>
      <c r="I549" s="495">
        <v>5</v>
      </c>
      <c r="J549" s="495">
        <v>6</v>
      </c>
      <c r="K549" s="495">
        <v>7</v>
      </c>
      <c r="L549" s="490"/>
      <c r="M549" s="243"/>
      <c r="N549" s="678"/>
      <c r="O549" s="678"/>
      <c r="P549" s="678"/>
      <c r="Q549" s="673"/>
      <c r="R549" s="673"/>
      <c r="S549" s="673"/>
      <c r="T549" s="673"/>
      <c r="U549" s="673"/>
      <c r="V549" s="673"/>
      <c r="W549" s="490"/>
      <c r="X549" s="676"/>
      <c r="Y549" s="676"/>
      <c r="Z549" s="676"/>
      <c r="AA549" s="676"/>
      <c r="AB549" s="675"/>
      <c r="AC549" s="490"/>
      <c r="AD549" s="490"/>
      <c r="AE549" s="490"/>
      <c r="AF549" s="490"/>
      <c r="AG549" s="490"/>
    </row>
    <row r="550" spans="1:33" ht="15.75" hidden="1" outlineLevel="2" x14ac:dyDescent="0.2">
      <c r="A550" s="243"/>
      <c r="B550" s="243"/>
      <c r="C550" s="243"/>
      <c r="D550" s="663" t="s">
        <v>1</v>
      </c>
      <c r="E550" s="663"/>
      <c r="F550" s="751">
        <f>FirstYear</f>
        <v>2021</v>
      </c>
      <c r="G550" s="751">
        <f>F550+1</f>
        <v>2022</v>
      </c>
      <c r="H550" s="751">
        <f>G550+1</f>
        <v>2023</v>
      </c>
      <c r="I550" s="751">
        <f>H550+1</f>
        <v>2024</v>
      </c>
      <c r="J550" s="751">
        <f>I550+1</f>
        <v>2025</v>
      </c>
      <c r="K550" s="751">
        <f>J550+1</f>
        <v>2026</v>
      </c>
      <c r="L550" s="491"/>
      <c r="M550" s="243"/>
      <c r="N550" s="685"/>
      <c r="O550" s="685"/>
      <c r="P550" s="685"/>
      <c r="Q550" s="673"/>
      <c r="R550" s="673"/>
      <c r="S550" s="673"/>
      <c r="T550" s="673"/>
      <c r="U550" s="673"/>
      <c r="V550" s="673"/>
      <c r="W550" s="491"/>
      <c r="X550" s="676"/>
      <c r="Y550" s="676"/>
      <c r="Z550" s="676"/>
      <c r="AA550" s="676"/>
      <c r="AB550" s="675"/>
      <c r="AC550" s="490"/>
      <c r="AD550" s="490"/>
      <c r="AE550" s="490"/>
      <c r="AF550" s="490"/>
      <c r="AG550" s="490"/>
    </row>
    <row r="551" spans="1:33" hidden="1" outlineLevel="2" x14ac:dyDescent="0.2">
      <c r="A551" s="243"/>
      <c r="B551" s="243"/>
      <c r="C551" s="243"/>
      <c r="D551" s="243"/>
      <c r="E551" s="433" t="s">
        <v>951</v>
      </c>
      <c r="F551" s="283">
        <f t="shared" ref="F551:K551" si="381">F552*INDEX(MBSDecCalc,$C540,3)</f>
        <v>0</v>
      </c>
      <c r="G551" s="283">
        <f t="shared" si="381"/>
        <v>0</v>
      </c>
      <c r="H551" s="283">
        <f t="shared" si="381"/>
        <v>0</v>
      </c>
      <c r="I551" s="283">
        <f t="shared" si="381"/>
        <v>0</v>
      </c>
      <c r="J551" s="283">
        <f t="shared" si="381"/>
        <v>0</v>
      </c>
      <c r="K551" s="283">
        <f t="shared" si="381"/>
        <v>0</v>
      </c>
      <c r="L551" s="490"/>
      <c r="M551" s="615"/>
      <c r="N551" s="615"/>
      <c r="O551" s="678"/>
      <c r="P551" s="678"/>
      <c r="Q551" s="673"/>
      <c r="R551" s="673"/>
      <c r="S551" s="673"/>
      <c r="T551" s="673"/>
      <c r="U551" s="673"/>
      <c r="V551" s="673"/>
      <c r="W551" s="490"/>
      <c r="X551" s="676"/>
      <c r="Y551" s="676"/>
      <c r="Z551" s="676"/>
      <c r="AA551" s="676"/>
      <c r="AB551" s="675"/>
      <c r="AC551" s="490"/>
      <c r="AD551" s="490"/>
      <c r="AE551" s="490"/>
      <c r="AF551" s="490"/>
      <c r="AG551" s="490"/>
    </row>
    <row r="552" spans="1:33" hidden="1" outlineLevel="2" x14ac:dyDescent="0.2">
      <c r="A552" s="243"/>
      <c r="B552" s="672"/>
      <c r="C552" s="242" t="str">
        <f>C544</f>
        <v/>
      </c>
      <c r="D552" s="243"/>
      <c r="E552" s="62" t="s">
        <v>1310</v>
      </c>
      <c r="F552" s="63">
        <f t="shared" ref="F552:K552" si="382">IF(INDEX(MBSDecRate,$C540,2)=2,IFERROR(INDEX(RPBSScriptsChanged,$C552,F549),0),IFERROR(INDEX(MBSRPBSDec,$C540,INDEX(MBSDecRate,$C540,3)*7+F549),0) * IFERROR(INDEX(MBSDecPopSplit,$C540),0)) * INDEX(MBSDecRate,$C540,1) * INDEX(MBSDecRate,$C540,4)</f>
        <v>0</v>
      </c>
      <c r="G552" s="63">
        <f t="shared" si="382"/>
        <v>0</v>
      </c>
      <c r="H552" s="63">
        <f t="shared" si="382"/>
        <v>0</v>
      </c>
      <c r="I552" s="63">
        <f t="shared" si="382"/>
        <v>0</v>
      </c>
      <c r="J552" s="63">
        <f t="shared" si="382"/>
        <v>0</v>
      </c>
      <c r="K552" s="63">
        <f t="shared" si="382"/>
        <v>0</v>
      </c>
      <c r="L552" s="490"/>
      <c r="M552" s="243"/>
      <c r="N552" s="753"/>
      <c r="O552" s="678"/>
      <c r="P552" s="678"/>
      <c r="Q552" s="673"/>
      <c r="R552" s="673"/>
      <c r="S552" s="673"/>
      <c r="T552" s="673"/>
      <c r="U552" s="673"/>
      <c r="V552" s="673"/>
      <c r="W552" s="490"/>
      <c r="X552" s="676"/>
      <c r="Y552" s="676"/>
      <c r="Z552" s="676"/>
      <c r="AA552" s="676"/>
      <c r="AB552" s="675"/>
      <c r="AC552" s="490"/>
      <c r="AD552" s="490"/>
      <c r="AE552" s="490"/>
      <c r="AF552" s="490"/>
      <c r="AG552" s="490"/>
    </row>
    <row r="553" spans="1:33" hidden="1" outlineLevel="2" x14ac:dyDescent="0.2">
      <c r="A553" s="243"/>
      <c r="B553" s="242">
        <v>5</v>
      </c>
      <c r="C553" s="242">
        <v>6</v>
      </c>
      <c r="D553" s="243"/>
      <c r="E553" s="496" t="s">
        <v>1307</v>
      </c>
      <c r="F553" s="63" t="str">
        <f t="shared" ref="F553:K553" si="383">IFERROR(F552*INDEX(MBSDecItems,$C540,$B553)*INDEX(MBSDecItems,$C540,$C553),"")</f>
        <v/>
      </c>
      <c r="G553" s="63" t="str">
        <f t="shared" si="383"/>
        <v/>
      </c>
      <c r="H553" s="63" t="str">
        <f t="shared" si="383"/>
        <v/>
      </c>
      <c r="I553" s="63" t="str">
        <f t="shared" si="383"/>
        <v/>
      </c>
      <c r="J553" s="63" t="str">
        <f t="shared" si="383"/>
        <v/>
      </c>
      <c r="K553" s="63" t="str">
        <f t="shared" si="383"/>
        <v/>
      </c>
      <c r="L553" s="490"/>
      <c r="M553" s="683"/>
      <c r="N553" s="753"/>
      <c r="O553" s="678"/>
      <c r="P553" s="678"/>
      <c r="Q553" s="673"/>
      <c r="R553" s="673"/>
      <c r="S553" s="673"/>
      <c r="T553" s="673"/>
      <c r="U553" s="673"/>
      <c r="V553" s="673"/>
      <c r="W553" s="490"/>
      <c r="X553" s="676"/>
      <c r="Y553" s="676"/>
      <c r="Z553" s="676"/>
      <c r="AA553" s="676"/>
      <c r="AB553" s="676"/>
      <c r="AC553" s="490"/>
      <c r="AD553" s="490"/>
      <c r="AE553" s="490"/>
      <c r="AF553" s="490"/>
      <c r="AG553" s="490"/>
    </row>
    <row r="554" spans="1:33" hidden="1" outlineLevel="2" x14ac:dyDescent="0.2">
      <c r="A554" s="243"/>
      <c r="B554" s="242">
        <v>4</v>
      </c>
      <c r="C554" s="242">
        <v>6</v>
      </c>
      <c r="D554" s="243"/>
      <c r="E554" s="496" t="s">
        <v>1306</v>
      </c>
      <c r="F554" s="63" t="str">
        <f t="shared" ref="F554:K554" si="384">IFERROR(F552*INDEX(MBSDecItems,$C540,$B554)*INDEX(MBSDecItems,$C540,$C554),"")</f>
        <v/>
      </c>
      <c r="G554" s="63" t="str">
        <f t="shared" si="384"/>
        <v/>
      </c>
      <c r="H554" s="63" t="str">
        <f t="shared" si="384"/>
        <v/>
      </c>
      <c r="I554" s="63" t="str">
        <f t="shared" si="384"/>
        <v/>
      </c>
      <c r="J554" s="63" t="str">
        <f t="shared" si="384"/>
        <v/>
      </c>
      <c r="K554" s="63" t="str">
        <f t="shared" si="384"/>
        <v/>
      </c>
      <c r="L554" s="490"/>
      <c r="M554" s="684"/>
      <c r="N554" s="682"/>
      <c r="O554" s="678"/>
      <c r="P554" s="678"/>
      <c r="Q554" s="673"/>
      <c r="R554" s="673"/>
      <c r="S554" s="673"/>
      <c r="T554" s="673"/>
      <c r="U554" s="673"/>
      <c r="V554" s="673"/>
      <c r="W554" s="490"/>
      <c r="X554" s="676"/>
      <c r="Y554" s="676"/>
      <c r="Z554" s="676"/>
      <c r="AA554" s="676"/>
      <c r="AB554" s="676"/>
      <c r="AC554" s="490"/>
      <c r="AD554" s="490"/>
      <c r="AE554" s="490"/>
      <c r="AF554" s="490"/>
      <c r="AG554" s="490"/>
    </row>
    <row r="555" spans="1:33" hidden="1" outlineLevel="2" x14ac:dyDescent="0.2">
      <c r="A555" s="243"/>
      <c r="B555" s="242"/>
      <c r="C555" s="242">
        <v>7</v>
      </c>
      <c r="D555" s="243"/>
      <c r="E555" s="497" t="s">
        <v>1308</v>
      </c>
      <c r="F555" s="63" t="str">
        <f t="shared" ref="F555:K555" si="385">IFERROR(F552*INDEX(MBSDecItems,$C540,$C555),"")</f>
        <v/>
      </c>
      <c r="G555" s="63" t="str">
        <f t="shared" si="385"/>
        <v/>
      </c>
      <c r="H555" s="63" t="str">
        <f t="shared" si="385"/>
        <v/>
      </c>
      <c r="I555" s="63" t="str">
        <f t="shared" si="385"/>
        <v/>
      </c>
      <c r="J555" s="63" t="str">
        <f t="shared" si="385"/>
        <v/>
      </c>
      <c r="K555" s="63" t="str">
        <f t="shared" si="385"/>
        <v/>
      </c>
      <c r="L555" s="490"/>
      <c r="M555" s="684"/>
      <c r="N555" s="682"/>
      <c r="O555" s="678"/>
      <c r="P555" s="678"/>
      <c r="Q555" s="673"/>
      <c r="R555" s="673"/>
      <c r="S555" s="673"/>
      <c r="T555" s="673"/>
      <c r="U555" s="673"/>
      <c r="V555" s="673"/>
      <c r="W555" s="490"/>
      <c r="X555" s="676"/>
      <c r="Y555" s="676"/>
      <c r="Z555" s="676"/>
      <c r="AA555" s="676"/>
      <c r="AB555" s="676"/>
      <c r="AC555" s="490"/>
      <c r="AD555" s="490"/>
      <c r="AE555" s="490"/>
      <c r="AF555" s="490"/>
      <c r="AG555" s="490"/>
    </row>
    <row r="556" spans="1:33" hidden="1" outlineLevel="1" x14ac:dyDescent="0.2">
      <c r="A556" s="243"/>
      <c r="B556" s="243"/>
      <c r="C556" s="243"/>
      <c r="D556" s="677"/>
      <c r="E556" s="677"/>
      <c r="F556" s="243"/>
      <c r="G556" s="243"/>
      <c r="H556" s="243"/>
      <c r="I556" s="243"/>
      <c r="J556" s="243"/>
      <c r="K556" s="243"/>
      <c r="L556" s="243"/>
      <c r="M556" s="243"/>
      <c r="N556" s="678"/>
      <c r="O556" s="678"/>
      <c r="P556" s="678"/>
      <c r="Q556" s="673"/>
      <c r="R556" s="673"/>
      <c r="S556" s="673"/>
      <c r="T556" s="673"/>
      <c r="U556" s="673"/>
      <c r="V556" s="673"/>
      <c r="W556" s="490"/>
      <c r="X556" s="676"/>
      <c r="Y556" s="676"/>
      <c r="Z556" s="676"/>
      <c r="AA556" s="676"/>
      <c r="AB556" s="676"/>
      <c r="AC556" s="490"/>
      <c r="AD556" s="490"/>
      <c r="AE556" s="490"/>
      <c r="AF556" s="490"/>
      <c r="AG556" s="490"/>
    </row>
    <row r="557" spans="1:33" ht="15.75" hidden="1" outlineLevel="1" x14ac:dyDescent="0.2">
      <c r="A557" s="243"/>
      <c r="B557" s="243"/>
      <c r="C557" s="242">
        <v>4</v>
      </c>
      <c r="D557" s="79" t="str">
        <f>INDEX(MBSDecNames,C557)</f>
        <v>** NOT USED **</v>
      </c>
      <c r="E557" s="79"/>
      <c r="F557" s="115"/>
      <c r="G557" s="115"/>
      <c r="H557" s="115"/>
      <c r="I557" s="115"/>
      <c r="J557" s="821" t="str">
        <f>IF(D557&lt;&gt;MsgNotUsed,"Co-payment group " &amp; K461,"")</f>
        <v/>
      </c>
      <c r="K557" s="821"/>
      <c r="L557" s="115"/>
      <c r="M557" s="115"/>
      <c r="N557" s="115"/>
      <c r="O557" s="115"/>
      <c r="P557" s="115"/>
      <c r="Q557" s="115"/>
      <c r="R557" s="115"/>
      <c r="S557" s="115"/>
      <c r="T557" s="115"/>
      <c r="U557" s="115"/>
      <c r="V557" s="115"/>
      <c r="W557" s="491"/>
      <c r="X557" s="490"/>
      <c r="Y557" s="490"/>
      <c r="Z557" s="490"/>
      <c r="AA557" s="490"/>
      <c r="AB557" s="676"/>
      <c r="AC557" s="490"/>
      <c r="AD557" s="490"/>
      <c r="AE557" s="490"/>
      <c r="AF557" s="490"/>
      <c r="AG557" s="490"/>
    </row>
    <row r="558" spans="1:33" hidden="1" outlineLevel="2" x14ac:dyDescent="0.2">
      <c r="A558" s="243"/>
      <c r="B558" s="243"/>
      <c r="C558" s="243"/>
      <c r="D558" s="243"/>
      <c r="E558" s="243"/>
      <c r="F558" s="495">
        <v>2</v>
      </c>
      <c r="G558" s="495">
        <v>3</v>
      </c>
      <c r="H558" s="495">
        <v>4</v>
      </c>
      <c r="I558" s="495">
        <v>5</v>
      </c>
      <c r="J558" s="495">
        <v>6</v>
      </c>
      <c r="K558" s="495">
        <v>7</v>
      </c>
      <c r="L558" s="495"/>
      <c r="M558" s="243"/>
      <c r="N558" s="243"/>
      <c r="O558" s="243"/>
      <c r="P558" s="243"/>
      <c r="Q558" s="243"/>
      <c r="R558" s="243"/>
      <c r="S558" s="243"/>
      <c r="T558" s="243"/>
      <c r="U558" s="243"/>
      <c r="V558" s="243"/>
      <c r="W558" s="490"/>
      <c r="X558" s="490"/>
      <c r="Y558" s="490"/>
      <c r="Z558" s="490"/>
      <c r="AA558" s="490"/>
      <c r="AB558" s="676"/>
      <c r="AC558" s="490"/>
      <c r="AD558" s="490"/>
      <c r="AE558" s="490"/>
      <c r="AF558" s="490"/>
      <c r="AG558" s="490"/>
    </row>
    <row r="559" spans="1:33" ht="15" hidden="1" outlineLevel="2" x14ac:dyDescent="0.2">
      <c r="A559" s="243"/>
      <c r="B559" s="243"/>
      <c r="C559" s="243"/>
      <c r="D559" s="663" t="s">
        <v>0</v>
      </c>
      <c r="E559" s="663"/>
      <c r="F559" s="630">
        <f>FirstYear</f>
        <v>2021</v>
      </c>
      <c r="G559" s="630">
        <f>F559+1</f>
        <v>2022</v>
      </c>
      <c r="H559" s="630">
        <f>G559+1</f>
        <v>2023</v>
      </c>
      <c r="I559" s="630">
        <f>H559+1</f>
        <v>2024</v>
      </c>
      <c r="J559" s="630">
        <f>I559+1</f>
        <v>2025</v>
      </c>
      <c r="K559" s="630">
        <f>J559+1</f>
        <v>2026</v>
      </c>
      <c r="L559" s="491"/>
      <c r="M559" s="113"/>
      <c r="N559" s="679"/>
      <c r="O559" s="679"/>
      <c r="P559" s="679"/>
      <c r="Q559" s="674"/>
      <c r="R559" s="674"/>
      <c r="S559" s="674"/>
      <c r="T559" s="674"/>
      <c r="U559" s="674"/>
      <c r="V559" s="674"/>
      <c r="W559" s="491"/>
      <c r="X559" s="674"/>
      <c r="Y559" s="674"/>
      <c r="Z559" s="674"/>
      <c r="AA559" s="674"/>
      <c r="AB559" s="676"/>
      <c r="AC559" s="490"/>
      <c r="AD559" s="490"/>
      <c r="AE559" s="490"/>
      <c r="AF559" s="490"/>
      <c r="AG559" s="490"/>
    </row>
    <row r="560" spans="1:33" hidden="1" outlineLevel="2" collapsed="1" x14ac:dyDescent="0.2">
      <c r="A560" s="243"/>
      <c r="B560" s="243"/>
      <c r="C560" s="243"/>
      <c r="D560" s="243"/>
      <c r="E560" s="433" t="s">
        <v>951</v>
      </c>
      <c r="F560" s="283">
        <f t="shared" ref="F560:K560" si="386">F561*INDEX(MBSDecCalc,$C557,3)</f>
        <v>0</v>
      </c>
      <c r="G560" s="283">
        <f t="shared" si="386"/>
        <v>0</v>
      </c>
      <c r="H560" s="283">
        <f t="shared" si="386"/>
        <v>0</v>
      </c>
      <c r="I560" s="283">
        <f t="shared" si="386"/>
        <v>0</v>
      </c>
      <c r="J560" s="283">
        <f t="shared" si="386"/>
        <v>0</v>
      </c>
      <c r="K560" s="283">
        <f t="shared" si="386"/>
        <v>0</v>
      </c>
      <c r="L560" s="490"/>
      <c r="M560" s="680"/>
      <c r="N560" s="664"/>
      <c r="O560" s="664"/>
      <c r="P560" s="664"/>
      <c r="Q560" s="681"/>
      <c r="R560" s="681"/>
      <c r="S560" s="681"/>
      <c r="T560" s="681"/>
      <c r="U560" s="681"/>
      <c r="V560" s="681"/>
      <c r="W560" s="493"/>
      <c r="X560" s="561">
        <f>INDEX(MBSDecItems,C557,1)</f>
        <v>0</v>
      </c>
      <c r="Y560" s="561">
        <f>FirstYear</f>
        <v>2021</v>
      </c>
      <c r="Z560" s="560">
        <f>IF(F561&lt;&gt;0,F561-F563,0)</f>
        <v>0</v>
      </c>
      <c r="AA560" s="560">
        <f>IF(F569&lt;&gt;0,F569-F571,0)</f>
        <v>0</v>
      </c>
      <c r="AB560" s="676"/>
      <c r="AC560" s="490"/>
      <c r="AD560" s="490"/>
      <c r="AE560" s="490"/>
      <c r="AF560" s="490"/>
      <c r="AG560" s="490"/>
    </row>
    <row r="561" spans="1:54" hidden="1" outlineLevel="2" x14ac:dyDescent="0.2">
      <c r="A561" s="243"/>
      <c r="B561" s="672"/>
      <c r="C561" s="242" t="str">
        <f>INDEX(MBSDecCalc,C557,2)</f>
        <v/>
      </c>
      <c r="D561" s="243"/>
      <c r="E561" s="62" t="s">
        <v>1310</v>
      </c>
      <c r="F561" s="63">
        <f t="shared" ref="F561:K561" si="387">IF(INDEX(MBSDecRate,$C557,2)=2,IFERROR(INDEX(PBSScriptsChanged,$C561,F558),0),IFERROR(INDEX(MBSPBSDec,$C557,INDEX(MBSDecRate,$C557,3)*7+F558),0) * IFERROR(INDEX(MBSDecPopSplit,$C557),0)) * INDEX(MBSDecRate,$C557,1) * INDEX(MBSDecRate,$C557,4)</f>
        <v>0</v>
      </c>
      <c r="G561" s="63">
        <f t="shared" si="387"/>
        <v>0</v>
      </c>
      <c r="H561" s="63">
        <f t="shared" si="387"/>
        <v>0</v>
      </c>
      <c r="I561" s="63">
        <f t="shared" si="387"/>
        <v>0</v>
      </c>
      <c r="J561" s="63">
        <f t="shared" si="387"/>
        <v>0</v>
      </c>
      <c r="K561" s="63">
        <f t="shared" si="387"/>
        <v>0</v>
      </c>
      <c r="L561" s="490"/>
      <c r="M561" s="493"/>
      <c r="N561" s="493"/>
      <c r="O561" s="664"/>
      <c r="P561" s="664"/>
      <c r="Q561" s="681"/>
      <c r="R561" s="681"/>
      <c r="S561" s="681"/>
      <c r="T561" s="681"/>
      <c r="U561" s="681"/>
      <c r="V561" s="681"/>
      <c r="W561" s="493"/>
      <c r="X561" s="561">
        <f>X560</f>
        <v>0</v>
      </c>
      <c r="Y561" s="561">
        <f>Y560+1</f>
        <v>2022</v>
      </c>
      <c r="Z561" s="560">
        <f>IF(G561&lt;&gt;0,G561-G563,0)</f>
        <v>0</v>
      </c>
      <c r="AA561" s="560">
        <f>IF(G569&lt;&gt;0,G569-G571,0)</f>
        <v>0</v>
      </c>
      <c r="AB561" s="676"/>
      <c r="AC561" s="490"/>
      <c r="AD561" s="490"/>
      <c r="AE561" s="490"/>
      <c r="AF561" s="490"/>
      <c r="AG561" s="490"/>
    </row>
    <row r="562" spans="1:54" hidden="1" outlineLevel="2" x14ac:dyDescent="0.2">
      <c r="A562" s="243"/>
      <c r="B562" s="242">
        <v>5</v>
      </c>
      <c r="C562" s="242">
        <v>6</v>
      </c>
      <c r="D562" s="243"/>
      <c r="E562" s="496" t="s">
        <v>1307</v>
      </c>
      <c r="F562" s="63" t="str">
        <f t="shared" ref="F562:K562" si="388">IFERROR(F561*INDEX(MBSDecItems,$C557,$B562)*INDEX(MBSDecItems,$C557,$C562),"")</f>
        <v/>
      </c>
      <c r="G562" s="63" t="str">
        <f t="shared" si="388"/>
        <v/>
      </c>
      <c r="H562" s="63" t="str">
        <f t="shared" si="388"/>
        <v/>
      </c>
      <c r="I562" s="63" t="str">
        <f t="shared" si="388"/>
        <v/>
      </c>
      <c r="J562" s="63" t="str">
        <f t="shared" si="388"/>
        <v/>
      </c>
      <c r="K562" s="63" t="str">
        <f t="shared" si="388"/>
        <v/>
      </c>
      <c r="L562" s="490"/>
      <c r="M562" s="493"/>
      <c r="N562" s="493"/>
      <c r="O562" s="682"/>
      <c r="P562" s="754"/>
      <c r="Q562" s="681"/>
      <c r="R562" s="681"/>
      <c r="S562" s="681"/>
      <c r="T562" s="681"/>
      <c r="U562" s="681"/>
      <c r="V562" s="681"/>
      <c r="W562" s="493"/>
      <c r="X562" s="561">
        <f t="shared" ref="X562:X565" si="389">X561</f>
        <v>0</v>
      </c>
      <c r="Y562" s="561">
        <f>Y561+1</f>
        <v>2023</v>
      </c>
      <c r="Z562" s="560">
        <f>IF(H561&lt;&gt;0,H561-H563,0)</f>
        <v>0</v>
      </c>
      <c r="AA562" s="560">
        <f>IF(H569&lt;&gt;0,H569-H571,0)</f>
        <v>0</v>
      </c>
      <c r="AB562" s="676"/>
      <c r="AC562" s="490"/>
      <c r="AD562" s="490"/>
      <c r="AE562" s="490"/>
      <c r="AF562" s="490"/>
      <c r="AG562" s="490"/>
    </row>
    <row r="563" spans="1:54" hidden="1" outlineLevel="2" x14ac:dyDescent="0.2">
      <c r="A563" s="416"/>
      <c r="B563" s="242">
        <v>4</v>
      </c>
      <c r="C563" s="242">
        <v>6</v>
      </c>
      <c r="D563" s="243"/>
      <c r="E563" s="496" t="s">
        <v>1306</v>
      </c>
      <c r="F563" s="63" t="str">
        <f t="shared" ref="F563:K563" si="390">IFERROR(F561*INDEX(MBSDecItems,$C557,$B563)*INDEX(MBSDecItems,$C557,$C563),"")</f>
        <v/>
      </c>
      <c r="G563" s="63" t="str">
        <f t="shared" si="390"/>
        <v/>
      </c>
      <c r="H563" s="63" t="str">
        <f t="shared" si="390"/>
        <v/>
      </c>
      <c r="I563" s="63" t="str">
        <f t="shared" si="390"/>
        <v/>
      </c>
      <c r="J563" s="63" t="str">
        <f t="shared" si="390"/>
        <v/>
      </c>
      <c r="K563" s="63" t="str">
        <f t="shared" si="390"/>
        <v/>
      </c>
      <c r="L563" s="416"/>
      <c r="M563" s="416"/>
      <c r="N563" s="416"/>
      <c r="O563" s="416"/>
      <c r="P563" s="416"/>
      <c r="Q563" s="416"/>
      <c r="R563" s="416"/>
      <c r="S563" s="416"/>
      <c r="T563" s="416"/>
      <c r="U563" s="416"/>
      <c r="V563" s="416"/>
      <c r="W563" s="493"/>
      <c r="X563" s="561">
        <f t="shared" si="389"/>
        <v>0</v>
      </c>
      <c r="Y563" s="561">
        <f>Y562+1</f>
        <v>2024</v>
      </c>
      <c r="Z563" s="560">
        <f>IF(I561&lt;&gt;0,I561-I563,0)</f>
        <v>0</v>
      </c>
      <c r="AA563" s="560">
        <f>IF(I569&lt;&gt;0,I569-I571,0)</f>
        <v>0</v>
      </c>
      <c r="AB563" s="674"/>
      <c r="AC563" s="490"/>
      <c r="AD563" s="490"/>
      <c r="AE563" s="490"/>
      <c r="AF563" s="490"/>
      <c r="AG563" s="490"/>
      <c r="AH563" s="490"/>
      <c r="AI563" s="490"/>
      <c r="AJ563" s="490"/>
      <c r="AK563" s="490"/>
      <c r="AL563" s="490"/>
      <c r="AM563" s="490"/>
      <c r="AN563" s="490"/>
      <c r="AO563" s="490"/>
      <c r="AP563" s="490"/>
      <c r="AQ563" s="490"/>
      <c r="AR563" s="490"/>
      <c r="AS563" s="490"/>
      <c r="AT563" s="490"/>
      <c r="AU563" s="490"/>
      <c r="AV563" s="490"/>
      <c r="AW563" s="490"/>
      <c r="AX563" s="490"/>
      <c r="AY563" s="490"/>
      <c r="AZ563" s="491"/>
      <c r="BA563" s="491"/>
      <c r="BB563" s="491"/>
    </row>
    <row r="564" spans="1:54" hidden="1" outlineLevel="2" x14ac:dyDescent="0.2">
      <c r="A564" s="243"/>
      <c r="B564" s="242"/>
      <c r="C564" s="242">
        <v>7</v>
      </c>
      <c r="D564" s="243"/>
      <c r="E564" s="497" t="s">
        <v>1308</v>
      </c>
      <c r="F564" s="63" t="str">
        <f t="shared" ref="F564:K564" si="391">IFERROR(F561*INDEX(MBSDecItems,$C557,$C564),"")</f>
        <v/>
      </c>
      <c r="G564" s="63" t="str">
        <f t="shared" si="391"/>
        <v/>
      </c>
      <c r="H564" s="63" t="str">
        <f t="shared" si="391"/>
        <v/>
      </c>
      <c r="I564" s="63" t="str">
        <f t="shared" si="391"/>
        <v/>
      </c>
      <c r="J564" s="63" t="str">
        <f t="shared" si="391"/>
        <v/>
      </c>
      <c r="K564" s="63" t="str">
        <f t="shared" si="391"/>
        <v/>
      </c>
      <c r="L564" s="490"/>
      <c r="M564" s="493"/>
      <c r="N564" s="493"/>
      <c r="O564" s="682"/>
      <c r="P564" s="754"/>
      <c r="Q564" s="681"/>
      <c r="R564" s="681"/>
      <c r="S564" s="681"/>
      <c r="T564" s="681"/>
      <c r="U564" s="681"/>
      <c r="V564" s="681"/>
      <c r="W564" s="493"/>
      <c r="X564" s="561">
        <f t="shared" si="389"/>
        <v>0</v>
      </c>
      <c r="Y564" s="561">
        <f>Y563+1</f>
        <v>2025</v>
      </c>
      <c r="Z564" s="560">
        <f>IF(J561&lt;&gt;0,J561-J563,0)</f>
        <v>0</v>
      </c>
      <c r="AA564" s="560">
        <f>IF(J569&lt;&gt;0,J569-J571,0)</f>
        <v>0</v>
      </c>
      <c r="AB564" s="674"/>
      <c r="AC564" s="490"/>
      <c r="AD564" s="490"/>
      <c r="AE564" s="490"/>
      <c r="AF564" s="490"/>
      <c r="AG564" s="490"/>
      <c r="AH564" s="490"/>
      <c r="AI564" s="490"/>
      <c r="AJ564" s="490"/>
      <c r="AK564" s="490"/>
      <c r="AL564" s="490"/>
      <c r="AM564" s="490"/>
      <c r="AN564" s="490"/>
      <c r="AO564" s="490"/>
      <c r="AP564" s="490"/>
      <c r="AQ564" s="490"/>
      <c r="AR564" s="490"/>
      <c r="AS564" s="490"/>
      <c r="AT564" s="490"/>
      <c r="AU564" s="490"/>
      <c r="AV564" s="490"/>
      <c r="AW564" s="490"/>
      <c r="AX564" s="490"/>
      <c r="AY564" s="490"/>
      <c r="AZ564" s="491"/>
      <c r="BA564" s="491"/>
      <c r="BB564" s="491"/>
    </row>
    <row r="565" spans="1:54" hidden="1" outlineLevel="2" x14ac:dyDescent="0.2">
      <c r="A565" s="243"/>
      <c r="B565" s="493"/>
      <c r="C565" s="493"/>
      <c r="D565" s="493"/>
      <c r="E565" s="493"/>
      <c r="F565" s="493"/>
      <c r="G565" s="493"/>
      <c r="H565" s="493"/>
      <c r="I565" s="493"/>
      <c r="J565" s="493"/>
      <c r="K565" s="493"/>
      <c r="L565" s="490"/>
      <c r="M565" s="493"/>
      <c r="N565" s="493"/>
      <c r="O565" s="682"/>
      <c r="P565" s="682"/>
      <c r="Q565" s="681"/>
      <c r="R565" s="681"/>
      <c r="S565" s="681"/>
      <c r="T565" s="681"/>
      <c r="U565" s="681"/>
      <c r="V565" s="681"/>
      <c r="W565" s="493"/>
      <c r="X565" s="561">
        <f t="shared" si="389"/>
        <v>0</v>
      </c>
      <c r="Y565" s="561">
        <f>Y564+1</f>
        <v>2026</v>
      </c>
      <c r="Z565" s="560">
        <f>IF(K561&lt;&gt;0,K561-K563,0)</f>
        <v>0</v>
      </c>
      <c r="AA565" s="560">
        <f>IF(K569&lt;&gt;0,K569-K571,0)</f>
        <v>0</v>
      </c>
      <c r="AB565" s="675"/>
      <c r="AC565" s="490"/>
      <c r="AD565" s="490"/>
      <c r="AE565" s="490"/>
      <c r="AF565" s="490"/>
      <c r="AG565" s="490"/>
      <c r="AH565" s="490"/>
      <c r="AI565" s="490"/>
      <c r="AJ565" s="490"/>
      <c r="AK565" s="490"/>
      <c r="AL565" s="490"/>
      <c r="AM565" s="490"/>
      <c r="AN565" s="490"/>
      <c r="AO565" s="490"/>
      <c r="AP565" s="490"/>
      <c r="AQ565" s="490"/>
      <c r="AR565" s="490"/>
      <c r="AS565" s="490"/>
      <c r="AT565" s="490"/>
      <c r="AU565" s="490"/>
      <c r="AV565" s="490"/>
      <c r="AW565" s="490"/>
      <c r="AX565" s="490"/>
      <c r="AY565" s="490"/>
      <c r="AZ565" s="491"/>
      <c r="BA565" s="491"/>
      <c r="BB565" s="491"/>
    </row>
    <row r="566" spans="1:54" hidden="1" outlineLevel="2" x14ac:dyDescent="0.2">
      <c r="A566" s="243"/>
      <c r="B566" s="243"/>
      <c r="C566" s="243"/>
      <c r="D566" s="677"/>
      <c r="E566" s="677"/>
      <c r="F566" s="495">
        <v>2</v>
      </c>
      <c r="G566" s="495">
        <v>3</v>
      </c>
      <c r="H566" s="495">
        <v>4</v>
      </c>
      <c r="I566" s="495">
        <v>5</v>
      </c>
      <c r="J566" s="495">
        <v>6</v>
      </c>
      <c r="K566" s="495">
        <v>7</v>
      </c>
      <c r="L566" s="490"/>
      <c r="M566" s="243"/>
      <c r="N566" s="678"/>
      <c r="O566" s="678"/>
      <c r="P566" s="678"/>
      <c r="Q566" s="673"/>
      <c r="R566" s="673"/>
      <c r="S566" s="673"/>
      <c r="T566" s="673"/>
      <c r="U566" s="673"/>
      <c r="V566" s="673"/>
      <c r="W566" s="490"/>
      <c r="X566" s="676"/>
      <c r="Y566" s="676"/>
      <c r="Z566" s="676"/>
      <c r="AA566" s="676"/>
      <c r="AB566" s="675"/>
      <c r="AC566" s="490"/>
      <c r="AD566" s="490"/>
      <c r="AE566" s="490"/>
      <c r="AF566" s="490"/>
      <c r="AG566" s="490"/>
      <c r="AH566" s="490"/>
      <c r="AI566" s="490"/>
      <c r="AJ566" s="490"/>
      <c r="AK566" s="490"/>
      <c r="AL566" s="490"/>
      <c r="AM566" s="490"/>
      <c r="AN566" s="490"/>
      <c r="AO566" s="490"/>
      <c r="AP566" s="490"/>
      <c r="AQ566" s="490"/>
      <c r="AR566" s="490"/>
      <c r="AS566" s="490"/>
      <c r="AT566" s="490"/>
      <c r="AU566" s="490"/>
      <c r="AV566" s="490"/>
      <c r="AW566" s="490"/>
      <c r="AX566" s="490"/>
      <c r="AY566" s="490"/>
      <c r="AZ566" s="491"/>
      <c r="BA566" s="491"/>
      <c r="BB566" s="491"/>
    </row>
    <row r="567" spans="1:54" ht="15.75" hidden="1" outlineLevel="2" x14ac:dyDescent="0.2">
      <c r="A567" s="243"/>
      <c r="B567" s="243"/>
      <c r="C567" s="243"/>
      <c r="D567" s="663" t="s">
        <v>1</v>
      </c>
      <c r="E567" s="663"/>
      <c r="F567" s="751">
        <f>FirstYear</f>
        <v>2021</v>
      </c>
      <c r="G567" s="751">
        <f>F567+1</f>
        <v>2022</v>
      </c>
      <c r="H567" s="751">
        <f>G567+1</f>
        <v>2023</v>
      </c>
      <c r="I567" s="751">
        <f>H567+1</f>
        <v>2024</v>
      </c>
      <c r="J567" s="751">
        <f>I567+1</f>
        <v>2025</v>
      </c>
      <c r="K567" s="751">
        <f>J567+1</f>
        <v>2026</v>
      </c>
      <c r="L567" s="491"/>
      <c r="M567" s="243"/>
      <c r="N567" s="685"/>
      <c r="O567" s="685"/>
      <c r="P567" s="685"/>
      <c r="Q567" s="673"/>
      <c r="R567" s="673"/>
      <c r="S567" s="673"/>
      <c r="T567" s="673"/>
      <c r="U567" s="673"/>
      <c r="V567" s="673"/>
      <c r="W567" s="491"/>
      <c r="X567" s="676"/>
      <c r="Y567" s="676"/>
      <c r="Z567" s="676"/>
      <c r="AA567" s="676"/>
      <c r="AB567" s="675"/>
      <c r="AC567" s="490"/>
      <c r="AD567" s="490"/>
      <c r="AE567" s="490"/>
      <c r="AF567" s="490"/>
      <c r="AG567" s="490"/>
      <c r="AH567" s="490"/>
      <c r="AI567" s="490"/>
      <c r="AJ567" s="490"/>
      <c r="AK567" s="490"/>
      <c r="AL567" s="490"/>
      <c r="AM567" s="490"/>
      <c r="AN567" s="490"/>
      <c r="AO567" s="490"/>
      <c r="AP567" s="490"/>
      <c r="AQ567" s="490"/>
      <c r="AR567" s="490"/>
      <c r="AS567" s="490"/>
      <c r="AT567" s="490"/>
      <c r="AU567" s="490"/>
      <c r="AV567" s="490"/>
      <c r="AW567" s="490"/>
      <c r="AX567" s="490"/>
      <c r="AY567" s="490"/>
      <c r="AZ567" s="491"/>
      <c r="BA567" s="491"/>
      <c r="BB567" s="491"/>
    </row>
    <row r="568" spans="1:54" hidden="1" outlineLevel="2" x14ac:dyDescent="0.2">
      <c r="A568" s="243"/>
      <c r="B568" s="243"/>
      <c r="C568" s="243"/>
      <c r="D568" s="243"/>
      <c r="E568" s="433" t="s">
        <v>951</v>
      </c>
      <c r="F568" s="283">
        <f t="shared" ref="F568:K568" si="392">F569*INDEX(MBSDecCalc,$C557,3)</f>
        <v>0</v>
      </c>
      <c r="G568" s="283">
        <f t="shared" si="392"/>
        <v>0</v>
      </c>
      <c r="H568" s="283">
        <f t="shared" si="392"/>
        <v>0</v>
      </c>
      <c r="I568" s="283">
        <f t="shared" si="392"/>
        <v>0</v>
      </c>
      <c r="J568" s="283">
        <f t="shared" si="392"/>
        <v>0</v>
      </c>
      <c r="K568" s="283">
        <f t="shared" si="392"/>
        <v>0</v>
      </c>
      <c r="L568" s="490"/>
      <c r="M568" s="615"/>
      <c r="N568" s="615"/>
      <c r="O568" s="678"/>
      <c r="P568" s="678"/>
      <c r="Q568" s="673"/>
      <c r="R568" s="673"/>
      <c r="S568" s="673"/>
      <c r="T568" s="673"/>
      <c r="U568" s="673"/>
      <c r="V568" s="673"/>
      <c r="W568" s="490"/>
      <c r="X568" s="676"/>
      <c r="Y568" s="676"/>
      <c r="Z568" s="676"/>
      <c r="AA568" s="676"/>
      <c r="AB568" s="675"/>
      <c r="AC568" s="490"/>
      <c r="AD568" s="490"/>
      <c r="AE568" s="490"/>
      <c r="AF568" s="490"/>
      <c r="AG568" s="490"/>
      <c r="AH568" s="490"/>
      <c r="AI568" s="490"/>
      <c r="AJ568" s="490"/>
      <c r="AK568" s="490"/>
      <c r="AL568" s="490"/>
      <c r="AM568" s="490"/>
      <c r="AN568" s="490"/>
      <c r="AO568" s="490"/>
      <c r="AP568" s="490"/>
      <c r="AQ568" s="490"/>
      <c r="AR568" s="490"/>
      <c r="AS568" s="490"/>
      <c r="AT568" s="490"/>
      <c r="AU568" s="490"/>
      <c r="AV568" s="490"/>
      <c r="AW568" s="490"/>
      <c r="AX568" s="490"/>
      <c r="AY568" s="490"/>
      <c r="AZ568" s="491"/>
      <c r="BA568" s="491"/>
      <c r="BB568" s="491"/>
    </row>
    <row r="569" spans="1:54" hidden="1" outlineLevel="2" x14ac:dyDescent="0.2">
      <c r="A569" s="243"/>
      <c r="B569" s="672"/>
      <c r="C569" s="242" t="str">
        <f>C561</f>
        <v/>
      </c>
      <c r="D569" s="243"/>
      <c r="E569" s="62" t="s">
        <v>1310</v>
      </c>
      <c r="F569" s="63">
        <f t="shared" ref="F569:K569" si="393">IF(INDEX(MBSDecRate,$C557,2)=2,IFERROR(INDEX(RPBSScriptsChanged,$C569,F566),0),IFERROR(INDEX(MBSRPBSDec,$C557,INDEX(MBSDecRate,$C557,3)*7+F566),0) * IFERROR(INDEX(MBSDecPopSplit,$C557),0)) * INDEX(MBSDecRate,$C557,1) * INDEX(MBSDecRate,$C557,4)</f>
        <v>0</v>
      </c>
      <c r="G569" s="63">
        <f t="shared" si="393"/>
        <v>0</v>
      </c>
      <c r="H569" s="63">
        <f t="shared" si="393"/>
        <v>0</v>
      </c>
      <c r="I569" s="63">
        <f t="shared" si="393"/>
        <v>0</v>
      </c>
      <c r="J569" s="63">
        <f t="shared" si="393"/>
        <v>0</v>
      </c>
      <c r="K569" s="63">
        <f t="shared" si="393"/>
        <v>0</v>
      </c>
      <c r="L569" s="490"/>
      <c r="M569" s="243"/>
      <c r="N569" s="753"/>
      <c r="O569" s="678"/>
      <c r="P569" s="678"/>
      <c r="Q569" s="673"/>
      <c r="R569" s="673"/>
      <c r="S569" s="673"/>
      <c r="T569" s="673"/>
      <c r="U569" s="673"/>
      <c r="V569" s="673"/>
      <c r="W569" s="490"/>
      <c r="X569" s="676"/>
      <c r="Y569" s="676"/>
      <c r="Z569" s="676"/>
      <c r="AA569" s="676"/>
      <c r="AB569" s="675"/>
      <c r="AC569" s="490"/>
      <c r="AD569" s="490"/>
      <c r="AE569" s="490"/>
      <c r="AF569" s="490"/>
      <c r="AG569" s="490"/>
      <c r="AH569" s="490"/>
      <c r="AI569" s="490"/>
      <c r="AJ569" s="490"/>
      <c r="AK569" s="490"/>
      <c r="AL569" s="490"/>
      <c r="AM569" s="490"/>
      <c r="AN569" s="490"/>
      <c r="AO569" s="490"/>
      <c r="AP569" s="490"/>
      <c r="AQ569" s="490"/>
      <c r="AR569" s="490"/>
      <c r="AS569" s="490"/>
      <c r="AT569" s="490"/>
      <c r="AU569" s="490"/>
      <c r="AV569" s="490"/>
      <c r="AW569" s="490"/>
      <c r="AX569" s="490"/>
      <c r="AY569" s="490"/>
      <c r="AZ569" s="491"/>
      <c r="BA569" s="491"/>
      <c r="BB569" s="491"/>
    </row>
    <row r="570" spans="1:54" hidden="1" outlineLevel="2" x14ac:dyDescent="0.2">
      <c r="A570" s="243"/>
      <c r="B570" s="242">
        <v>5</v>
      </c>
      <c r="C570" s="242">
        <v>6</v>
      </c>
      <c r="D570" s="243"/>
      <c r="E570" s="496" t="s">
        <v>1307</v>
      </c>
      <c r="F570" s="63" t="str">
        <f t="shared" ref="F570:K570" si="394">IFERROR(F569*INDEX(MBSDecItems,$C557,$B570)*INDEX(MBSDecItems,$C557,$C570),"")</f>
        <v/>
      </c>
      <c r="G570" s="63" t="str">
        <f t="shared" si="394"/>
        <v/>
      </c>
      <c r="H570" s="63" t="str">
        <f t="shared" si="394"/>
        <v/>
      </c>
      <c r="I570" s="63" t="str">
        <f t="shared" si="394"/>
        <v/>
      </c>
      <c r="J570" s="63" t="str">
        <f t="shared" si="394"/>
        <v/>
      </c>
      <c r="K570" s="63" t="str">
        <f t="shared" si="394"/>
        <v/>
      </c>
      <c r="L570" s="490"/>
      <c r="M570" s="683"/>
      <c r="N570" s="753"/>
      <c r="O570" s="678"/>
      <c r="P570" s="678"/>
      <c r="Q570" s="673"/>
      <c r="R570" s="673"/>
      <c r="S570" s="673"/>
      <c r="T570" s="673"/>
      <c r="U570" s="673"/>
      <c r="V570" s="673"/>
      <c r="W570" s="490"/>
      <c r="X570" s="676"/>
      <c r="Y570" s="676"/>
      <c r="Z570" s="676"/>
      <c r="AA570" s="676"/>
      <c r="AB570" s="676"/>
      <c r="AC570" s="490"/>
      <c r="AD570" s="490"/>
      <c r="AE570" s="490"/>
      <c r="AF570" s="490"/>
      <c r="AG570" s="490"/>
      <c r="AH570" s="490"/>
      <c r="AI570" s="490"/>
      <c r="AJ570" s="490"/>
      <c r="AK570" s="490"/>
      <c r="AL570" s="490"/>
      <c r="AM570" s="490"/>
      <c r="AN570" s="490"/>
      <c r="AO570" s="490"/>
      <c r="AP570" s="490"/>
      <c r="AQ570" s="490"/>
      <c r="AR570" s="490"/>
      <c r="AS570" s="490"/>
      <c r="AT570" s="490"/>
      <c r="AU570" s="490"/>
      <c r="AV570" s="490"/>
      <c r="AW570" s="490"/>
      <c r="AX570" s="490"/>
      <c r="AY570" s="490"/>
      <c r="AZ570" s="491"/>
      <c r="BA570" s="491"/>
      <c r="BB570" s="491"/>
    </row>
    <row r="571" spans="1:54" hidden="1" outlineLevel="2" x14ac:dyDescent="0.2">
      <c r="A571" s="243"/>
      <c r="B571" s="242">
        <v>4</v>
      </c>
      <c r="C571" s="242">
        <v>6</v>
      </c>
      <c r="D571" s="243"/>
      <c r="E571" s="496" t="s">
        <v>1306</v>
      </c>
      <c r="F571" s="63" t="str">
        <f t="shared" ref="F571:K571" si="395">IFERROR(F569*INDEX(MBSDecItems,$C557,$B571)*INDEX(MBSDecItems,$C557,$C571),"")</f>
        <v/>
      </c>
      <c r="G571" s="63" t="str">
        <f t="shared" si="395"/>
        <v/>
      </c>
      <c r="H571" s="63" t="str">
        <f t="shared" si="395"/>
        <v/>
      </c>
      <c r="I571" s="63" t="str">
        <f t="shared" si="395"/>
        <v/>
      </c>
      <c r="J571" s="63" t="str">
        <f t="shared" si="395"/>
        <v/>
      </c>
      <c r="K571" s="63" t="str">
        <f t="shared" si="395"/>
        <v/>
      </c>
      <c r="L571" s="490"/>
      <c r="M571" s="684"/>
      <c r="N571" s="682"/>
      <c r="O571" s="678"/>
      <c r="P571" s="678"/>
      <c r="Q571" s="673"/>
      <c r="R571" s="673"/>
      <c r="S571" s="673"/>
      <c r="T571" s="673"/>
      <c r="U571" s="673"/>
      <c r="V571" s="673"/>
      <c r="W571" s="490"/>
      <c r="X571" s="676"/>
      <c r="Y571" s="676"/>
      <c r="Z571" s="676"/>
      <c r="AA571" s="676"/>
      <c r="AB571" s="676"/>
      <c r="AC571" s="490"/>
      <c r="AD571" s="490"/>
      <c r="AE571" s="490"/>
      <c r="AF571" s="490"/>
      <c r="AG571" s="490"/>
      <c r="AH571" s="490"/>
      <c r="AI571" s="490"/>
      <c r="AJ571" s="490"/>
      <c r="AK571" s="490"/>
      <c r="AL571" s="490"/>
      <c r="AM571" s="490"/>
      <c r="AN571" s="490"/>
      <c r="AO571" s="490"/>
      <c r="AP571" s="490"/>
      <c r="AQ571" s="490"/>
      <c r="AR571" s="490"/>
      <c r="AS571" s="490"/>
      <c r="AT571" s="490"/>
      <c r="AU571" s="490"/>
      <c r="AV571" s="490"/>
      <c r="AW571" s="490"/>
      <c r="AX571" s="490"/>
      <c r="AY571" s="490"/>
      <c r="AZ571" s="491"/>
      <c r="BA571" s="491"/>
      <c r="BB571" s="491"/>
    </row>
    <row r="572" spans="1:54" hidden="1" outlineLevel="2" x14ac:dyDescent="0.2">
      <c r="A572" s="243"/>
      <c r="B572" s="242"/>
      <c r="C572" s="242">
        <v>7</v>
      </c>
      <c r="D572" s="243"/>
      <c r="E572" s="497" t="s">
        <v>1308</v>
      </c>
      <c r="F572" s="63" t="str">
        <f t="shared" ref="F572:K572" si="396">IFERROR(F569*INDEX(MBSDecItems,$C557,$C572),"")</f>
        <v/>
      </c>
      <c r="G572" s="63" t="str">
        <f t="shared" si="396"/>
        <v/>
      </c>
      <c r="H572" s="63" t="str">
        <f t="shared" si="396"/>
        <v/>
      </c>
      <c r="I572" s="63" t="str">
        <f t="shared" si="396"/>
        <v/>
      </c>
      <c r="J572" s="63" t="str">
        <f t="shared" si="396"/>
        <v/>
      </c>
      <c r="K572" s="63" t="str">
        <f t="shared" si="396"/>
        <v/>
      </c>
      <c r="L572" s="490"/>
      <c r="M572" s="684"/>
      <c r="N572" s="682"/>
      <c r="O572" s="678"/>
      <c r="P572" s="678"/>
      <c r="Q572" s="673"/>
      <c r="R572" s="673"/>
      <c r="S572" s="673"/>
      <c r="T572" s="673"/>
      <c r="U572" s="673"/>
      <c r="V572" s="673"/>
      <c r="W572" s="490"/>
      <c r="X572" s="676"/>
      <c r="Y572" s="676"/>
      <c r="Z572" s="676"/>
      <c r="AA572" s="676"/>
      <c r="AB572" s="676"/>
      <c r="AC572" s="490"/>
      <c r="AD572" s="490"/>
      <c r="AE572" s="490"/>
      <c r="AF572" s="490"/>
      <c r="AG572" s="490"/>
      <c r="AH572" s="490"/>
      <c r="AI572" s="490"/>
      <c r="AJ572" s="490"/>
      <c r="AK572" s="490"/>
      <c r="AL572" s="490"/>
      <c r="AM572" s="490"/>
      <c r="AN572" s="490"/>
      <c r="AO572" s="490"/>
      <c r="AP572" s="490"/>
      <c r="AQ572" s="490"/>
      <c r="AR572" s="490"/>
      <c r="AS572" s="490"/>
      <c r="AT572" s="490"/>
      <c r="AU572" s="490"/>
      <c r="AV572" s="490"/>
      <c r="AW572" s="490"/>
      <c r="AX572" s="490"/>
      <c r="AY572" s="490"/>
      <c r="AZ572" s="491"/>
      <c r="BA572" s="491"/>
      <c r="BB572" s="491"/>
    </row>
    <row r="573" spans="1:54" hidden="1" outlineLevel="1" x14ac:dyDescent="0.2">
      <c r="A573" s="243"/>
      <c r="B573" s="243"/>
      <c r="C573" s="243"/>
      <c r="D573" s="677"/>
      <c r="E573" s="677"/>
      <c r="F573" s="243"/>
      <c r="G573" s="243"/>
      <c r="H573" s="243"/>
      <c r="I573" s="243"/>
      <c r="J573" s="243"/>
      <c r="K573" s="243"/>
      <c r="L573" s="243"/>
      <c r="M573" s="243"/>
      <c r="N573" s="678"/>
      <c r="O573" s="678"/>
      <c r="P573" s="678"/>
      <c r="Q573" s="673"/>
      <c r="R573" s="673"/>
      <c r="S573" s="673"/>
      <c r="T573" s="673"/>
      <c r="U573" s="673"/>
      <c r="V573" s="673"/>
      <c r="W573" s="490"/>
      <c r="X573" s="676"/>
      <c r="Y573" s="676"/>
      <c r="Z573" s="676"/>
      <c r="AA573" s="676"/>
      <c r="AB573" s="676"/>
      <c r="AC573" s="490"/>
      <c r="AD573" s="490"/>
      <c r="AE573" s="490"/>
      <c r="AF573" s="490"/>
      <c r="AG573" s="490"/>
      <c r="AH573" s="490"/>
      <c r="AI573" s="490"/>
      <c r="AJ573" s="490"/>
      <c r="AK573" s="490"/>
      <c r="AL573" s="490"/>
      <c r="AM573" s="490"/>
      <c r="AN573" s="490"/>
      <c r="AO573" s="490"/>
      <c r="AP573" s="490"/>
      <c r="AQ573" s="490"/>
      <c r="AR573" s="490"/>
      <c r="AS573" s="490"/>
      <c r="AT573" s="490"/>
      <c r="AU573" s="490"/>
      <c r="AV573" s="490"/>
      <c r="AW573" s="490"/>
      <c r="AX573" s="490"/>
      <c r="AY573" s="490"/>
      <c r="AZ573" s="491"/>
      <c r="BA573" s="491"/>
      <c r="BB573" s="491"/>
    </row>
    <row r="574" spans="1:54" ht="15.75" hidden="1" outlineLevel="1" x14ac:dyDescent="0.2">
      <c r="A574" s="243"/>
      <c r="B574" s="243"/>
      <c r="C574" s="242">
        <v>5</v>
      </c>
      <c r="D574" s="79" t="str">
        <f>INDEX(MBSDecNames,C574)</f>
        <v>** NOT USED **</v>
      </c>
      <c r="E574" s="79"/>
      <c r="F574" s="115"/>
      <c r="G574" s="115"/>
      <c r="H574" s="115"/>
      <c r="I574" s="115"/>
      <c r="J574" s="821" t="str">
        <f>IF(D574&lt;&gt;MsgNotUsed,"Co-payment group " &amp; K462,"")</f>
        <v/>
      </c>
      <c r="K574" s="821"/>
      <c r="L574" s="115"/>
      <c r="M574" s="115"/>
      <c r="N574" s="115"/>
      <c r="O574" s="115"/>
      <c r="P574" s="115"/>
      <c r="Q574" s="115"/>
      <c r="R574" s="115"/>
      <c r="S574" s="115"/>
      <c r="T574" s="115"/>
      <c r="U574" s="115"/>
      <c r="V574" s="115"/>
      <c r="W574" s="491"/>
      <c r="X574" s="490"/>
      <c r="Y574" s="490"/>
      <c r="Z574" s="490"/>
      <c r="AA574" s="490"/>
      <c r="AB574" s="676"/>
      <c r="AC574" s="490"/>
      <c r="AD574" s="490"/>
      <c r="AE574" s="490"/>
      <c r="AF574" s="490"/>
      <c r="AG574" s="490"/>
      <c r="AH574" s="490"/>
      <c r="AI574" s="490"/>
      <c r="AJ574" s="490"/>
      <c r="AK574" s="490"/>
      <c r="AL574" s="490"/>
      <c r="AM574" s="490"/>
      <c r="AN574" s="490"/>
      <c r="AO574" s="490"/>
      <c r="AP574" s="490"/>
      <c r="AQ574" s="490"/>
      <c r="AR574" s="490"/>
      <c r="AS574" s="490"/>
      <c r="AT574" s="490"/>
      <c r="AU574" s="490"/>
      <c r="AV574" s="490"/>
      <c r="AW574" s="490"/>
      <c r="AX574" s="490"/>
      <c r="AY574" s="490"/>
      <c r="AZ574" s="491"/>
      <c r="BA574" s="491"/>
      <c r="BB574" s="491"/>
    </row>
    <row r="575" spans="1:54" hidden="1" outlineLevel="2" x14ac:dyDescent="0.2">
      <c r="A575" s="243"/>
      <c r="B575" s="243"/>
      <c r="C575" s="243"/>
      <c r="D575" s="243"/>
      <c r="E575" s="243"/>
      <c r="F575" s="495">
        <v>2</v>
      </c>
      <c r="G575" s="495">
        <v>3</v>
      </c>
      <c r="H575" s="495">
        <v>4</v>
      </c>
      <c r="I575" s="495">
        <v>5</v>
      </c>
      <c r="J575" s="495">
        <v>6</v>
      </c>
      <c r="K575" s="495">
        <v>7</v>
      </c>
      <c r="L575" s="495"/>
      <c r="M575" s="243"/>
      <c r="N575" s="243"/>
      <c r="O575" s="243"/>
      <c r="P575" s="243"/>
      <c r="Q575" s="243"/>
      <c r="R575" s="243"/>
      <c r="S575" s="243"/>
      <c r="T575" s="243"/>
      <c r="U575" s="243"/>
      <c r="V575" s="243"/>
      <c r="W575" s="490"/>
      <c r="X575" s="490"/>
      <c r="Y575" s="490"/>
      <c r="Z575" s="490"/>
      <c r="AA575" s="490"/>
      <c r="AB575" s="676"/>
      <c r="AC575" s="490"/>
      <c r="AD575" s="490"/>
      <c r="AE575" s="490"/>
      <c r="AF575" s="490"/>
      <c r="AG575" s="490"/>
      <c r="AH575" s="490"/>
      <c r="AI575" s="490"/>
      <c r="AJ575" s="490"/>
      <c r="AK575" s="490"/>
      <c r="AL575" s="490"/>
      <c r="AM575" s="490"/>
      <c r="AN575" s="490"/>
      <c r="AO575" s="490"/>
      <c r="AP575" s="490"/>
      <c r="AQ575" s="490"/>
      <c r="AR575" s="490"/>
      <c r="AS575" s="490"/>
      <c r="AT575" s="490"/>
      <c r="AU575" s="490"/>
      <c r="AV575" s="490"/>
      <c r="AW575" s="490"/>
      <c r="AX575" s="490"/>
      <c r="AY575" s="490"/>
      <c r="AZ575" s="491"/>
      <c r="BA575" s="491"/>
      <c r="BB575" s="491"/>
    </row>
    <row r="576" spans="1:54" ht="15" hidden="1" outlineLevel="2" x14ac:dyDescent="0.2">
      <c r="A576" s="243"/>
      <c r="B576" s="243"/>
      <c r="C576" s="243"/>
      <c r="D576" s="663" t="s">
        <v>0</v>
      </c>
      <c r="E576" s="663"/>
      <c r="F576" s="630">
        <f>FirstYear</f>
        <v>2021</v>
      </c>
      <c r="G576" s="630">
        <f>F576+1</f>
        <v>2022</v>
      </c>
      <c r="H576" s="630">
        <f>G576+1</f>
        <v>2023</v>
      </c>
      <c r="I576" s="630">
        <f>H576+1</f>
        <v>2024</v>
      </c>
      <c r="J576" s="630">
        <f>I576+1</f>
        <v>2025</v>
      </c>
      <c r="K576" s="630">
        <f>J576+1</f>
        <v>2026</v>
      </c>
      <c r="L576" s="491"/>
      <c r="M576" s="113"/>
      <c r="N576" s="679"/>
      <c r="O576" s="679"/>
      <c r="P576" s="679"/>
      <c r="Q576" s="674"/>
      <c r="R576" s="674"/>
      <c r="S576" s="674"/>
      <c r="T576" s="674"/>
      <c r="U576" s="674"/>
      <c r="V576" s="674"/>
      <c r="W576" s="491"/>
      <c r="X576" s="674"/>
      <c r="Y576" s="674"/>
      <c r="Z576" s="674"/>
      <c r="AA576" s="674"/>
      <c r="AB576" s="676"/>
      <c r="AC576" s="490"/>
      <c r="AD576" s="490"/>
      <c r="AE576" s="490"/>
      <c r="AF576" s="490"/>
      <c r="AG576" s="490"/>
      <c r="AH576" s="490"/>
      <c r="AI576" s="490"/>
      <c r="AJ576" s="490"/>
      <c r="AK576" s="490"/>
      <c r="AL576" s="490"/>
      <c r="AM576" s="490"/>
      <c r="AN576" s="490"/>
      <c r="AO576" s="490"/>
      <c r="AP576" s="490"/>
      <c r="AQ576" s="490"/>
      <c r="AR576" s="490"/>
      <c r="AS576" s="490"/>
      <c r="AT576" s="490"/>
      <c r="AU576" s="490"/>
      <c r="AV576" s="490"/>
      <c r="AW576" s="490"/>
      <c r="AX576" s="490"/>
      <c r="AY576" s="490"/>
      <c r="AZ576" s="491"/>
      <c r="BA576" s="491"/>
      <c r="BB576" s="491"/>
    </row>
    <row r="577" spans="1:54" hidden="1" outlineLevel="2" collapsed="1" x14ac:dyDescent="0.2">
      <c r="A577" s="243"/>
      <c r="B577" s="243"/>
      <c r="C577" s="243"/>
      <c r="D577" s="243"/>
      <c r="E577" s="433" t="s">
        <v>951</v>
      </c>
      <c r="F577" s="283">
        <f t="shared" ref="F577:K577" si="397">F578*INDEX(MBSDecCalc,$C574,3)</f>
        <v>0</v>
      </c>
      <c r="G577" s="283">
        <f t="shared" si="397"/>
        <v>0</v>
      </c>
      <c r="H577" s="283">
        <f t="shared" si="397"/>
        <v>0</v>
      </c>
      <c r="I577" s="283">
        <f t="shared" si="397"/>
        <v>0</v>
      </c>
      <c r="J577" s="283">
        <f t="shared" si="397"/>
        <v>0</v>
      </c>
      <c r="K577" s="283">
        <f t="shared" si="397"/>
        <v>0</v>
      </c>
      <c r="L577" s="490"/>
      <c r="M577" s="680"/>
      <c r="N577" s="664"/>
      <c r="O577" s="664"/>
      <c r="P577" s="664"/>
      <c r="Q577" s="681"/>
      <c r="R577" s="681"/>
      <c r="S577" s="681"/>
      <c r="T577" s="681"/>
      <c r="U577" s="681"/>
      <c r="V577" s="681"/>
      <c r="W577" s="493"/>
      <c r="X577" s="561">
        <f>INDEX(MBSDecItems,C574,1)</f>
        <v>0</v>
      </c>
      <c r="Y577" s="561">
        <f>FirstYear</f>
        <v>2021</v>
      </c>
      <c r="Z577" s="560">
        <f>IF(F578&lt;&gt;0,F578-F580,0)</f>
        <v>0</v>
      </c>
      <c r="AA577" s="560">
        <f>IF(F586&lt;&gt;0,F586-F588,0)</f>
        <v>0</v>
      </c>
      <c r="AB577" s="676"/>
      <c r="AC577" s="490"/>
      <c r="AD577" s="490"/>
      <c r="AE577" s="490"/>
      <c r="AF577" s="490"/>
      <c r="AG577" s="490"/>
      <c r="AH577" s="490"/>
      <c r="AI577" s="490"/>
      <c r="AJ577" s="490"/>
      <c r="AK577" s="490"/>
      <c r="AL577" s="490"/>
      <c r="AM577" s="490"/>
      <c r="AN577" s="490"/>
      <c r="AO577" s="490"/>
      <c r="AP577" s="490"/>
      <c r="AQ577" s="490"/>
      <c r="AR577" s="490"/>
      <c r="AS577" s="490"/>
      <c r="AT577" s="490"/>
      <c r="AU577" s="490"/>
      <c r="AV577" s="490"/>
      <c r="AW577" s="490"/>
      <c r="AX577" s="490"/>
      <c r="AY577" s="490"/>
      <c r="AZ577" s="491"/>
      <c r="BA577" s="491"/>
      <c r="BB577" s="491"/>
    </row>
    <row r="578" spans="1:54" hidden="1" outlineLevel="2" x14ac:dyDescent="0.2">
      <c r="A578" s="243"/>
      <c r="B578" s="672"/>
      <c r="C578" s="242" t="str">
        <f>INDEX(MBSDecCalc,C574,2)</f>
        <v/>
      </c>
      <c r="D578" s="243"/>
      <c r="E578" s="62" t="s">
        <v>1310</v>
      </c>
      <c r="F578" s="63">
        <f t="shared" ref="F578:K578" si="398">IF(INDEX(MBSDecRate,$C574,2)=2,IFERROR(INDEX(PBSScriptsChanged,$C578,F575),0),IFERROR(INDEX(MBSPBSDec,$C574,INDEX(MBSDecRate,$C574,3)*7+F575),0) * IFERROR(INDEX(MBSDecPopSplit,$C574),0)) * INDEX(MBSDecRate,$C574,1) * INDEX(MBSDecRate,$C574,4)</f>
        <v>0</v>
      </c>
      <c r="G578" s="63">
        <f t="shared" si="398"/>
        <v>0</v>
      </c>
      <c r="H578" s="63">
        <f t="shared" si="398"/>
        <v>0</v>
      </c>
      <c r="I578" s="63">
        <f t="shared" si="398"/>
        <v>0</v>
      </c>
      <c r="J578" s="63">
        <f t="shared" si="398"/>
        <v>0</v>
      </c>
      <c r="K578" s="63">
        <f t="shared" si="398"/>
        <v>0</v>
      </c>
      <c r="L578" s="490"/>
      <c r="M578" s="493"/>
      <c r="N578" s="493"/>
      <c r="O578" s="664"/>
      <c r="P578" s="664"/>
      <c r="Q578" s="681"/>
      <c r="R578" s="681"/>
      <c r="S578" s="681"/>
      <c r="T578" s="681"/>
      <c r="U578" s="681"/>
      <c r="V578" s="681"/>
      <c r="W578" s="493"/>
      <c r="X578" s="561">
        <f>X577</f>
        <v>0</v>
      </c>
      <c r="Y578" s="561">
        <f>Y577+1</f>
        <v>2022</v>
      </c>
      <c r="Z578" s="560">
        <f>IF(G578&lt;&gt;0,G578-G580,0)</f>
        <v>0</v>
      </c>
      <c r="AA578" s="560">
        <f>IF(G586&lt;&gt;0,G586-G588,0)</f>
        <v>0</v>
      </c>
      <c r="AB578" s="676"/>
      <c r="AC578" s="490"/>
      <c r="AD578" s="490"/>
      <c r="AE578" s="490"/>
      <c r="AF578" s="490"/>
      <c r="AG578" s="490"/>
      <c r="AH578" s="490"/>
      <c r="AI578" s="490"/>
      <c r="AJ578" s="490"/>
      <c r="AK578" s="490"/>
      <c r="AL578" s="490"/>
      <c r="AM578" s="490"/>
      <c r="AN578" s="490"/>
      <c r="AO578" s="490"/>
      <c r="AP578" s="490"/>
      <c r="AQ578" s="490"/>
      <c r="AR578" s="490"/>
      <c r="AS578" s="490"/>
      <c r="AT578" s="490"/>
      <c r="AU578" s="490"/>
      <c r="AV578" s="490"/>
      <c r="AW578" s="490"/>
      <c r="AX578" s="490"/>
      <c r="AY578" s="490"/>
      <c r="AZ578" s="491"/>
      <c r="BA578" s="491"/>
      <c r="BB578" s="491"/>
    </row>
    <row r="579" spans="1:54" hidden="1" outlineLevel="2" x14ac:dyDescent="0.2">
      <c r="A579" s="243"/>
      <c r="B579" s="242">
        <v>5</v>
      </c>
      <c r="C579" s="242">
        <v>6</v>
      </c>
      <c r="D579" s="243"/>
      <c r="E579" s="496" t="s">
        <v>1307</v>
      </c>
      <c r="F579" s="63" t="str">
        <f t="shared" ref="F579:K579" si="399">IFERROR(F578*INDEX(MBSDecItems,$C574,$B579)*INDEX(MBSDecItems,$C574,$C579),"")</f>
        <v/>
      </c>
      <c r="G579" s="63" t="str">
        <f t="shared" si="399"/>
        <v/>
      </c>
      <c r="H579" s="63" t="str">
        <f t="shared" si="399"/>
        <v/>
      </c>
      <c r="I579" s="63" t="str">
        <f t="shared" si="399"/>
        <v/>
      </c>
      <c r="J579" s="63" t="str">
        <f t="shared" si="399"/>
        <v/>
      </c>
      <c r="K579" s="63" t="str">
        <f t="shared" si="399"/>
        <v/>
      </c>
      <c r="L579" s="490"/>
      <c r="M579" s="493"/>
      <c r="N579" s="493"/>
      <c r="O579" s="682"/>
      <c r="P579" s="754"/>
      <c r="Q579" s="681"/>
      <c r="R579" s="681"/>
      <c r="S579" s="681"/>
      <c r="T579" s="681"/>
      <c r="U579" s="681"/>
      <c r="V579" s="681"/>
      <c r="W579" s="493"/>
      <c r="X579" s="561">
        <f t="shared" ref="X579:X582" si="400">X578</f>
        <v>0</v>
      </c>
      <c r="Y579" s="561">
        <f>Y578+1</f>
        <v>2023</v>
      </c>
      <c r="Z579" s="560">
        <f>IF(H578&lt;&gt;0,H578-H580,0)</f>
        <v>0</v>
      </c>
      <c r="AA579" s="560">
        <f>IF(H586&lt;&gt;0,H586-H588,0)</f>
        <v>0</v>
      </c>
      <c r="AB579" s="676"/>
      <c r="AC579" s="490"/>
      <c r="AD579" s="490"/>
      <c r="AE579" s="490"/>
      <c r="AF579" s="490"/>
      <c r="AG579" s="490"/>
      <c r="AH579" s="490"/>
      <c r="AI579" s="490"/>
      <c r="AJ579" s="490"/>
      <c r="AK579" s="490"/>
      <c r="AL579" s="490"/>
      <c r="AM579" s="490"/>
      <c r="AN579" s="490"/>
      <c r="AO579" s="490"/>
      <c r="AP579" s="490"/>
      <c r="AQ579" s="490"/>
      <c r="AR579" s="490"/>
      <c r="AS579" s="490"/>
      <c r="AT579" s="490"/>
      <c r="AU579" s="490"/>
      <c r="AV579" s="490"/>
      <c r="AW579" s="490"/>
      <c r="AX579" s="490"/>
      <c r="AY579" s="490"/>
      <c r="AZ579" s="491"/>
      <c r="BA579" s="491"/>
      <c r="BB579" s="491"/>
    </row>
    <row r="580" spans="1:54" hidden="1" outlineLevel="2" x14ac:dyDescent="0.2">
      <c r="A580" s="416"/>
      <c r="B580" s="242">
        <v>4</v>
      </c>
      <c r="C580" s="242">
        <v>6</v>
      </c>
      <c r="D580" s="243"/>
      <c r="E580" s="496" t="s">
        <v>1306</v>
      </c>
      <c r="F580" s="63" t="str">
        <f t="shared" ref="F580:K580" si="401">IFERROR(F578*INDEX(MBSDecItems,$C574,$B580)*INDEX(MBSDecItems,$C574,$C580),"")</f>
        <v/>
      </c>
      <c r="G580" s="63" t="str">
        <f t="shared" si="401"/>
        <v/>
      </c>
      <c r="H580" s="63" t="str">
        <f t="shared" si="401"/>
        <v/>
      </c>
      <c r="I580" s="63" t="str">
        <f t="shared" si="401"/>
        <v/>
      </c>
      <c r="J580" s="63" t="str">
        <f t="shared" si="401"/>
        <v/>
      </c>
      <c r="K580" s="63" t="str">
        <f t="shared" si="401"/>
        <v/>
      </c>
      <c r="L580" s="416"/>
      <c r="M580" s="416"/>
      <c r="N580" s="416"/>
      <c r="O580" s="416"/>
      <c r="P580" s="416"/>
      <c r="Q580" s="416"/>
      <c r="R580" s="416"/>
      <c r="S580" s="416"/>
      <c r="T580" s="416"/>
      <c r="U580" s="416"/>
      <c r="V580" s="416"/>
      <c r="W580" s="493"/>
      <c r="X580" s="561">
        <f t="shared" si="400"/>
        <v>0</v>
      </c>
      <c r="Y580" s="561">
        <f>Y579+1</f>
        <v>2024</v>
      </c>
      <c r="Z580" s="560">
        <f>IF(I578&lt;&gt;0,I578-I580,0)</f>
        <v>0</v>
      </c>
      <c r="AA580" s="560">
        <f>IF(I586&lt;&gt;0,I586-I588,0)</f>
        <v>0</v>
      </c>
      <c r="AB580" s="674"/>
      <c r="AC580" s="490"/>
      <c r="AD580" s="490"/>
      <c r="AE580" s="490"/>
      <c r="AF580" s="490"/>
      <c r="AG580" s="490"/>
      <c r="AH580" s="490"/>
      <c r="AI580" s="490"/>
      <c r="AJ580" s="490"/>
      <c r="AK580" s="490"/>
      <c r="AL580" s="490"/>
      <c r="AM580" s="490"/>
      <c r="AN580" s="490"/>
      <c r="AO580" s="490"/>
      <c r="AP580" s="490"/>
      <c r="AQ580" s="490"/>
      <c r="AR580" s="490"/>
      <c r="AS580" s="490"/>
      <c r="AT580" s="490"/>
      <c r="AU580" s="490"/>
      <c r="AV580" s="490"/>
      <c r="AW580" s="490"/>
      <c r="AX580" s="490"/>
      <c r="AY580" s="490"/>
      <c r="AZ580" s="491"/>
      <c r="BA580" s="491"/>
      <c r="BB580" s="491"/>
    </row>
    <row r="581" spans="1:54" hidden="1" outlineLevel="2" x14ac:dyDescent="0.2">
      <c r="A581" s="243"/>
      <c r="B581" s="242"/>
      <c r="C581" s="242">
        <v>7</v>
      </c>
      <c r="D581" s="243"/>
      <c r="E581" s="497" t="s">
        <v>1308</v>
      </c>
      <c r="F581" s="63" t="str">
        <f t="shared" ref="F581:K581" si="402">IFERROR(F578*INDEX(MBSDecItems,$C574,$C581),"")</f>
        <v/>
      </c>
      <c r="G581" s="63" t="str">
        <f t="shared" si="402"/>
        <v/>
      </c>
      <c r="H581" s="63" t="str">
        <f t="shared" si="402"/>
        <v/>
      </c>
      <c r="I581" s="63" t="str">
        <f t="shared" si="402"/>
        <v/>
      </c>
      <c r="J581" s="63" t="str">
        <f t="shared" si="402"/>
        <v/>
      </c>
      <c r="K581" s="63" t="str">
        <f t="shared" si="402"/>
        <v/>
      </c>
      <c r="L581" s="490"/>
      <c r="M581" s="493"/>
      <c r="N581" s="493"/>
      <c r="O581" s="682"/>
      <c r="P581" s="754"/>
      <c r="Q581" s="681"/>
      <c r="R581" s="681"/>
      <c r="S581" s="681"/>
      <c r="T581" s="681"/>
      <c r="U581" s="681"/>
      <c r="V581" s="681"/>
      <c r="W581" s="493"/>
      <c r="X581" s="561">
        <f t="shared" si="400"/>
        <v>0</v>
      </c>
      <c r="Y581" s="561">
        <f>Y580+1</f>
        <v>2025</v>
      </c>
      <c r="Z581" s="560">
        <f>IF(J578&lt;&gt;0,J578-J580,0)</f>
        <v>0</v>
      </c>
      <c r="AA581" s="560">
        <f>IF(J586&lt;&gt;0,J586-J588,0)</f>
        <v>0</v>
      </c>
      <c r="AB581" s="674"/>
      <c r="AC581" s="490"/>
      <c r="AD581" s="490"/>
      <c r="AE581" s="490"/>
      <c r="AF581" s="490"/>
      <c r="AG581" s="490"/>
      <c r="AH581" s="490"/>
      <c r="AI581" s="490"/>
      <c r="AJ581" s="490"/>
      <c r="AK581" s="490"/>
      <c r="AL581" s="490"/>
      <c r="AM581" s="490"/>
      <c r="AN581" s="490"/>
      <c r="AO581" s="490"/>
      <c r="AP581" s="490"/>
      <c r="AQ581" s="490"/>
      <c r="AR581" s="490"/>
      <c r="AS581" s="490"/>
      <c r="AT581" s="490"/>
      <c r="AU581" s="490"/>
      <c r="AV581" s="490"/>
      <c r="AW581" s="490"/>
      <c r="AX581" s="490"/>
      <c r="AY581" s="490"/>
      <c r="AZ581" s="491"/>
      <c r="BA581" s="491"/>
      <c r="BB581" s="491"/>
    </row>
    <row r="582" spans="1:54" hidden="1" outlineLevel="2" x14ac:dyDescent="0.2">
      <c r="A582" s="243"/>
      <c r="B582" s="493"/>
      <c r="C582" s="493"/>
      <c r="D582" s="493"/>
      <c r="E582" s="493"/>
      <c r="F582" s="493"/>
      <c r="G582" s="493"/>
      <c r="H582" s="493"/>
      <c r="I582" s="493"/>
      <c r="J582" s="493"/>
      <c r="K582" s="493"/>
      <c r="L582" s="490"/>
      <c r="M582" s="493"/>
      <c r="N582" s="493"/>
      <c r="O582" s="682"/>
      <c r="P582" s="682"/>
      <c r="Q582" s="681"/>
      <c r="R582" s="681"/>
      <c r="S582" s="681"/>
      <c r="T582" s="681"/>
      <c r="U582" s="681"/>
      <c r="V582" s="681"/>
      <c r="W582" s="493"/>
      <c r="X582" s="561">
        <f t="shared" si="400"/>
        <v>0</v>
      </c>
      <c r="Y582" s="561">
        <f>Y581+1</f>
        <v>2026</v>
      </c>
      <c r="Z582" s="560">
        <f>IF(K578&lt;&gt;0,K578-K580,0)</f>
        <v>0</v>
      </c>
      <c r="AA582" s="560">
        <f>IF(K586&lt;&gt;0,K586-K588,0)</f>
        <v>0</v>
      </c>
      <c r="AB582" s="675"/>
      <c r="AC582" s="490"/>
      <c r="AD582" s="490"/>
      <c r="AE582" s="490"/>
      <c r="AF582" s="490"/>
      <c r="AG582" s="490"/>
      <c r="AH582" s="490"/>
      <c r="AI582" s="490"/>
      <c r="AJ582" s="490"/>
      <c r="AK582" s="490"/>
      <c r="AL582" s="490"/>
      <c r="AM582" s="490"/>
      <c r="AN582" s="490"/>
      <c r="AO582" s="490"/>
      <c r="AP582" s="490"/>
      <c r="AQ582" s="490"/>
      <c r="AR582" s="490"/>
      <c r="AS582" s="490"/>
      <c r="AT582" s="490"/>
      <c r="AU582" s="490"/>
      <c r="AV582" s="490"/>
      <c r="AW582" s="490"/>
      <c r="AX582" s="490"/>
      <c r="AY582" s="490"/>
      <c r="AZ582" s="491"/>
      <c r="BA582" s="491"/>
      <c r="BB582" s="491"/>
    </row>
    <row r="583" spans="1:54" hidden="1" outlineLevel="2" x14ac:dyDescent="0.2">
      <c r="A583" s="243"/>
      <c r="B583" s="243"/>
      <c r="C583" s="243"/>
      <c r="D583" s="677"/>
      <c r="E583" s="677"/>
      <c r="F583" s="495">
        <v>2</v>
      </c>
      <c r="G583" s="495">
        <v>3</v>
      </c>
      <c r="H583" s="495">
        <v>4</v>
      </c>
      <c r="I583" s="495">
        <v>5</v>
      </c>
      <c r="J583" s="495">
        <v>6</v>
      </c>
      <c r="K583" s="495">
        <v>7</v>
      </c>
      <c r="L583" s="490"/>
      <c r="M583" s="243"/>
      <c r="N583" s="678"/>
      <c r="O583" s="678"/>
      <c r="P583" s="678"/>
      <c r="Q583" s="673"/>
      <c r="R583" s="673"/>
      <c r="S583" s="673"/>
      <c r="T583" s="673"/>
      <c r="U583" s="673"/>
      <c r="V583" s="673"/>
      <c r="W583" s="490"/>
      <c r="X583" s="676"/>
      <c r="Y583" s="676"/>
      <c r="Z583" s="676"/>
      <c r="AA583" s="676"/>
      <c r="AB583" s="675"/>
      <c r="AC583" s="490"/>
      <c r="AD583" s="490"/>
      <c r="AE583" s="490"/>
      <c r="AF583" s="490"/>
      <c r="AG583" s="490"/>
      <c r="AH583" s="490"/>
      <c r="AI583" s="490"/>
      <c r="AJ583" s="490"/>
      <c r="AK583" s="490"/>
      <c r="AL583" s="490"/>
      <c r="AM583" s="490"/>
      <c r="AN583" s="490"/>
      <c r="AO583" s="490"/>
      <c r="AP583" s="490"/>
      <c r="AQ583" s="490"/>
      <c r="AR583" s="490"/>
      <c r="AS583" s="490"/>
      <c r="AT583" s="490"/>
      <c r="AU583" s="490"/>
      <c r="AV583" s="490"/>
      <c r="AW583" s="490"/>
      <c r="AX583" s="490"/>
      <c r="AY583" s="490"/>
      <c r="AZ583" s="491"/>
      <c r="BA583" s="491"/>
      <c r="BB583" s="491"/>
    </row>
    <row r="584" spans="1:54" ht="15.75" hidden="1" outlineLevel="2" x14ac:dyDescent="0.2">
      <c r="A584" s="243"/>
      <c r="B584" s="243"/>
      <c r="C584" s="243"/>
      <c r="D584" s="663" t="s">
        <v>1</v>
      </c>
      <c r="E584" s="663"/>
      <c r="F584" s="751">
        <f>FirstYear</f>
        <v>2021</v>
      </c>
      <c r="G584" s="751">
        <f>F584+1</f>
        <v>2022</v>
      </c>
      <c r="H584" s="751">
        <f>G584+1</f>
        <v>2023</v>
      </c>
      <c r="I584" s="751">
        <f>H584+1</f>
        <v>2024</v>
      </c>
      <c r="J584" s="751">
        <f>I584+1</f>
        <v>2025</v>
      </c>
      <c r="K584" s="751">
        <f>J584+1</f>
        <v>2026</v>
      </c>
      <c r="L584" s="491"/>
      <c r="M584" s="243"/>
      <c r="N584" s="685"/>
      <c r="O584" s="685"/>
      <c r="P584" s="685"/>
      <c r="Q584" s="673"/>
      <c r="R584" s="673"/>
      <c r="S584" s="673"/>
      <c r="T584" s="673"/>
      <c r="U584" s="673"/>
      <c r="V584" s="673"/>
      <c r="W584" s="491"/>
      <c r="X584" s="676"/>
      <c r="Y584" s="676"/>
      <c r="Z584" s="676"/>
      <c r="AA584" s="676"/>
      <c r="AB584" s="675"/>
      <c r="AC584" s="490"/>
      <c r="AD584" s="490"/>
      <c r="AE584" s="490"/>
      <c r="AF584" s="490"/>
      <c r="AG584" s="490"/>
      <c r="AH584" s="490"/>
      <c r="AI584" s="490"/>
      <c r="AJ584" s="490"/>
      <c r="AK584" s="490"/>
      <c r="AL584" s="490"/>
      <c r="AM584" s="490"/>
      <c r="AN584" s="490"/>
      <c r="AO584" s="490"/>
      <c r="AP584" s="490"/>
      <c r="AQ584" s="490"/>
      <c r="AR584" s="490"/>
      <c r="AS584" s="490"/>
      <c r="AT584" s="490"/>
      <c r="AU584" s="490"/>
      <c r="AV584" s="490"/>
      <c r="AW584" s="490"/>
      <c r="AX584" s="490"/>
      <c r="AY584" s="490"/>
      <c r="AZ584" s="491"/>
      <c r="BA584" s="491"/>
      <c r="BB584" s="491"/>
    </row>
    <row r="585" spans="1:54" hidden="1" outlineLevel="2" x14ac:dyDescent="0.2">
      <c r="A585" s="243"/>
      <c r="B585" s="243"/>
      <c r="C585" s="243"/>
      <c r="D585" s="243"/>
      <c r="E585" s="433" t="s">
        <v>951</v>
      </c>
      <c r="F585" s="283">
        <f t="shared" ref="F585:K585" si="403">F586*INDEX(MBSDecCalc,$C574,3)</f>
        <v>0</v>
      </c>
      <c r="G585" s="283">
        <f t="shared" si="403"/>
        <v>0</v>
      </c>
      <c r="H585" s="283">
        <f t="shared" si="403"/>
        <v>0</v>
      </c>
      <c r="I585" s="283">
        <f t="shared" si="403"/>
        <v>0</v>
      </c>
      <c r="J585" s="283">
        <f t="shared" si="403"/>
        <v>0</v>
      </c>
      <c r="K585" s="283">
        <f t="shared" si="403"/>
        <v>0</v>
      </c>
      <c r="L585" s="490"/>
      <c r="M585" s="615"/>
      <c r="N585" s="615"/>
      <c r="O585" s="678"/>
      <c r="P585" s="678"/>
      <c r="Q585" s="673"/>
      <c r="R585" s="673"/>
      <c r="S585" s="673"/>
      <c r="T585" s="673"/>
      <c r="U585" s="673"/>
      <c r="V585" s="673"/>
      <c r="W585" s="490"/>
      <c r="X585" s="676"/>
      <c r="Y585" s="676"/>
      <c r="Z585" s="676"/>
      <c r="AA585" s="676"/>
      <c r="AB585" s="675"/>
      <c r="AC585" s="490"/>
      <c r="AD585" s="490"/>
      <c r="AE585" s="490"/>
      <c r="AF585" s="490"/>
      <c r="AG585" s="490"/>
      <c r="AH585" s="490"/>
      <c r="AI585" s="490"/>
      <c r="AJ585" s="490"/>
      <c r="AK585" s="490"/>
      <c r="AL585" s="490"/>
      <c r="AM585" s="490"/>
      <c r="AN585" s="490"/>
      <c r="AO585" s="490"/>
      <c r="AP585" s="490"/>
      <c r="AQ585" s="490"/>
      <c r="AR585" s="490"/>
      <c r="AS585" s="490"/>
      <c r="AT585" s="490"/>
      <c r="AU585" s="490"/>
      <c r="AV585" s="490"/>
      <c r="AW585" s="490"/>
      <c r="AX585" s="490"/>
      <c r="AY585" s="490"/>
      <c r="AZ585" s="491"/>
      <c r="BA585" s="491"/>
      <c r="BB585" s="491"/>
    </row>
    <row r="586" spans="1:54" hidden="1" outlineLevel="2" x14ac:dyDescent="0.2">
      <c r="A586" s="243"/>
      <c r="B586" s="672"/>
      <c r="C586" s="242" t="str">
        <f>C578</f>
        <v/>
      </c>
      <c r="D586" s="243"/>
      <c r="E586" s="62" t="s">
        <v>1310</v>
      </c>
      <c r="F586" s="63">
        <f t="shared" ref="F586:K586" si="404">IF(INDEX(MBSDecRate,$C574,2)=2,IFERROR(INDEX(RPBSScriptsChanged,$C586,F583),0),IFERROR(INDEX(MBSRPBSDec,$C574,INDEX(MBSDecRate,$C574,3)*7+F583),0) * IFERROR(INDEX(MBSDecPopSplit,$C574),0)) * INDEX(MBSDecRate,$C574,1) * INDEX(MBSDecRate,$C574,4)</f>
        <v>0</v>
      </c>
      <c r="G586" s="63">
        <f t="shared" si="404"/>
        <v>0</v>
      </c>
      <c r="H586" s="63">
        <f t="shared" si="404"/>
        <v>0</v>
      </c>
      <c r="I586" s="63">
        <f t="shared" si="404"/>
        <v>0</v>
      </c>
      <c r="J586" s="63">
        <f t="shared" si="404"/>
        <v>0</v>
      </c>
      <c r="K586" s="63">
        <f t="shared" si="404"/>
        <v>0</v>
      </c>
      <c r="L586" s="490"/>
      <c r="M586" s="243"/>
      <c r="N586" s="753"/>
      <c r="O586" s="678"/>
      <c r="P586" s="678"/>
      <c r="Q586" s="673"/>
      <c r="R586" s="673"/>
      <c r="S586" s="673"/>
      <c r="T586" s="673"/>
      <c r="U586" s="673"/>
      <c r="V586" s="673"/>
      <c r="W586" s="490"/>
      <c r="X586" s="676"/>
      <c r="Y586" s="676"/>
      <c r="Z586" s="676"/>
      <c r="AA586" s="676"/>
      <c r="AB586" s="675"/>
      <c r="AC586" s="490"/>
      <c r="AD586" s="490"/>
      <c r="AE586" s="490"/>
      <c r="AF586" s="490"/>
      <c r="AG586" s="490"/>
      <c r="AH586" s="490"/>
      <c r="AI586" s="490"/>
      <c r="AJ586" s="490"/>
      <c r="AK586" s="490"/>
      <c r="AL586" s="490"/>
      <c r="AM586" s="490"/>
      <c r="AN586" s="490"/>
      <c r="AO586" s="490"/>
      <c r="AP586" s="490"/>
      <c r="AQ586" s="490"/>
      <c r="AR586" s="490"/>
      <c r="AS586" s="490"/>
      <c r="AT586" s="490"/>
      <c r="AU586" s="490"/>
      <c r="AV586" s="490"/>
      <c r="AW586" s="490"/>
      <c r="AX586" s="490"/>
      <c r="AY586" s="490"/>
      <c r="AZ586" s="491"/>
      <c r="BA586" s="491"/>
      <c r="BB586" s="491"/>
    </row>
    <row r="587" spans="1:54" hidden="1" outlineLevel="2" x14ac:dyDescent="0.2">
      <c r="A587" s="243"/>
      <c r="B587" s="242">
        <v>5</v>
      </c>
      <c r="C587" s="242">
        <v>6</v>
      </c>
      <c r="D587" s="243"/>
      <c r="E587" s="496" t="s">
        <v>1307</v>
      </c>
      <c r="F587" s="63" t="str">
        <f t="shared" ref="F587:K587" si="405">IFERROR(F586*INDEX(MBSDecItems,$C574,$B587)*INDEX(MBSDecItems,$C574,$C587),"")</f>
        <v/>
      </c>
      <c r="G587" s="63" t="str">
        <f t="shared" si="405"/>
        <v/>
      </c>
      <c r="H587" s="63" t="str">
        <f t="shared" si="405"/>
        <v/>
      </c>
      <c r="I587" s="63" t="str">
        <f t="shared" si="405"/>
        <v/>
      </c>
      <c r="J587" s="63" t="str">
        <f t="shared" si="405"/>
        <v/>
      </c>
      <c r="K587" s="63" t="str">
        <f t="shared" si="405"/>
        <v/>
      </c>
      <c r="L587" s="490"/>
      <c r="M587" s="683"/>
      <c r="N587" s="753"/>
      <c r="O587" s="678"/>
      <c r="P587" s="678"/>
      <c r="Q587" s="673"/>
      <c r="R587" s="673"/>
      <c r="S587" s="673"/>
      <c r="T587" s="673"/>
      <c r="U587" s="673"/>
      <c r="V587" s="673"/>
      <c r="W587" s="490"/>
      <c r="X587" s="676"/>
      <c r="Y587" s="676"/>
      <c r="Z587" s="676"/>
      <c r="AA587" s="676"/>
      <c r="AB587" s="676"/>
      <c r="AC587" s="490"/>
      <c r="AD587" s="490"/>
      <c r="AE587" s="490"/>
      <c r="AF587" s="490"/>
      <c r="AG587" s="490"/>
      <c r="AH587" s="490"/>
      <c r="AI587" s="490"/>
      <c r="AJ587" s="490"/>
      <c r="AK587" s="490"/>
      <c r="AL587" s="490"/>
      <c r="AM587" s="490"/>
      <c r="AN587" s="490"/>
      <c r="AO587" s="490"/>
      <c r="AP587" s="490"/>
      <c r="AQ587" s="490"/>
      <c r="AR587" s="490"/>
      <c r="AS587" s="490"/>
      <c r="AT587" s="490"/>
      <c r="AU587" s="490"/>
      <c r="AV587" s="490"/>
      <c r="AW587" s="490"/>
      <c r="AX587" s="490"/>
      <c r="AY587" s="490"/>
      <c r="AZ587" s="491"/>
      <c r="BA587" s="491"/>
      <c r="BB587" s="491"/>
    </row>
    <row r="588" spans="1:54" hidden="1" outlineLevel="2" x14ac:dyDescent="0.2">
      <c r="A588" s="243"/>
      <c r="B588" s="242">
        <v>4</v>
      </c>
      <c r="C588" s="242">
        <v>6</v>
      </c>
      <c r="D588" s="243"/>
      <c r="E588" s="496" t="s">
        <v>1306</v>
      </c>
      <c r="F588" s="63" t="str">
        <f t="shared" ref="F588:K588" si="406">IFERROR(F586*INDEX(MBSDecItems,$C574,$B588)*INDEX(MBSDecItems,$C574,$C588),"")</f>
        <v/>
      </c>
      <c r="G588" s="63" t="str">
        <f t="shared" si="406"/>
        <v/>
      </c>
      <c r="H588" s="63" t="str">
        <f t="shared" si="406"/>
        <v/>
      </c>
      <c r="I588" s="63" t="str">
        <f t="shared" si="406"/>
        <v/>
      </c>
      <c r="J588" s="63" t="str">
        <f t="shared" si="406"/>
        <v/>
      </c>
      <c r="K588" s="63" t="str">
        <f t="shared" si="406"/>
        <v/>
      </c>
      <c r="L588" s="490"/>
      <c r="M588" s="684"/>
      <c r="N588" s="682"/>
      <c r="O588" s="678"/>
      <c r="P588" s="678"/>
      <c r="Q588" s="673"/>
      <c r="R588" s="673"/>
      <c r="S588" s="673"/>
      <c r="T588" s="673"/>
      <c r="U588" s="673"/>
      <c r="V588" s="673"/>
      <c r="W588" s="490"/>
      <c r="X588" s="676"/>
      <c r="Y588" s="676"/>
      <c r="Z588" s="676"/>
      <c r="AA588" s="676"/>
      <c r="AB588" s="676"/>
      <c r="AC588" s="490"/>
      <c r="AD588" s="490"/>
      <c r="AE588" s="490"/>
      <c r="AF588" s="490"/>
      <c r="AG588" s="490"/>
      <c r="AH588" s="490"/>
      <c r="AI588" s="490"/>
      <c r="AJ588" s="490"/>
      <c r="AK588" s="490"/>
      <c r="AL588" s="490"/>
      <c r="AM588" s="490"/>
      <c r="AN588" s="490"/>
      <c r="AO588" s="490"/>
      <c r="AP588" s="490"/>
      <c r="AQ588" s="490"/>
      <c r="AR588" s="490"/>
      <c r="AS588" s="490"/>
      <c r="AT588" s="490"/>
      <c r="AU588" s="490"/>
      <c r="AV588" s="490"/>
      <c r="AW588" s="490"/>
      <c r="AX588" s="490"/>
      <c r="AY588" s="490"/>
      <c r="AZ588" s="491"/>
      <c r="BA588" s="491"/>
      <c r="BB588" s="491"/>
    </row>
    <row r="589" spans="1:54" hidden="1" outlineLevel="2" x14ac:dyDescent="0.2">
      <c r="A589" s="243"/>
      <c r="B589" s="242"/>
      <c r="C589" s="242">
        <v>7</v>
      </c>
      <c r="D589" s="243"/>
      <c r="E589" s="497" t="s">
        <v>1308</v>
      </c>
      <c r="F589" s="63" t="str">
        <f t="shared" ref="F589:K589" si="407">IFERROR(F586*INDEX(MBSDecItems,$C574,$C589),"")</f>
        <v/>
      </c>
      <c r="G589" s="63" t="str">
        <f t="shared" si="407"/>
        <v/>
      </c>
      <c r="H589" s="63" t="str">
        <f t="shared" si="407"/>
        <v/>
      </c>
      <c r="I589" s="63" t="str">
        <f t="shared" si="407"/>
        <v/>
      </c>
      <c r="J589" s="63" t="str">
        <f t="shared" si="407"/>
        <v/>
      </c>
      <c r="K589" s="63" t="str">
        <f t="shared" si="407"/>
        <v/>
      </c>
      <c r="L589" s="490"/>
      <c r="M589" s="684"/>
      <c r="N589" s="682"/>
      <c r="O589" s="678"/>
      <c r="P589" s="678"/>
      <c r="Q589" s="673"/>
      <c r="R589" s="673"/>
      <c r="S589" s="673"/>
      <c r="T589" s="673"/>
      <c r="U589" s="673"/>
      <c r="V589" s="673"/>
      <c r="W589" s="490"/>
      <c r="X589" s="676"/>
      <c r="Y589" s="676"/>
      <c r="Z589" s="676"/>
      <c r="AA589" s="676"/>
      <c r="AB589" s="676"/>
      <c r="AC589" s="490"/>
      <c r="AD589" s="490"/>
      <c r="AE589" s="490"/>
      <c r="AF589" s="490"/>
      <c r="AG589" s="490"/>
      <c r="AH589" s="490"/>
      <c r="AI589" s="490"/>
      <c r="AJ589" s="490"/>
      <c r="AK589" s="490"/>
      <c r="AL589" s="490"/>
      <c r="AM589" s="490"/>
      <c r="AN589" s="490"/>
      <c r="AO589" s="490"/>
      <c r="AP589" s="490"/>
      <c r="AQ589" s="490"/>
      <c r="AR589" s="490"/>
      <c r="AS589" s="490"/>
      <c r="AT589" s="490"/>
      <c r="AU589" s="490"/>
      <c r="AV589" s="490"/>
      <c r="AW589" s="490"/>
      <c r="AX589" s="490"/>
      <c r="AY589" s="490"/>
      <c r="AZ589" s="491"/>
      <c r="BA589" s="491"/>
      <c r="BB589" s="491"/>
    </row>
    <row r="590" spans="1:54" hidden="1" outlineLevel="1" x14ac:dyDescent="0.2">
      <c r="A590" s="243"/>
      <c r="B590" s="243"/>
      <c r="C590" s="243"/>
      <c r="D590" s="677"/>
      <c r="E590" s="677"/>
      <c r="F590" s="243"/>
      <c r="G590" s="243"/>
      <c r="H590" s="243"/>
      <c r="I590" s="243"/>
      <c r="J590" s="243"/>
      <c r="K590" s="243"/>
      <c r="L590" s="243"/>
      <c r="M590" s="243"/>
      <c r="N590" s="678"/>
      <c r="O590" s="678"/>
      <c r="P590" s="678"/>
      <c r="Q590" s="673"/>
      <c r="R590" s="673"/>
      <c r="S590" s="673"/>
      <c r="T590" s="673"/>
      <c r="U590" s="673"/>
      <c r="V590" s="673"/>
      <c r="W590" s="490"/>
      <c r="X590" s="676"/>
      <c r="Y590" s="676"/>
      <c r="Z590" s="676"/>
      <c r="AA590" s="676"/>
      <c r="AB590" s="676"/>
      <c r="AC590" s="490"/>
      <c r="AD590" s="490"/>
      <c r="AE590" s="490"/>
      <c r="AF590" s="490"/>
      <c r="AG590" s="490"/>
      <c r="AH590" s="490"/>
      <c r="AI590" s="490"/>
      <c r="AJ590" s="490"/>
      <c r="AK590" s="490"/>
      <c r="AL590" s="490"/>
      <c r="AM590" s="490"/>
      <c r="AN590" s="490"/>
      <c r="AO590" s="490"/>
      <c r="AP590" s="490"/>
      <c r="AQ590" s="490"/>
      <c r="AR590" s="490"/>
      <c r="AS590" s="490"/>
      <c r="AT590" s="490"/>
      <c r="AU590" s="490"/>
      <c r="AV590" s="490"/>
      <c r="AW590" s="490"/>
      <c r="AX590" s="490"/>
      <c r="AY590" s="490"/>
      <c r="AZ590" s="491"/>
      <c r="BA590" s="491"/>
      <c r="BB590" s="491"/>
    </row>
    <row r="591" spans="1:54" ht="15.75" hidden="1" outlineLevel="1" x14ac:dyDescent="0.2">
      <c r="A591" s="243"/>
      <c r="B591" s="243"/>
      <c r="C591" s="242">
        <v>6</v>
      </c>
      <c r="D591" s="79" t="str">
        <f>INDEX(MBSDecNames,C591)</f>
        <v>** NOT USED **</v>
      </c>
      <c r="E591" s="79"/>
      <c r="F591" s="115"/>
      <c r="G591" s="115"/>
      <c r="H591" s="115"/>
      <c r="I591" s="115"/>
      <c r="J591" s="821" t="str">
        <f>IF(D591&lt;&gt;MsgNotUsed,"Co-payment group " &amp; K463,"")</f>
        <v/>
      </c>
      <c r="K591" s="821"/>
      <c r="L591" s="115"/>
      <c r="M591" s="115"/>
      <c r="N591" s="115"/>
      <c r="O591" s="115"/>
      <c r="P591" s="115"/>
      <c r="Q591" s="115"/>
      <c r="R591" s="115"/>
      <c r="S591" s="115"/>
      <c r="T591" s="115"/>
      <c r="U591" s="115"/>
      <c r="V591" s="115"/>
      <c r="W591" s="491"/>
      <c r="X591" s="490"/>
      <c r="Y591" s="490"/>
      <c r="Z591" s="490"/>
      <c r="AA591" s="490"/>
      <c r="AB591" s="676"/>
      <c r="AC591" s="490"/>
      <c r="AD591" s="490"/>
      <c r="AE591" s="490"/>
      <c r="AF591" s="490"/>
      <c r="AG591" s="490"/>
      <c r="AH591" s="490"/>
      <c r="AI591" s="490"/>
      <c r="AJ591" s="490"/>
      <c r="AK591" s="490"/>
      <c r="AL591" s="490"/>
      <c r="AM591" s="490"/>
      <c r="AN591" s="490"/>
      <c r="AO591" s="490"/>
      <c r="AP591" s="490"/>
      <c r="AQ591" s="490"/>
      <c r="AR591" s="490"/>
      <c r="AS591" s="490"/>
      <c r="AT591" s="490"/>
      <c r="AU591" s="490"/>
      <c r="AV591" s="490"/>
      <c r="AW591" s="490"/>
      <c r="AX591" s="490"/>
      <c r="AY591" s="490"/>
      <c r="AZ591" s="491"/>
      <c r="BA591" s="491"/>
      <c r="BB591" s="491"/>
    </row>
    <row r="592" spans="1:54" hidden="1" outlineLevel="2" x14ac:dyDescent="0.2">
      <c r="A592" s="243"/>
      <c r="B592" s="243"/>
      <c r="C592" s="243"/>
      <c r="D592" s="243"/>
      <c r="E592" s="243"/>
      <c r="F592" s="495">
        <v>2</v>
      </c>
      <c r="G592" s="495">
        <v>3</v>
      </c>
      <c r="H592" s="495">
        <v>4</v>
      </c>
      <c r="I592" s="495">
        <v>5</v>
      </c>
      <c r="J592" s="495">
        <v>6</v>
      </c>
      <c r="K592" s="495">
        <v>7</v>
      </c>
      <c r="L592" s="495"/>
      <c r="M592" s="243"/>
      <c r="N592" s="243"/>
      <c r="O592" s="243"/>
      <c r="P592" s="243"/>
      <c r="Q592" s="243"/>
      <c r="R592" s="243"/>
      <c r="S592" s="243"/>
      <c r="T592" s="243"/>
      <c r="U592" s="243"/>
      <c r="V592" s="243"/>
      <c r="W592" s="490"/>
      <c r="X592" s="490"/>
      <c r="Y592" s="490"/>
      <c r="Z592" s="490"/>
      <c r="AA592" s="490"/>
      <c r="AB592" s="676"/>
      <c r="AC592" s="490"/>
      <c r="AD592" s="490"/>
      <c r="AE592" s="490"/>
      <c r="AF592" s="490"/>
      <c r="AG592" s="490"/>
      <c r="AH592" s="490"/>
      <c r="AI592" s="490"/>
      <c r="AJ592" s="490"/>
      <c r="AK592" s="490"/>
      <c r="AL592" s="490"/>
      <c r="AM592" s="490"/>
      <c r="AN592" s="490"/>
      <c r="AO592" s="490"/>
      <c r="AP592" s="490"/>
      <c r="AQ592" s="490"/>
      <c r="AR592" s="490"/>
      <c r="AS592" s="490"/>
      <c r="AT592" s="490"/>
      <c r="AU592" s="490"/>
      <c r="AV592" s="490"/>
      <c r="AW592" s="490"/>
      <c r="AX592" s="490"/>
      <c r="AY592" s="490"/>
      <c r="AZ592" s="491"/>
      <c r="BA592" s="491"/>
      <c r="BB592" s="491"/>
    </row>
    <row r="593" spans="1:54" ht="15" hidden="1" outlineLevel="2" x14ac:dyDescent="0.2">
      <c r="A593" s="243"/>
      <c r="B593" s="243"/>
      <c r="C593" s="243"/>
      <c r="D593" s="663" t="s">
        <v>0</v>
      </c>
      <c r="E593" s="663"/>
      <c r="F593" s="630">
        <f>FirstYear</f>
        <v>2021</v>
      </c>
      <c r="G593" s="630">
        <f>F593+1</f>
        <v>2022</v>
      </c>
      <c r="H593" s="630">
        <f>G593+1</f>
        <v>2023</v>
      </c>
      <c r="I593" s="630">
        <f>H593+1</f>
        <v>2024</v>
      </c>
      <c r="J593" s="630">
        <f>I593+1</f>
        <v>2025</v>
      </c>
      <c r="K593" s="630">
        <f>J593+1</f>
        <v>2026</v>
      </c>
      <c r="L593" s="491"/>
      <c r="M593" s="113"/>
      <c r="N593" s="679"/>
      <c r="O593" s="679"/>
      <c r="P593" s="679"/>
      <c r="Q593" s="674"/>
      <c r="R593" s="674"/>
      <c r="S593" s="674"/>
      <c r="T593" s="674"/>
      <c r="U593" s="674"/>
      <c r="V593" s="674"/>
      <c r="W593" s="491"/>
      <c r="X593" s="674"/>
      <c r="Y593" s="674"/>
      <c r="Z593" s="674"/>
      <c r="AA593" s="674"/>
      <c r="AB593" s="676"/>
      <c r="AC593" s="490"/>
      <c r="AD593" s="490"/>
      <c r="AE593" s="490"/>
      <c r="AF593" s="490"/>
      <c r="AG593" s="490"/>
      <c r="AH593" s="490"/>
      <c r="AI593" s="490"/>
      <c r="AJ593" s="490"/>
      <c r="AK593" s="490"/>
      <c r="AL593" s="490"/>
      <c r="AM593" s="490"/>
      <c r="AN593" s="490"/>
      <c r="AO593" s="490"/>
      <c r="AP593" s="490"/>
      <c r="AQ593" s="490"/>
      <c r="AR593" s="490"/>
      <c r="AS593" s="490"/>
      <c r="AT593" s="490"/>
      <c r="AU593" s="490"/>
      <c r="AV593" s="490"/>
      <c r="AW593" s="490"/>
      <c r="AX593" s="490"/>
      <c r="AY593" s="490"/>
      <c r="AZ593" s="491"/>
      <c r="BA593" s="491"/>
      <c r="BB593" s="491"/>
    </row>
    <row r="594" spans="1:54" hidden="1" outlineLevel="2" collapsed="1" x14ac:dyDescent="0.2">
      <c r="A594" s="243"/>
      <c r="B594" s="243"/>
      <c r="C594" s="243"/>
      <c r="D594" s="243"/>
      <c r="E594" s="433" t="s">
        <v>951</v>
      </c>
      <c r="F594" s="283">
        <f t="shared" ref="F594:K594" si="408">F595*INDEX(MBSDecCalc,$C591,3)</f>
        <v>0</v>
      </c>
      <c r="G594" s="283">
        <f t="shared" si="408"/>
        <v>0</v>
      </c>
      <c r="H594" s="283">
        <f t="shared" si="408"/>
        <v>0</v>
      </c>
      <c r="I594" s="283">
        <f t="shared" si="408"/>
        <v>0</v>
      </c>
      <c r="J594" s="283">
        <f t="shared" si="408"/>
        <v>0</v>
      </c>
      <c r="K594" s="283">
        <f t="shared" si="408"/>
        <v>0</v>
      </c>
      <c r="L594" s="490"/>
      <c r="M594" s="680"/>
      <c r="N594" s="664"/>
      <c r="O594" s="664"/>
      <c r="P594" s="664"/>
      <c r="Q594" s="681"/>
      <c r="R594" s="681"/>
      <c r="S594" s="681"/>
      <c r="T594" s="681"/>
      <c r="U594" s="681"/>
      <c r="V594" s="681"/>
      <c r="W594" s="493"/>
      <c r="X594" s="561">
        <f>INDEX(MBSDecItems,C591,1)</f>
        <v>0</v>
      </c>
      <c r="Y594" s="561">
        <f>FirstYear</f>
        <v>2021</v>
      </c>
      <c r="Z594" s="560">
        <f>IF(F595&lt;&gt;0,F595-F597,0)</f>
        <v>0</v>
      </c>
      <c r="AA594" s="560">
        <f>IF(F603&lt;&gt;0,F603-F605,0)</f>
        <v>0</v>
      </c>
      <c r="AB594" s="676"/>
      <c r="AC594" s="490"/>
      <c r="AD594" s="490"/>
      <c r="AE594" s="490"/>
      <c r="AF594" s="490"/>
      <c r="AG594" s="490"/>
      <c r="AH594" s="490"/>
      <c r="AI594" s="490"/>
      <c r="AJ594" s="490"/>
      <c r="AK594" s="490"/>
      <c r="AL594" s="490"/>
      <c r="AM594" s="490"/>
      <c r="AN594" s="490"/>
      <c r="AO594" s="490"/>
      <c r="AP594" s="490"/>
      <c r="AQ594" s="490"/>
      <c r="AR594" s="490"/>
      <c r="AS594" s="490"/>
      <c r="AT594" s="490"/>
      <c r="AU594" s="490"/>
      <c r="AV594" s="490"/>
      <c r="AW594" s="490"/>
      <c r="AX594" s="490"/>
      <c r="AY594" s="490"/>
      <c r="AZ594" s="491"/>
      <c r="BA594" s="491"/>
      <c r="BB594" s="491"/>
    </row>
    <row r="595" spans="1:54" hidden="1" outlineLevel="2" x14ac:dyDescent="0.2">
      <c r="A595" s="243"/>
      <c r="B595" s="672"/>
      <c r="C595" s="242" t="str">
        <f>INDEX(MBSDecCalc,C591,2)</f>
        <v/>
      </c>
      <c r="D595" s="243"/>
      <c r="E595" s="62" t="s">
        <v>1310</v>
      </c>
      <c r="F595" s="63">
        <f t="shared" ref="F595:K595" si="409">IF(INDEX(MBSDecRate,$C591,2)=2,IFERROR(INDEX(PBSScriptsChanged,$C595,F592),0),IFERROR(INDEX(MBSPBSDec,$C591,INDEX(MBSDecRate,$C591,3)*7+F592),0) * IFERROR(INDEX(MBSDecPopSplit,$C591),0)) * INDEX(MBSDecRate,$C591,1) * INDEX(MBSDecRate,$C591,4)</f>
        <v>0</v>
      </c>
      <c r="G595" s="63">
        <f t="shared" si="409"/>
        <v>0</v>
      </c>
      <c r="H595" s="63">
        <f t="shared" si="409"/>
        <v>0</v>
      </c>
      <c r="I595" s="63">
        <f t="shared" si="409"/>
        <v>0</v>
      </c>
      <c r="J595" s="63">
        <f t="shared" si="409"/>
        <v>0</v>
      </c>
      <c r="K595" s="63">
        <f t="shared" si="409"/>
        <v>0</v>
      </c>
      <c r="L595" s="490"/>
      <c r="M595" s="493"/>
      <c r="N595" s="493"/>
      <c r="O595" s="664"/>
      <c r="P595" s="664"/>
      <c r="Q595" s="681"/>
      <c r="R595" s="681"/>
      <c r="S595" s="681"/>
      <c r="T595" s="681"/>
      <c r="U595" s="681"/>
      <c r="V595" s="681"/>
      <c r="W595" s="493"/>
      <c r="X595" s="561">
        <f>X594</f>
        <v>0</v>
      </c>
      <c r="Y595" s="561">
        <f>Y594+1</f>
        <v>2022</v>
      </c>
      <c r="Z595" s="560">
        <f>IF(G595&lt;&gt;0,G595-G597,0)</f>
        <v>0</v>
      </c>
      <c r="AA595" s="560">
        <f>IF(G603&lt;&gt;0,G603-G605,0)</f>
        <v>0</v>
      </c>
      <c r="AB595" s="676"/>
      <c r="AC595" s="490"/>
      <c r="AD595" s="490"/>
      <c r="AE595" s="490"/>
      <c r="AF595" s="490"/>
      <c r="AG595" s="490"/>
      <c r="AH595" s="490"/>
      <c r="AI595" s="490"/>
      <c r="AJ595" s="490"/>
      <c r="AK595" s="490"/>
      <c r="AL595" s="490"/>
      <c r="AM595" s="490"/>
      <c r="AN595" s="490"/>
      <c r="AO595" s="490"/>
      <c r="AP595" s="490"/>
      <c r="AQ595" s="490"/>
      <c r="AR595" s="490"/>
      <c r="AS595" s="490"/>
      <c r="AT595" s="490"/>
      <c r="AU595" s="490"/>
      <c r="AV595" s="490"/>
      <c r="AW595" s="490"/>
      <c r="AX595" s="490"/>
      <c r="AY595" s="490"/>
      <c r="AZ595" s="491"/>
      <c r="BA595" s="491"/>
      <c r="BB595" s="491"/>
    </row>
    <row r="596" spans="1:54" hidden="1" outlineLevel="2" x14ac:dyDescent="0.2">
      <c r="A596" s="243"/>
      <c r="B596" s="242">
        <v>5</v>
      </c>
      <c r="C596" s="242">
        <v>6</v>
      </c>
      <c r="D596" s="243"/>
      <c r="E596" s="496" t="s">
        <v>1307</v>
      </c>
      <c r="F596" s="63" t="str">
        <f t="shared" ref="F596:K596" si="410">IFERROR(F595*INDEX(MBSDecItems,$C591,$B596)*INDEX(MBSDecItems,$C591,$C596),"")</f>
        <v/>
      </c>
      <c r="G596" s="63" t="str">
        <f t="shared" si="410"/>
        <v/>
      </c>
      <c r="H596" s="63" t="str">
        <f t="shared" si="410"/>
        <v/>
      </c>
      <c r="I596" s="63" t="str">
        <f t="shared" si="410"/>
        <v/>
      </c>
      <c r="J596" s="63" t="str">
        <f t="shared" si="410"/>
        <v/>
      </c>
      <c r="K596" s="63" t="str">
        <f t="shared" si="410"/>
        <v/>
      </c>
      <c r="L596" s="490"/>
      <c r="M596" s="493"/>
      <c r="N596" s="493"/>
      <c r="O596" s="682"/>
      <c r="P596" s="754"/>
      <c r="Q596" s="681"/>
      <c r="R596" s="681"/>
      <c r="S596" s="681"/>
      <c r="T596" s="681"/>
      <c r="U596" s="681"/>
      <c r="V596" s="681"/>
      <c r="W596" s="493"/>
      <c r="X596" s="561">
        <f t="shared" ref="X596:X599" si="411">X595</f>
        <v>0</v>
      </c>
      <c r="Y596" s="561">
        <f>Y595+1</f>
        <v>2023</v>
      </c>
      <c r="Z596" s="560">
        <f>IF(H595&lt;&gt;0,H595-H597,0)</f>
        <v>0</v>
      </c>
      <c r="AA596" s="560">
        <f>IF(H603&lt;&gt;0,H603-H605,0)</f>
        <v>0</v>
      </c>
      <c r="AB596" s="676"/>
      <c r="AC596" s="490"/>
      <c r="AD596" s="490"/>
      <c r="AE596" s="490"/>
      <c r="AF596" s="490"/>
      <c r="AG596" s="490"/>
      <c r="AH596" s="490"/>
      <c r="AI596" s="490"/>
      <c r="AJ596" s="490"/>
      <c r="AK596" s="490"/>
      <c r="AL596" s="490"/>
      <c r="AM596" s="490"/>
      <c r="AN596" s="490"/>
      <c r="AO596" s="490"/>
      <c r="AP596" s="490"/>
      <c r="AQ596" s="490"/>
      <c r="AR596" s="490"/>
      <c r="AS596" s="490"/>
      <c r="AT596" s="490"/>
      <c r="AU596" s="490"/>
      <c r="AV596" s="490"/>
      <c r="AW596" s="490"/>
      <c r="AX596" s="490"/>
      <c r="AY596" s="490"/>
      <c r="AZ596" s="491"/>
      <c r="BA596" s="491"/>
      <c r="BB596" s="491"/>
    </row>
    <row r="597" spans="1:54" hidden="1" outlineLevel="2" x14ac:dyDescent="0.2">
      <c r="A597" s="416"/>
      <c r="B597" s="242">
        <v>4</v>
      </c>
      <c r="C597" s="242">
        <v>6</v>
      </c>
      <c r="D597" s="243"/>
      <c r="E597" s="496" t="s">
        <v>1306</v>
      </c>
      <c r="F597" s="63" t="str">
        <f t="shared" ref="F597:K597" si="412">IFERROR(F595*INDEX(MBSDecItems,$C591,$B597)*INDEX(MBSDecItems,$C591,$C597),"")</f>
        <v/>
      </c>
      <c r="G597" s="63" t="str">
        <f t="shared" si="412"/>
        <v/>
      </c>
      <c r="H597" s="63" t="str">
        <f t="shared" si="412"/>
        <v/>
      </c>
      <c r="I597" s="63" t="str">
        <f t="shared" si="412"/>
        <v/>
      </c>
      <c r="J597" s="63" t="str">
        <f t="shared" si="412"/>
        <v/>
      </c>
      <c r="K597" s="63" t="str">
        <f t="shared" si="412"/>
        <v/>
      </c>
      <c r="L597" s="416"/>
      <c r="M597" s="416"/>
      <c r="N597" s="416"/>
      <c r="O597" s="416"/>
      <c r="P597" s="416"/>
      <c r="Q597" s="416"/>
      <c r="R597" s="416"/>
      <c r="S597" s="416"/>
      <c r="T597" s="416"/>
      <c r="U597" s="416"/>
      <c r="V597" s="416"/>
      <c r="W597" s="493"/>
      <c r="X597" s="561">
        <f t="shared" si="411"/>
        <v>0</v>
      </c>
      <c r="Y597" s="561">
        <f>Y596+1</f>
        <v>2024</v>
      </c>
      <c r="Z597" s="560">
        <f>IF(I595&lt;&gt;0,I595-I597,0)</f>
        <v>0</v>
      </c>
      <c r="AA597" s="560">
        <f>IF(I603&lt;&gt;0,I603-I605,0)</f>
        <v>0</v>
      </c>
      <c r="AB597" s="674"/>
      <c r="AC597" s="490"/>
      <c r="AD597" s="490"/>
      <c r="AE597" s="490"/>
      <c r="AF597" s="490"/>
      <c r="AG597" s="490"/>
      <c r="AH597" s="490"/>
      <c r="AI597" s="490"/>
      <c r="AJ597" s="490"/>
      <c r="AK597" s="490"/>
      <c r="AL597" s="490"/>
      <c r="AM597" s="490"/>
      <c r="AN597" s="490"/>
      <c r="AO597" s="490"/>
      <c r="AP597" s="490"/>
      <c r="AQ597" s="490"/>
      <c r="AR597" s="490"/>
      <c r="AS597" s="490"/>
      <c r="AT597" s="490"/>
      <c r="AU597" s="490"/>
      <c r="AV597" s="490"/>
      <c r="AW597" s="490"/>
      <c r="AX597" s="490"/>
      <c r="AY597" s="490"/>
      <c r="AZ597" s="491"/>
      <c r="BA597" s="491"/>
      <c r="BB597" s="491"/>
    </row>
    <row r="598" spans="1:54" hidden="1" outlineLevel="2" x14ac:dyDescent="0.2">
      <c r="A598" s="243"/>
      <c r="B598" s="242"/>
      <c r="C598" s="242">
        <v>7</v>
      </c>
      <c r="D598" s="243"/>
      <c r="E598" s="497" t="s">
        <v>1308</v>
      </c>
      <c r="F598" s="63" t="str">
        <f t="shared" ref="F598:K598" si="413">IFERROR(F595*INDEX(MBSDecItems,$C591,$C598),"")</f>
        <v/>
      </c>
      <c r="G598" s="63" t="str">
        <f t="shared" si="413"/>
        <v/>
      </c>
      <c r="H598" s="63" t="str">
        <f t="shared" si="413"/>
        <v/>
      </c>
      <c r="I598" s="63" t="str">
        <f t="shared" si="413"/>
        <v/>
      </c>
      <c r="J598" s="63" t="str">
        <f t="shared" si="413"/>
        <v/>
      </c>
      <c r="K598" s="63" t="str">
        <f t="shared" si="413"/>
        <v/>
      </c>
      <c r="L598" s="490"/>
      <c r="M598" s="493"/>
      <c r="N598" s="493"/>
      <c r="O598" s="682"/>
      <c r="P598" s="754"/>
      <c r="Q598" s="681"/>
      <c r="R598" s="681"/>
      <c r="S598" s="681"/>
      <c r="T598" s="681"/>
      <c r="U598" s="681"/>
      <c r="V598" s="681"/>
      <c r="W598" s="493"/>
      <c r="X598" s="561">
        <f t="shared" si="411"/>
        <v>0</v>
      </c>
      <c r="Y598" s="561">
        <f>Y597+1</f>
        <v>2025</v>
      </c>
      <c r="Z598" s="560">
        <f>IF(J595&lt;&gt;0,J595-J597,0)</f>
        <v>0</v>
      </c>
      <c r="AA598" s="560">
        <f>IF(J603&lt;&gt;0,J603-J605,0)</f>
        <v>0</v>
      </c>
      <c r="AB598" s="674"/>
      <c r="AC598" s="490"/>
      <c r="AD598" s="490"/>
      <c r="AE598" s="490"/>
      <c r="AF598" s="490"/>
      <c r="AG598" s="490"/>
      <c r="AH598" s="490"/>
      <c r="AI598" s="490"/>
      <c r="AJ598" s="490"/>
      <c r="AK598" s="490"/>
      <c r="AL598" s="490"/>
      <c r="AM598" s="490"/>
      <c r="AN598" s="490"/>
      <c r="AO598" s="490"/>
      <c r="AP598" s="490"/>
      <c r="AQ598" s="490"/>
      <c r="AR598" s="490"/>
      <c r="AS598" s="490"/>
      <c r="AT598" s="490"/>
      <c r="AU598" s="490"/>
      <c r="AV598" s="490"/>
      <c r="AW598" s="490"/>
      <c r="AX598" s="490"/>
      <c r="AY598" s="490"/>
      <c r="AZ598" s="491"/>
      <c r="BA598" s="491"/>
      <c r="BB598" s="491"/>
    </row>
    <row r="599" spans="1:54" hidden="1" outlineLevel="2" x14ac:dyDescent="0.2">
      <c r="A599" s="243"/>
      <c r="B599" s="493"/>
      <c r="C599" s="493"/>
      <c r="D599" s="493"/>
      <c r="E599" s="493"/>
      <c r="F599" s="493"/>
      <c r="G599" s="493"/>
      <c r="H599" s="493"/>
      <c r="I599" s="493"/>
      <c r="J599" s="493"/>
      <c r="K599" s="493"/>
      <c r="L599" s="490"/>
      <c r="M599" s="493"/>
      <c r="N599" s="493"/>
      <c r="O599" s="682"/>
      <c r="P599" s="682"/>
      <c r="Q599" s="681"/>
      <c r="R599" s="681"/>
      <c r="S599" s="681"/>
      <c r="T599" s="681"/>
      <c r="U599" s="681"/>
      <c r="V599" s="681"/>
      <c r="W599" s="493"/>
      <c r="X599" s="561">
        <f t="shared" si="411"/>
        <v>0</v>
      </c>
      <c r="Y599" s="561">
        <f>Y598+1</f>
        <v>2026</v>
      </c>
      <c r="Z599" s="560">
        <f>IF(K595&lt;&gt;0,K595-K597,0)</f>
        <v>0</v>
      </c>
      <c r="AA599" s="560">
        <f>IF(K603&lt;&gt;0,K603-K605,0)</f>
        <v>0</v>
      </c>
      <c r="AB599" s="675"/>
      <c r="AC599" s="490"/>
      <c r="AD599" s="490"/>
      <c r="AE599" s="490"/>
      <c r="AF599" s="490"/>
      <c r="AG599" s="490"/>
      <c r="AH599" s="490"/>
      <c r="AI599" s="490"/>
      <c r="AJ599" s="490"/>
      <c r="AK599" s="490"/>
      <c r="AL599" s="490"/>
      <c r="AM599" s="490"/>
      <c r="AN599" s="490"/>
      <c r="AO599" s="490"/>
      <c r="AP599" s="490"/>
      <c r="AQ599" s="490"/>
      <c r="AR599" s="490"/>
      <c r="AS599" s="490"/>
      <c r="AT599" s="490"/>
      <c r="AU599" s="490"/>
      <c r="AV599" s="490"/>
      <c r="AW599" s="490"/>
      <c r="AX599" s="490"/>
      <c r="AY599" s="490"/>
      <c r="AZ599" s="491"/>
      <c r="BA599" s="491"/>
      <c r="BB599" s="491"/>
    </row>
    <row r="600" spans="1:54" hidden="1" outlineLevel="2" x14ac:dyDescent="0.2">
      <c r="A600" s="243"/>
      <c r="B600" s="243"/>
      <c r="C600" s="243"/>
      <c r="D600" s="677"/>
      <c r="E600" s="677"/>
      <c r="F600" s="495">
        <v>2</v>
      </c>
      <c r="G600" s="495">
        <v>3</v>
      </c>
      <c r="H600" s="495">
        <v>4</v>
      </c>
      <c r="I600" s="495">
        <v>5</v>
      </c>
      <c r="J600" s="495">
        <v>6</v>
      </c>
      <c r="K600" s="495">
        <v>7</v>
      </c>
      <c r="L600" s="490"/>
      <c r="M600" s="243"/>
      <c r="N600" s="678"/>
      <c r="O600" s="678"/>
      <c r="P600" s="678"/>
      <c r="Q600" s="673"/>
      <c r="R600" s="673"/>
      <c r="S600" s="673"/>
      <c r="T600" s="673"/>
      <c r="U600" s="673"/>
      <c r="V600" s="673"/>
      <c r="W600" s="490"/>
      <c r="X600" s="676"/>
      <c r="Y600" s="676"/>
      <c r="Z600" s="676"/>
      <c r="AA600" s="676"/>
      <c r="AB600" s="675"/>
      <c r="AC600" s="490"/>
      <c r="AD600" s="490"/>
      <c r="AE600" s="490"/>
      <c r="AF600" s="490"/>
      <c r="AG600" s="490"/>
      <c r="AH600" s="490"/>
      <c r="AI600" s="490"/>
      <c r="AJ600" s="490"/>
      <c r="AK600" s="490"/>
      <c r="AL600" s="490"/>
      <c r="AM600" s="490"/>
      <c r="AN600" s="490"/>
      <c r="AO600" s="490"/>
      <c r="AP600" s="490"/>
      <c r="AQ600" s="490"/>
      <c r="AR600" s="490"/>
      <c r="AS600" s="490"/>
      <c r="AT600" s="490"/>
      <c r="AU600" s="490"/>
      <c r="AV600" s="490"/>
      <c r="AW600" s="490"/>
      <c r="AX600" s="490"/>
      <c r="AY600" s="490"/>
      <c r="AZ600" s="491"/>
      <c r="BA600" s="491"/>
      <c r="BB600" s="491"/>
    </row>
    <row r="601" spans="1:54" ht="15.75" hidden="1" outlineLevel="2" x14ac:dyDescent="0.2">
      <c r="A601" s="243"/>
      <c r="B601" s="243"/>
      <c r="C601" s="243"/>
      <c r="D601" s="663" t="s">
        <v>1</v>
      </c>
      <c r="E601" s="663"/>
      <c r="F601" s="751">
        <f>FirstYear</f>
        <v>2021</v>
      </c>
      <c r="G601" s="751">
        <f>F601+1</f>
        <v>2022</v>
      </c>
      <c r="H601" s="751">
        <f>G601+1</f>
        <v>2023</v>
      </c>
      <c r="I601" s="751">
        <f>H601+1</f>
        <v>2024</v>
      </c>
      <c r="J601" s="751">
        <f>I601+1</f>
        <v>2025</v>
      </c>
      <c r="K601" s="751">
        <f>J601+1</f>
        <v>2026</v>
      </c>
      <c r="L601" s="491"/>
      <c r="M601" s="243"/>
      <c r="N601" s="685"/>
      <c r="O601" s="685"/>
      <c r="P601" s="685"/>
      <c r="Q601" s="673"/>
      <c r="R601" s="673"/>
      <c r="S601" s="673"/>
      <c r="T601" s="673"/>
      <c r="U601" s="673"/>
      <c r="V601" s="673"/>
      <c r="W601" s="491"/>
      <c r="X601" s="676"/>
      <c r="Y601" s="676"/>
      <c r="Z601" s="676"/>
      <c r="AA601" s="676"/>
      <c r="AB601" s="675"/>
      <c r="AC601" s="490"/>
      <c r="AD601" s="490"/>
      <c r="AE601" s="490"/>
      <c r="AF601" s="490"/>
      <c r="AG601" s="490"/>
      <c r="AH601" s="490"/>
      <c r="AI601" s="490"/>
      <c r="AJ601" s="490"/>
      <c r="AK601" s="490"/>
      <c r="AL601" s="490"/>
      <c r="AM601" s="490"/>
      <c r="AN601" s="490"/>
      <c r="AO601" s="490"/>
      <c r="AP601" s="490"/>
      <c r="AQ601" s="490"/>
      <c r="AR601" s="490"/>
      <c r="AS601" s="490"/>
      <c r="AT601" s="490"/>
      <c r="AU601" s="490"/>
      <c r="AV601" s="490"/>
      <c r="AW601" s="490"/>
      <c r="AX601" s="490"/>
      <c r="AY601" s="490"/>
      <c r="AZ601" s="491"/>
      <c r="BA601" s="491"/>
      <c r="BB601" s="491"/>
    </row>
    <row r="602" spans="1:54" hidden="1" outlineLevel="2" x14ac:dyDescent="0.2">
      <c r="A602" s="243"/>
      <c r="B602" s="243"/>
      <c r="C602" s="243"/>
      <c r="D602" s="243"/>
      <c r="E602" s="433" t="s">
        <v>951</v>
      </c>
      <c r="F602" s="283">
        <f t="shared" ref="F602:K602" si="414">F603*INDEX(MBSDecCalc,$C591,3)</f>
        <v>0</v>
      </c>
      <c r="G602" s="283">
        <f t="shared" si="414"/>
        <v>0</v>
      </c>
      <c r="H602" s="283">
        <f t="shared" si="414"/>
        <v>0</v>
      </c>
      <c r="I602" s="283">
        <f t="shared" si="414"/>
        <v>0</v>
      </c>
      <c r="J602" s="283">
        <f t="shared" si="414"/>
        <v>0</v>
      </c>
      <c r="K602" s="283">
        <f t="shared" si="414"/>
        <v>0</v>
      </c>
      <c r="L602" s="490"/>
      <c r="M602" s="615"/>
      <c r="N602" s="615"/>
      <c r="O602" s="678"/>
      <c r="P602" s="678"/>
      <c r="Q602" s="673"/>
      <c r="R602" s="673"/>
      <c r="S602" s="673"/>
      <c r="T602" s="673"/>
      <c r="U602" s="673"/>
      <c r="V602" s="673"/>
      <c r="W602" s="490"/>
      <c r="X602" s="676"/>
      <c r="Y602" s="676"/>
      <c r="Z602" s="676"/>
      <c r="AA602" s="676"/>
      <c r="AB602" s="675"/>
      <c r="AC602" s="490"/>
      <c r="AD602" s="490"/>
      <c r="AE602" s="490"/>
      <c r="AF602" s="490"/>
      <c r="AG602" s="490"/>
      <c r="AH602" s="490"/>
      <c r="AI602" s="490"/>
      <c r="AJ602" s="490"/>
      <c r="AK602" s="490"/>
      <c r="AL602" s="490"/>
      <c r="AM602" s="490"/>
      <c r="AN602" s="490"/>
      <c r="AO602" s="490"/>
      <c r="AP602" s="490"/>
      <c r="AQ602" s="490"/>
      <c r="AR602" s="490"/>
      <c r="AS602" s="490"/>
      <c r="AT602" s="490"/>
      <c r="AU602" s="490"/>
      <c r="AV602" s="490"/>
      <c r="AW602" s="490"/>
      <c r="AX602" s="490"/>
      <c r="AY602" s="490"/>
      <c r="AZ602" s="491"/>
      <c r="BA602" s="491"/>
      <c r="BB602" s="491"/>
    </row>
    <row r="603" spans="1:54" hidden="1" outlineLevel="2" x14ac:dyDescent="0.2">
      <c r="A603" s="243"/>
      <c r="B603" s="672"/>
      <c r="C603" s="242" t="str">
        <f>C595</f>
        <v/>
      </c>
      <c r="D603" s="243"/>
      <c r="E603" s="62" t="s">
        <v>1310</v>
      </c>
      <c r="F603" s="63">
        <f t="shared" ref="F603:K603" si="415">IF(INDEX(MBSDecRate,$C591,2)=2,IFERROR(INDEX(RPBSScriptsChanged,$C603,F600),0),IFERROR(INDEX(MBSRPBSDec,$C591,INDEX(MBSDecRate,$C591,3)*7+F600),0) * IFERROR(INDEX(MBSDecPopSplit,$C591),0)) * INDEX(MBSDecRate,$C591,1) * INDEX(MBSDecRate,$C591,4)</f>
        <v>0</v>
      </c>
      <c r="G603" s="63">
        <f t="shared" si="415"/>
        <v>0</v>
      </c>
      <c r="H603" s="63">
        <f t="shared" si="415"/>
        <v>0</v>
      </c>
      <c r="I603" s="63">
        <f t="shared" si="415"/>
        <v>0</v>
      </c>
      <c r="J603" s="63">
        <f t="shared" si="415"/>
        <v>0</v>
      </c>
      <c r="K603" s="63">
        <f t="shared" si="415"/>
        <v>0</v>
      </c>
      <c r="L603" s="490"/>
      <c r="M603" s="243"/>
      <c r="N603" s="753"/>
      <c r="O603" s="678"/>
      <c r="P603" s="678"/>
      <c r="Q603" s="673"/>
      <c r="R603" s="673"/>
      <c r="S603" s="673"/>
      <c r="T603" s="673"/>
      <c r="U603" s="673"/>
      <c r="V603" s="673"/>
      <c r="W603" s="490"/>
      <c r="X603" s="676"/>
      <c r="Y603" s="676"/>
      <c r="Z603" s="676"/>
      <c r="AA603" s="676"/>
      <c r="AB603" s="675"/>
      <c r="AC603" s="490"/>
      <c r="AD603" s="490"/>
      <c r="AE603" s="490"/>
      <c r="AF603" s="490"/>
      <c r="AG603" s="490"/>
      <c r="AH603" s="490"/>
      <c r="AI603" s="490"/>
      <c r="AJ603" s="490"/>
      <c r="AK603" s="490"/>
      <c r="AL603" s="490"/>
      <c r="AM603" s="490"/>
      <c r="AN603" s="490"/>
      <c r="AO603" s="490"/>
      <c r="AP603" s="490"/>
      <c r="AQ603" s="490"/>
      <c r="AR603" s="490"/>
      <c r="AS603" s="490"/>
      <c r="AT603" s="490"/>
      <c r="AU603" s="490"/>
      <c r="AV603" s="490"/>
      <c r="AW603" s="490"/>
      <c r="AX603" s="490"/>
      <c r="AY603" s="490"/>
      <c r="AZ603" s="491"/>
      <c r="BA603" s="491"/>
      <c r="BB603" s="491"/>
    </row>
    <row r="604" spans="1:54" hidden="1" outlineLevel="2" x14ac:dyDescent="0.2">
      <c r="A604" s="243"/>
      <c r="B604" s="242">
        <v>5</v>
      </c>
      <c r="C604" s="242">
        <v>6</v>
      </c>
      <c r="D604" s="243"/>
      <c r="E604" s="496" t="s">
        <v>1307</v>
      </c>
      <c r="F604" s="63" t="str">
        <f t="shared" ref="F604:K604" si="416">IFERROR(F603*INDEX(MBSDecItems,$C591,$B604)*INDEX(MBSDecItems,$C591,$C604),"")</f>
        <v/>
      </c>
      <c r="G604" s="63" t="str">
        <f t="shared" si="416"/>
        <v/>
      </c>
      <c r="H604" s="63" t="str">
        <f t="shared" si="416"/>
        <v/>
      </c>
      <c r="I604" s="63" t="str">
        <f t="shared" si="416"/>
        <v/>
      </c>
      <c r="J604" s="63" t="str">
        <f t="shared" si="416"/>
        <v/>
      </c>
      <c r="K604" s="63" t="str">
        <f t="shared" si="416"/>
        <v/>
      </c>
      <c r="L604" s="490"/>
      <c r="M604" s="683"/>
      <c r="N604" s="753"/>
      <c r="O604" s="678"/>
      <c r="P604" s="678"/>
      <c r="Q604" s="673"/>
      <c r="R604" s="673"/>
      <c r="S604" s="673"/>
      <c r="T604" s="673"/>
      <c r="U604" s="673"/>
      <c r="V604" s="673"/>
      <c r="W604" s="490"/>
      <c r="X604" s="676"/>
      <c r="Y604" s="676"/>
      <c r="Z604" s="676"/>
      <c r="AA604" s="676"/>
      <c r="AB604" s="676"/>
      <c r="AC604" s="490"/>
      <c r="AD604" s="490"/>
      <c r="AE604" s="490"/>
      <c r="AF604" s="490"/>
      <c r="AG604" s="490"/>
      <c r="AH604" s="490"/>
      <c r="AI604" s="490"/>
      <c r="AJ604" s="490"/>
      <c r="AK604" s="490"/>
      <c r="AL604" s="490"/>
      <c r="AM604" s="490"/>
      <c r="AN604" s="490"/>
      <c r="AO604" s="490"/>
      <c r="AP604" s="490"/>
      <c r="AQ604" s="490"/>
      <c r="AR604" s="490"/>
      <c r="AS604" s="490"/>
      <c r="AT604" s="490"/>
      <c r="AU604" s="490"/>
      <c r="AV604" s="490"/>
      <c r="AW604" s="490"/>
      <c r="AX604" s="490"/>
      <c r="AY604" s="490"/>
      <c r="AZ604" s="491"/>
      <c r="BA604" s="491"/>
      <c r="BB604" s="491"/>
    </row>
    <row r="605" spans="1:54" hidden="1" outlineLevel="2" x14ac:dyDescent="0.2">
      <c r="A605" s="243"/>
      <c r="B605" s="242">
        <v>4</v>
      </c>
      <c r="C605" s="242">
        <v>6</v>
      </c>
      <c r="D605" s="243"/>
      <c r="E605" s="496" t="s">
        <v>1306</v>
      </c>
      <c r="F605" s="63" t="str">
        <f t="shared" ref="F605:K605" si="417">IFERROR(F603*INDEX(MBSDecItems,$C591,$B605)*INDEX(MBSDecItems,$C591,$C605),"")</f>
        <v/>
      </c>
      <c r="G605" s="63" t="str">
        <f t="shared" si="417"/>
        <v/>
      </c>
      <c r="H605" s="63" t="str">
        <f t="shared" si="417"/>
        <v/>
      </c>
      <c r="I605" s="63" t="str">
        <f t="shared" si="417"/>
        <v/>
      </c>
      <c r="J605" s="63" t="str">
        <f t="shared" si="417"/>
        <v/>
      </c>
      <c r="K605" s="63" t="str">
        <f t="shared" si="417"/>
        <v/>
      </c>
      <c r="L605" s="490"/>
      <c r="M605" s="684"/>
      <c r="N605" s="682"/>
      <c r="O605" s="678"/>
      <c r="P605" s="678"/>
      <c r="Q605" s="673"/>
      <c r="R605" s="673"/>
      <c r="S605" s="673"/>
      <c r="T605" s="673"/>
      <c r="U605" s="673"/>
      <c r="V605" s="673"/>
      <c r="W605" s="490"/>
      <c r="X605" s="676"/>
      <c r="Y605" s="676"/>
      <c r="Z605" s="676"/>
      <c r="AA605" s="676"/>
      <c r="AB605" s="676"/>
      <c r="AC605" s="490"/>
      <c r="AD605" s="490"/>
      <c r="AE605" s="490"/>
      <c r="AF605" s="490"/>
      <c r="AG605" s="490"/>
      <c r="AH605" s="490"/>
      <c r="AI605" s="490"/>
      <c r="AJ605" s="490"/>
      <c r="AK605" s="490"/>
      <c r="AL605" s="490"/>
      <c r="AM605" s="490"/>
      <c r="AN605" s="490"/>
      <c r="AO605" s="490"/>
      <c r="AP605" s="490"/>
      <c r="AQ605" s="490"/>
      <c r="AR605" s="490"/>
      <c r="AS605" s="490"/>
      <c r="AT605" s="490"/>
      <c r="AU605" s="490"/>
      <c r="AV605" s="490"/>
      <c r="AW605" s="490"/>
      <c r="AX605" s="490"/>
      <c r="AY605" s="490"/>
      <c r="AZ605" s="491"/>
      <c r="BA605" s="491"/>
      <c r="BB605" s="491"/>
    </row>
    <row r="606" spans="1:54" hidden="1" outlineLevel="2" x14ac:dyDescent="0.2">
      <c r="A606" s="243"/>
      <c r="B606" s="242"/>
      <c r="C606" s="242">
        <v>7</v>
      </c>
      <c r="D606" s="243"/>
      <c r="E606" s="497" t="s">
        <v>1308</v>
      </c>
      <c r="F606" s="63" t="str">
        <f t="shared" ref="F606:K606" si="418">IFERROR(F603*INDEX(MBSDecItems,$C591,$C606),"")</f>
        <v/>
      </c>
      <c r="G606" s="63" t="str">
        <f t="shared" si="418"/>
        <v/>
      </c>
      <c r="H606" s="63" t="str">
        <f t="shared" si="418"/>
        <v/>
      </c>
      <c r="I606" s="63" t="str">
        <f t="shared" si="418"/>
        <v/>
      </c>
      <c r="J606" s="63" t="str">
        <f t="shared" si="418"/>
        <v/>
      </c>
      <c r="K606" s="63" t="str">
        <f t="shared" si="418"/>
        <v/>
      </c>
      <c r="L606" s="490"/>
      <c r="M606" s="684"/>
      <c r="N606" s="682"/>
      <c r="O606" s="678"/>
      <c r="P606" s="678"/>
      <c r="Q606" s="673"/>
      <c r="R606" s="673"/>
      <c r="S606" s="673"/>
      <c r="T606" s="673"/>
      <c r="U606" s="673"/>
      <c r="V606" s="673"/>
      <c r="W606" s="490"/>
      <c r="X606" s="676"/>
      <c r="Y606" s="676"/>
      <c r="Z606" s="676"/>
      <c r="AA606" s="676"/>
      <c r="AB606" s="676"/>
      <c r="AC606" s="490"/>
      <c r="AD606" s="490"/>
      <c r="AE606" s="490"/>
      <c r="AF606" s="490"/>
      <c r="AG606" s="490"/>
      <c r="AH606" s="490"/>
      <c r="AI606" s="490"/>
      <c r="AJ606" s="490"/>
      <c r="AK606" s="490"/>
      <c r="AL606" s="490"/>
      <c r="AM606" s="490"/>
      <c r="AN606" s="490"/>
      <c r="AO606" s="490"/>
      <c r="AP606" s="490"/>
      <c r="AQ606" s="490"/>
      <c r="AR606" s="490"/>
      <c r="AS606" s="490"/>
      <c r="AT606" s="490"/>
      <c r="AU606" s="490"/>
      <c r="AV606" s="490"/>
      <c r="AW606" s="490"/>
      <c r="AX606" s="490"/>
      <c r="AY606" s="490"/>
      <c r="AZ606" s="491"/>
      <c r="BA606" s="491"/>
      <c r="BB606" s="491"/>
    </row>
    <row r="607" spans="1:54" hidden="1" outlineLevel="1" x14ac:dyDescent="0.2">
      <c r="A607" s="243"/>
      <c r="B607" s="243"/>
      <c r="C607" s="243"/>
      <c r="D607" s="677"/>
      <c r="E607" s="677"/>
      <c r="F607" s="243"/>
      <c r="G607" s="243"/>
      <c r="H607" s="243"/>
      <c r="I607" s="243"/>
      <c r="J607" s="243"/>
      <c r="K607" s="243"/>
      <c r="L607" s="243"/>
      <c r="M607" s="243"/>
      <c r="N607" s="678"/>
      <c r="O607" s="678"/>
      <c r="P607" s="678"/>
      <c r="Q607" s="673"/>
      <c r="R607" s="673"/>
      <c r="S607" s="673"/>
      <c r="T607" s="673"/>
      <c r="U607" s="673"/>
      <c r="V607" s="673"/>
      <c r="W607" s="490"/>
      <c r="X607" s="676"/>
      <c r="Y607" s="676"/>
      <c r="Z607" s="676"/>
      <c r="AA607" s="676"/>
      <c r="AB607" s="676"/>
      <c r="AC607" s="490"/>
      <c r="AD607" s="490"/>
      <c r="AE607" s="490"/>
      <c r="AF607" s="490"/>
      <c r="AG607" s="490"/>
      <c r="AH607" s="490"/>
      <c r="AI607" s="490"/>
      <c r="AJ607" s="490"/>
      <c r="AK607" s="490"/>
      <c r="AL607" s="490"/>
      <c r="AM607" s="490"/>
      <c r="AN607" s="490"/>
      <c r="AO607" s="490"/>
      <c r="AP607" s="490"/>
      <c r="AQ607" s="490"/>
      <c r="AR607" s="490"/>
      <c r="AS607" s="490"/>
      <c r="AT607" s="490"/>
      <c r="AU607" s="490"/>
      <c r="AV607" s="490"/>
      <c r="AW607" s="490"/>
      <c r="AX607" s="490"/>
      <c r="AY607" s="490"/>
      <c r="AZ607" s="491"/>
      <c r="BA607" s="491"/>
      <c r="BB607" s="491"/>
    </row>
    <row r="608" spans="1:54" ht="15.75" hidden="1" outlineLevel="1" x14ac:dyDescent="0.2">
      <c r="A608" s="243"/>
      <c r="B608" s="243"/>
      <c r="C608" s="242">
        <v>7</v>
      </c>
      <c r="D608" s="79" t="str">
        <f>INDEX(MBSDecNames,C608)</f>
        <v>** NOT USED **</v>
      </c>
      <c r="E608" s="79"/>
      <c r="F608" s="115"/>
      <c r="G608" s="115"/>
      <c r="H608" s="115"/>
      <c r="I608" s="115"/>
      <c r="J608" s="821" t="str">
        <f>IF(D608&lt;&gt;MsgNotUsed,"Co-payment group " &amp; K464,"")</f>
        <v/>
      </c>
      <c r="K608" s="821"/>
      <c r="L608" s="115"/>
      <c r="M608" s="115"/>
      <c r="N608" s="115"/>
      <c r="O608" s="115"/>
      <c r="P608" s="115"/>
      <c r="Q608" s="115"/>
      <c r="R608" s="115"/>
      <c r="S608" s="115"/>
      <c r="T608" s="115"/>
      <c r="U608" s="115"/>
      <c r="V608" s="115"/>
      <c r="W608" s="491"/>
      <c r="X608" s="490"/>
      <c r="Y608" s="490"/>
      <c r="Z608" s="490"/>
      <c r="AA608" s="490"/>
      <c r="AB608" s="676"/>
      <c r="AC608" s="490"/>
      <c r="AD608" s="490"/>
      <c r="AE608" s="490"/>
      <c r="AF608" s="490"/>
      <c r="AG608" s="490"/>
      <c r="AH608" s="490"/>
      <c r="AI608" s="490"/>
      <c r="AJ608" s="490"/>
      <c r="AK608" s="490"/>
      <c r="AL608" s="490"/>
      <c r="AM608" s="490"/>
      <c r="AN608" s="490"/>
      <c r="AO608" s="490"/>
      <c r="AP608" s="490"/>
      <c r="AQ608" s="490"/>
      <c r="AR608" s="490"/>
      <c r="AS608" s="490"/>
      <c r="AT608" s="490"/>
      <c r="AU608" s="490"/>
      <c r="AV608" s="490"/>
      <c r="AW608" s="490"/>
      <c r="AX608" s="490"/>
      <c r="AY608" s="490"/>
      <c r="AZ608" s="491"/>
      <c r="BA608" s="491"/>
      <c r="BB608" s="491"/>
    </row>
    <row r="609" spans="1:54" hidden="1" outlineLevel="2" x14ac:dyDescent="0.2">
      <c r="A609" s="243"/>
      <c r="B609" s="243"/>
      <c r="C609" s="243"/>
      <c r="D609" s="243"/>
      <c r="E609" s="243"/>
      <c r="F609" s="495">
        <v>2</v>
      </c>
      <c r="G609" s="495">
        <v>3</v>
      </c>
      <c r="H609" s="495">
        <v>4</v>
      </c>
      <c r="I609" s="495">
        <v>5</v>
      </c>
      <c r="J609" s="495">
        <v>6</v>
      </c>
      <c r="K609" s="495">
        <v>7</v>
      </c>
      <c r="L609" s="495"/>
      <c r="M609" s="243"/>
      <c r="N609" s="243"/>
      <c r="O609" s="243"/>
      <c r="P609" s="243"/>
      <c r="Q609" s="243"/>
      <c r="R609" s="243"/>
      <c r="S609" s="243"/>
      <c r="T609" s="243"/>
      <c r="U609" s="243"/>
      <c r="V609" s="243"/>
      <c r="W609" s="490"/>
      <c r="X609" s="490"/>
      <c r="Y609" s="490"/>
      <c r="Z609" s="490"/>
      <c r="AA609" s="490"/>
      <c r="AB609" s="676"/>
      <c r="AC609" s="490"/>
      <c r="AD609" s="490"/>
      <c r="AE609" s="490"/>
      <c r="AF609" s="490"/>
      <c r="AG609" s="490"/>
      <c r="AH609" s="490"/>
      <c r="AI609" s="490"/>
      <c r="AJ609" s="490"/>
      <c r="AK609" s="490"/>
      <c r="AL609" s="490"/>
      <c r="AM609" s="490"/>
      <c r="AN609" s="490"/>
      <c r="AO609" s="490"/>
      <c r="AP609" s="490"/>
      <c r="AQ609" s="490"/>
      <c r="AR609" s="490"/>
      <c r="AS609" s="490"/>
      <c r="AT609" s="490"/>
      <c r="AU609" s="490"/>
      <c r="AV609" s="490"/>
      <c r="AW609" s="490"/>
      <c r="AX609" s="490"/>
      <c r="AY609" s="490"/>
      <c r="AZ609" s="491"/>
      <c r="BA609" s="491"/>
      <c r="BB609" s="491"/>
    </row>
    <row r="610" spans="1:54" ht="15" hidden="1" outlineLevel="2" x14ac:dyDescent="0.2">
      <c r="A610" s="243"/>
      <c r="B610" s="243"/>
      <c r="C610" s="243"/>
      <c r="D610" s="663" t="s">
        <v>0</v>
      </c>
      <c r="E610" s="663"/>
      <c r="F610" s="630">
        <f>FirstYear</f>
        <v>2021</v>
      </c>
      <c r="G610" s="630">
        <f>F610+1</f>
        <v>2022</v>
      </c>
      <c r="H610" s="630">
        <f>G610+1</f>
        <v>2023</v>
      </c>
      <c r="I610" s="630">
        <f>H610+1</f>
        <v>2024</v>
      </c>
      <c r="J610" s="630">
        <f>I610+1</f>
        <v>2025</v>
      </c>
      <c r="K610" s="630">
        <f>J610+1</f>
        <v>2026</v>
      </c>
      <c r="L610" s="491"/>
      <c r="M610" s="113"/>
      <c r="N610" s="679"/>
      <c r="O610" s="679"/>
      <c r="P610" s="679"/>
      <c r="Q610" s="674"/>
      <c r="R610" s="674"/>
      <c r="S610" s="674"/>
      <c r="T610" s="674"/>
      <c r="U610" s="674"/>
      <c r="V610" s="674"/>
      <c r="W610" s="491"/>
      <c r="X610" s="674"/>
      <c r="Y610" s="674"/>
      <c r="Z610" s="674"/>
      <c r="AA610" s="674"/>
      <c r="AB610" s="676"/>
      <c r="AC610" s="490"/>
      <c r="AD610" s="490"/>
      <c r="AE610" s="490"/>
      <c r="AF610" s="490"/>
      <c r="AG610" s="490"/>
      <c r="AH610" s="490"/>
      <c r="AI610" s="490"/>
      <c r="AJ610" s="490"/>
      <c r="AK610" s="490"/>
      <c r="AL610" s="490"/>
      <c r="AM610" s="490"/>
      <c r="AN610" s="490"/>
      <c r="AO610" s="490"/>
      <c r="AP610" s="490"/>
      <c r="AQ610" s="490"/>
      <c r="AR610" s="490"/>
      <c r="AS610" s="490"/>
      <c r="AT610" s="490"/>
      <c r="AU610" s="490"/>
      <c r="AV610" s="490"/>
      <c r="AW610" s="490"/>
      <c r="AX610" s="490"/>
      <c r="AY610" s="490"/>
      <c r="AZ610" s="491"/>
      <c r="BA610" s="491"/>
      <c r="BB610" s="491"/>
    </row>
    <row r="611" spans="1:54" hidden="1" outlineLevel="2" collapsed="1" x14ac:dyDescent="0.2">
      <c r="A611" s="243"/>
      <c r="B611" s="243"/>
      <c r="C611" s="243"/>
      <c r="D611" s="243"/>
      <c r="E611" s="433" t="s">
        <v>951</v>
      </c>
      <c r="F611" s="283">
        <f t="shared" ref="F611:K611" si="419">F612*INDEX(MBSDecCalc,$C608,3)</f>
        <v>0</v>
      </c>
      <c r="G611" s="283">
        <f t="shared" si="419"/>
        <v>0</v>
      </c>
      <c r="H611" s="283">
        <f t="shared" si="419"/>
        <v>0</v>
      </c>
      <c r="I611" s="283">
        <f t="shared" si="419"/>
        <v>0</v>
      </c>
      <c r="J611" s="283">
        <f t="shared" si="419"/>
        <v>0</v>
      </c>
      <c r="K611" s="283">
        <f t="shared" si="419"/>
        <v>0</v>
      </c>
      <c r="L611" s="490"/>
      <c r="M611" s="680"/>
      <c r="N611" s="664"/>
      <c r="O611" s="664"/>
      <c r="P611" s="664"/>
      <c r="Q611" s="681"/>
      <c r="R611" s="681"/>
      <c r="S611" s="681"/>
      <c r="T611" s="681"/>
      <c r="U611" s="681"/>
      <c r="V611" s="681"/>
      <c r="W611" s="493"/>
      <c r="X611" s="561">
        <f>INDEX(MBSDecItems,C608,1)</f>
        <v>0</v>
      </c>
      <c r="Y611" s="561">
        <f>FirstYear</f>
        <v>2021</v>
      </c>
      <c r="Z611" s="560">
        <f>IF(F612&lt;&gt;0,F612-F614,0)</f>
        <v>0</v>
      </c>
      <c r="AA611" s="560">
        <f>IF(F620&lt;&gt;0,F620-F622,0)</f>
        <v>0</v>
      </c>
      <c r="AB611" s="676"/>
      <c r="AC611" s="490"/>
      <c r="AD611" s="490"/>
      <c r="AE611" s="490"/>
      <c r="AF611" s="490"/>
      <c r="AG611" s="490"/>
      <c r="AH611" s="490"/>
      <c r="AI611" s="490"/>
      <c r="AJ611" s="490"/>
      <c r="AK611" s="490"/>
      <c r="AL611" s="490"/>
      <c r="AM611" s="490"/>
      <c r="AN611" s="490"/>
      <c r="AO611" s="490"/>
      <c r="AP611" s="490"/>
      <c r="AQ611" s="490"/>
      <c r="AR611" s="490"/>
      <c r="AS611" s="490"/>
      <c r="AT611" s="490"/>
      <c r="AU611" s="490"/>
      <c r="AV611" s="490"/>
      <c r="AW611" s="490"/>
      <c r="AX611" s="490"/>
      <c r="AY611" s="490"/>
      <c r="AZ611" s="491"/>
      <c r="BA611" s="491"/>
      <c r="BB611" s="491"/>
    </row>
    <row r="612" spans="1:54" hidden="1" outlineLevel="2" x14ac:dyDescent="0.2">
      <c r="A612" s="243"/>
      <c r="B612" s="672"/>
      <c r="C612" s="242" t="str">
        <f>INDEX(MBSDecCalc,C608,2)</f>
        <v/>
      </c>
      <c r="D612" s="243"/>
      <c r="E612" s="62" t="s">
        <v>1310</v>
      </c>
      <c r="F612" s="63">
        <f t="shared" ref="F612:K612" si="420">IF(INDEX(MBSDecRate,$C608,2)=2,IFERROR(INDEX(PBSScriptsChanged,$C612,F609),0),IFERROR(INDEX(MBSPBSDec,$C608,INDEX(MBSDecRate,$C608,3)*7+F609),0) * IFERROR(INDEX(MBSDecPopSplit,$C608),0)) * INDEX(MBSDecRate,$C608,1) * INDEX(MBSDecRate,$C608,4)</f>
        <v>0</v>
      </c>
      <c r="G612" s="63">
        <f t="shared" si="420"/>
        <v>0</v>
      </c>
      <c r="H612" s="63">
        <f t="shared" si="420"/>
        <v>0</v>
      </c>
      <c r="I612" s="63">
        <f t="shared" si="420"/>
        <v>0</v>
      </c>
      <c r="J612" s="63">
        <f t="shared" si="420"/>
        <v>0</v>
      </c>
      <c r="K612" s="63">
        <f t="shared" si="420"/>
        <v>0</v>
      </c>
      <c r="L612" s="490"/>
      <c r="M612" s="493"/>
      <c r="N612" s="493"/>
      <c r="O612" s="664"/>
      <c r="P612" s="664"/>
      <c r="Q612" s="681"/>
      <c r="R612" s="681"/>
      <c r="S612" s="681"/>
      <c r="T612" s="681"/>
      <c r="U612" s="681"/>
      <c r="V612" s="681"/>
      <c r="W612" s="493"/>
      <c r="X612" s="561">
        <f>X611</f>
        <v>0</v>
      </c>
      <c r="Y612" s="561">
        <f>Y611+1</f>
        <v>2022</v>
      </c>
      <c r="Z612" s="560">
        <f>IF(G612&lt;&gt;0,G612-G614,0)</f>
        <v>0</v>
      </c>
      <c r="AA612" s="560">
        <f>IF(G620&lt;&gt;0,G620-G622,0)</f>
        <v>0</v>
      </c>
      <c r="AB612" s="676"/>
      <c r="AC612" s="490"/>
      <c r="AD612" s="490"/>
      <c r="AE612" s="490"/>
      <c r="AF612" s="490"/>
      <c r="AG612" s="490"/>
      <c r="AH612" s="490"/>
      <c r="AI612" s="490"/>
      <c r="AJ612" s="490"/>
      <c r="AK612" s="490"/>
      <c r="AL612" s="490"/>
      <c r="AM612" s="490"/>
      <c r="AN612" s="490"/>
      <c r="AO612" s="490"/>
      <c r="AP612" s="490"/>
      <c r="AQ612" s="490"/>
      <c r="AR612" s="490"/>
      <c r="AS612" s="490"/>
      <c r="AT612" s="490"/>
      <c r="AU612" s="490"/>
      <c r="AV612" s="490"/>
      <c r="AW612" s="490"/>
      <c r="AX612" s="490"/>
      <c r="AY612" s="490"/>
      <c r="AZ612" s="491"/>
      <c r="BA612" s="491"/>
      <c r="BB612" s="491"/>
    </row>
    <row r="613" spans="1:54" hidden="1" outlineLevel="2" x14ac:dyDescent="0.2">
      <c r="A613" s="243"/>
      <c r="B613" s="242">
        <v>5</v>
      </c>
      <c r="C613" s="242">
        <v>6</v>
      </c>
      <c r="D613" s="243"/>
      <c r="E613" s="496" t="s">
        <v>1307</v>
      </c>
      <c r="F613" s="63" t="str">
        <f t="shared" ref="F613:K613" si="421">IFERROR(F612*INDEX(MBSDecItems,$C608,$B613)*INDEX(MBSDecItems,$C608,$C613),"")</f>
        <v/>
      </c>
      <c r="G613" s="63" t="str">
        <f t="shared" si="421"/>
        <v/>
      </c>
      <c r="H613" s="63" t="str">
        <f t="shared" si="421"/>
        <v/>
      </c>
      <c r="I613" s="63" t="str">
        <f t="shared" si="421"/>
        <v/>
      </c>
      <c r="J613" s="63" t="str">
        <f t="shared" si="421"/>
        <v/>
      </c>
      <c r="K613" s="63" t="str">
        <f t="shared" si="421"/>
        <v/>
      </c>
      <c r="L613" s="490"/>
      <c r="M613" s="493"/>
      <c r="N613" s="493"/>
      <c r="O613" s="682"/>
      <c r="P613" s="754"/>
      <c r="Q613" s="681"/>
      <c r="R613" s="681"/>
      <c r="S613" s="681"/>
      <c r="T613" s="681"/>
      <c r="U613" s="681"/>
      <c r="V613" s="681"/>
      <c r="W613" s="493"/>
      <c r="X613" s="561">
        <f t="shared" ref="X613:X616" si="422">X612</f>
        <v>0</v>
      </c>
      <c r="Y613" s="561">
        <f>Y612+1</f>
        <v>2023</v>
      </c>
      <c r="Z613" s="560">
        <f>IF(H612&lt;&gt;0,H612-H614,0)</f>
        <v>0</v>
      </c>
      <c r="AA613" s="560">
        <f>IF(H620&lt;&gt;0,H620-H622,0)</f>
        <v>0</v>
      </c>
      <c r="AB613" s="676"/>
      <c r="AC613" s="490"/>
      <c r="AD613" s="490"/>
      <c r="AE613" s="490"/>
      <c r="AF613" s="490"/>
      <c r="AG613" s="490"/>
      <c r="AH613" s="490"/>
      <c r="AI613" s="490"/>
      <c r="AJ613" s="490"/>
      <c r="AK613" s="490"/>
      <c r="AL613" s="490"/>
      <c r="AM613" s="490"/>
      <c r="AN613" s="490"/>
      <c r="AO613" s="490"/>
      <c r="AP613" s="490"/>
      <c r="AQ613" s="490"/>
      <c r="AR613" s="490"/>
      <c r="AS613" s="490"/>
      <c r="AT613" s="490"/>
      <c r="AU613" s="490"/>
      <c r="AV613" s="490"/>
      <c r="AW613" s="490"/>
      <c r="AX613" s="490"/>
      <c r="AY613" s="490"/>
      <c r="AZ613" s="491"/>
      <c r="BA613" s="491"/>
      <c r="BB613" s="491"/>
    </row>
    <row r="614" spans="1:54" hidden="1" outlineLevel="2" x14ac:dyDescent="0.2">
      <c r="A614" s="416"/>
      <c r="B614" s="242">
        <v>4</v>
      </c>
      <c r="C614" s="242">
        <v>6</v>
      </c>
      <c r="D614" s="243"/>
      <c r="E614" s="496" t="s">
        <v>1306</v>
      </c>
      <c r="F614" s="63" t="str">
        <f t="shared" ref="F614:K614" si="423">IFERROR(F612*INDEX(MBSDecItems,$C608,$B614)*INDEX(MBSDecItems,$C608,$C614),"")</f>
        <v/>
      </c>
      <c r="G614" s="63" t="str">
        <f t="shared" si="423"/>
        <v/>
      </c>
      <c r="H614" s="63" t="str">
        <f t="shared" si="423"/>
        <v/>
      </c>
      <c r="I614" s="63" t="str">
        <f t="shared" si="423"/>
        <v/>
      </c>
      <c r="J614" s="63" t="str">
        <f t="shared" si="423"/>
        <v/>
      </c>
      <c r="K614" s="63" t="str">
        <f t="shared" si="423"/>
        <v/>
      </c>
      <c r="L614" s="416"/>
      <c r="M614" s="416"/>
      <c r="N614" s="416"/>
      <c r="O614" s="416"/>
      <c r="P614" s="416"/>
      <c r="Q614" s="416"/>
      <c r="R614" s="416"/>
      <c r="S614" s="416"/>
      <c r="T614" s="416"/>
      <c r="U614" s="416"/>
      <c r="V614" s="416"/>
      <c r="W614" s="493"/>
      <c r="X614" s="561">
        <f t="shared" si="422"/>
        <v>0</v>
      </c>
      <c r="Y614" s="561">
        <f>Y613+1</f>
        <v>2024</v>
      </c>
      <c r="Z614" s="560">
        <f>IF(I612&lt;&gt;0,I612-I614,0)</f>
        <v>0</v>
      </c>
      <c r="AA614" s="560">
        <f>IF(I620&lt;&gt;0,I620-I622,0)</f>
        <v>0</v>
      </c>
      <c r="AB614" s="674"/>
      <c r="AC614" s="490"/>
      <c r="AD614" s="490"/>
      <c r="AE614" s="490"/>
      <c r="AF614" s="490"/>
      <c r="AG614" s="490"/>
      <c r="AH614" s="490"/>
      <c r="AI614" s="490"/>
      <c r="AJ614" s="490"/>
      <c r="AK614" s="490"/>
      <c r="AL614" s="490"/>
      <c r="AM614" s="490"/>
      <c r="AN614" s="490"/>
      <c r="AO614" s="490"/>
      <c r="AP614" s="490"/>
      <c r="AQ614" s="490"/>
      <c r="AR614" s="490"/>
      <c r="AS614" s="490"/>
      <c r="AT614" s="490"/>
      <c r="AU614" s="490"/>
      <c r="AV614" s="490"/>
      <c r="AW614" s="490"/>
      <c r="AX614" s="490"/>
      <c r="AY614" s="490"/>
      <c r="AZ614" s="491"/>
      <c r="BA614" s="491"/>
      <c r="BB614" s="491"/>
    </row>
    <row r="615" spans="1:54" hidden="1" outlineLevel="2" x14ac:dyDescent="0.2">
      <c r="A615" s="243"/>
      <c r="B615" s="242"/>
      <c r="C615" s="242">
        <v>7</v>
      </c>
      <c r="D615" s="243"/>
      <c r="E615" s="497" t="s">
        <v>1308</v>
      </c>
      <c r="F615" s="63" t="str">
        <f t="shared" ref="F615:K615" si="424">IFERROR(F612*INDEX(MBSDecItems,$C608,$C615),"")</f>
        <v/>
      </c>
      <c r="G615" s="63" t="str">
        <f t="shared" si="424"/>
        <v/>
      </c>
      <c r="H615" s="63" t="str">
        <f t="shared" si="424"/>
        <v/>
      </c>
      <c r="I615" s="63" t="str">
        <f t="shared" si="424"/>
        <v/>
      </c>
      <c r="J615" s="63" t="str">
        <f t="shared" si="424"/>
        <v/>
      </c>
      <c r="K615" s="63" t="str">
        <f t="shared" si="424"/>
        <v/>
      </c>
      <c r="L615" s="490"/>
      <c r="M615" s="493"/>
      <c r="N615" s="493"/>
      <c r="O615" s="682"/>
      <c r="P615" s="754"/>
      <c r="Q615" s="681"/>
      <c r="R615" s="681"/>
      <c r="S615" s="681"/>
      <c r="T615" s="681"/>
      <c r="U615" s="681"/>
      <c r="V615" s="681"/>
      <c r="W615" s="493"/>
      <c r="X615" s="561">
        <f t="shared" si="422"/>
        <v>0</v>
      </c>
      <c r="Y615" s="561">
        <f>Y614+1</f>
        <v>2025</v>
      </c>
      <c r="Z615" s="560">
        <f>IF(J612&lt;&gt;0,J612-J614,0)</f>
        <v>0</v>
      </c>
      <c r="AA615" s="560">
        <f>IF(J620&lt;&gt;0,J620-J622,0)</f>
        <v>0</v>
      </c>
      <c r="AB615" s="674"/>
      <c r="AC615" s="490"/>
      <c r="AD615" s="490"/>
      <c r="AE615" s="490"/>
      <c r="AF615" s="490"/>
      <c r="AG615" s="490"/>
      <c r="AH615" s="490"/>
      <c r="AI615" s="490"/>
      <c r="AJ615" s="490"/>
      <c r="AK615" s="490"/>
      <c r="AL615" s="490"/>
      <c r="AM615" s="490"/>
      <c r="AN615" s="490"/>
      <c r="AO615" s="490"/>
      <c r="AP615" s="490"/>
      <c r="AQ615" s="490"/>
      <c r="AR615" s="490"/>
      <c r="AS615" s="490"/>
      <c r="AT615" s="490"/>
      <c r="AU615" s="490"/>
      <c r="AV615" s="490"/>
      <c r="AW615" s="490"/>
      <c r="AX615" s="490"/>
      <c r="AY615" s="490"/>
      <c r="AZ615" s="491"/>
      <c r="BA615" s="491"/>
      <c r="BB615" s="491"/>
    </row>
    <row r="616" spans="1:54" hidden="1" outlineLevel="2" x14ac:dyDescent="0.2">
      <c r="A616" s="243"/>
      <c r="B616" s="493"/>
      <c r="C616" s="493"/>
      <c r="D616" s="493"/>
      <c r="E616" s="493"/>
      <c r="F616" s="493"/>
      <c r="G616" s="493"/>
      <c r="H616" s="493"/>
      <c r="I616" s="493"/>
      <c r="J616" s="493"/>
      <c r="K616" s="493"/>
      <c r="L616" s="490"/>
      <c r="M616" s="493"/>
      <c r="N616" s="493"/>
      <c r="O616" s="682"/>
      <c r="P616" s="682"/>
      <c r="Q616" s="681"/>
      <c r="R616" s="681"/>
      <c r="S616" s="681"/>
      <c r="T616" s="681"/>
      <c r="U616" s="681"/>
      <c r="V616" s="681"/>
      <c r="W616" s="493"/>
      <c r="X616" s="561">
        <f t="shared" si="422"/>
        <v>0</v>
      </c>
      <c r="Y616" s="561">
        <f>Y615+1</f>
        <v>2026</v>
      </c>
      <c r="Z616" s="560">
        <f>IF(K612&lt;&gt;0,K612-K614,0)</f>
        <v>0</v>
      </c>
      <c r="AA616" s="560">
        <f>IF(K620&lt;&gt;0,K620-K622,0)</f>
        <v>0</v>
      </c>
      <c r="AB616" s="675"/>
      <c r="AC616" s="490"/>
      <c r="AD616" s="490"/>
      <c r="AE616" s="490"/>
      <c r="AF616" s="490"/>
      <c r="AG616" s="490"/>
      <c r="AH616" s="490"/>
      <c r="AI616" s="490"/>
      <c r="AJ616" s="490"/>
      <c r="AK616" s="490"/>
      <c r="AL616" s="490"/>
      <c r="AM616" s="490"/>
      <c r="AN616" s="490"/>
      <c r="AO616" s="490"/>
      <c r="AP616" s="490"/>
      <c r="AQ616" s="490"/>
      <c r="AR616" s="490"/>
      <c r="AS616" s="490"/>
      <c r="AT616" s="490"/>
      <c r="AU616" s="490"/>
      <c r="AV616" s="490"/>
      <c r="AW616" s="490"/>
      <c r="AX616" s="490"/>
      <c r="AY616" s="490"/>
      <c r="AZ616" s="491"/>
      <c r="BA616" s="491"/>
      <c r="BB616" s="491"/>
    </row>
    <row r="617" spans="1:54" hidden="1" outlineLevel="2" x14ac:dyDescent="0.2">
      <c r="A617" s="243"/>
      <c r="B617" s="243"/>
      <c r="C617" s="243"/>
      <c r="D617" s="677"/>
      <c r="E617" s="677"/>
      <c r="F617" s="495">
        <v>2</v>
      </c>
      <c r="G617" s="495">
        <v>3</v>
      </c>
      <c r="H617" s="495">
        <v>4</v>
      </c>
      <c r="I617" s="495">
        <v>5</v>
      </c>
      <c r="J617" s="495">
        <v>6</v>
      </c>
      <c r="K617" s="495">
        <v>7</v>
      </c>
      <c r="L617" s="490"/>
      <c r="M617" s="243"/>
      <c r="N617" s="678"/>
      <c r="O617" s="678"/>
      <c r="P617" s="678"/>
      <c r="Q617" s="673"/>
      <c r="R617" s="673"/>
      <c r="S617" s="673"/>
      <c r="T617" s="673"/>
      <c r="U617" s="673"/>
      <c r="V617" s="673"/>
      <c r="W617" s="490"/>
      <c r="X617" s="676"/>
      <c r="Y617" s="676"/>
      <c r="Z617" s="676"/>
      <c r="AA617" s="676"/>
      <c r="AB617" s="675"/>
      <c r="AC617" s="490"/>
      <c r="AD617" s="490"/>
      <c r="AE617" s="490"/>
      <c r="AF617" s="490"/>
      <c r="AG617" s="490"/>
      <c r="AH617" s="490"/>
      <c r="AI617" s="490"/>
      <c r="AJ617" s="490"/>
      <c r="AK617" s="490"/>
      <c r="AL617" s="490"/>
      <c r="AM617" s="490"/>
      <c r="AN617" s="490"/>
      <c r="AO617" s="490"/>
      <c r="AP617" s="490"/>
      <c r="AQ617" s="490"/>
      <c r="AR617" s="490"/>
      <c r="AS617" s="490"/>
      <c r="AT617" s="490"/>
      <c r="AU617" s="490"/>
      <c r="AV617" s="490"/>
      <c r="AW617" s="490"/>
      <c r="AX617" s="490"/>
      <c r="AY617" s="490"/>
      <c r="AZ617" s="491"/>
      <c r="BA617" s="491"/>
      <c r="BB617" s="491"/>
    </row>
    <row r="618" spans="1:54" ht="15.75" hidden="1" outlineLevel="2" x14ac:dyDescent="0.2">
      <c r="A618" s="243"/>
      <c r="B618" s="243"/>
      <c r="C618" s="243"/>
      <c r="D618" s="663" t="s">
        <v>1</v>
      </c>
      <c r="E618" s="663"/>
      <c r="F618" s="751">
        <f>FirstYear</f>
        <v>2021</v>
      </c>
      <c r="G618" s="751">
        <f>F618+1</f>
        <v>2022</v>
      </c>
      <c r="H618" s="751">
        <f>G618+1</f>
        <v>2023</v>
      </c>
      <c r="I618" s="751">
        <f>H618+1</f>
        <v>2024</v>
      </c>
      <c r="J618" s="751">
        <f>I618+1</f>
        <v>2025</v>
      </c>
      <c r="K618" s="751">
        <f>J618+1</f>
        <v>2026</v>
      </c>
      <c r="L618" s="491"/>
      <c r="M618" s="243"/>
      <c r="N618" s="685"/>
      <c r="O618" s="685"/>
      <c r="P618" s="685"/>
      <c r="Q618" s="673"/>
      <c r="R618" s="673"/>
      <c r="S618" s="673"/>
      <c r="T618" s="673"/>
      <c r="U618" s="673"/>
      <c r="V618" s="673"/>
      <c r="W618" s="491"/>
      <c r="X618" s="676"/>
      <c r="Y618" s="676"/>
      <c r="Z618" s="676"/>
      <c r="AA618" s="676"/>
      <c r="AB618" s="675"/>
      <c r="AC618" s="490"/>
      <c r="AD618" s="490"/>
      <c r="AE618" s="490"/>
      <c r="AF618" s="490"/>
      <c r="AG618" s="490"/>
      <c r="AH618" s="490"/>
      <c r="AI618" s="490"/>
      <c r="AJ618" s="490"/>
      <c r="AK618" s="490"/>
      <c r="AL618" s="490"/>
      <c r="AM618" s="490"/>
      <c r="AN618" s="490"/>
      <c r="AO618" s="490"/>
      <c r="AP618" s="490"/>
      <c r="AQ618" s="490"/>
      <c r="AR618" s="490"/>
      <c r="AS618" s="490"/>
      <c r="AT618" s="490"/>
      <c r="AU618" s="490"/>
      <c r="AV618" s="490"/>
      <c r="AW618" s="490"/>
      <c r="AX618" s="490"/>
      <c r="AY618" s="490"/>
      <c r="AZ618" s="491"/>
      <c r="BA618" s="491"/>
      <c r="BB618" s="491"/>
    </row>
    <row r="619" spans="1:54" hidden="1" outlineLevel="2" x14ac:dyDescent="0.2">
      <c r="A619" s="243"/>
      <c r="B619" s="243"/>
      <c r="C619" s="243"/>
      <c r="D619" s="243"/>
      <c r="E619" s="433" t="s">
        <v>951</v>
      </c>
      <c r="F619" s="283">
        <f t="shared" ref="F619:K619" si="425">F620*INDEX(MBSDecCalc,$C608,3)</f>
        <v>0</v>
      </c>
      <c r="G619" s="283">
        <f t="shared" si="425"/>
        <v>0</v>
      </c>
      <c r="H619" s="283">
        <f t="shared" si="425"/>
        <v>0</v>
      </c>
      <c r="I619" s="283">
        <f t="shared" si="425"/>
        <v>0</v>
      </c>
      <c r="J619" s="283">
        <f t="shared" si="425"/>
        <v>0</v>
      </c>
      <c r="K619" s="283">
        <f t="shared" si="425"/>
        <v>0</v>
      </c>
      <c r="L619" s="490"/>
      <c r="M619" s="615"/>
      <c r="N619" s="615"/>
      <c r="O619" s="678"/>
      <c r="P619" s="678"/>
      <c r="Q619" s="673"/>
      <c r="R619" s="673"/>
      <c r="S619" s="673"/>
      <c r="T619" s="673"/>
      <c r="U619" s="673"/>
      <c r="V619" s="673"/>
      <c r="W619" s="490"/>
      <c r="X619" s="676"/>
      <c r="Y619" s="676"/>
      <c r="Z619" s="676"/>
      <c r="AA619" s="676"/>
      <c r="AB619" s="675"/>
      <c r="AC619" s="490"/>
      <c r="AD619" s="490"/>
      <c r="AE619" s="490"/>
      <c r="AF619" s="490"/>
      <c r="AG619" s="490"/>
      <c r="AH619" s="490"/>
      <c r="AI619" s="490"/>
      <c r="AJ619" s="490"/>
      <c r="AK619" s="490"/>
      <c r="AL619" s="490"/>
      <c r="AM619" s="490"/>
      <c r="AN619" s="490"/>
      <c r="AO619" s="490"/>
      <c r="AP619" s="490"/>
      <c r="AQ619" s="490"/>
      <c r="AR619" s="490"/>
      <c r="AS619" s="490"/>
      <c r="AT619" s="490"/>
      <c r="AU619" s="490"/>
      <c r="AV619" s="490"/>
      <c r="AW619" s="490"/>
      <c r="AX619" s="490"/>
      <c r="AY619" s="490"/>
      <c r="AZ619" s="491"/>
      <c r="BA619" s="491"/>
      <c r="BB619" s="491"/>
    </row>
    <row r="620" spans="1:54" hidden="1" outlineLevel="2" x14ac:dyDescent="0.2">
      <c r="A620" s="243"/>
      <c r="B620" s="672"/>
      <c r="C620" s="242" t="str">
        <f>C612</f>
        <v/>
      </c>
      <c r="D620" s="243"/>
      <c r="E620" s="62" t="s">
        <v>1310</v>
      </c>
      <c r="F620" s="63">
        <f t="shared" ref="F620:K620" si="426">IF(INDEX(MBSDecRate,$C608,2)=2,IFERROR(INDEX(RPBSScriptsChanged,$C620,F617),0),IFERROR(INDEX(MBSRPBSDec,$C608,INDEX(MBSDecRate,$C608,3)*7+F617),0) * IFERROR(INDEX(MBSDecPopSplit,$C608),0)) * INDEX(MBSDecRate,$C608,1) * INDEX(MBSDecRate,$C608,4)</f>
        <v>0</v>
      </c>
      <c r="G620" s="63">
        <f t="shared" si="426"/>
        <v>0</v>
      </c>
      <c r="H620" s="63">
        <f t="shared" si="426"/>
        <v>0</v>
      </c>
      <c r="I620" s="63">
        <f t="shared" si="426"/>
        <v>0</v>
      </c>
      <c r="J620" s="63">
        <f t="shared" si="426"/>
        <v>0</v>
      </c>
      <c r="K620" s="63">
        <f t="shared" si="426"/>
        <v>0</v>
      </c>
      <c r="L620" s="490"/>
      <c r="M620" s="243"/>
      <c r="N620" s="753"/>
      <c r="O620" s="678"/>
      <c r="P620" s="678"/>
      <c r="Q620" s="673"/>
      <c r="R620" s="673"/>
      <c r="S620" s="673"/>
      <c r="T620" s="673"/>
      <c r="U620" s="673"/>
      <c r="V620" s="673"/>
      <c r="W620" s="490"/>
      <c r="X620" s="676"/>
      <c r="Y620" s="676"/>
      <c r="Z620" s="676"/>
      <c r="AA620" s="676"/>
      <c r="AB620" s="675"/>
      <c r="AC620" s="490"/>
      <c r="AD620" s="490"/>
      <c r="AE620" s="490"/>
      <c r="AF620" s="490"/>
      <c r="AG620" s="490"/>
      <c r="AH620" s="490"/>
      <c r="AI620" s="490"/>
      <c r="AJ620" s="490"/>
      <c r="AK620" s="490"/>
      <c r="AL620" s="490"/>
      <c r="AM620" s="490"/>
      <c r="AN620" s="490"/>
      <c r="AO620" s="490"/>
      <c r="AP620" s="490"/>
      <c r="AQ620" s="490"/>
      <c r="AR620" s="490"/>
      <c r="AS620" s="490"/>
      <c r="AT620" s="490"/>
      <c r="AU620" s="490"/>
      <c r="AV620" s="490"/>
      <c r="AW620" s="490"/>
      <c r="AX620" s="490"/>
      <c r="AY620" s="490"/>
      <c r="AZ620" s="491"/>
      <c r="BA620" s="491"/>
      <c r="BB620" s="491"/>
    </row>
    <row r="621" spans="1:54" hidden="1" outlineLevel="2" x14ac:dyDescent="0.2">
      <c r="A621" s="243"/>
      <c r="B621" s="242">
        <v>5</v>
      </c>
      <c r="C621" s="242">
        <v>6</v>
      </c>
      <c r="D621" s="243"/>
      <c r="E621" s="496" t="s">
        <v>1307</v>
      </c>
      <c r="F621" s="63" t="str">
        <f t="shared" ref="F621:K621" si="427">IFERROR(F620*INDEX(MBSDecItems,$C608,$B621)*INDEX(MBSDecItems,$C608,$C621),"")</f>
        <v/>
      </c>
      <c r="G621" s="63" t="str">
        <f t="shared" si="427"/>
        <v/>
      </c>
      <c r="H621" s="63" t="str">
        <f t="shared" si="427"/>
        <v/>
      </c>
      <c r="I621" s="63" t="str">
        <f t="shared" si="427"/>
        <v/>
      </c>
      <c r="J621" s="63" t="str">
        <f t="shared" si="427"/>
        <v/>
      </c>
      <c r="K621" s="63" t="str">
        <f t="shared" si="427"/>
        <v/>
      </c>
      <c r="L621" s="490"/>
      <c r="M621" s="683"/>
      <c r="N621" s="753"/>
      <c r="O621" s="678"/>
      <c r="P621" s="678"/>
      <c r="Q621" s="673"/>
      <c r="R621" s="673"/>
      <c r="S621" s="673"/>
      <c r="T621" s="673"/>
      <c r="U621" s="673"/>
      <c r="V621" s="673"/>
      <c r="W621" s="490"/>
      <c r="X621" s="676"/>
      <c r="Y621" s="676"/>
      <c r="Z621" s="676"/>
      <c r="AA621" s="676"/>
      <c r="AB621" s="676"/>
      <c r="AC621" s="490"/>
      <c r="AD621" s="490"/>
      <c r="AE621" s="490"/>
      <c r="AF621" s="490"/>
      <c r="AG621" s="490"/>
      <c r="AH621" s="490"/>
      <c r="AI621" s="490"/>
      <c r="AJ621" s="490"/>
      <c r="AK621" s="490"/>
      <c r="AL621" s="490"/>
      <c r="AM621" s="490"/>
      <c r="AN621" s="490"/>
      <c r="AO621" s="490"/>
      <c r="AP621" s="490"/>
      <c r="AQ621" s="490"/>
      <c r="AR621" s="490"/>
      <c r="AS621" s="490"/>
      <c r="AT621" s="490"/>
      <c r="AU621" s="490"/>
      <c r="AV621" s="490"/>
      <c r="AW621" s="490"/>
      <c r="AX621" s="490"/>
      <c r="AY621" s="490"/>
      <c r="AZ621" s="491"/>
      <c r="BA621" s="491"/>
      <c r="BB621" s="491"/>
    </row>
    <row r="622" spans="1:54" hidden="1" outlineLevel="2" x14ac:dyDescent="0.2">
      <c r="A622" s="243"/>
      <c r="B622" s="242">
        <v>4</v>
      </c>
      <c r="C622" s="242">
        <v>6</v>
      </c>
      <c r="D622" s="243"/>
      <c r="E622" s="496" t="s">
        <v>1306</v>
      </c>
      <c r="F622" s="63" t="str">
        <f t="shared" ref="F622:K622" si="428">IFERROR(F620*INDEX(MBSDecItems,$C608,$B622)*INDEX(MBSDecItems,$C608,$C622),"")</f>
        <v/>
      </c>
      <c r="G622" s="63" t="str">
        <f t="shared" si="428"/>
        <v/>
      </c>
      <c r="H622" s="63" t="str">
        <f t="shared" si="428"/>
        <v/>
      </c>
      <c r="I622" s="63" t="str">
        <f t="shared" si="428"/>
        <v/>
      </c>
      <c r="J622" s="63" t="str">
        <f t="shared" si="428"/>
        <v/>
      </c>
      <c r="K622" s="63" t="str">
        <f t="shared" si="428"/>
        <v/>
      </c>
      <c r="L622" s="490"/>
      <c r="M622" s="684"/>
      <c r="N622" s="682"/>
      <c r="O622" s="678"/>
      <c r="P622" s="678"/>
      <c r="Q622" s="673"/>
      <c r="R622" s="673"/>
      <c r="S622" s="673"/>
      <c r="T622" s="673"/>
      <c r="U622" s="673"/>
      <c r="V622" s="673"/>
      <c r="W622" s="490"/>
      <c r="X622" s="676"/>
      <c r="Y622" s="676"/>
      <c r="Z622" s="676"/>
      <c r="AA622" s="676"/>
      <c r="AB622" s="676"/>
      <c r="AC622" s="490"/>
      <c r="AD622" s="490"/>
      <c r="AE622" s="490"/>
      <c r="AF622" s="490"/>
      <c r="AG622" s="490"/>
      <c r="AH622" s="490"/>
      <c r="AI622" s="490"/>
      <c r="AJ622" s="490"/>
      <c r="AK622" s="490"/>
      <c r="AL622" s="490"/>
      <c r="AM622" s="490"/>
      <c r="AN622" s="490"/>
      <c r="AO622" s="490"/>
      <c r="AP622" s="490"/>
      <c r="AQ622" s="490"/>
      <c r="AR622" s="490"/>
      <c r="AS622" s="490"/>
      <c r="AT622" s="490"/>
      <c r="AU622" s="490"/>
      <c r="AV622" s="490"/>
      <c r="AW622" s="490"/>
      <c r="AX622" s="490"/>
      <c r="AY622" s="490"/>
      <c r="AZ622" s="491"/>
      <c r="BA622" s="491"/>
      <c r="BB622" s="491"/>
    </row>
    <row r="623" spans="1:54" hidden="1" outlineLevel="2" x14ac:dyDescent="0.2">
      <c r="A623" s="243"/>
      <c r="B623" s="242"/>
      <c r="C623" s="242">
        <v>7</v>
      </c>
      <c r="D623" s="243"/>
      <c r="E623" s="497" t="s">
        <v>1308</v>
      </c>
      <c r="F623" s="63" t="str">
        <f t="shared" ref="F623:K623" si="429">IFERROR(F620*INDEX(MBSDecItems,$C608,$C623),"")</f>
        <v/>
      </c>
      <c r="G623" s="63" t="str">
        <f t="shared" si="429"/>
        <v/>
      </c>
      <c r="H623" s="63" t="str">
        <f t="shared" si="429"/>
        <v/>
      </c>
      <c r="I623" s="63" t="str">
        <f t="shared" si="429"/>
        <v/>
      </c>
      <c r="J623" s="63" t="str">
        <f t="shared" si="429"/>
        <v/>
      </c>
      <c r="K623" s="63" t="str">
        <f t="shared" si="429"/>
        <v/>
      </c>
      <c r="L623" s="490"/>
      <c r="M623" s="684"/>
      <c r="N623" s="682"/>
      <c r="O623" s="678"/>
      <c r="P623" s="678"/>
      <c r="Q623" s="673"/>
      <c r="R623" s="673"/>
      <c r="S623" s="673"/>
      <c r="T623" s="673"/>
      <c r="U623" s="673"/>
      <c r="V623" s="673"/>
      <c r="W623" s="490"/>
      <c r="X623" s="676"/>
      <c r="Y623" s="676"/>
      <c r="Z623" s="676"/>
      <c r="AA623" s="676"/>
      <c r="AB623" s="676"/>
      <c r="AC623" s="490"/>
      <c r="AD623" s="490"/>
      <c r="AE623" s="490"/>
      <c r="AF623" s="490"/>
      <c r="AG623" s="490"/>
      <c r="AH623" s="490"/>
      <c r="AI623" s="490"/>
      <c r="AJ623" s="490"/>
      <c r="AK623" s="490"/>
      <c r="AL623" s="490"/>
      <c r="AM623" s="490"/>
      <c r="AN623" s="490"/>
      <c r="AO623" s="490"/>
      <c r="AP623" s="490"/>
      <c r="AQ623" s="490"/>
      <c r="AR623" s="490"/>
      <c r="AS623" s="490"/>
      <c r="AT623" s="490"/>
      <c r="AU623" s="490"/>
      <c r="AV623" s="490"/>
      <c r="AW623" s="490"/>
      <c r="AX623" s="490"/>
      <c r="AY623" s="490"/>
      <c r="AZ623" s="491"/>
      <c r="BA623" s="491"/>
      <c r="BB623" s="491"/>
    </row>
    <row r="624" spans="1:54" hidden="1" outlineLevel="1" x14ac:dyDescent="0.2">
      <c r="A624" s="243"/>
      <c r="B624" s="243"/>
      <c r="C624" s="243"/>
      <c r="D624" s="677"/>
      <c r="E624" s="677"/>
      <c r="F624" s="243"/>
      <c r="G624" s="243"/>
      <c r="H624" s="243"/>
      <c r="I624" s="243"/>
      <c r="J624" s="243"/>
      <c r="K624" s="243"/>
      <c r="L624" s="243"/>
      <c r="M624" s="243"/>
      <c r="N624" s="678"/>
      <c r="O624" s="678"/>
      <c r="P624" s="678"/>
      <c r="Q624" s="673"/>
      <c r="R624" s="673"/>
      <c r="S624" s="673"/>
      <c r="T624" s="673"/>
      <c r="U624" s="673"/>
      <c r="V624" s="673"/>
      <c r="W624" s="490"/>
      <c r="X624" s="676"/>
      <c r="Y624" s="676"/>
      <c r="Z624" s="676"/>
      <c r="AA624" s="676"/>
      <c r="AB624" s="676"/>
      <c r="AC624" s="490"/>
      <c r="AD624" s="490"/>
      <c r="AE624" s="490"/>
      <c r="AF624" s="490"/>
      <c r="AG624" s="490"/>
      <c r="AH624" s="490"/>
      <c r="AI624" s="490"/>
      <c r="AJ624" s="490"/>
      <c r="AK624" s="490"/>
      <c r="AL624" s="490"/>
      <c r="AM624" s="490"/>
      <c r="AN624" s="490"/>
      <c r="AO624" s="490"/>
      <c r="AP624" s="490"/>
      <c r="AQ624" s="490"/>
      <c r="AR624" s="490"/>
      <c r="AS624" s="490"/>
      <c r="AT624" s="490"/>
      <c r="AU624" s="490"/>
      <c r="AV624" s="490"/>
      <c r="AW624" s="490"/>
      <c r="AX624" s="490"/>
      <c r="AY624" s="490"/>
      <c r="AZ624" s="491"/>
      <c r="BA624" s="491"/>
      <c r="BB624" s="491"/>
    </row>
    <row r="625" spans="1:54" ht="15.75" hidden="1" outlineLevel="1" x14ac:dyDescent="0.2">
      <c r="A625" s="243"/>
      <c r="B625" s="243"/>
      <c r="C625" s="242">
        <v>8</v>
      </c>
      <c r="D625" s="79" t="str">
        <f>INDEX(MBSDecNames,C625)</f>
        <v>** NOT USED **</v>
      </c>
      <c r="E625" s="79"/>
      <c r="F625" s="115"/>
      <c r="G625" s="115"/>
      <c r="H625" s="115"/>
      <c r="I625" s="115"/>
      <c r="J625" s="821" t="str">
        <f>IF(D625&lt;&gt;MsgNotUsed,"Co-payment group " &amp; K465,"")</f>
        <v/>
      </c>
      <c r="K625" s="821"/>
      <c r="L625" s="115"/>
      <c r="M625" s="115"/>
      <c r="N625" s="115"/>
      <c r="O625" s="115"/>
      <c r="P625" s="115"/>
      <c r="Q625" s="115"/>
      <c r="R625" s="115"/>
      <c r="S625" s="115"/>
      <c r="T625" s="115"/>
      <c r="U625" s="115"/>
      <c r="V625" s="115"/>
      <c r="W625" s="491"/>
      <c r="X625" s="490"/>
      <c r="Y625" s="490"/>
      <c r="Z625" s="490"/>
      <c r="AA625" s="490"/>
      <c r="AB625" s="676"/>
      <c r="AC625" s="490"/>
      <c r="AD625" s="490"/>
      <c r="AE625" s="490"/>
      <c r="AF625" s="490"/>
      <c r="AG625" s="490"/>
      <c r="AH625" s="490"/>
      <c r="AI625" s="490"/>
      <c r="AJ625" s="490"/>
      <c r="AK625" s="490"/>
      <c r="AL625" s="490"/>
      <c r="AM625" s="490"/>
      <c r="AN625" s="490"/>
      <c r="AO625" s="490"/>
      <c r="AP625" s="490"/>
      <c r="AQ625" s="490"/>
      <c r="AR625" s="490"/>
      <c r="AS625" s="490"/>
      <c r="AT625" s="490"/>
      <c r="AU625" s="490"/>
      <c r="AV625" s="490"/>
      <c r="AW625" s="490"/>
      <c r="AX625" s="490"/>
      <c r="AY625" s="490"/>
      <c r="AZ625" s="491"/>
      <c r="BA625" s="491"/>
      <c r="BB625" s="491"/>
    </row>
    <row r="626" spans="1:54" hidden="1" outlineLevel="2" x14ac:dyDescent="0.2">
      <c r="A626" s="243"/>
      <c r="B626" s="243"/>
      <c r="C626" s="243"/>
      <c r="D626" s="243"/>
      <c r="E626" s="243"/>
      <c r="F626" s="495">
        <v>2</v>
      </c>
      <c r="G626" s="495">
        <v>3</v>
      </c>
      <c r="H626" s="495">
        <v>4</v>
      </c>
      <c r="I626" s="495">
        <v>5</v>
      </c>
      <c r="J626" s="495">
        <v>6</v>
      </c>
      <c r="K626" s="495">
        <v>7</v>
      </c>
      <c r="L626" s="495"/>
      <c r="M626" s="243"/>
      <c r="N626" s="243"/>
      <c r="O626" s="243"/>
      <c r="P626" s="243"/>
      <c r="Q626" s="243"/>
      <c r="R626" s="243"/>
      <c r="S626" s="243"/>
      <c r="T626" s="243"/>
      <c r="U626" s="243"/>
      <c r="V626" s="243"/>
      <c r="W626" s="490"/>
      <c r="X626" s="490"/>
      <c r="Y626" s="490"/>
      <c r="Z626" s="490"/>
      <c r="AA626" s="490"/>
      <c r="AB626" s="676"/>
      <c r="AC626" s="490"/>
      <c r="AD626" s="490"/>
      <c r="AE626" s="490"/>
      <c r="AF626" s="490"/>
      <c r="AG626" s="490"/>
      <c r="AH626" s="490"/>
      <c r="AI626" s="490"/>
      <c r="AJ626" s="490"/>
      <c r="AK626" s="490"/>
      <c r="AL626" s="490"/>
      <c r="AM626" s="490"/>
      <c r="AN626" s="490"/>
      <c r="AO626" s="490"/>
      <c r="AP626" s="490"/>
      <c r="AQ626" s="490"/>
      <c r="AR626" s="490"/>
      <c r="AS626" s="490"/>
      <c r="AT626" s="490"/>
      <c r="AU626" s="490"/>
      <c r="AV626" s="490"/>
      <c r="AW626" s="490"/>
      <c r="AX626" s="490"/>
      <c r="AY626" s="490"/>
      <c r="AZ626" s="491"/>
      <c r="BA626" s="491"/>
      <c r="BB626" s="491"/>
    </row>
    <row r="627" spans="1:54" ht="15" hidden="1" outlineLevel="2" x14ac:dyDescent="0.2">
      <c r="A627" s="243"/>
      <c r="B627" s="243"/>
      <c r="C627" s="243"/>
      <c r="D627" s="663" t="s">
        <v>0</v>
      </c>
      <c r="E627" s="663"/>
      <c r="F627" s="630">
        <f>FirstYear</f>
        <v>2021</v>
      </c>
      <c r="G627" s="630">
        <f>F627+1</f>
        <v>2022</v>
      </c>
      <c r="H627" s="630">
        <f>G627+1</f>
        <v>2023</v>
      </c>
      <c r="I627" s="630">
        <f>H627+1</f>
        <v>2024</v>
      </c>
      <c r="J627" s="630">
        <f>I627+1</f>
        <v>2025</v>
      </c>
      <c r="K627" s="630">
        <f>J627+1</f>
        <v>2026</v>
      </c>
      <c r="L627" s="491"/>
      <c r="M627" s="113"/>
      <c r="N627" s="679"/>
      <c r="O627" s="679"/>
      <c r="P627" s="679"/>
      <c r="Q627" s="674"/>
      <c r="R627" s="674"/>
      <c r="S627" s="674"/>
      <c r="T627" s="674"/>
      <c r="U627" s="674"/>
      <c r="V627" s="674"/>
      <c r="W627" s="491"/>
      <c r="X627" s="674"/>
      <c r="Y627" s="674"/>
      <c r="Z627" s="674"/>
      <c r="AA627" s="674"/>
      <c r="AB627" s="676"/>
      <c r="AC627" s="490"/>
      <c r="AD627" s="490"/>
      <c r="AE627" s="490"/>
      <c r="AF627" s="490"/>
      <c r="AG627" s="490"/>
      <c r="AH627" s="490"/>
      <c r="AI627" s="490"/>
      <c r="AJ627" s="490"/>
      <c r="AK627" s="490"/>
      <c r="AL627" s="490"/>
      <c r="AM627" s="490"/>
      <c r="AN627" s="490"/>
      <c r="AO627" s="490"/>
      <c r="AP627" s="490"/>
      <c r="AQ627" s="490"/>
      <c r="AR627" s="490"/>
      <c r="AS627" s="490"/>
      <c r="AT627" s="490"/>
      <c r="AU627" s="490"/>
      <c r="AV627" s="490"/>
      <c r="AW627" s="490"/>
      <c r="AX627" s="490"/>
      <c r="AY627" s="490"/>
      <c r="AZ627" s="491"/>
      <c r="BA627" s="491"/>
      <c r="BB627" s="491"/>
    </row>
    <row r="628" spans="1:54" hidden="1" outlineLevel="2" collapsed="1" x14ac:dyDescent="0.2">
      <c r="A628" s="243"/>
      <c r="B628" s="243"/>
      <c r="C628" s="243"/>
      <c r="D628" s="243"/>
      <c r="E628" s="433" t="s">
        <v>951</v>
      </c>
      <c r="F628" s="283">
        <f t="shared" ref="F628:K628" si="430">F629*INDEX(MBSDecCalc,$C625,3)</f>
        <v>0</v>
      </c>
      <c r="G628" s="283">
        <f t="shared" si="430"/>
        <v>0</v>
      </c>
      <c r="H628" s="283">
        <f t="shared" si="430"/>
        <v>0</v>
      </c>
      <c r="I628" s="283">
        <f t="shared" si="430"/>
        <v>0</v>
      </c>
      <c r="J628" s="283">
        <f t="shared" si="430"/>
        <v>0</v>
      </c>
      <c r="K628" s="283">
        <f t="shared" si="430"/>
        <v>0</v>
      </c>
      <c r="L628" s="490"/>
      <c r="M628" s="680"/>
      <c r="N628" s="664"/>
      <c r="O628" s="664"/>
      <c r="P628" s="664"/>
      <c r="Q628" s="681"/>
      <c r="R628" s="681"/>
      <c r="S628" s="681"/>
      <c r="T628" s="681"/>
      <c r="U628" s="681"/>
      <c r="V628" s="681"/>
      <c r="W628" s="493"/>
      <c r="X628" s="561">
        <f>INDEX(MBSDecItems,C625,1)</f>
        <v>0</v>
      </c>
      <c r="Y628" s="561">
        <f>FirstYear</f>
        <v>2021</v>
      </c>
      <c r="Z628" s="560">
        <f>IF(F629&lt;&gt;0,F629-F631,0)</f>
        <v>0</v>
      </c>
      <c r="AA628" s="560">
        <f>IF(F637&lt;&gt;0,F637-F639,0)</f>
        <v>0</v>
      </c>
      <c r="AB628" s="676"/>
      <c r="AC628" s="490"/>
      <c r="AD628" s="490"/>
      <c r="AE628" s="490"/>
      <c r="AF628" s="490"/>
      <c r="AG628" s="490"/>
      <c r="AH628" s="490"/>
      <c r="AI628" s="490"/>
      <c r="AJ628" s="490"/>
      <c r="AK628" s="490"/>
      <c r="AL628" s="490"/>
      <c r="AM628" s="490"/>
      <c r="AN628" s="490"/>
      <c r="AO628" s="490"/>
      <c r="AP628" s="490"/>
      <c r="AQ628" s="490"/>
      <c r="AR628" s="490"/>
      <c r="AS628" s="490"/>
      <c r="AT628" s="490"/>
      <c r="AU628" s="490"/>
      <c r="AV628" s="490"/>
      <c r="AW628" s="490"/>
      <c r="AX628" s="490"/>
      <c r="AY628" s="490"/>
      <c r="AZ628" s="491"/>
      <c r="BA628" s="491"/>
      <c r="BB628" s="491"/>
    </row>
    <row r="629" spans="1:54" hidden="1" outlineLevel="2" x14ac:dyDescent="0.2">
      <c r="A629" s="243"/>
      <c r="B629" s="672"/>
      <c r="C629" s="242" t="str">
        <f>INDEX(MBSDecCalc,C625,2)</f>
        <v/>
      </c>
      <c r="D629" s="243"/>
      <c r="E629" s="62" t="s">
        <v>1310</v>
      </c>
      <c r="F629" s="63">
        <f t="shared" ref="F629:K629" si="431">IF(INDEX(MBSDecRate,$C625,2)=2,IFERROR(INDEX(PBSScriptsChanged,$C629,F626),0),IFERROR(INDEX(MBSPBSDec,$C625,INDEX(MBSDecRate,$C625,3)*7+F626),0) * IFERROR(INDEX(MBSDecPopSplit,$C625),0)) * INDEX(MBSDecRate,$C625,1) * INDEX(MBSDecRate,$C625,4)</f>
        <v>0</v>
      </c>
      <c r="G629" s="63">
        <f t="shared" si="431"/>
        <v>0</v>
      </c>
      <c r="H629" s="63">
        <f t="shared" si="431"/>
        <v>0</v>
      </c>
      <c r="I629" s="63">
        <f t="shared" si="431"/>
        <v>0</v>
      </c>
      <c r="J629" s="63">
        <f t="shared" si="431"/>
        <v>0</v>
      </c>
      <c r="K629" s="63">
        <f t="shared" si="431"/>
        <v>0</v>
      </c>
      <c r="L629" s="490"/>
      <c r="M629" s="493"/>
      <c r="N629" s="493"/>
      <c r="O629" s="664"/>
      <c r="P629" s="664"/>
      <c r="Q629" s="681"/>
      <c r="R629" s="681"/>
      <c r="S629" s="681"/>
      <c r="T629" s="681"/>
      <c r="U629" s="681"/>
      <c r="V629" s="681"/>
      <c r="W629" s="493"/>
      <c r="X629" s="561">
        <f>X628</f>
        <v>0</v>
      </c>
      <c r="Y629" s="561">
        <f>Y628+1</f>
        <v>2022</v>
      </c>
      <c r="Z629" s="560">
        <f>IF(G629&lt;&gt;0,G629-G631,0)</f>
        <v>0</v>
      </c>
      <c r="AA629" s="560">
        <f>IF(G637&lt;&gt;0,G637-G639,0)</f>
        <v>0</v>
      </c>
      <c r="AB629" s="676"/>
      <c r="AC629" s="490"/>
      <c r="AD629" s="490"/>
      <c r="AE629" s="490"/>
      <c r="AF629" s="490"/>
      <c r="AG629" s="490"/>
      <c r="AH629" s="490"/>
      <c r="AI629" s="490"/>
      <c r="AJ629" s="490"/>
      <c r="AK629" s="490"/>
      <c r="AL629" s="490"/>
      <c r="AM629" s="490"/>
      <c r="AN629" s="490"/>
      <c r="AO629" s="490"/>
      <c r="AP629" s="490"/>
      <c r="AQ629" s="490"/>
      <c r="AR629" s="490"/>
      <c r="AS629" s="490"/>
      <c r="AT629" s="490"/>
      <c r="AU629" s="490"/>
      <c r="AV629" s="490"/>
      <c r="AW629" s="490"/>
      <c r="AX629" s="490"/>
      <c r="AY629" s="490"/>
      <c r="AZ629" s="491"/>
      <c r="BA629" s="491"/>
      <c r="BB629" s="491"/>
    </row>
    <row r="630" spans="1:54" hidden="1" outlineLevel="2" x14ac:dyDescent="0.2">
      <c r="A630" s="243"/>
      <c r="B630" s="242">
        <v>5</v>
      </c>
      <c r="C630" s="242">
        <v>6</v>
      </c>
      <c r="D630" s="243"/>
      <c r="E630" s="496" t="s">
        <v>1307</v>
      </c>
      <c r="F630" s="63" t="str">
        <f t="shared" ref="F630:K630" si="432">IFERROR(F629*INDEX(MBSDecItems,$C625,$B630)*INDEX(MBSDecItems,$C625,$C630),"")</f>
        <v/>
      </c>
      <c r="G630" s="63" t="str">
        <f t="shared" si="432"/>
        <v/>
      </c>
      <c r="H630" s="63" t="str">
        <f t="shared" si="432"/>
        <v/>
      </c>
      <c r="I630" s="63" t="str">
        <f t="shared" si="432"/>
        <v/>
      </c>
      <c r="J630" s="63" t="str">
        <f t="shared" si="432"/>
        <v/>
      </c>
      <c r="K630" s="63" t="str">
        <f t="shared" si="432"/>
        <v/>
      </c>
      <c r="L630" s="490"/>
      <c r="M630" s="493"/>
      <c r="N630" s="493"/>
      <c r="O630" s="682"/>
      <c r="P630" s="754"/>
      <c r="Q630" s="681"/>
      <c r="R630" s="681"/>
      <c r="S630" s="681"/>
      <c r="T630" s="681"/>
      <c r="U630" s="681"/>
      <c r="V630" s="681"/>
      <c r="W630" s="493"/>
      <c r="X630" s="561">
        <f t="shared" ref="X630:X633" si="433">X629</f>
        <v>0</v>
      </c>
      <c r="Y630" s="561">
        <f>Y629+1</f>
        <v>2023</v>
      </c>
      <c r="Z630" s="560">
        <f>IF(H629&lt;&gt;0,H629-H631,0)</f>
        <v>0</v>
      </c>
      <c r="AA630" s="560">
        <f>IF(H637&lt;&gt;0,H637-H639,0)</f>
        <v>0</v>
      </c>
      <c r="AB630" s="676"/>
      <c r="AC630" s="490"/>
      <c r="AD630" s="490"/>
      <c r="AE630" s="490"/>
      <c r="AF630" s="490"/>
      <c r="AG630" s="490"/>
      <c r="AH630" s="490"/>
      <c r="AI630" s="490"/>
      <c r="AJ630" s="490"/>
      <c r="AK630" s="490"/>
      <c r="AL630" s="490"/>
      <c r="AM630" s="490"/>
      <c r="AN630" s="490"/>
      <c r="AO630" s="490"/>
      <c r="AP630" s="490"/>
      <c r="AQ630" s="490"/>
      <c r="AR630" s="490"/>
      <c r="AS630" s="490"/>
      <c r="AT630" s="490"/>
      <c r="AU630" s="490"/>
      <c r="AV630" s="490"/>
      <c r="AW630" s="490"/>
      <c r="AX630" s="490"/>
      <c r="AY630" s="490"/>
      <c r="AZ630" s="491"/>
      <c r="BA630" s="491"/>
      <c r="BB630" s="491"/>
    </row>
    <row r="631" spans="1:54" hidden="1" outlineLevel="2" x14ac:dyDescent="0.2">
      <c r="A631" s="416"/>
      <c r="B631" s="242">
        <v>4</v>
      </c>
      <c r="C631" s="242">
        <v>6</v>
      </c>
      <c r="D631" s="243"/>
      <c r="E631" s="496" t="s">
        <v>1306</v>
      </c>
      <c r="F631" s="63" t="str">
        <f t="shared" ref="F631:K631" si="434">IFERROR(F629*INDEX(MBSDecItems,$C625,$B631)*INDEX(MBSDecItems,$C625,$C631),"")</f>
        <v/>
      </c>
      <c r="G631" s="63" t="str">
        <f t="shared" si="434"/>
        <v/>
      </c>
      <c r="H631" s="63" t="str">
        <f t="shared" si="434"/>
        <v/>
      </c>
      <c r="I631" s="63" t="str">
        <f t="shared" si="434"/>
        <v/>
      </c>
      <c r="J631" s="63" t="str">
        <f t="shared" si="434"/>
        <v/>
      </c>
      <c r="K631" s="63" t="str">
        <f t="shared" si="434"/>
        <v/>
      </c>
      <c r="L631" s="416"/>
      <c r="M631" s="416"/>
      <c r="N631" s="416"/>
      <c r="O631" s="416"/>
      <c r="P631" s="416"/>
      <c r="Q631" s="416"/>
      <c r="R631" s="416"/>
      <c r="S631" s="416"/>
      <c r="T631" s="416"/>
      <c r="U631" s="416"/>
      <c r="V631" s="416"/>
      <c r="W631" s="493"/>
      <c r="X631" s="561">
        <f t="shared" si="433"/>
        <v>0</v>
      </c>
      <c r="Y631" s="561">
        <f>Y630+1</f>
        <v>2024</v>
      </c>
      <c r="Z631" s="560">
        <f>IF(I629&lt;&gt;0,I629-I631,0)</f>
        <v>0</v>
      </c>
      <c r="AA631" s="560">
        <f>IF(I637&lt;&gt;0,I637-I639,0)</f>
        <v>0</v>
      </c>
      <c r="AB631" s="674"/>
      <c r="AC631" s="490"/>
      <c r="AD631" s="490"/>
      <c r="AE631" s="490"/>
      <c r="AF631" s="490"/>
      <c r="AG631" s="490"/>
      <c r="AH631" s="490"/>
      <c r="AI631" s="490"/>
      <c r="AJ631" s="490"/>
      <c r="AK631" s="490"/>
      <c r="AL631" s="490"/>
      <c r="AM631" s="490"/>
      <c r="AN631" s="490"/>
      <c r="AO631" s="490"/>
      <c r="AP631" s="490"/>
      <c r="AQ631" s="490"/>
      <c r="AR631" s="490"/>
      <c r="AS631" s="490"/>
      <c r="AT631" s="490"/>
      <c r="AU631" s="490"/>
      <c r="AV631" s="490"/>
      <c r="AW631" s="490"/>
      <c r="AX631" s="490"/>
      <c r="AY631" s="490"/>
      <c r="AZ631" s="491"/>
      <c r="BA631" s="491"/>
      <c r="BB631" s="491"/>
    </row>
    <row r="632" spans="1:54" hidden="1" outlineLevel="2" x14ac:dyDescent="0.2">
      <c r="A632" s="243"/>
      <c r="B632" s="242"/>
      <c r="C632" s="242">
        <v>7</v>
      </c>
      <c r="D632" s="243"/>
      <c r="E632" s="497" t="s">
        <v>1308</v>
      </c>
      <c r="F632" s="63" t="str">
        <f t="shared" ref="F632:K632" si="435">IFERROR(F629*INDEX(MBSDecItems,$C625,$C632),"")</f>
        <v/>
      </c>
      <c r="G632" s="63" t="str">
        <f t="shared" si="435"/>
        <v/>
      </c>
      <c r="H632" s="63" t="str">
        <f t="shared" si="435"/>
        <v/>
      </c>
      <c r="I632" s="63" t="str">
        <f t="shared" si="435"/>
        <v/>
      </c>
      <c r="J632" s="63" t="str">
        <f t="shared" si="435"/>
        <v/>
      </c>
      <c r="K632" s="63" t="str">
        <f t="shared" si="435"/>
        <v/>
      </c>
      <c r="L632" s="490"/>
      <c r="M632" s="493"/>
      <c r="N632" s="493"/>
      <c r="O632" s="682"/>
      <c r="P632" s="754"/>
      <c r="Q632" s="681"/>
      <c r="R632" s="681"/>
      <c r="S632" s="681"/>
      <c r="T632" s="681"/>
      <c r="U632" s="681"/>
      <c r="V632" s="681"/>
      <c r="W632" s="493"/>
      <c r="X632" s="561">
        <f t="shared" si="433"/>
        <v>0</v>
      </c>
      <c r="Y632" s="561">
        <f>Y631+1</f>
        <v>2025</v>
      </c>
      <c r="Z632" s="560">
        <f>IF(J629&lt;&gt;0,J629-J631,0)</f>
        <v>0</v>
      </c>
      <c r="AA632" s="560">
        <f>IF(J637&lt;&gt;0,J637-J639,0)</f>
        <v>0</v>
      </c>
      <c r="AB632" s="674"/>
      <c r="AC632" s="490"/>
      <c r="AD632" s="490"/>
      <c r="AE632" s="490"/>
      <c r="AF632" s="490"/>
      <c r="AG632" s="490"/>
      <c r="AH632" s="490"/>
      <c r="AI632" s="490"/>
      <c r="AJ632" s="490"/>
      <c r="AK632" s="490"/>
      <c r="AL632" s="490"/>
      <c r="AM632" s="490"/>
      <c r="AN632" s="490"/>
      <c r="AO632" s="490"/>
      <c r="AP632" s="490"/>
      <c r="AQ632" s="490"/>
      <c r="AR632" s="490"/>
      <c r="AS632" s="490"/>
      <c r="AT632" s="490"/>
      <c r="AU632" s="490"/>
      <c r="AV632" s="490"/>
      <c r="AW632" s="490"/>
      <c r="AX632" s="490"/>
      <c r="AY632" s="490"/>
      <c r="AZ632" s="491"/>
      <c r="BA632" s="491"/>
      <c r="BB632" s="491"/>
    </row>
    <row r="633" spans="1:54" hidden="1" outlineLevel="2" x14ac:dyDescent="0.2">
      <c r="A633" s="243"/>
      <c r="B633" s="493"/>
      <c r="C633" s="493"/>
      <c r="D633" s="493"/>
      <c r="E633" s="493"/>
      <c r="F633" s="493"/>
      <c r="G633" s="493"/>
      <c r="H633" s="493"/>
      <c r="I633" s="493"/>
      <c r="J633" s="493"/>
      <c r="K633" s="493"/>
      <c r="L633" s="490"/>
      <c r="M633" s="493"/>
      <c r="N633" s="493"/>
      <c r="O633" s="682"/>
      <c r="P633" s="682"/>
      <c r="Q633" s="681"/>
      <c r="R633" s="681"/>
      <c r="S633" s="681"/>
      <c r="T633" s="681"/>
      <c r="U633" s="681"/>
      <c r="V633" s="681"/>
      <c r="W633" s="493"/>
      <c r="X633" s="561">
        <f t="shared" si="433"/>
        <v>0</v>
      </c>
      <c r="Y633" s="561">
        <f>Y632+1</f>
        <v>2026</v>
      </c>
      <c r="Z633" s="560">
        <f>IF(K629&lt;&gt;0,K629-K631,0)</f>
        <v>0</v>
      </c>
      <c r="AA633" s="560">
        <f>IF(K637&lt;&gt;0,K637-K639,0)</f>
        <v>0</v>
      </c>
      <c r="AB633" s="675"/>
      <c r="AC633" s="490"/>
      <c r="AD633" s="490"/>
      <c r="AE633" s="490"/>
      <c r="AF633" s="490"/>
      <c r="AG633" s="490"/>
      <c r="AH633" s="490"/>
      <c r="AI633" s="490"/>
      <c r="AJ633" s="490"/>
      <c r="AK633" s="490"/>
      <c r="AL633" s="490"/>
      <c r="AM633" s="490"/>
      <c r="AN633" s="490"/>
      <c r="AO633" s="490"/>
      <c r="AP633" s="490"/>
      <c r="AQ633" s="490"/>
      <c r="AR633" s="490"/>
      <c r="AS633" s="490"/>
      <c r="AT633" s="490"/>
      <c r="AU633" s="490"/>
      <c r="AV633" s="490"/>
      <c r="AW633" s="490"/>
      <c r="AX633" s="490"/>
      <c r="AY633" s="490"/>
      <c r="AZ633" s="491"/>
      <c r="BA633" s="491"/>
      <c r="BB633" s="491"/>
    </row>
    <row r="634" spans="1:54" hidden="1" outlineLevel="2" x14ac:dyDescent="0.2">
      <c r="A634" s="243"/>
      <c r="B634" s="243"/>
      <c r="C634" s="243"/>
      <c r="D634" s="677"/>
      <c r="E634" s="677"/>
      <c r="F634" s="495">
        <v>2</v>
      </c>
      <c r="G634" s="495">
        <v>3</v>
      </c>
      <c r="H634" s="495">
        <v>4</v>
      </c>
      <c r="I634" s="495">
        <v>5</v>
      </c>
      <c r="J634" s="495">
        <v>6</v>
      </c>
      <c r="K634" s="495">
        <v>7</v>
      </c>
      <c r="L634" s="490"/>
      <c r="M634" s="243"/>
      <c r="N634" s="678"/>
      <c r="O634" s="678"/>
      <c r="P634" s="678"/>
      <c r="Q634" s="673"/>
      <c r="R634" s="673"/>
      <c r="S634" s="673"/>
      <c r="T634" s="673"/>
      <c r="U634" s="673"/>
      <c r="V634" s="673"/>
      <c r="W634" s="490"/>
      <c r="X634" s="676"/>
      <c r="Y634" s="676"/>
      <c r="Z634" s="676"/>
      <c r="AA634" s="676"/>
      <c r="AB634" s="675"/>
      <c r="AC634" s="490"/>
      <c r="AD634" s="490"/>
      <c r="AE634" s="490"/>
      <c r="AF634" s="490"/>
      <c r="AG634" s="490"/>
      <c r="AH634" s="490"/>
      <c r="AI634" s="490"/>
      <c r="AJ634" s="490"/>
      <c r="AK634" s="490"/>
      <c r="AL634" s="490"/>
      <c r="AM634" s="490"/>
      <c r="AN634" s="490"/>
      <c r="AO634" s="490"/>
      <c r="AP634" s="490"/>
      <c r="AQ634" s="490"/>
      <c r="AR634" s="490"/>
      <c r="AS634" s="490"/>
      <c r="AT634" s="490"/>
      <c r="AU634" s="490"/>
      <c r="AV634" s="490"/>
      <c r="AW634" s="490"/>
      <c r="AX634" s="490"/>
      <c r="AY634" s="490"/>
      <c r="AZ634" s="491"/>
      <c r="BA634" s="491"/>
      <c r="BB634" s="491"/>
    </row>
    <row r="635" spans="1:54" ht="15.75" hidden="1" outlineLevel="2" x14ac:dyDescent="0.2">
      <c r="A635" s="243"/>
      <c r="B635" s="243"/>
      <c r="C635" s="243"/>
      <c r="D635" s="663" t="s">
        <v>1</v>
      </c>
      <c r="E635" s="663"/>
      <c r="F635" s="751">
        <f>FirstYear</f>
        <v>2021</v>
      </c>
      <c r="G635" s="751">
        <f>F635+1</f>
        <v>2022</v>
      </c>
      <c r="H635" s="751">
        <f>G635+1</f>
        <v>2023</v>
      </c>
      <c r="I635" s="751">
        <f>H635+1</f>
        <v>2024</v>
      </c>
      <c r="J635" s="751">
        <f>I635+1</f>
        <v>2025</v>
      </c>
      <c r="K635" s="751">
        <f>J635+1</f>
        <v>2026</v>
      </c>
      <c r="L635" s="491"/>
      <c r="M635" s="243"/>
      <c r="N635" s="685"/>
      <c r="O635" s="685"/>
      <c r="P635" s="685"/>
      <c r="Q635" s="673"/>
      <c r="R635" s="673"/>
      <c r="S635" s="673"/>
      <c r="T635" s="673"/>
      <c r="U635" s="673"/>
      <c r="V635" s="673"/>
      <c r="W635" s="491"/>
      <c r="X635" s="676"/>
      <c r="Y635" s="676"/>
      <c r="Z635" s="676"/>
      <c r="AA635" s="676"/>
      <c r="AB635" s="675"/>
      <c r="AC635" s="490"/>
      <c r="AD635" s="490"/>
      <c r="AE635" s="490"/>
      <c r="AF635" s="490"/>
      <c r="AG635" s="490"/>
      <c r="AH635" s="490"/>
      <c r="AI635" s="490"/>
      <c r="AJ635" s="490"/>
      <c r="AK635" s="490"/>
      <c r="AL635" s="490"/>
      <c r="AM635" s="490"/>
      <c r="AN635" s="490"/>
      <c r="AO635" s="490"/>
      <c r="AP635" s="490"/>
      <c r="AQ635" s="490"/>
      <c r="AR635" s="490"/>
      <c r="AS635" s="490"/>
      <c r="AT635" s="490"/>
      <c r="AU635" s="490"/>
      <c r="AV635" s="490"/>
      <c r="AW635" s="490"/>
      <c r="AX635" s="490"/>
      <c r="AY635" s="490"/>
      <c r="AZ635" s="491"/>
      <c r="BA635" s="491"/>
      <c r="BB635" s="491"/>
    </row>
    <row r="636" spans="1:54" hidden="1" outlineLevel="2" x14ac:dyDescent="0.2">
      <c r="A636" s="243"/>
      <c r="B636" s="243"/>
      <c r="C636" s="243"/>
      <c r="D636" s="243"/>
      <c r="E636" s="433" t="s">
        <v>951</v>
      </c>
      <c r="F636" s="283">
        <f t="shared" ref="F636:K636" si="436">F637*INDEX(MBSDecCalc,$C625,3)</f>
        <v>0</v>
      </c>
      <c r="G636" s="283">
        <f t="shared" si="436"/>
        <v>0</v>
      </c>
      <c r="H636" s="283">
        <f t="shared" si="436"/>
        <v>0</v>
      </c>
      <c r="I636" s="283">
        <f t="shared" si="436"/>
        <v>0</v>
      </c>
      <c r="J636" s="283">
        <f t="shared" si="436"/>
        <v>0</v>
      </c>
      <c r="K636" s="283">
        <f t="shared" si="436"/>
        <v>0</v>
      </c>
      <c r="L636" s="490"/>
      <c r="M636" s="615"/>
      <c r="N636" s="615"/>
      <c r="O636" s="678"/>
      <c r="P636" s="678"/>
      <c r="Q636" s="673"/>
      <c r="R636" s="673"/>
      <c r="S636" s="673"/>
      <c r="T636" s="673"/>
      <c r="U636" s="673"/>
      <c r="V636" s="673"/>
      <c r="W636" s="490"/>
      <c r="X636" s="676"/>
      <c r="Y636" s="676"/>
      <c r="Z636" s="676"/>
      <c r="AA636" s="676"/>
      <c r="AB636" s="675"/>
      <c r="AC636" s="490"/>
      <c r="AD636" s="490"/>
      <c r="AE636" s="490"/>
      <c r="AF636" s="490"/>
      <c r="AG636" s="490"/>
      <c r="AH636" s="490"/>
      <c r="AI636" s="490"/>
      <c r="AJ636" s="490"/>
      <c r="AK636" s="490"/>
      <c r="AL636" s="490"/>
      <c r="AM636" s="490"/>
      <c r="AN636" s="490"/>
      <c r="AO636" s="490"/>
      <c r="AP636" s="490"/>
      <c r="AQ636" s="490"/>
      <c r="AR636" s="490"/>
      <c r="AS636" s="490"/>
      <c r="AT636" s="490"/>
      <c r="AU636" s="490"/>
      <c r="AV636" s="490"/>
      <c r="AW636" s="490"/>
      <c r="AX636" s="490"/>
      <c r="AY636" s="490"/>
      <c r="AZ636" s="491"/>
      <c r="BA636" s="491"/>
      <c r="BB636" s="491"/>
    </row>
    <row r="637" spans="1:54" hidden="1" outlineLevel="2" x14ac:dyDescent="0.2">
      <c r="A637" s="243"/>
      <c r="B637" s="672"/>
      <c r="C637" s="242" t="str">
        <f>C629</f>
        <v/>
      </c>
      <c r="D637" s="243"/>
      <c r="E637" s="62" t="s">
        <v>1310</v>
      </c>
      <c r="F637" s="63">
        <f t="shared" ref="F637:K637" si="437">IF(INDEX(MBSDecRate,$C625,2)=2,IFERROR(INDEX(RPBSScriptsChanged,$C637,F634),0),IFERROR(INDEX(MBSRPBSDec,$C625,INDEX(MBSDecRate,$C625,3)*7+F634),0) * IFERROR(INDEX(MBSDecPopSplit,$C625),0)) * INDEX(MBSDecRate,$C625,1) * INDEX(MBSDecRate,$C625,4)</f>
        <v>0</v>
      </c>
      <c r="G637" s="63">
        <f t="shared" si="437"/>
        <v>0</v>
      </c>
      <c r="H637" s="63">
        <f t="shared" si="437"/>
        <v>0</v>
      </c>
      <c r="I637" s="63">
        <f t="shared" si="437"/>
        <v>0</v>
      </c>
      <c r="J637" s="63">
        <f t="shared" si="437"/>
        <v>0</v>
      </c>
      <c r="K637" s="63">
        <f t="shared" si="437"/>
        <v>0</v>
      </c>
      <c r="L637" s="490"/>
      <c r="M637" s="243"/>
      <c r="N637" s="753"/>
      <c r="O637" s="678"/>
      <c r="P637" s="678"/>
      <c r="Q637" s="673"/>
      <c r="R637" s="673"/>
      <c r="S637" s="673"/>
      <c r="T637" s="673"/>
      <c r="U637" s="673"/>
      <c r="V637" s="673"/>
      <c r="W637" s="490"/>
      <c r="X637" s="676"/>
      <c r="Y637" s="676"/>
      <c r="Z637" s="676"/>
      <c r="AA637" s="676"/>
      <c r="AB637" s="675"/>
      <c r="AC637" s="490"/>
      <c r="AD637" s="490"/>
      <c r="AE637" s="490"/>
      <c r="AF637" s="490"/>
      <c r="AG637" s="490"/>
      <c r="AH637" s="490"/>
      <c r="AI637" s="490"/>
      <c r="AJ637" s="490"/>
      <c r="AK637" s="490"/>
      <c r="AL637" s="490"/>
      <c r="AM637" s="490"/>
      <c r="AN637" s="490"/>
      <c r="AO637" s="490"/>
      <c r="AP637" s="490"/>
      <c r="AQ637" s="490"/>
      <c r="AR637" s="490"/>
      <c r="AS637" s="490"/>
      <c r="AT637" s="490"/>
      <c r="AU637" s="490"/>
      <c r="AV637" s="490"/>
      <c r="AW637" s="490"/>
      <c r="AX637" s="490"/>
      <c r="AY637" s="490"/>
      <c r="AZ637" s="491"/>
      <c r="BA637" s="491"/>
      <c r="BB637" s="491"/>
    </row>
    <row r="638" spans="1:54" hidden="1" outlineLevel="2" x14ac:dyDescent="0.2">
      <c r="A638" s="243"/>
      <c r="B638" s="242">
        <v>5</v>
      </c>
      <c r="C638" s="242">
        <v>6</v>
      </c>
      <c r="D638" s="243"/>
      <c r="E638" s="496" t="s">
        <v>1307</v>
      </c>
      <c r="F638" s="63" t="str">
        <f t="shared" ref="F638:K638" si="438">IFERROR(F637*INDEX(MBSDecItems,$C625,$B638)*INDEX(MBSDecItems,$C625,$C638),"")</f>
        <v/>
      </c>
      <c r="G638" s="63" t="str">
        <f t="shared" si="438"/>
        <v/>
      </c>
      <c r="H638" s="63" t="str">
        <f t="shared" si="438"/>
        <v/>
      </c>
      <c r="I638" s="63" t="str">
        <f t="shared" si="438"/>
        <v/>
      </c>
      <c r="J638" s="63" t="str">
        <f t="shared" si="438"/>
        <v/>
      </c>
      <c r="K638" s="63" t="str">
        <f t="shared" si="438"/>
        <v/>
      </c>
      <c r="L638" s="490"/>
      <c r="M638" s="683"/>
      <c r="N638" s="753"/>
      <c r="O638" s="678"/>
      <c r="P638" s="678"/>
      <c r="Q638" s="673"/>
      <c r="R638" s="673"/>
      <c r="S638" s="673"/>
      <c r="T638" s="673"/>
      <c r="U638" s="673"/>
      <c r="V638" s="673"/>
      <c r="W638" s="490"/>
      <c r="X638" s="676"/>
      <c r="Y638" s="676"/>
      <c r="Z638" s="676"/>
      <c r="AA638" s="676"/>
      <c r="AB638" s="676"/>
      <c r="AC638" s="490"/>
      <c r="AD638" s="490"/>
      <c r="AE638" s="490"/>
      <c r="AF638" s="490"/>
      <c r="AG638" s="490"/>
      <c r="AH638" s="490"/>
      <c r="AI638" s="490"/>
      <c r="AJ638" s="490"/>
      <c r="AK638" s="490"/>
      <c r="AL638" s="490"/>
      <c r="AM638" s="490"/>
      <c r="AN638" s="490"/>
      <c r="AO638" s="490"/>
      <c r="AP638" s="490"/>
      <c r="AQ638" s="490"/>
      <c r="AR638" s="490"/>
      <c r="AS638" s="490"/>
      <c r="AT638" s="490"/>
      <c r="AU638" s="490"/>
      <c r="AV638" s="490"/>
      <c r="AW638" s="490"/>
      <c r="AX638" s="490"/>
      <c r="AY638" s="490"/>
      <c r="AZ638" s="491"/>
      <c r="BA638" s="491"/>
      <c r="BB638" s="491"/>
    </row>
    <row r="639" spans="1:54" hidden="1" outlineLevel="2" x14ac:dyDescent="0.2">
      <c r="A639" s="243"/>
      <c r="B639" s="242">
        <v>4</v>
      </c>
      <c r="C639" s="242">
        <v>6</v>
      </c>
      <c r="D639" s="243"/>
      <c r="E639" s="496" t="s">
        <v>1306</v>
      </c>
      <c r="F639" s="63" t="str">
        <f t="shared" ref="F639:K639" si="439">IFERROR(F637*INDEX(MBSDecItems,$C625,$B639)*INDEX(MBSDecItems,$C625,$C639),"")</f>
        <v/>
      </c>
      <c r="G639" s="63" t="str">
        <f t="shared" si="439"/>
        <v/>
      </c>
      <c r="H639" s="63" t="str">
        <f t="shared" si="439"/>
        <v/>
      </c>
      <c r="I639" s="63" t="str">
        <f t="shared" si="439"/>
        <v/>
      </c>
      <c r="J639" s="63" t="str">
        <f t="shared" si="439"/>
        <v/>
      </c>
      <c r="K639" s="63" t="str">
        <f t="shared" si="439"/>
        <v/>
      </c>
      <c r="L639" s="490"/>
      <c r="M639" s="684"/>
      <c r="N639" s="682"/>
      <c r="O639" s="678"/>
      <c r="P639" s="678"/>
      <c r="Q639" s="673"/>
      <c r="R639" s="673"/>
      <c r="S639" s="673"/>
      <c r="T639" s="673"/>
      <c r="U639" s="673"/>
      <c r="V639" s="673"/>
      <c r="W639" s="490"/>
      <c r="X639" s="676"/>
      <c r="Y639" s="676"/>
      <c r="Z639" s="676"/>
      <c r="AA639" s="676"/>
      <c r="AB639" s="676"/>
      <c r="AC639" s="490"/>
      <c r="AD639" s="490"/>
      <c r="AE639" s="490"/>
      <c r="AF639" s="490"/>
      <c r="AG639" s="490"/>
      <c r="AH639" s="490"/>
      <c r="AI639" s="490"/>
      <c r="AJ639" s="490"/>
      <c r="AK639" s="490"/>
      <c r="AL639" s="490"/>
      <c r="AM639" s="490"/>
      <c r="AN639" s="490"/>
      <c r="AO639" s="490"/>
      <c r="AP639" s="490"/>
      <c r="AQ639" s="490"/>
      <c r="AR639" s="490"/>
      <c r="AS639" s="490"/>
      <c r="AT639" s="490"/>
      <c r="AU639" s="490"/>
      <c r="AV639" s="490"/>
      <c r="AW639" s="490"/>
      <c r="AX639" s="490"/>
      <c r="AY639" s="490"/>
      <c r="AZ639" s="491"/>
      <c r="BA639" s="491"/>
      <c r="BB639" s="491"/>
    </row>
    <row r="640" spans="1:54" hidden="1" outlineLevel="2" x14ac:dyDescent="0.2">
      <c r="A640" s="243"/>
      <c r="B640" s="242"/>
      <c r="C640" s="242">
        <v>7</v>
      </c>
      <c r="D640" s="243"/>
      <c r="E640" s="497" t="s">
        <v>1308</v>
      </c>
      <c r="F640" s="63" t="str">
        <f t="shared" ref="F640:K640" si="440">IFERROR(F637*INDEX(MBSDecItems,$C625,$C640),"")</f>
        <v/>
      </c>
      <c r="G640" s="63" t="str">
        <f t="shared" si="440"/>
        <v/>
      </c>
      <c r="H640" s="63" t="str">
        <f t="shared" si="440"/>
        <v/>
      </c>
      <c r="I640" s="63" t="str">
        <f t="shared" si="440"/>
        <v/>
      </c>
      <c r="J640" s="63" t="str">
        <f t="shared" si="440"/>
        <v/>
      </c>
      <c r="K640" s="63" t="str">
        <f t="shared" si="440"/>
        <v/>
      </c>
      <c r="L640" s="490"/>
      <c r="M640" s="684"/>
      <c r="N640" s="682"/>
      <c r="O640" s="678"/>
      <c r="P640" s="678"/>
      <c r="Q640" s="673"/>
      <c r="R640" s="673"/>
      <c r="S640" s="673"/>
      <c r="T640" s="673"/>
      <c r="U640" s="673"/>
      <c r="V640" s="673"/>
      <c r="W640" s="490"/>
      <c r="X640" s="676"/>
      <c r="Y640" s="676"/>
      <c r="Z640" s="676"/>
      <c r="AA640" s="676"/>
      <c r="AB640" s="676"/>
      <c r="AC640" s="490"/>
      <c r="AD640" s="490"/>
      <c r="AE640" s="490"/>
      <c r="AF640" s="490"/>
      <c r="AG640" s="490"/>
      <c r="AH640" s="490"/>
      <c r="AI640" s="490"/>
      <c r="AJ640" s="490"/>
      <c r="AK640" s="490"/>
      <c r="AL640" s="490"/>
      <c r="AM640" s="490"/>
      <c r="AN640" s="490"/>
      <c r="AO640" s="490"/>
      <c r="AP640" s="490"/>
      <c r="AQ640" s="490"/>
      <c r="AR640" s="490"/>
      <c r="AS640" s="490"/>
      <c r="AT640" s="490"/>
      <c r="AU640" s="490"/>
      <c r="AV640" s="490"/>
      <c r="AW640" s="490"/>
      <c r="AX640" s="490"/>
      <c r="AY640" s="490"/>
      <c r="AZ640" s="491"/>
      <c r="BA640" s="491"/>
      <c r="BB640" s="491"/>
    </row>
    <row r="641" spans="1:54" hidden="1" outlineLevel="1" x14ac:dyDescent="0.2">
      <c r="A641" s="243"/>
      <c r="B641" s="243"/>
      <c r="C641" s="243"/>
      <c r="D641" s="677"/>
      <c r="E641" s="677"/>
      <c r="F641" s="243"/>
      <c r="G641" s="243"/>
      <c r="H641" s="243"/>
      <c r="I641" s="243"/>
      <c r="J641" s="243"/>
      <c r="K641" s="243"/>
      <c r="L641" s="243"/>
      <c r="M641" s="243"/>
      <c r="N641" s="678"/>
      <c r="O641" s="678"/>
      <c r="P641" s="678"/>
      <c r="Q641" s="673"/>
      <c r="R641" s="673"/>
      <c r="S641" s="673"/>
      <c r="T641" s="673"/>
      <c r="U641" s="673"/>
      <c r="V641" s="673"/>
      <c r="W641" s="490"/>
      <c r="X641" s="676"/>
      <c r="Y641" s="676"/>
      <c r="Z641" s="676"/>
      <c r="AA641" s="676"/>
      <c r="AB641" s="676"/>
      <c r="AC641" s="490"/>
      <c r="AD641" s="490"/>
      <c r="AE641" s="490"/>
      <c r="AF641" s="490"/>
      <c r="AG641" s="490"/>
      <c r="AH641" s="490"/>
      <c r="AI641" s="490"/>
      <c r="AJ641" s="490"/>
      <c r="AK641" s="490"/>
      <c r="AL641" s="490"/>
      <c r="AM641" s="490"/>
      <c r="AN641" s="490"/>
      <c r="AO641" s="490"/>
      <c r="AP641" s="490"/>
      <c r="AQ641" s="490"/>
      <c r="AR641" s="490"/>
      <c r="AS641" s="490"/>
      <c r="AT641" s="490"/>
      <c r="AU641" s="490"/>
      <c r="AV641" s="490"/>
      <c r="AW641" s="490"/>
      <c r="AX641" s="490"/>
      <c r="AY641" s="490"/>
      <c r="AZ641" s="491"/>
      <c r="BA641" s="491"/>
      <c r="BB641" s="491"/>
    </row>
    <row r="642" spans="1:54" ht="15.75" hidden="1" outlineLevel="1" x14ac:dyDescent="0.2">
      <c r="A642" s="243"/>
      <c r="B642" s="243"/>
      <c r="C642" s="242">
        <v>9</v>
      </c>
      <c r="D642" s="79" t="str">
        <f>INDEX(MBSDecNames,C642)</f>
        <v>** NOT USED **</v>
      </c>
      <c r="E642" s="79"/>
      <c r="F642" s="115"/>
      <c r="G642" s="115"/>
      <c r="H642" s="115"/>
      <c r="I642" s="115"/>
      <c r="J642" s="821" t="str">
        <f>IF(D642&lt;&gt;MsgNotUsed,"Co-payment group " &amp; K466,"")</f>
        <v/>
      </c>
      <c r="K642" s="821"/>
      <c r="L642" s="115"/>
      <c r="M642" s="115"/>
      <c r="N642" s="115"/>
      <c r="O642" s="115"/>
      <c r="P642" s="115"/>
      <c r="Q642" s="115"/>
      <c r="R642" s="115"/>
      <c r="S642" s="115"/>
      <c r="T642" s="115"/>
      <c r="U642" s="115"/>
      <c r="V642" s="115"/>
      <c r="W642" s="491"/>
      <c r="X642" s="490"/>
      <c r="Y642" s="490"/>
      <c r="Z642" s="490"/>
      <c r="AA642" s="490"/>
      <c r="AB642" s="676"/>
      <c r="AC642" s="490"/>
      <c r="AD642" s="490"/>
      <c r="AE642" s="490"/>
      <c r="AF642" s="490"/>
      <c r="AG642" s="490"/>
      <c r="AH642" s="490"/>
      <c r="AI642" s="490"/>
      <c r="AJ642" s="490"/>
      <c r="AK642" s="490"/>
      <c r="AL642" s="490"/>
      <c r="AM642" s="490"/>
      <c r="AN642" s="490"/>
      <c r="AO642" s="490"/>
      <c r="AP642" s="490"/>
      <c r="AQ642" s="490"/>
      <c r="AR642" s="490"/>
      <c r="AS642" s="490"/>
      <c r="AT642" s="490"/>
      <c r="AU642" s="490"/>
      <c r="AV642" s="490"/>
      <c r="AW642" s="490"/>
      <c r="AX642" s="490"/>
      <c r="AY642" s="490"/>
      <c r="AZ642" s="491"/>
      <c r="BA642" s="491"/>
      <c r="BB642" s="491"/>
    </row>
    <row r="643" spans="1:54" hidden="1" outlineLevel="2" x14ac:dyDescent="0.2">
      <c r="A643" s="243"/>
      <c r="B643" s="243"/>
      <c r="C643" s="243"/>
      <c r="D643" s="243"/>
      <c r="E643" s="243"/>
      <c r="F643" s="495">
        <v>2</v>
      </c>
      <c r="G643" s="495">
        <v>3</v>
      </c>
      <c r="H643" s="495">
        <v>4</v>
      </c>
      <c r="I643" s="495">
        <v>5</v>
      </c>
      <c r="J643" s="495">
        <v>6</v>
      </c>
      <c r="K643" s="495">
        <v>7</v>
      </c>
      <c r="L643" s="495"/>
      <c r="M643" s="243"/>
      <c r="N643" s="243"/>
      <c r="O643" s="243"/>
      <c r="P643" s="243"/>
      <c r="Q643" s="243"/>
      <c r="R643" s="243"/>
      <c r="S643" s="243"/>
      <c r="T643" s="243"/>
      <c r="U643" s="243"/>
      <c r="V643" s="243"/>
      <c r="W643" s="490"/>
      <c r="X643" s="490"/>
      <c r="Y643" s="490"/>
      <c r="Z643" s="490"/>
      <c r="AA643" s="490"/>
      <c r="AB643" s="676"/>
      <c r="AC643" s="490"/>
      <c r="AD643" s="490"/>
      <c r="AE643" s="490"/>
      <c r="AF643" s="490"/>
      <c r="AG643" s="490"/>
      <c r="AH643" s="490"/>
      <c r="AI643" s="490"/>
      <c r="AJ643" s="490"/>
      <c r="AK643" s="490"/>
      <c r="AL643" s="490"/>
      <c r="AM643" s="490"/>
      <c r="AN643" s="490"/>
      <c r="AO643" s="490"/>
      <c r="AP643" s="490"/>
      <c r="AQ643" s="490"/>
      <c r="AR643" s="490"/>
      <c r="AS643" s="490"/>
      <c r="AT643" s="490"/>
      <c r="AU643" s="490"/>
      <c r="AV643" s="490"/>
      <c r="AW643" s="490"/>
      <c r="AX643" s="490"/>
      <c r="AY643" s="490"/>
      <c r="AZ643" s="491"/>
      <c r="BA643" s="491"/>
      <c r="BB643" s="491"/>
    </row>
    <row r="644" spans="1:54" ht="15" hidden="1" outlineLevel="2" x14ac:dyDescent="0.2">
      <c r="A644" s="243"/>
      <c r="B644" s="243"/>
      <c r="C644" s="243"/>
      <c r="D644" s="663" t="s">
        <v>0</v>
      </c>
      <c r="E644" s="663"/>
      <c r="F644" s="630">
        <f>FirstYear</f>
        <v>2021</v>
      </c>
      <c r="G644" s="630">
        <f>F644+1</f>
        <v>2022</v>
      </c>
      <c r="H644" s="630">
        <f>G644+1</f>
        <v>2023</v>
      </c>
      <c r="I644" s="630">
        <f>H644+1</f>
        <v>2024</v>
      </c>
      <c r="J644" s="630">
        <f>I644+1</f>
        <v>2025</v>
      </c>
      <c r="K644" s="630">
        <f>J644+1</f>
        <v>2026</v>
      </c>
      <c r="L644" s="491"/>
      <c r="M644" s="113"/>
      <c r="N644" s="679"/>
      <c r="O644" s="679"/>
      <c r="P644" s="679"/>
      <c r="Q644" s="674"/>
      <c r="R644" s="674"/>
      <c r="S644" s="674"/>
      <c r="T644" s="674"/>
      <c r="U644" s="674"/>
      <c r="V644" s="674"/>
      <c r="W644" s="491"/>
      <c r="X644" s="674"/>
      <c r="Y644" s="674"/>
      <c r="Z644" s="674"/>
      <c r="AA644" s="674"/>
      <c r="AB644" s="676"/>
      <c r="AC644" s="490"/>
      <c r="AD644" s="490"/>
      <c r="AE644" s="490"/>
      <c r="AF644" s="490"/>
      <c r="AG644" s="490"/>
      <c r="AH644" s="490"/>
      <c r="AI644" s="490"/>
      <c r="AJ644" s="490"/>
      <c r="AK644" s="490"/>
      <c r="AL644" s="490"/>
      <c r="AM644" s="490"/>
      <c r="AN644" s="490"/>
      <c r="AO644" s="490"/>
      <c r="AP644" s="490"/>
      <c r="AQ644" s="490"/>
      <c r="AR644" s="490"/>
      <c r="AS644" s="490"/>
      <c r="AT644" s="490"/>
      <c r="AU644" s="490"/>
      <c r="AV644" s="490"/>
      <c r="AW644" s="490"/>
      <c r="AX644" s="490"/>
      <c r="AY644" s="490"/>
      <c r="AZ644" s="491"/>
      <c r="BA644" s="491"/>
      <c r="BB644" s="491"/>
    </row>
    <row r="645" spans="1:54" hidden="1" outlineLevel="2" collapsed="1" x14ac:dyDescent="0.2">
      <c r="A645" s="243"/>
      <c r="B645" s="243"/>
      <c r="C645" s="243"/>
      <c r="D645" s="243"/>
      <c r="E645" s="433" t="s">
        <v>951</v>
      </c>
      <c r="F645" s="283">
        <f t="shared" ref="F645:K645" si="441">F646*INDEX(MBSDecCalc,$C642,3)</f>
        <v>0</v>
      </c>
      <c r="G645" s="283">
        <f t="shared" si="441"/>
        <v>0</v>
      </c>
      <c r="H645" s="283">
        <f t="shared" si="441"/>
        <v>0</v>
      </c>
      <c r="I645" s="283">
        <f t="shared" si="441"/>
        <v>0</v>
      </c>
      <c r="J645" s="283">
        <f t="shared" si="441"/>
        <v>0</v>
      </c>
      <c r="K645" s="283">
        <f t="shared" si="441"/>
        <v>0</v>
      </c>
      <c r="L645" s="490"/>
      <c r="M645" s="680"/>
      <c r="N645" s="664"/>
      <c r="O645" s="664"/>
      <c r="P645" s="664"/>
      <c r="Q645" s="681"/>
      <c r="R645" s="681"/>
      <c r="S645" s="681"/>
      <c r="T645" s="681"/>
      <c r="U645" s="681"/>
      <c r="V645" s="681"/>
      <c r="W645" s="493"/>
      <c r="X645" s="561">
        <f>INDEX(MBSDecItems,C642,1)</f>
        <v>0</v>
      </c>
      <c r="Y645" s="561">
        <f>FirstYear</f>
        <v>2021</v>
      </c>
      <c r="Z645" s="560">
        <f>IF(F646&lt;&gt;0,F646-F648,0)</f>
        <v>0</v>
      </c>
      <c r="AA645" s="560">
        <f>IF(F654&lt;&gt;0,F654-F656,0)</f>
        <v>0</v>
      </c>
      <c r="AB645" s="676"/>
      <c r="AC645" s="490"/>
      <c r="AD645" s="490"/>
      <c r="AE645" s="490"/>
      <c r="AF645" s="490"/>
      <c r="AG645" s="490"/>
      <c r="AH645" s="490"/>
      <c r="AI645" s="490"/>
      <c r="AJ645" s="490"/>
      <c r="AK645" s="490"/>
      <c r="AL645" s="490"/>
      <c r="AM645" s="490"/>
      <c r="AN645" s="490"/>
      <c r="AO645" s="490"/>
      <c r="AP645" s="490"/>
      <c r="AQ645" s="490"/>
      <c r="AR645" s="490"/>
      <c r="AS645" s="490"/>
      <c r="AT645" s="490"/>
      <c r="AU645" s="490"/>
      <c r="AV645" s="490"/>
      <c r="AW645" s="490"/>
      <c r="AX645" s="490"/>
      <c r="AY645" s="490"/>
      <c r="AZ645" s="491"/>
      <c r="BA645" s="491"/>
      <c r="BB645" s="491"/>
    </row>
    <row r="646" spans="1:54" hidden="1" outlineLevel="2" x14ac:dyDescent="0.2">
      <c r="A646" s="243"/>
      <c r="B646" s="672"/>
      <c r="C646" s="242" t="str">
        <f>INDEX(MBSDecCalc,C642,2)</f>
        <v/>
      </c>
      <c r="D646" s="243"/>
      <c r="E646" s="62" t="s">
        <v>1310</v>
      </c>
      <c r="F646" s="63">
        <f t="shared" ref="F646:K646" si="442">IF(INDEX(MBSDecRate,$C642,2)=2,IFERROR(INDEX(PBSScriptsChanged,$C646,F643),0),IFERROR(INDEX(MBSPBSDec,$C642,INDEX(MBSDecRate,$C642,3)*7+F643),0) * IFERROR(INDEX(MBSDecPopSplit,$C642),0)) * INDEX(MBSDecRate,$C642,1) * INDEX(MBSDecRate,$C642,4)</f>
        <v>0</v>
      </c>
      <c r="G646" s="63">
        <f t="shared" si="442"/>
        <v>0</v>
      </c>
      <c r="H646" s="63">
        <f t="shared" si="442"/>
        <v>0</v>
      </c>
      <c r="I646" s="63">
        <f t="shared" si="442"/>
        <v>0</v>
      </c>
      <c r="J646" s="63">
        <f t="shared" si="442"/>
        <v>0</v>
      </c>
      <c r="K646" s="63">
        <f t="shared" si="442"/>
        <v>0</v>
      </c>
      <c r="L646" s="490"/>
      <c r="M646" s="493"/>
      <c r="N646" s="493"/>
      <c r="O646" s="664"/>
      <c r="P646" s="664"/>
      <c r="Q646" s="681"/>
      <c r="R646" s="681"/>
      <c r="S646" s="681"/>
      <c r="T646" s="681"/>
      <c r="U646" s="681"/>
      <c r="V646" s="681"/>
      <c r="W646" s="493"/>
      <c r="X646" s="561">
        <f>X645</f>
        <v>0</v>
      </c>
      <c r="Y646" s="561">
        <f>Y645+1</f>
        <v>2022</v>
      </c>
      <c r="Z646" s="560">
        <f>IF(G646&lt;&gt;0,G646-G648,0)</f>
        <v>0</v>
      </c>
      <c r="AA646" s="560">
        <f>IF(G654&lt;&gt;0,G654-G656,0)</f>
        <v>0</v>
      </c>
      <c r="AB646" s="676"/>
      <c r="AC646" s="490"/>
      <c r="AD646" s="490"/>
      <c r="AE646" s="490"/>
      <c r="AF646" s="490"/>
      <c r="AG646" s="490"/>
      <c r="AH646" s="490"/>
      <c r="AI646" s="490"/>
      <c r="AJ646" s="490"/>
      <c r="AK646" s="490"/>
      <c r="AL646" s="490"/>
      <c r="AM646" s="490"/>
      <c r="AN646" s="490"/>
      <c r="AO646" s="490"/>
      <c r="AP646" s="490"/>
      <c r="AQ646" s="490"/>
      <c r="AR646" s="490"/>
      <c r="AS646" s="490"/>
      <c r="AT646" s="490"/>
      <c r="AU646" s="490"/>
      <c r="AV646" s="490"/>
      <c r="AW646" s="490"/>
      <c r="AX646" s="490"/>
      <c r="AY646" s="490"/>
      <c r="AZ646" s="491"/>
      <c r="BA646" s="491"/>
      <c r="BB646" s="491"/>
    </row>
    <row r="647" spans="1:54" hidden="1" outlineLevel="2" x14ac:dyDescent="0.2">
      <c r="A647" s="243"/>
      <c r="B647" s="242">
        <v>5</v>
      </c>
      <c r="C647" s="242">
        <v>6</v>
      </c>
      <c r="D647" s="243"/>
      <c r="E647" s="496" t="s">
        <v>1307</v>
      </c>
      <c r="F647" s="63" t="str">
        <f t="shared" ref="F647:K647" si="443">IFERROR(F646*INDEX(MBSDecItems,$C642,$B647)*INDEX(MBSDecItems,$C642,$C647),"")</f>
        <v/>
      </c>
      <c r="G647" s="63" t="str">
        <f t="shared" si="443"/>
        <v/>
      </c>
      <c r="H647" s="63" t="str">
        <f t="shared" si="443"/>
        <v/>
      </c>
      <c r="I647" s="63" t="str">
        <f t="shared" si="443"/>
        <v/>
      </c>
      <c r="J647" s="63" t="str">
        <f t="shared" si="443"/>
        <v/>
      </c>
      <c r="K647" s="63" t="str">
        <f t="shared" si="443"/>
        <v/>
      </c>
      <c r="L647" s="490"/>
      <c r="M647" s="493"/>
      <c r="N647" s="493"/>
      <c r="O647" s="682"/>
      <c r="P647" s="754"/>
      <c r="Q647" s="681"/>
      <c r="R647" s="681"/>
      <c r="S647" s="681"/>
      <c r="T647" s="681"/>
      <c r="U647" s="681"/>
      <c r="V647" s="681"/>
      <c r="W647" s="493"/>
      <c r="X647" s="561">
        <f t="shared" ref="X647:X650" si="444">X646</f>
        <v>0</v>
      </c>
      <c r="Y647" s="561">
        <f>Y646+1</f>
        <v>2023</v>
      </c>
      <c r="Z647" s="560">
        <f>IF(H646&lt;&gt;0,H646-H648,0)</f>
        <v>0</v>
      </c>
      <c r="AA647" s="560">
        <f>IF(H654&lt;&gt;0,H654-H656,0)</f>
        <v>0</v>
      </c>
      <c r="AB647" s="676"/>
      <c r="AC647" s="490"/>
      <c r="AD647" s="490"/>
      <c r="AE647" s="490"/>
      <c r="AF647" s="490"/>
      <c r="AG647" s="490"/>
      <c r="AH647" s="490"/>
      <c r="AI647" s="490"/>
      <c r="AJ647" s="490"/>
      <c r="AK647" s="490"/>
      <c r="AL647" s="490"/>
      <c r="AM647" s="490"/>
      <c r="AN647" s="490"/>
      <c r="AO647" s="490"/>
      <c r="AP647" s="490"/>
      <c r="AQ647" s="490"/>
      <c r="AR647" s="490"/>
      <c r="AS647" s="490"/>
      <c r="AT647" s="490"/>
      <c r="AU647" s="490"/>
      <c r="AV647" s="490"/>
      <c r="AW647" s="490"/>
      <c r="AX647" s="490"/>
      <c r="AY647" s="490"/>
      <c r="AZ647" s="491"/>
      <c r="BA647" s="491"/>
      <c r="BB647" s="491"/>
    </row>
    <row r="648" spans="1:54" hidden="1" outlineLevel="2" x14ac:dyDescent="0.2">
      <c r="A648" s="416"/>
      <c r="B648" s="242">
        <v>4</v>
      </c>
      <c r="C648" s="242">
        <v>6</v>
      </c>
      <c r="D648" s="243"/>
      <c r="E648" s="496" t="s">
        <v>1306</v>
      </c>
      <c r="F648" s="63" t="str">
        <f t="shared" ref="F648:K648" si="445">IFERROR(F646*INDEX(MBSDecItems,$C642,$B648)*INDEX(MBSDecItems,$C642,$C648),"")</f>
        <v/>
      </c>
      <c r="G648" s="63" t="str">
        <f t="shared" si="445"/>
        <v/>
      </c>
      <c r="H648" s="63" t="str">
        <f t="shared" si="445"/>
        <v/>
      </c>
      <c r="I648" s="63" t="str">
        <f t="shared" si="445"/>
        <v/>
      </c>
      <c r="J648" s="63" t="str">
        <f t="shared" si="445"/>
        <v/>
      </c>
      <c r="K648" s="63" t="str">
        <f t="shared" si="445"/>
        <v/>
      </c>
      <c r="L648" s="416"/>
      <c r="M648" s="416"/>
      <c r="N648" s="416"/>
      <c r="O648" s="416"/>
      <c r="P648" s="416"/>
      <c r="Q648" s="416"/>
      <c r="R648" s="416"/>
      <c r="S648" s="416"/>
      <c r="T648" s="416"/>
      <c r="U648" s="416"/>
      <c r="V648" s="416"/>
      <c r="W648" s="493"/>
      <c r="X648" s="561">
        <f t="shared" si="444"/>
        <v>0</v>
      </c>
      <c r="Y648" s="561">
        <f>Y647+1</f>
        <v>2024</v>
      </c>
      <c r="Z648" s="560">
        <f>IF(I646&lt;&gt;0,I646-I648,0)</f>
        <v>0</v>
      </c>
      <c r="AA648" s="560">
        <f>IF(I654&lt;&gt;0,I654-I656,0)</f>
        <v>0</v>
      </c>
      <c r="AB648" s="674"/>
      <c r="AC648" s="490"/>
      <c r="AD648" s="490"/>
      <c r="AE648" s="490"/>
      <c r="AF648" s="490"/>
      <c r="AG648" s="490"/>
      <c r="AH648" s="490"/>
      <c r="AI648" s="490"/>
      <c r="AJ648" s="490"/>
      <c r="AK648" s="490"/>
      <c r="AL648" s="490"/>
      <c r="AM648" s="490"/>
      <c r="AN648" s="490"/>
      <c r="AO648" s="490"/>
      <c r="AP648" s="490"/>
      <c r="AQ648" s="490"/>
      <c r="AR648" s="490"/>
      <c r="AS648" s="490"/>
      <c r="AT648" s="490"/>
      <c r="AU648" s="490"/>
      <c r="AV648" s="490"/>
      <c r="AW648" s="490"/>
      <c r="AX648" s="490"/>
      <c r="AY648" s="490"/>
      <c r="AZ648" s="491"/>
      <c r="BA648" s="491"/>
      <c r="BB648" s="491"/>
    </row>
    <row r="649" spans="1:54" hidden="1" outlineLevel="2" x14ac:dyDescent="0.2">
      <c r="A649" s="243"/>
      <c r="B649" s="242"/>
      <c r="C649" s="242">
        <v>7</v>
      </c>
      <c r="D649" s="243"/>
      <c r="E649" s="497" t="s">
        <v>1308</v>
      </c>
      <c r="F649" s="63" t="str">
        <f t="shared" ref="F649:K649" si="446">IFERROR(F646*INDEX(MBSDecItems,$C642,$C649),"")</f>
        <v/>
      </c>
      <c r="G649" s="63" t="str">
        <f t="shared" si="446"/>
        <v/>
      </c>
      <c r="H649" s="63" t="str">
        <f t="shared" si="446"/>
        <v/>
      </c>
      <c r="I649" s="63" t="str">
        <f t="shared" si="446"/>
        <v/>
      </c>
      <c r="J649" s="63" t="str">
        <f t="shared" si="446"/>
        <v/>
      </c>
      <c r="K649" s="63" t="str">
        <f t="shared" si="446"/>
        <v/>
      </c>
      <c r="L649" s="490"/>
      <c r="M649" s="493"/>
      <c r="N649" s="493"/>
      <c r="O649" s="682"/>
      <c r="P649" s="754"/>
      <c r="Q649" s="681"/>
      <c r="R649" s="681"/>
      <c r="S649" s="681"/>
      <c r="T649" s="681"/>
      <c r="U649" s="681"/>
      <c r="V649" s="681"/>
      <c r="W649" s="493"/>
      <c r="X649" s="561">
        <f t="shared" si="444"/>
        <v>0</v>
      </c>
      <c r="Y649" s="561">
        <f>Y648+1</f>
        <v>2025</v>
      </c>
      <c r="Z649" s="560">
        <f>IF(J646&lt;&gt;0,J646-J648,0)</f>
        <v>0</v>
      </c>
      <c r="AA649" s="560">
        <f>IF(J654&lt;&gt;0,J654-J656,0)</f>
        <v>0</v>
      </c>
      <c r="AB649" s="674"/>
      <c r="AC649" s="490"/>
      <c r="AD649" s="490"/>
      <c r="AE649" s="490"/>
      <c r="AF649" s="490"/>
      <c r="AG649" s="490"/>
      <c r="AH649" s="490"/>
      <c r="AI649" s="490"/>
      <c r="AJ649" s="490"/>
      <c r="AK649" s="490"/>
      <c r="AL649" s="490"/>
      <c r="AM649" s="490"/>
      <c r="AN649" s="490"/>
      <c r="AO649" s="490"/>
      <c r="AP649" s="490"/>
      <c r="AQ649" s="490"/>
      <c r="AR649" s="490"/>
      <c r="AS649" s="490"/>
      <c r="AT649" s="490"/>
      <c r="AU649" s="490"/>
      <c r="AV649" s="490"/>
      <c r="AW649" s="490"/>
      <c r="AX649" s="490"/>
      <c r="AY649" s="490"/>
      <c r="AZ649" s="491"/>
      <c r="BA649" s="491"/>
      <c r="BB649" s="491"/>
    </row>
    <row r="650" spans="1:54" hidden="1" outlineLevel="2" x14ac:dyDescent="0.2">
      <c r="A650" s="243"/>
      <c r="B650" s="493"/>
      <c r="C650" s="493"/>
      <c r="D650" s="493"/>
      <c r="E650" s="493"/>
      <c r="F650" s="493"/>
      <c r="G650" s="493"/>
      <c r="H650" s="493"/>
      <c r="I650" s="493"/>
      <c r="J650" s="493"/>
      <c r="K650" s="493"/>
      <c r="L650" s="490"/>
      <c r="M650" s="493"/>
      <c r="N650" s="493"/>
      <c r="O650" s="682"/>
      <c r="P650" s="682"/>
      <c r="Q650" s="681"/>
      <c r="R650" s="681"/>
      <c r="S650" s="681"/>
      <c r="T650" s="681"/>
      <c r="U650" s="681"/>
      <c r="V650" s="681"/>
      <c r="W650" s="493"/>
      <c r="X650" s="561">
        <f t="shared" si="444"/>
        <v>0</v>
      </c>
      <c r="Y650" s="561">
        <f>Y649+1</f>
        <v>2026</v>
      </c>
      <c r="Z650" s="560">
        <f>IF(K646&lt;&gt;0,K646-K648,0)</f>
        <v>0</v>
      </c>
      <c r="AA650" s="560">
        <f>IF(K654&lt;&gt;0,K654-K656,0)</f>
        <v>0</v>
      </c>
      <c r="AB650" s="675"/>
      <c r="AC650" s="490"/>
      <c r="AD650" s="490"/>
      <c r="AE650" s="490"/>
      <c r="AF650" s="490"/>
      <c r="AG650" s="490"/>
      <c r="AH650" s="490"/>
      <c r="AI650" s="490"/>
      <c r="AJ650" s="490"/>
      <c r="AK650" s="490"/>
      <c r="AL650" s="490"/>
      <c r="AM650" s="490"/>
      <c r="AN650" s="490"/>
      <c r="AO650" s="490"/>
      <c r="AP650" s="490"/>
      <c r="AQ650" s="490"/>
      <c r="AR650" s="490"/>
      <c r="AS650" s="490"/>
      <c r="AT650" s="490"/>
      <c r="AU650" s="490"/>
      <c r="AV650" s="490"/>
      <c r="AW650" s="490"/>
      <c r="AX650" s="490"/>
      <c r="AY650" s="490"/>
      <c r="AZ650" s="491"/>
      <c r="BA650" s="491"/>
      <c r="BB650" s="491"/>
    </row>
    <row r="651" spans="1:54" hidden="1" outlineLevel="2" x14ac:dyDescent="0.2">
      <c r="A651" s="243"/>
      <c r="B651" s="243"/>
      <c r="C651" s="243"/>
      <c r="D651" s="677"/>
      <c r="E651" s="677"/>
      <c r="F651" s="495">
        <v>2</v>
      </c>
      <c r="G651" s="495">
        <v>3</v>
      </c>
      <c r="H651" s="495">
        <v>4</v>
      </c>
      <c r="I651" s="495">
        <v>5</v>
      </c>
      <c r="J651" s="495">
        <v>6</v>
      </c>
      <c r="K651" s="495">
        <v>7</v>
      </c>
      <c r="L651" s="490"/>
      <c r="M651" s="243"/>
      <c r="N651" s="678"/>
      <c r="O651" s="678"/>
      <c r="P651" s="678"/>
      <c r="Q651" s="673"/>
      <c r="R651" s="673"/>
      <c r="S651" s="673"/>
      <c r="T651" s="673"/>
      <c r="U651" s="673"/>
      <c r="V651" s="673"/>
      <c r="W651" s="490"/>
      <c r="X651" s="676"/>
      <c r="Y651" s="676"/>
      <c r="Z651" s="676"/>
      <c r="AA651" s="676"/>
      <c r="AB651" s="675"/>
      <c r="AC651" s="490"/>
      <c r="AD651" s="490"/>
      <c r="AE651" s="490"/>
      <c r="AF651" s="490"/>
      <c r="AG651" s="490"/>
      <c r="AH651" s="490"/>
      <c r="AI651" s="490"/>
      <c r="AJ651" s="490"/>
      <c r="AK651" s="490"/>
      <c r="AL651" s="490"/>
      <c r="AM651" s="490"/>
      <c r="AN651" s="490"/>
      <c r="AO651" s="490"/>
      <c r="AP651" s="490"/>
      <c r="AQ651" s="490"/>
      <c r="AR651" s="490"/>
      <c r="AS651" s="490"/>
      <c r="AT651" s="490"/>
      <c r="AU651" s="490"/>
      <c r="AV651" s="490"/>
      <c r="AW651" s="490"/>
      <c r="AX651" s="490"/>
      <c r="AY651" s="490"/>
      <c r="AZ651" s="491"/>
      <c r="BA651" s="491"/>
      <c r="BB651" s="491"/>
    </row>
    <row r="652" spans="1:54" ht="15.75" hidden="1" outlineLevel="2" x14ac:dyDescent="0.2">
      <c r="A652" s="243"/>
      <c r="B652" s="243"/>
      <c r="C652" s="243"/>
      <c r="D652" s="663" t="s">
        <v>1</v>
      </c>
      <c r="E652" s="663"/>
      <c r="F652" s="751">
        <f>FirstYear</f>
        <v>2021</v>
      </c>
      <c r="G652" s="751">
        <f>F652+1</f>
        <v>2022</v>
      </c>
      <c r="H652" s="751">
        <f>G652+1</f>
        <v>2023</v>
      </c>
      <c r="I652" s="751">
        <f>H652+1</f>
        <v>2024</v>
      </c>
      <c r="J652" s="751">
        <f>I652+1</f>
        <v>2025</v>
      </c>
      <c r="K652" s="751">
        <f>J652+1</f>
        <v>2026</v>
      </c>
      <c r="L652" s="491"/>
      <c r="M652" s="243"/>
      <c r="N652" s="685"/>
      <c r="O652" s="685"/>
      <c r="P652" s="685"/>
      <c r="Q652" s="673"/>
      <c r="R652" s="673"/>
      <c r="S652" s="673"/>
      <c r="T652" s="673"/>
      <c r="U652" s="673"/>
      <c r="V652" s="673"/>
      <c r="W652" s="491"/>
      <c r="X652" s="676"/>
      <c r="Y652" s="676"/>
      <c r="Z652" s="676"/>
      <c r="AA652" s="676"/>
      <c r="AB652" s="675"/>
      <c r="AC652" s="490"/>
      <c r="AD652" s="490"/>
      <c r="AE652" s="490"/>
      <c r="AF652" s="490"/>
      <c r="AG652" s="490"/>
      <c r="AH652" s="490"/>
      <c r="AI652" s="490"/>
      <c r="AJ652" s="490"/>
      <c r="AK652" s="490"/>
      <c r="AL652" s="490"/>
      <c r="AM652" s="490"/>
      <c r="AN652" s="490"/>
      <c r="AO652" s="490"/>
      <c r="AP652" s="490"/>
      <c r="AQ652" s="490"/>
      <c r="AR652" s="490"/>
      <c r="AS652" s="490"/>
      <c r="AT652" s="490"/>
      <c r="AU652" s="490"/>
      <c r="AV652" s="490"/>
      <c r="AW652" s="490"/>
      <c r="AX652" s="490"/>
      <c r="AY652" s="490"/>
      <c r="AZ652" s="491"/>
      <c r="BA652" s="491"/>
      <c r="BB652" s="491"/>
    </row>
    <row r="653" spans="1:54" hidden="1" outlineLevel="2" x14ac:dyDescent="0.2">
      <c r="A653" s="243"/>
      <c r="B653" s="243"/>
      <c r="C653" s="243"/>
      <c r="D653" s="243"/>
      <c r="E653" s="433" t="s">
        <v>951</v>
      </c>
      <c r="F653" s="283">
        <f t="shared" ref="F653:K653" si="447">F654*INDEX(MBSDecCalc,$C642,3)</f>
        <v>0</v>
      </c>
      <c r="G653" s="283">
        <f t="shared" si="447"/>
        <v>0</v>
      </c>
      <c r="H653" s="283">
        <f t="shared" si="447"/>
        <v>0</v>
      </c>
      <c r="I653" s="283">
        <f t="shared" si="447"/>
        <v>0</v>
      </c>
      <c r="J653" s="283">
        <f t="shared" si="447"/>
        <v>0</v>
      </c>
      <c r="K653" s="283">
        <f t="shared" si="447"/>
        <v>0</v>
      </c>
      <c r="L653" s="490"/>
      <c r="M653" s="615"/>
      <c r="N653" s="615"/>
      <c r="O653" s="678"/>
      <c r="P653" s="678"/>
      <c r="Q653" s="673"/>
      <c r="R653" s="673"/>
      <c r="S653" s="673"/>
      <c r="T653" s="673"/>
      <c r="U653" s="673"/>
      <c r="V653" s="673"/>
      <c r="W653" s="490"/>
      <c r="X653" s="676"/>
      <c r="Y653" s="676"/>
      <c r="Z653" s="676"/>
      <c r="AA653" s="676"/>
      <c r="AB653" s="675"/>
      <c r="AC653" s="490"/>
      <c r="AD653" s="490"/>
      <c r="AE653" s="490"/>
      <c r="AF653" s="490"/>
      <c r="AG653" s="490"/>
      <c r="AH653" s="490"/>
      <c r="AI653" s="490"/>
      <c r="AJ653" s="490"/>
      <c r="AK653" s="490"/>
      <c r="AL653" s="490"/>
      <c r="AM653" s="490"/>
      <c r="AN653" s="490"/>
      <c r="AO653" s="490"/>
      <c r="AP653" s="490"/>
      <c r="AQ653" s="490"/>
      <c r="AR653" s="490"/>
      <c r="AS653" s="490"/>
      <c r="AT653" s="490"/>
      <c r="AU653" s="490"/>
      <c r="AV653" s="490"/>
      <c r="AW653" s="490"/>
      <c r="AX653" s="490"/>
      <c r="AY653" s="490"/>
      <c r="AZ653" s="491"/>
      <c r="BA653" s="491"/>
      <c r="BB653" s="491"/>
    </row>
    <row r="654" spans="1:54" hidden="1" outlineLevel="2" x14ac:dyDescent="0.2">
      <c r="A654" s="243"/>
      <c r="B654" s="672"/>
      <c r="C654" s="242" t="str">
        <f>C646</f>
        <v/>
      </c>
      <c r="D654" s="243"/>
      <c r="E654" s="62" t="s">
        <v>1310</v>
      </c>
      <c r="F654" s="63">
        <f t="shared" ref="F654:K654" si="448">IF(INDEX(MBSDecRate,$C642,2)=2,IFERROR(INDEX(RPBSScriptsChanged,$C654,F651),0),IFERROR(INDEX(MBSRPBSDec,$C642,INDEX(MBSDecRate,$C642,3)*7+F651),0) * IFERROR(INDEX(MBSDecPopSplit,$C642),0)) * INDEX(MBSDecRate,$C642,1) * INDEX(MBSDecRate,$C642,4)</f>
        <v>0</v>
      </c>
      <c r="G654" s="63">
        <f t="shared" si="448"/>
        <v>0</v>
      </c>
      <c r="H654" s="63">
        <f t="shared" si="448"/>
        <v>0</v>
      </c>
      <c r="I654" s="63">
        <f t="shared" si="448"/>
        <v>0</v>
      </c>
      <c r="J654" s="63">
        <f t="shared" si="448"/>
        <v>0</v>
      </c>
      <c r="K654" s="63">
        <f t="shared" si="448"/>
        <v>0</v>
      </c>
      <c r="L654" s="490"/>
      <c r="M654" s="243"/>
      <c r="N654" s="753"/>
      <c r="O654" s="678"/>
      <c r="P654" s="678"/>
      <c r="Q654" s="673"/>
      <c r="R654" s="673"/>
      <c r="S654" s="673"/>
      <c r="T654" s="673"/>
      <c r="U654" s="673"/>
      <c r="V654" s="673"/>
      <c r="W654" s="490"/>
      <c r="X654" s="676"/>
      <c r="Y654" s="676"/>
      <c r="Z654" s="676"/>
      <c r="AA654" s="676"/>
      <c r="AB654" s="675"/>
      <c r="AC654" s="490"/>
      <c r="AD654" s="490"/>
      <c r="AE654" s="490"/>
      <c r="AF654" s="490"/>
      <c r="AG654" s="490"/>
      <c r="AH654" s="490"/>
      <c r="AI654" s="490"/>
      <c r="AJ654" s="490"/>
      <c r="AK654" s="490"/>
      <c r="AL654" s="490"/>
      <c r="AM654" s="490"/>
      <c r="AN654" s="490"/>
      <c r="AO654" s="490"/>
      <c r="AP654" s="490"/>
      <c r="AQ654" s="490"/>
      <c r="AR654" s="490"/>
      <c r="AS654" s="490"/>
      <c r="AT654" s="490"/>
      <c r="AU654" s="490"/>
      <c r="AV654" s="490"/>
      <c r="AW654" s="490"/>
      <c r="AX654" s="490"/>
      <c r="AY654" s="490"/>
      <c r="AZ654" s="491"/>
      <c r="BA654" s="491"/>
      <c r="BB654" s="491"/>
    </row>
    <row r="655" spans="1:54" hidden="1" outlineLevel="2" x14ac:dyDescent="0.2">
      <c r="A655" s="243"/>
      <c r="B655" s="242">
        <v>5</v>
      </c>
      <c r="C655" s="242">
        <v>6</v>
      </c>
      <c r="D655" s="243"/>
      <c r="E655" s="496" t="s">
        <v>1307</v>
      </c>
      <c r="F655" s="63" t="str">
        <f t="shared" ref="F655:K655" si="449">IFERROR(F654*INDEX(MBSDecItems,$C642,$B655)*INDEX(MBSDecItems,$C642,$C655),"")</f>
        <v/>
      </c>
      <c r="G655" s="63" t="str">
        <f t="shared" si="449"/>
        <v/>
      </c>
      <c r="H655" s="63" t="str">
        <f t="shared" si="449"/>
        <v/>
      </c>
      <c r="I655" s="63" t="str">
        <f t="shared" si="449"/>
        <v/>
      </c>
      <c r="J655" s="63" t="str">
        <f t="shared" si="449"/>
        <v/>
      </c>
      <c r="K655" s="63" t="str">
        <f t="shared" si="449"/>
        <v/>
      </c>
      <c r="L655" s="490"/>
      <c r="M655" s="683"/>
      <c r="N655" s="753"/>
      <c r="O655" s="678"/>
      <c r="P655" s="678"/>
      <c r="Q655" s="673"/>
      <c r="R655" s="673"/>
      <c r="S655" s="673"/>
      <c r="T655" s="673"/>
      <c r="U655" s="673"/>
      <c r="V655" s="673"/>
      <c r="W655" s="490"/>
      <c r="X655" s="676"/>
      <c r="Y655" s="676"/>
      <c r="Z655" s="676"/>
      <c r="AA655" s="676"/>
      <c r="AB655" s="676"/>
      <c r="AC655" s="490"/>
      <c r="AD655" s="490"/>
      <c r="AE655" s="490"/>
      <c r="AF655" s="490"/>
      <c r="AG655" s="490"/>
      <c r="AH655" s="490"/>
      <c r="AI655" s="490"/>
      <c r="AJ655" s="490"/>
      <c r="AK655" s="490"/>
      <c r="AL655" s="490"/>
      <c r="AM655" s="490"/>
      <c r="AN655" s="490"/>
      <c r="AO655" s="490"/>
      <c r="AP655" s="490"/>
      <c r="AQ655" s="490"/>
      <c r="AR655" s="490"/>
      <c r="AS655" s="490"/>
      <c r="AT655" s="490"/>
      <c r="AU655" s="490"/>
      <c r="AV655" s="490"/>
      <c r="AW655" s="490"/>
      <c r="AX655" s="490"/>
      <c r="AY655" s="490"/>
      <c r="AZ655" s="491"/>
      <c r="BA655" s="491"/>
      <c r="BB655" s="491"/>
    </row>
    <row r="656" spans="1:54" hidden="1" outlineLevel="2" x14ac:dyDescent="0.2">
      <c r="A656" s="243"/>
      <c r="B656" s="242">
        <v>4</v>
      </c>
      <c r="C656" s="242">
        <v>6</v>
      </c>
      <c r="D656" s="243"/>
      <c r="E656" s="496" t="s">
        <v>1306</v>
      </c>
      <c r="F656" s="63" t="str">
        <f t="shared" ref="F656:K656" si="450">IFERROR(F654*INDEX(MBSDecItems,$C642,$B656)*INDEX(MBSDecItems,$C642,$C656),"")</f>
        <v/>
      </c>
      <c r="G656" s="63" t="str">
        <f t="shared" si="450"/>
        <v/>
      </c>
      <c r="H656" s="63" t="str">
        <f t="shared" si="450"/>
        <v/>
      </c>
      <c r="I656" s="63" t="str">
        <f t="shared" si="450"/>
        <v/>
      </c>
      <c r="J656" s="63" t="str">
        <f t="shared" si="450"/>
        <v/>
      </c>
      <c r="K656" s="63" t="str">
        <f t="shared" si="450"/>
        <v/>
      </c>
      <c r="L656" s="490"/>
      <c r="M656" s="684"/>
      <c r="N656" s="682"/>
      <c r="O656" s="678"/>
      <c r="P656" s="678"/>
      <c r="Q656" s="673"/>
      <c r="R656" s="673"/>
      <c r="S656" s="673"/>
      <c r="T656" s="673"/>
      <c r="U656" s="673"/>
      <c r="V656" s="673"/>
      <c r="W656" s="490"/>
      <c r="X656" s="676"/>
      <c r="Y656" s="676"/>
      <c r="Z656" s="676"/>
      <c r="AA656" s="676"/>
      <c r="AB656" s="676"/>
      <c r="AC656" s="490"/>
      <c r="AD656" s="490"/>
      <c r="AE656" s="490"/>
      <c r="AF656" s="490"/>
      <c r="AG656" s="490"/>
      <c r="AH656" s="490"/>
      <c r="AI656" s="490"/>
      <c r="AJ656" s="490"/>
      <c r="AK656" s="490"/>
      <c r="AL656" s="490"/>
      <c r="AM656" s="490"/>
      <c r="AN656" s="490"/>
      <c r="AO656" s="490"/>
      <c r="AP656" s="490"/>
      <c r="AQ656" s="490"/>
      <c r="AR656" s="490"/>
      <c r="AS656" s="490"/>
      <c r="AT656" s="490"/>
      <c r="AU656" s="490"/>
      <c r="AV656" s="490"/>
      <c r="AW656" s="490"/>
      <c r="AX656" s="490"/>
      <c r="AY656" s="490"/>
      <c r="AZ656" s="491"/>
      <c r="BA656" s="491"/>
      <c r="BB656" s="491"/>
    </row>
    <row r="657" spans="1:54" hidden="1" outlineLevel="2" x14ac:dyDescent="0.2">
      <c r="A657" s="243"/>
      <c r="B657" s="242"/>
      <c r="C657" s="242">
        <v>7</v>
      </c>
      <c r="D657" s="243"/>
      <c r="E657" s="497" t="s">
        <v>1308</v>
      </c>
      <c r="F657" s="63" t="str">
        <f t="shared" ref="F657:K657" si="451">IFERROR(F654*INDEX(MBSDecItems,$C642,$C657),"")</f>
        <v/>
      </c>
      <c r="G657" s="63" t="str">
        <f t="shared" si="451"/>
        <v/>
      </c>
      <c r="H657" s="63" t="str">
        <f t="shared" si="451"/>
        <v/>
      </c>
      <c r="I657" s="63" t="str">
        <f t="shared" si="451"/>
        <v/>
      </c>
      <c r="J657" s="63" t="str">
        <f t="shared" si="451"/>
        <v/>
      </c>
      <c r="K657" s="63" t="str">
        <f t="shared" si="451"/>
        <v/>
      </c>
      <c r="L657" s="490"/>
      <c r="M657" s="684"/>
      <c r="N657" s="682"/>
      <c r="O657" s="678"/>
      <c r="P657" s="678"/>
      <c r="Q657" s="673"/>
      <c r="R657" s="673"/>
      <c r="S657" s="673"/>
      <c r="T657" s="673"/>
      <c r="U657" s="673"/>
      <c r="V657" s="673"/>
      <c r="W657" s="490"/>
      <c r="X657" s="676"/>
      <c r="Y657" s="676"/>
      <c r="Z657" s="676"/>
      <c r="AA657" s="676"/>
      <c r="AB657" s="676"/>
      <c r="AC657" s="490"/>
      <c r="AD657" s="490"/>
      <c r="AE657" s="490"/>
      <c r="AF657" s="490"/>
      <c r="AG657" s="490"/>
      <c r="AH657" s="490"/>
      <c r="AI657" s="490"/>
      <c r="AJ657" s="490"/>
      <c r="AK657" s="490"/>
      <c r="AL657" s="490"/>
      <c r="AM657" s="490"/>
      <c r="AN657" s="490"/>
      <c r="AO657" s="490"/>
      <c r="AP657" s="490"/>
      <c r="AQ657" s="490"/>
      <c r="AR657" s="490"/>
      <c r="AS657" s="490"/>
      <c r="AT657" s="490"/>
      <c r="AU657" s="490"/>
      <c r="AV657" s="490"/>
      <c r="AW657" s="490"/>
      <c r="AX657" s="490"/>
      <c r="AY657" s="490"/>
      <c r="AZ657" s="491"/>
      <c r="BA657" s="491"/>
      <c r="BB657" s="491"/>
    </row>
    <row r="658" spans="1:54" hidden="1" outlineLevel="1" x14ac:dyDescent="0.2">
      <c r="A658" s="243"/>
      <c r="B658" s="243"/>
      <c r="C658" s="243"/>
      <c r="D658" s="677"/>
      <c r="E658" s="677"/>
      <c r="F658" s="243"/>
      <c r="G658" s="243"/>
      <c r="H658" s="243"/>
      <c r="I658" s="243"/>
      <c r="J658" s="243"/>
      <c r="K658" s="243"/>
      <c r="L658" s="243"/>
      <c r="M658" s="243"/>
      <c r="N658" s="678"/>
      <c r="O658" s="678"/>
      <c r="P658" s="678"/>
      <c r="Q658" s="673"/>
      <c r="R658" s="673"/>
      <c r="S658" s="673"/>
      <c r="T658" s="673"/>
      <c r="U658" s="673"/>
      <c r="V658" s="673"/>
      <c r="W658" s="490"/>
      <c r="X658" s="676"/>
      <c r="Y658" s="676"/>
      <c r="Z658" s="676"/>
      <c r="AA658" s="676"/>
      <c r="AB658" s="676"/>
      <c r="AC658" s="490"/>
      <c r="AD658" s="490"/>
      <c r="AE658" s="490"/>
      <c r="AF658" s="490"/>
      <c r="AG658" s="490"/>
      <c r="AH658" s="490"/>
      <c r="AI658" s="490"/>
      <c r="AJ658" s="490"/>
      <c r="AK658" s="490"/>
      <c r="AL658" s="490"/>
      <c r="AM658" s="490"/>
      <c r="AN658" s="490"/>
      <c r="AO658" s="490"/>
      <c r="AP658" s="490"/>
      <c r="AQ658" s="490"/>
      <c r="AR658" s="490"/>
      <c r="AS658" s="490"/>
      <c r="AT658" s="490"/>
      <c r="AU658" s="490"/>
      <c r="AV658" s="490"/>
      <c r="AW658" s="490"/>
      <c r="AX658" s="490"/>
      <c r="AY658" s="490"/>
      <c r="AZ658" s="491"/>
      <c r="BA658" s="491"/>
      <c r="BB658" s="491"/>
    </row>
    <row r="659" spans="1:54" ht="15.75" hidden="1" outlineLevel="1" x14ac:dyDescent="0.2">
      <c r="A659" s="243"/>
      <c r="B659" s="243"/>
      <c r="C659" s="242">
        <v>10</v>
      </c>
      <c r="D659" s="79" t="str">
        <f>INDEX(MBSDecNames,C659)</f>
        <v>** NOT USED **</v>
      </c>
      <c r="E659" s="79"/>
      <c r="F659" s="115"/>
      <c r="G659" s="115"/>
      <c r="H659" s="115"/>
      <c r="I659" s="115"/>
      <c r="J659" s="821" t="str">
        <f>IF(D659&lt;&gt;MsgNotUsed,"Co-payment group " &amp; K467,"")</f>
        <v/>
      </c>
      <c r="K659" s="821"/>
      <c r="L659" s="115"/>
      <c r="M659" s="115"/>
      <c r="N659" s="115"/>
      <c r="O659" s="115"/>
      <c r="P659" s="115"/>
      <c r="Q659" s="115"/>
      <c r="R659" s="115"/>
      <c r="S659" s="115"/>
      <c r="T659" s="115"/>
      <c r="U659" s="115"/>
      <c r="V659" s="115"/>
      <c r="W659" s="491"/>
      <c r="X659" s="490"/>
      <c r="Y659" s="490"/>
      <c r="Z659" s="490"/>
      <c r="AA659" s="490"/>
      <c r="AB659" s="676"/>
      <c r="AC659" s="490"/>
      <c r="AD659" s="490"/>
      <c r="AE659" s="490"/>
      <c r="AF659" s="490"/>
      <c r="AG659" s="490"/>
      <c r="AH659" s="490"/>
      <c r="AI659" s="490"/>
      <c r="AJ659" s="490"/>
      <c r="AK659" s="490"/>
      <c r="AL659" s="490"/>
      <c r="AM659" s="490"/>
      <c r="AN659" s="490"/>
      <c r="AO659" s="490"/>
      <c r="AP659" s="490"/>
      <c r="AQ659" s="490"/>
      <c r="AR659" s="490"/>
      <c r="AS659" s="490"/>
      <c r="AT659" s="490"/>
      <c r="AU659" s="490"/>
      <c r="AV659" s="490"/>
      <c r="AW659" s="490"/>
      <c r="AX659" s="490"/>
      <c r="AY659" s="490"/>
      <c r="AZ659" s="491"/>
      <c r="BA659" s="491"/>
      <c r="BB659" s="491"/>
    </row>
    <row r="660" spans="1:54" hidden="1" outlineLevel="2" x14ac:dyDescent="0.2">
      <c r="A660" s="243"/>
      <c r="B660" s="243"/>
      <c r="C660" s="243"/>
      <c r="D660" s="243"/>
      <c r="E660" s="243"/>
      <c r="F660" s="495">
        <v>2</v>
      </c>
      <c r="G660" s="495">
        <v>3</v>
      </c>
      <c r="H660" s="495">
        <v>4</v>
      </c>
      <c r="I660" s="495">
        <v>5</v>
      </c>
      <c r="J660" s="495">
        <v>6</v>
      </c>
      <c r="K660" s="495">
        <v>7</v>
      </c>
      <c r="L660" s="495"/>
      <c r="M660" s="243"/>
      <c r="N660" s="243"/>
      <c r="O660" s="243"/>
      <c r="P660" s="243"/>
      <c r="Q660" s="243"/>
      <c r="R660" s="243"/>
      <c r="S660" s="243"/>
      <c r="T660" s="243"/>
      <c r="U660" s="243"/>
      <c r="V660" s="243"/>
      <c r="W660" s="490"/>
      <c r="X660" s="490"/>
      <c r="Y660" s="490"/>
      <c r="Z660" s="490"/>
      <c r="AA660" s="490"/>
      <c r="AB660" s="676"/>
      <c r="AC660" s="490"/>
      <c r="AD660" s="490"/>
      <c r="AE660" s="490"/>
      <c r="AF660" s="490"/>
      <c r="AG660" s="490"/>
      <c r="AH660" s="490"/>
      <c r="AI660" s="490"/>
      <c r="AJ660" s="490"/>
      <c r="AK660" s="490"/>
      <c r="AL660" s="490"/>
      <c r="AM660" s="490"/>
      <c r="AN660" s="490"/>
      <c r="AO660" s="490"/>
      <c r="AP660" s="490"/>
      <c r="AQ660" s="490"/>
      <c r="AR660" s="490"/>
      <c r="AS660" s="490"/>
      <c r="AT660" s="490"/>
      <c r="AU660" s="490"/>
      <c r="AV660" s="490"/>
      <c r="AW660" s="490"/>
      <c r="AX660" s="490"/>
      <c r="AY660" s="490"/>
      <c r="AZ660" s="491"/>
      <c r="BA660" s="491"/>
      <c r="BB660" s="491"/>
    </row>
    <row r="661" spans="1:54" ht="15" hidden="1" outlineLevel="2" x14ac:dyDescent="0.2">
      <c r="A661" s="243"/>
      <c r="B661" s="243"/>
      <c r="C661" s="243"/>
      <c r="D661" s="663" t="s">
        <v>0</v>
      </c>
      <c r="E661" s="663"/>
      <c r="F661" s="630">
        <f>FirstYear</f>
        <v>2021</v>
      </c>
      <c r="G661" s="630">
        <f>F661+1</f>
        <v>2022</v>
      </c>
      <c r="H661" s="630">
        <f>G661+1</f>
        <v>2023</v>
      </c>
      <c r="I661" s="630">
        <f>H661+1</f>
        <v>2024</v>
      </c>
      <c r="J661" s="630">
        <f>I661+1</f>
        <v>2025</v>
      </c>
      <c r="K661" s="630">
        <f>J661+1</f>
        <v>2026</v>
      </c>
      <c r="L661" s="491"/>
      <c r="M661" s="113"/>
      <c r="N661" s="679"/>
      <c r="O661" s="679"/>
      <c r="P661" s="679"/>
      <c r="Q661" s="674"/>
      <c r="R661" s="674"/>
      <c r="S661" s="674"/>
      <c r="T661" s="674"/>
      <c r="U661" s="674"/>
      <c r="V661" s="674"/>
      <c r="W661" s="491"/>
      <c r="X661" s="674"/>
      <c r="Y661" s="674"/>
      <c r="Z661" s="674"/>
      <c r="AA661" s="674"/>
      <c r="AB661" s="676"/>
      <c r="AC661" s="490"/>
      <c r="AD661" s="490"/>
      <c r="AE661" s="490"/>
      <c r="AF661" s="490"/>
      <c r="AG661" s="490"/>
      <c r="AH661" s="490"/>
      <c r="AI661" s="490"/>
      <c r="AJ661" s="490"/>
      <c r="AK661" s="490"/>
      <c r="AL661" s="490"/>
      <c r="AM661" s="490"/>
      <c r="AN661" s="490"/>
      <c r="AO661" s="490"/>
      <c r="AP661" s="490"/>
      <c r="AQ661" s="490"/>
      <c r="AR661" s="490"/>
      <c r="AS661" s="490"/>
      <c r="AT661" s="490"/>
      <c r="AU661" s="490"/>
      <c r="AV661" s="490"/>
      <c r="AW661" s="490"/>
      <c r="AX661" s="490"/>
      <c r="AY661" s="490"/>
      <c r="AZ661" s="491"/>
      <c r="BA661" s="491"/>
      <c r="BB661" s="491"/>
    </row>
    <row r="662" spans="1:54" hidden="1" outlineLevel="2" collapsed="1" x14ac:dyDescent="0.2">
      <c r="A662" s="243"/>
      <c r="B662" s="243"/>
      <c r="C662" s="243"/>
      <c r="D662" s="243"/>
      <c r="E662" s="433" t="s">
        <v>951</v>
      </c>
      <c r="F662" s="283">
        <f t="shared" ref="F662:K662" si="452">F663*INDEX(MBSDecCalc,$C659,3)</f>
        <v>0</v>
      </c>
      <c r="G662" s="283">
        <f t="shared" si="452"/>
        <v>0</v>
      </c>
      <c r="H662" s="283">
        <f t="shared" si="452"/>
        <v>0</v>
      </c>
      <c r="I662" s="283">
        <f t="shared" si="452"/>
        <v>0</v>
      </c>
      <c r="J662" s="283">
        <f t="shared" si="452"/>
        <v>0</v>
      </c>
      <c r="K662" s="283">
        <f t="shared" si="452"/>
        <v>0</v>
      </c>
      <c r="L662" s="490"/>
      <c r="M662" s="680"/>
      <c r="N662" s="664"/>
      <c r="O662" s="664"/>
      <c r="P662" s="664"/>
      <c r="Q662" s="681"/>
      <c r="R662" s="681"/>
      <c r="S662" s="681"/>
      <c r="T662" s="681"/>
      <c r="U662" s="681"/>
      <c r="V662" s="681"/>
      <c r="W662" s="493"/>
      <c r="X662" s="561">
        <f>INDEX(MBSDecItems,C659,1)</f>
        <v>0</v>
      </c>
      <c r="Y662" s="561">
        <f>FirstYear</f>
        <v>2021</v>
      </c>
      <c r="Z662" s="560">
        <f>IF(F663&lt;&gt;0,F663-F665,0)</f>
        <v>0</v>
      </c>
      <c r="AA662" s="560">
        <f>IF(F671&lt;&gt;0,F671-F673,0)</f>
        <v>0</v>
      </c>
      <c r="AB662" s="676"/>
      <c r="AC662" s="490"/>
      <c r="AD662" s="490"/>
      <c r="AE662" s="490"/>
      <c r="AF662" s="490"/>
      <c r="AG662" s="490"/>
      <c r="AH662" s="490"/>
      <c r="AI662" s="490"/>
      <c r="AJ662" s="490"/>
      <c r="AK662" s="490"/>
      <c r="AL662" s="490"/>
      <c r="AM662" s="490"/>
      <c r="AN662" s="490"/>
      <c r="AO662" s="490"/>
      <c r="AP662" s="490"/>
      <c r="AQ662" s="490"/>
      <c r="AR662" s="490"/>
      <c r="AS662" s="490"/>
      <c r="AT662" s="490"/>
      <c r="AU662" s="490"/>
      <c r="AV662" s="490"/>
      <c r="AW662" s="490"/>
      <c r="AX662" s="490"/>
      <c r="AY662" s="490"/>
      <c r="AZ662" s="491"/>
      <c r="BA662" s="491"/>
      <c r="BB662" s="491"/>
    </row>
    <row r="663" spans="1:54" hidden="1" outlineLevel="2" x14ac:dyDescent="0.2">
      <c r="A663" s="243"/>
      <c r="B663" s="672"/>
      <c r="C663" s="242" t="str">
        <f>INDEX(MBSDecCalc,C659,2)</f>
        <v/>
      </c>
      <c r="D663" s="243"/>
      <c r="E663" s="62" t="s">
        <v>1310</v>
      </c>
      <c r="F663" s="63">
        <f t="shared" ref="F663:K663" si="453">IF(INDEX(MBSDecRate,$C659,2)=2,IFERROR(INDEX(PBSScriptsChanged,$C663,F660),0),IFERROR(INDEX(MBSPBSDec,$C659,INDEX(MBSDecRate,$C659,3)*7+F660),0) * IFERROR(INDEX(MBSDecPopSplit,$C659),0)) * INDEX(MBSDecRate,$C659,1) * INDEX(MBSDecRate,$C659,4)</f>
        <v>0</v>
      </c>
      <c r="G663" s="63">
        <f t="shared" si="453"/>
        <v>0</v>
      </c>
      <c r="H663" s="63">
        <f t="shared" si="453"/>
        <v>0</v>
      </c>
      <c r="I663" s="63">
        <f t="shared" si="453"/>
        <v>0</v>
      </c>
      <c r="J663" s="63">
        <f t="shared" si="453"/>
        <v>0</v>
      </c>
      <c r="K663" s="63">
        <f t="shared" si="453"/>
        <v>0</v>
      </c>
      <c r="L663" s="490"/>
      <c r="M663" s="493"/>
      <c r="N663" s="493"/>
      <c r="O663" s="664"/>
      <c r="P663" s="664"/>
      <c r="Q663" s="681"/>
      <c r="R663" s="681"/>
      <c r="S663" s="681"/>
      <c r="T663" s="681"/>
      <c r="U663" s="681"/>
      <c r="V663" s="681"/>
      <c r="W663" s="493"/>
      <c r="X663" s="561">
        <f>X662</f>
        <v>0</v>
      </c>
      <c r="Y663" s="561">
        <f>Y662+1</f>
        <v>2022</v>
      </c>
      <c r="Z663" s="560">
        <f>IF(G663&lt;&gt;0,G663-G665,0)</f>
        <v>0</v>
      </c>
      <c r="AA663" s="560">
        <f>IF(G671&lt;&gt;0,G671-G673,0)</f>
        <v>0</v>
      </c>
      <c r="AB663" s="676"/>
      <c r="AC663" s="490"/>
      <c r="AD663" s="490"/>
      <c r="AE663" s="490"/>
      <c r="AF663" s="490"/>
      <c r="AG663" s="490"/>
      <c r="AH663" s="490"/>
      <c r="AI663" s="490"/>
      <c r="AJ663" s="490"/>
      <c r="AK663" s="490"/>
      <c r="AL663" s="490"/>
      <c r="AM663" s="490"/>
      <c r="AN663" s="490"/>
      <c r="AO663" s="490"/>
      <c r="AP663" s="490"/>
      <c r="AQ663" s="490"/>
      <c r="AR663" s="490"/>
      <c r="AS663" s="490"/>
      <c r="AT663" s="490"/>
      <c r="AU663" s="490"/>
      <c r="AV663" s="490"/>
      <c r="AW663" s="490"/>
      <c r="AX663" s="490"/>
      <c r="AY663" s="490"/>
      <c r="AZ663" s="491"/>
      <c r="BA663" s="491"/>
      <c r="BB663" s="491"/>
    </row>
    <row r="664" spans="1:54" hidden="1" outlineLevel="2" x14ac:dyDescent="0.2">
      <c r="A664" s="243"/>
      <c r="B664" s="242">
        <v>5</v>
      </c>
      <c r="C664" s="242">
        <v>6</v>
      </c>
      <c r="D664" s="243"/>
      <c r="E664" s="496" t="s">
        <v>1307</v>
      </c>
      <c r="F664" s="63" t="str">
        <f t="shared" ref="F664:K664" si="454">IFERROR(F663*INDEX(MBSDecItems,$C659,$B664)*INDEX(MBSDecItems,$C659,$C664),"")</f>
        <v/>
      </c>
      <c r="G664" s="63" t="str">
        <f t="shared" si="454"/>
        <v/>
      </c>
      <c r="H664" s="63" t="str">
        <f t="shared" si="454"/>
        <v/>
      </c>
      <c r="I664" s="63" t="str">
        <f t="shared" si="454"/>
        <v/>
      </c>
      <c r="J664" s="63" t="str">
        <f t="shared" si="454"/>
        <v/>
      </c>
      <c r="K664" s="63" t="str">
        <f t="shared" si="454"/>
        <v/>
      </c>
      <c r="L664" s="490"/>
      <c r="M664" s="493"/>
      <c r="N664" s="493"/>
      <c r="O664" s="682"/>
      <c r="P664" s="754"/>
      <c r="Q664" s="681"/>
      <c r="R664" s="681"/>
      <c r="S664" s="681"/>
      <c r="T664" s="681"/>
      <c r="U664" s="681"/>
      <c r="V664" s="681"/>
      <c r="W664" s="493"/>
      <c r="X664" s="561">
        <f t="shared" ref="X664:X667" si="455">X663</f>
        <v>0</v>
      </c>
      <c r="Y664" s="561">
        <f>Y663+1</f>
        <v>2023</v>
      </c>
      <c r="Z664" s="560">
        <f>IF(H663&lt;&gt;0,H663-H665,0)</f>
        <v>0</v>
      </c>
      <c r="AA664" s="560">
        <f>IF(H671&lt;&gt;0,H671-H673,0)</f>
        <v>0</v>
      </c>
      <c r="AB664" s="676"/>
      <c r="AC664" s="490"/>
      <c r="AD664" s="490"/>
      <c r="AE664" s="490"/>
      <c r="AF664" s="490"/>
      <c r="AG664" s="490"/>
      <c r="AH664" s="490"/>
      <c r="AI664" s="490"/>
      <c r="AJ664" s="490"/>
      <c r="AK664" s="490"/>
      <c r="AL664" s="490"/>
      <c r="AM664" s="490"/>
      <c r="AN664" s="490"/>
      <c r="AO664" s="490"/>
      <c r="AP664" s="490"/>
      <c r="AQ664" s="490"/>
      <c r="AR664" s="490"/>
      <c r="AS664" s="490"/>
      <c r="AT664" s="490"/>
      <c r="AU664" s="490"/>
      <c r="AV664" s="490"/>
      <c r="AW664" s="490"/>
      <c r="AX664" s="490"/>
      <c r="AY664" s="490"/>
      <c r="AZ664" s="491"/>
      <c r="BA664" s="491"/>
      <c r="BB664" s="491"/>
    </row>
    <row r="665" spans="1:54" hidden="1" outlineLevel="2" x14ac:dyDescent="0.2">
      <c r="A665" s="416"/>
      <c r="B665" s="242">
        <v>4</v>
      </c>
      <c r="C665" s="242">
        <v>6</v>
      </c>
      <c r="D665" s="243"/>
      <c r="E665" s="496" t="s">
        <v>1306</v>
      </c>
      <c r="F665" s="63" t="str">
        <f t="shared" ref="F665:K665" si="456">IFERROR(F663*INDEX(MBSDecItems,$C659,$B665)*INDEX(MBSDecItems,$C659,$C665),"")</f>
        <v/>
      </c>
      <c r="G665" s="63" t="str">
        <f t="shared" si="456"/>
        <v/>
      </c>
      <c r="H665" s="63" t="str">
        <f t="shared" si="456"/>
        <v/>
      </c>
      <c r="I665" s="63" t="str">
        <f t="shared" si="456"/>
        <v/>
      </c>
      <c r="J665" s="63" t="str">
        <f t="shared" si="456"/>
        <v/>
      </c>
      <c r="K665" s="63" t="str">
        <f t="shared" si="456"/>
        <v/>
      </c>
      <c r="L665" s="416"/>
      <c r="M665" s="416"/>
      <c r="N665" s="416"/>
      <c r="O665" s="416"/>
      <c r="P665" s="416"/>
      <c r="Q665" s="416"/>
      <c r="R665" s="416"/>
      <c r="S665" s="416"/>
      <c r="T665" s="416"/>
      <c r="U665" s="416"/>
      <c r="V665" s="416"/>
      <c r="W665" s="493"/>
      <c r="X665" s="561">
        <f t="shared" si="455"/>
        <v>0</v>
      </c>
      <c r="Y665" s="561">
        <f>Y664+1</f>
        <v>2024</v>
      </c>
      <c r="Z665" s="560">
        <f>IF(I663&lt;&gt;0,I663-I665,0)</f>
        <v>0</v>
      </c>
      <c r="AA665" s="560">
        <f>IF(I671&lt;&gt;0,I671-I673,0)</f>
        <v>0</v>
      </c>
      <c r="AB665" s="674"/>
      <c r="AC665" s="490"/>
      <c r="AD665" s="490"/>
      <c r="AE665" s="490"/>
      <c r="AF665" s="490"/>
      <c r="AG665" s="490"/>
      <c r="AH665" s="490"/>
      <c r="AI665" s="490"/>
      <c r="AJ665" s="490"/>
      <c r="AK665" s="490"/>
      <c r="AL665" s="490"/>
      <c r="AM665" s="490"/>
      <c r="AN665" s="490"/>
      <c r="AO665" s="490"/>
      <c r="AP665" s="490"/>
      <c r="AQ665" s="490"/>
      <c r="AR665" s="490"/>
      <c r="AS665" s="490"/>
      <c r="AT665" s="490"/>
      <c r="AU665" s="490"/>
      <c r="AV665" s="490"/>
      <c r="AW665" s="490"/>
      <c r="AX665" s="490"/>
      <c r="AY665" s="490"/>
      <c r="AZ665" s="491"/>
      <c r="BA665" s="491"/>
      <c r="BB665" s="491"/>
    </row>
    <row r="666" spans="1:54" hidden="1" outlineLevel="2" x14ac:dyDescent="0.2">
      <c r="A666" s="243"/>
      <c r="B666" s="242"/>
      <c r="C666" s="242">
        <v>7</v>
      </c>
      <c r="D666" s="243"/>
      <c r="E666" s="497" t="s">
        <v>1308</v>
      </c>
      <c r="F666" s="63" t="str">
        <f t="shared" ref="F666:K666" si="457">IFERROR(F663*INDEX(MBSDecItems,$C659,$C666),"")</f>
        <v/>
      </c>
      <c r="G666" s="63" t="str">
        <f t="shared" si="457"/>
        <v/>
      </c>
      <c r="H666" s="63" t="str">
        <f t="shared" si="457"/>
        <v/>
      </c>
      <c r="I666" s="63" t="str">
        <f t="shared" si="457"/>
        <v/>
      </c>
      <c r="J666" s="63" t="str">
        <f t="shared" si="457"/>
        <v/>
      </c>
      <c r="K666" s="63" t="str">
        <f t="shared" si="457"/>
        <v/>
      </c>
      <c r="L666" s="490"/>
      <c r="M666" s="493"/>
      <c r="N666" s="493"/>
      <c r="O666" s="682"/>
      <c r="P666" s="754"/>
      <c r="Q666" s="681"/>
      <c r="R666" s="681"/>
      <c r="S666" s="681"/>
      <c r="T666" s="681"/>
      <c r="U666" s="681"/>
      <c r="V666" s="681"/>
      <c r="W666" s="493"/>
      <c r="X666" s="561">
        <f t="shared" si="455"/>
        <v>0</v>
      </c>
      <c r="Y666" s="561">
        <f>Y665+1</f>
        <v>2025</v>
      </c>
      <c r="Z666" s="560">
        <f>IF(J663&lt;&gt;0,J663-J665,0)</f>
        <v>0</v>
      </c>
      <c r="AA666" s="560">
        <f>IF(J671&lt;&gt;0,J671-J673,0)</f>
        <v>0</v>
      </c>
      <c r="AB666" s="674"/>
      <c r="AC666" s="490"/>
      <c r="AD666" s="490"/>
      <c r="AE666" s="490"/>
      <c r="AF666" s="490"/>
      <c r="AG666" s="490"/>
      <c r="AH666" s="490"/>
      <c r="AI666" s="490"/>
      <c r="AJ666" s="490"/>
      <c r="AK666" s="490"/>
      <c r="AL666" s="490"/>
      <c r="AM666" s="490"/>
      <c r="AN666" s="490"/>
      <c r="AO666" s="490"/>
      <c r="AP666" s="490"/>
      <c r="AQ666" s="490"/>
      <c r="AR666" s="490"/>
      <c r="AS666" s="490"/>
      <c r="AT666" s="490"/>
      <c r="AU666" s="490"/>
      <c r="AV666" s="490"/>
      <c r="AW666" s="490"/>
      <c r="AX666" s="490"/>
      <c r="AY666" s="490"/>
      <c r="AZ666" s="491"/>
      <c r="BA666" s="491"/>
      <c r="BB666" s="491"/>
    </row>
    <row r="667" spans="1:54" hidden="1" outlineLevel="2" x14ac:dyDescent="0.2">
      <c r="A667" s="243"/>
      <c r="B667" s="493"/>
      <c r="C667" s="493"/>
      <c r="D667" s="493"/>
      <c r="E667" s="493"/>
      <c r="F667" s="493"/>
      <c r="G667" s="493"/>
      <c r="H667" s="493"/>
      <c r="I667" s="493"/>
      <c r="J667" s="493"/>
      <c r="K667" s="493"/>
      <c r="L667" s="490"/>
      <c r="M667" s="493"/>
      <c r="N667" s="493"/>
      <c r="O667" s="682"/>
      <c r="P667" s="682"/>
      <c r="Q667" s="681"/>
      <c r="R667" s="681"/>
      <c r="S667" s="681"/>
      <c r="T667" s="681"/>
      <c r="U667" s="681"/>
      <c r="V667" s="681"/>
      <c r="W667" s="493"/>
      <c r="X667" s="561">
        <f t="shared" si="455"/>
        <v>0</v>
      </c>
      <c r="Y667" s="561">
        <f>Y666+1</f>
        <v>2026</v>
      </c>
      <c r="Z667" s="560">
        <f>IF(K663&lt;&gt;0,K663-K665,0)</f>
        <v>0</v>
      </c>
      <c r="AA667" s="560">
        <f>IF(K671&lt;&gt;0,K671-K673,0)</f>
        <v>0</v>
      </c>
      <c r="AB667" s="675"/>
      <c r="AC667" s="490"/>
      <c r="AD667" s="490"/>
      <c r="AE667" s="490"/>
      <c r="AF667" s="490"/>
      <c r="AG667" s="490"/>
      <c r="AH667" s="490"/>
      <c r="AI667" s="490"/>
      <c r="AJ667" s="490"/>
      <c r="AK667" s="490"/>
      <c r="AL667" s="490"/>
      <c r="AM667" s="490"/>
      <c r="AN667" s="490"/>
      <c r="AO667" s="490"/>
      <c r="AP667" s="490"/>
      <c r="AQ667" s="490"/>
      <c r="AR667" s="490"/>
      <c r="AS667" s="490"/>
      <c r="AT667" s="490"/>
      <c r="AU667" s="490"/>
      <c r="AV667" s="490"/>
      <c r="AW667" s="490"/>
      <c r="AX667" s="490"/>
      <c r="AY667" s="490"/>
      <c r="AZ667" s="491"/>
      <c r="BA667" s="491"/>
      <c r="BB667" s="491"/>
    </row>
    <row r="668" spans="1:54" hidden="1" outlineLevel="2" x14ac:dyDescent="0.2">
      <c r="A668" s="243"/>
      <c r="B668" s="243"/>
      <c r="C668" s="243"/>
      <c r="D668" s="677"/>
      <c r="E668" s="677"/>
      <c r="F668" s="495">
        <v>2</v>
      </c>
      <c r="G668" s="495">
        <v>3</v>
      </c>
      <c r="H668" s="495">
        <v>4</v>
      </c>
      <c r="I668" s="495">
        <v>5</v>
      </c>
      <c r="J668" s="495">
        <v>6</v>
      </c>
      <c r="K668" s="495">
        <v>7</v>
      </c>
      <c r="L668" s="490"/>
      <c r="M668" s="243"/>
      <c r="N668" s="678"/>
      <c r="O668" s="678"/>
      <c r="P668" s="678"/>
      <c r="Q668" s="673"/>
      <c r="R668" s="673"/>
      <c r="S668" s="673"/>
      <c r="T668" s="673"/>
      <c r="U668" s="673"/>
      <c r="V668" s="673"/>
      <c r="W668" s="490"/>
      <c r="X668" s="676"/>
      <c r="Y668" s="676"/>
      <c r="Z668" s="676"/>
      <c r="AA668" s="676"/>
      <c r="AB668" s="675"/>
      <c r="AC668" s="490"/>
      <c r="AD668" s="490"/>
      <c r="AE668" s="490"/>
      <c r="AF668" s="490"/>
      <c r="AG668" s="490"/>
      <c r="AH668" s="490"/>
      <c r="AI668" s="490"/>
      <c r="AJ668" s="490"/>
      <c r="AK668" s="490"/>
      <c r="AL668" s="490"/>
      <c r="AM668" s="490"/>
      <c r="AN668" s="490"/>
      <c r="AO668" s="490"/>
      <c r="AP668" s="490"/>
      <c r="AQ668" s="490"/>
      <c r="AR668" s="490"/>
      <c r="AS668" s="490"/>
      <c r="AT668" s="490"/>
      <c r="AU668" s="490"/>
      <c r="AV668" s="490"/>
      <c r="AW668" s="490"/>
      <c r="AX668" s="490"/>
      <c r="AY668" s="490"/>
      <c r="AZ668" s="491"/>
      <c r="BA668" s="491"/>
      <c r="BB668" s="491"/>
    </row>
    <row r="669" spans="1:54" ht="15.75" hidden="1" outlineLevel="2" x14ac:dyDescent="0.2">
      <c r="A669" s="243"/>
      <c r="B669" s="243"/>
      <c r="C669" s="243"/>
      <c r="D669" s="663" t="s">
        <v>1</v>
      </c>
      <c r="E669" s="663"/>
      <c r="F669" s="751">
        <f>FirstYear</f>
        <v>2021</v>
      </c>
      <c r="G669" s="751">
        <f>F669+1</f>
        <v>2022</v>
      </c>
      <c r="H669" s="751">
        <f>G669+1</f>
        <v>2023</v>
      </c>
      <c r="I669" s="751">
        <f>H669+1</f>
        <v>2024</v>
      </c>
      <c r="J669" s="751">
        <f>I669+1</f>
        <v>2025</v>
      </c>
      <c r="K669" s="751">
        <f>J669+1</f>
        <v>2026</v>
      </c>
      <c r="L669" s="491"/>
      <c r="M669" s="243"/>
      <c r="N669" s="685"/>
      <c r="O669" s="685"/>
      <c r="P669" s="685"/>
      <c r="Q669" s="673"/>
      <c r="R669" s="673"/>
      <c r="S669" s="673"/>
      <c r="T669" s="673"/>
      <c r="U669" s="673"/>
      <c r="V669" s="673"/>
      <c r="W669" s="491"/>
      <c r="X669" s="676"/>
      <c r="Y669" s="676"/>
      <c r="Z669" s="676"/>
      <c r="AA669" s="676"/>
      <c r="AB669" s="675"/>
      <c r="AC669" s="490"/>
      <c r="AD669" s="490"/>
      <c r="AE669" s="490"/>
      <c r="AF669" s="490"/>
      <c r="AG669" s="490"/>
      <c r="AH669" s="490"/>
      <c r="AI669" s="490"/>
      <c r="AJ669" s="490"/>
      <c r="AK669" s="490"/>
      <c r="AL669" s="490"/>
      <c r="AM669" s="490"/>
      <c r="AN669" s="490"/>
      <c r="AO669" s="490"/>
      <c r="AP669" s="490"/>
      <c r="AQ669" s="490"/>
      <c r="AR669" s="490"/>
      <c r="AS669" s="490"/>
      <c r="AT669" s="490"/>
      <c r="AU669" s="490"/>
      <c r="AV669" s="490"/>
      <c r="AW669" s="490"/>
      <c r="AX669" s="490"/>
      <c r="AY669" s="490"/>
      <c r="AZ669" s="491"/>
      <c r="BA669" s="491"/>
      <c r="BB669" s="491"/>
    </row>
    <row r="670" spans="1:54" hidden="1" outlineLevel="2" x14ac:dyDescent="0.2">
      <c r="A670" s="243"/>
      <c r="B670" s="243"/>
      <c r="C670" s="243"/>
      <c r="D670" s="243"/>
      <c r="E670" s="433" t="s">
        <v>951</v>
      </c>
      <c r="F670" s="283">
        <f t="shared" ref="F670:K670" si="458">F671*INDEX(MBSDecCalc,$C659,3)</f>
        <v>0</v>
      </c>
      <c r="G670" s="283">
        <f t="shared" si="458"/>
        <v>0</v>
      </c>
      <c r="H670" s="283">
        <f t="shared" si="458"/>
        <v>0</v>
      </c>
      <c r="I670" s="283">
        <f t="shared" si="458"/>
        <v>0</v>
      </c>
      <c r="J670" s="283">
        <f t="shared" si="458"/>
        <v>0</v>
      </c>
      <c r="K670" s="283">
        <f t="shared" si="458"/>
        <v>0</v>
      </c>
      <c r="L670" s="490"/>
      <c r="M670" s="615"/>
      <c r="N670" s="615"/>
      <c r="O670" s="678"/>
      <c r="P670" s="678"/>
      <c r="Q670" s="673"/>
      <c r="R670" s="673"/>
      <c r="S670" s="673"/>
      <c r="T670" s="673"/>
      <c r="U670" s="673"/>
      <c r="V670" s="673"/>
      <c r="W670" s="490"/>
      <c r="X670" s="676"/>
      <c r="Y670" s="676"/>
      <c r="Z670" s="676"/>
      <c r="AA670" s="676"/>
      <c r="AB670" s="675"/>
      <c r="AC670" s="490"/>
      <c r="AD670" s="490"/>
      <c r="AE670" s="490"/>
      <c r="AF670" s="490"/>
      <c r="AG670" s="490"/>
      <c r="AH670" s="490"/>
      <c r="AI670" s="490"/>
      <c r="AJ670" s="490"/>
      <c r="AK670" s="490"/>
      <c r="AL670" s="490"/>
      <c r="AM670" s="490"/>
      <c r="AN670" s="490"/>
      <c r="AO670" s="490"/>
      <c r="AP670" s="490"/>
      <c r="AQ670" s="490"/>
      <c r="AR670" s="490"/>
      <c r="AS670" s="490"/>
      <c r="AT670" s="490"/>
      <c r="AU670" s="490"/>
      <c r="AV670" s="490"/>
      <c r="AW670" s="490"/>
      <c r="AX670" s="490"/>
      <c r="AY670" s="490"/>
      <c r="AZ670" s="491"/>
      <c r="BA670" s="491"/>
      <c r="BB670" s="491"/>
    </row>
    <row r="671" spans="1:54" hidden="1" outlineLevel="2" x14ac:dyDescent="0.2">
      <c r="A671" s="243"/>
      <c r="B671" s="672"/>
      <c r="C671" s="242" t="str">
        <f>C663</f>
        <v/>
      </c>
      <c r="D671" s="243"/>
      <c r="E671" s="62" t="s">
        <v>1310</v>
      </c>
      <c r="F671" s="63">
        <f t="shared" ref="F671:K671" si="459">IF(INDEX(MBSDecRate,$C659,2)=2,IFERROR(INDEX(RPBSScriptsChanged,$C671,F668),0),IFERROR(INDEX(MBSRPBSDec,$C659,INDEX(MBSDecRate,$C659,3)*7+F668),0) * IFERROR(INDEX(MBSDecPopSplit,$C659),0)) * INDEX(MBSDecRate,$C659,1) * INDEX(MBSDecRate,$C659,4)</f>
        <v>0</v>
      </c>
      <c r="G671" s="63">
        <f t="shared" si="459"/>
        <v>0</v>
      </c>
      <c r="H671" s="63">
        <f t="shared" si="459"/>
        <v>0</v>
      </c>
      <c r="I671" s="63">
        <f t="shared" si="459"/>
        <v>0</v>
      </c>
      <c r="J671" s="63">
        <f t="shared" si="459"/>
        <v>0</v>
      </c>
      <c r="K671" s="63">
        <f t="shared" si="459"/>
        <v>0</v>
      </c>
      <c r="L671" s="490"/>
      <c r="M671" s="243"/>
      <c r="N671" s="753"/>
      <c r="O671" s="678"/>
      <c r="P671" s="678"/>
      <c r="Q671" s="673"/>
      <c r="R671" s="673"/>
      <c r="S671" s="673"/>
      <c r="T671" s="673"/>
      <c r="U671" s="673"/>
      <c r="V671" s="673"/>
      <c r="W671" s="490"/>
      <c r="X671" s="676"/>
      <c r="Y671" s="676"/>
      <c r="Z671" s="676"/>
      <c r="AA671" s="676"/>
      <c r="AB671" s="675"/>
      <c r="AC671" s="490"/>
      <c r="AD671" s="490"/>
      <c r="AE671" s="490"/>
      <c r="AF671" s="490"/>
      <c r="AG671" s="490"/>
      <c r="AH671" s="490"/>
      <c r="AI671" s="490"/>
      <c r="AJ671" s="490"/>
      <c r="AK671" s="490"/>
      <c r="AL671" s="490"/>
      <c r="AM671" s="490"/>
      <c r="AN671" s="490"/>
      <c r="AO671" s="490"/>
      <c r="AP671" s="490"/>
      <c r="AQ671" s="490"/>
      <c r="AR671" s="490"/>
      <c r="AS671" s="490"/>
      <c r="AT671" s="490"/>
      <c r="AU671" s="490"/>
      <c r="AV671" s="490"/>
      <c r="AW671" s="490"/>
      <c r="AX671" s="490"/>
      <c r="AY671" s="490"/>
      <c r="AZ671" s="491"/>
      <c r="BA671" s="491"/>
      <c r="BB671" s="491"/>
    </row>
    <row r="672" spans="1:54" hidden="1" outlineLevel="2" x14ac:dyDescent="0.2">
      <c r="A672" s="243"/>
      <c r="B672" s="242">
        <v>5</v>
      </c>
      <c r="C672" s="242">
        <v>6</v>
      </c>
      <c r="D672" s="243"/>
      <c r="E672" s="496" t="s">
        <v>1307</v>
      </c>
      <c r="F672" s="63" t="str">
        <f t="shared" ref="F672:K672" si="460">IFERROR(F671*INDEX(MBSDecItems,$C659,$B672)*INDEX(MBSDecItems,$C659,$C672),"")</f>
        <v/>
      </c>
      <c r="G672" s="63" t="str">
        <f t="shared" si="460"/>
        <v/>
      </c>
      <c r="H672" s="63" t="str">
        <f t="shared" si="460"/>
        <v/>
      </c>
      <c r="I672" s="63" t="str">
        <f t="shared" si="460"/>
        <v/>
      </c>
      <c r="J672" s="63" t="str">
        <f t="shared" si="460"/>
        <v/>
      </c>
      <c r="K672" s="63" t="str">
        <f t="shared" si="460"/>
        <v/>
      </c>
      <c r="L672" s="490"/>
      <c r="M672" s="683"/>
      <c r="N672" s="753"/>
      <c r="O672" s="678"/>
      <c r="P672" s="678"/>
      <c r="Q672" s="673"/>
      <c r="R672" s="673"/>
      <c r="S672" s="673"/>
      <c r="T672" s="673"/>
      <c r="U672" s="673"/>
      <c r="V672" s="673"/>
      <c r="W672" s="490"/>
      <c r="X672" s="676"/>
      <c r="Y672" s="676"/>
      <c r="Z672" s="676"/>
      <c r="AA672" s="676"/>
      <c r="AB672" s="676"/>
      <c r="AC672" s="490"/>
      <c r="AD672" s="490"/>
      <c r="AE672" s="490"/>
      <c r="AF672" s="490"/>
      <c r="AG672" s="490"/>
      <c r="AH672" s="490"/>
      <c r="AI672" s="490"/>
      <c r="AJ672" s="490"/>
      <c r="AK672" s="490"/>
      <c r="AL672" s="490"/>
      <c r="AM672" s="490"/>
      <c r="AN672" s="490"/>
      <c r="AO672" s="490"/>
      <c r="AP672" s="490"/>
      <c r="AQ672" s="490"/>
      <c r="AR672" s="490"/>
      <c r="AS672" s="490"/>
      <c r="AT672" s="490"/>
      <c r="AU672" s="490"/>
      <c r="AV672" s="490"/>
      <c r="AW672" s="490"/>
      <c r="AX672" s="490"/>
      <c r="AY672" s="490"/>
      <c r="AZ672" s="491"/>
      <c r="BA672" s="491"/>
      <c r="BB672" s="491"/>
    </row>
    <row r="673" spans="1:54" hidden="1" outlineLevel="2" x14ac:dyDescent="0.2">
      <c r="A673" s="243"/>
      <c r="B673" s="242">
        <v>4</v>
      </c>
      <c r="C673" s="242">
        <v>6</v>
      </c>
      <c r="D673" s="243"/>
      <c r="E673" s="496" t="s">
        <v>1306</v>
      </c>
      <c r="F673" s="63" t="str">
        <f t="shared" ref="F673:K673" si="461">IFERROR(F671*INDEX(MBSDecItems,$C659,$B673)*INDEX(MBSDecItems,$C659,$C673),"")</f>
        <v/>
      </c>
      <c r="G673" s="63" t="str">
        <f t="shared" si="461"/>
        <v/>
      </c>
      <c r="H673" s="63" t="str">
        <f t="shared" si="461"/>
        <v/>
      </c>
      <c r="I673" s="63" t="str">
        <f t="shared" si="461"/>
        <v/>
      </c>
      <c r="J673" s="63" t="str">
        <f t="shared" si="461"/>
        <v/>
      </c>
      <c r="K673" s="63" t="str">
        <f t="shared" si="461"/>
        <v/>
      </c>
      <c r="L673" s="490"/>
      <c r="M673" s="684"/>
      <c r="N673" s="682"/>
      <c r="O673" s="678"/>
      <c r="P673" s="678"/>
      <c r="Q673" s="673"/>
      <c r="R673" s="673"/>
      <c r="S673" s="673"/>
      <c r="T673" s="673"/>
      <c r="U673" s="673"/>
      <c r="V673" s="673"/>
      <c r="W673" s="490"/>
      <c r="X673" s="676"/>
      <c r="Y673" s="676"/>
      <c r="Z673" s="676"/>
      <c r="AA673" s="676"/>
      <c r="AB673" s="676"/>
      <c r="AC673" s="490"/>
      <c r="AD673" s="490"/>
      <c r="AE673" s="490"/>
      <c r="AF673" s="490"/>
      <c r="AG673" s="490"/>
      <c r="AH673" s="490"/>
      <c r="AI673" s="490"/>
      <c r="AJ673" s="490"/>
      <c r="AK673" s="490"/>
      <c r="AL673" s="490"/>
      <c r="AM673" s="490"/>
      <c r="AN673" s="490"/>
      <c r="AO673" s="490"/>
      <c r="AP673" s="490"/>
      <c r="AQ673" s="490"/>
      <c r="AR673" s="490"/>
      <c r="AS673" s="490"/>
      <c r="AT673" s="490"/>
      <c r="AU673" s="490"/>
      <c r="AV673" s="490"/>
      <c r="AW673" s="490"/>
      <c r="AX673" s="490"/>
      <c r="AY673" s="490"/>
      <c r="AZ673" s="491"/>
      <c r="BA673" s="491"/>
      <c r="BB673" s="491"/>
    </row>
    <row r="674" spans="1:54" hidden="1" outlineLevel="2" x14ac:dyDescent="0.2">
      <c r="A674" s="243"/>
      <c r="B674" s="242"/>
      <c r="C674" s="242">
        <v>7</v>
      </c>
      <c r="D674" s="243"/>
      <c r="E674" s="497" t="s">
        <v>1308</v>
      </c>
      <c r="F674" s="63" t="str">
        <f t="shared" ref="F674:K674" si="462">IFERROR(F671*INDEX(MBSDecItems,$C659,$C674),"")</f>
        <v/>
      </c>
      <c r="G674" s="63" t="str">
        <f t="shared" si="462"/>
        <v/>
      </c>
      <c r="H674" s="63" t="str">
        <f t="shared" si="462"/>
        <v/>
      </c>
      <c r="I674" s="63" t="str">
        <f t="shared" si="462"/>
        <v/>
      </c>
      <c r="J674" s="63" t="str">
        <f t="shared" si="462"/>
        <v/>
      </c>
      <c r="K674" s="63" t="str">
        <f t="shared" si="462"/>
        <v/>
      </c>
      <c r="L674" s="490"/>
      <c r="M674" s="684"/>
      <c r="N674" s="682"/>
      <c r="O674" s="678"/>
      <c r="P674" s="678"/>
      <c r="Q674" s="673"/>
      <c r="R674" s="673"/>
      <c r="S674" s="673"/>
      <c r="T674" s="673"/>
      <c r="U674" s="673"/>
      <c r="V674" s="673"/>
      <c r="W674" s="490"/>
      <c r="X674" s="676"/>
      <c r="Y674" s="676"/>
      <c r="Z674" s="676"/>
      <c r="AA674" s="676"/>
      <c r="AB674" s="676"/>
      <c r="AC674" s="490"/>
      <c r="AD674" s="490"/>
      <c r="AE674" s="490"/>
      <c r="AF674" s="490"/>
      <c r="AG674" s="490"/>
      <c r="AH674" s="490"/>
      <c r="AI674" s="490"/>
      <c r="AJ674" s="490"/>
      <c r="AK674" s="490"/>
      <c r="AL674" s="490"/>
      <c r="AM674" s="490"/>
      <c r="AN674" s="490"/>
      <c r="AO674" s="490"/>
      <c r="AP674" s="490"/>
      <c r="AQ674" s="490"/>
      <c r="AR674" s="490"/>
      <c r="AS674" s="490"/>
      <c r="AT674" s="490"/>
      <c r="AU674" s="490"/>
      <c r="AV674" s="490"/>
      <c r="AW674" s="490"/>
      <c r="AX674" s="490"/>
      <c r="AY674" s="490"/>
      <c r="AZ674" s="491"/>
      <c r="BA674" s="491"/>
      <c r="BB674" s="491"/>
    </row>
    <row r="675" spans="1:54" hidden="1" outlineLevel="1" x14ac:dyDescent="0.2">
      <c r="A675" s="243"/>
      <c r="B675" s="243"/>
      <c r="C675" s="243"/>
      <c r="D675" s="677"/>
      <c r="E675" s="677"/>
      <c r="F675" s="243"/>
      <c r="G675" s="243"/>
      <c r="H675" s="243"/>
      <c r="I675" s="243"/>
      <c r="J675" s="243"/>
      <c r="K675" s="243"/>
      <c r="L675" s="243"/>
      <c r="M675" s="243"/>
      <c r="N675" s="678"/>
      <c r="O675" s="678"/>
      <c r="P675" s="678"/>
      <c r="Q675" s="673"/>
      <c r="R675" s="673"/>
      <c r="S675" s="673"/>
      <c r="T675" s="673"/>
      <c r="U675" s="673"/>
      <c r="V675" s="673"/>
      <c r="W675" s="490"/>
      <c r="X675" s="676"/>
      <c r="Y675" s="676"/>
      <c r="Z675" s="676"/>
      <c r="AA675" s="676"/>
      <c r="AB675" s="676"/>
      <c r="AC675" s="490"/>
      <c r="AD675" s="490"/>
      <c r="AE675" s="490"/>
      <c r="AF675" s="490"/>
      <c r="AG675" s="490"/>
      <c r="AH675" s="490"/>
      <c r="AI675" s="490"/>
      <c r="AJ675" s="490"/>
      <c r="AK675" s="490"/>
      <c r="AL675" s="490"/>
      <c r="AM675" s="490"/>
      <c r="AN675" s="490"/>
      <c r="AO675" s="490"/>
      <c r="AP675" s="490"/>
      <c r="AQ675" s="490"/>
      <c r="AR675" s="490"/>
      <c r="AS675" s="490"/>
      <c r="AT675" s="490"/>
      <c r="AU675" s="490"/>
      <c r="AV675" s="490"/>
      <c r="AW675" s="490"/>
      <c r="AX675" s="490"/>
      <c r="AY675" s="490"/>
      <c r="AZ675" s="491"/>
      <c r="BA675" s="491"/>
      <c r="BB675" s="491"/>
    </row>
    <row r="676" spans="1:54" ht="15.75" hidden="1" outlineLevel="1" x14ac:dyDescent="0.2">
      <c r="A676" s="243"/>
      <c r="B676" s="243"/>
      <c r="C676" s="242">
        <v>11</v>
      </c>
      <c r="D676" s="79" t="str">
        <f>INDEX(MBSDecNames,C676)</f>
        <v>** NOT USED **</v>
      </c>
      <c r="E676" s="79"/>
      <c r="F676" s="115"/>
      <c r="G676" s="115"/>
      <c r="H676" s="115"/>
      <c r="I676" s="115"/>
      <c r="J676" s="821" t="str">
        <f>IF(D676&lt;&gt;MsgNotUsed,"Co-payment group " &amp; K505,"")</f>
        <v/>
      </c>
      <c r="K676" s="821"/>
      <c r="L676" s="115"/>
      <c r="M676" s="115"/>
      <c r="N676" s="115"/>
      <c r="O676" s="115"/>
      <c r="P676" s="115"/>
      <c r="Q676" s="115"/>
      <c r="R676" s="115"/>
      <c r="S676" s="115"/>
      <c r="T676" s="115"/>
      <c r="U676" s="115"/>
      <c r="V676" s="115"/>
      <c r="W676" s="491"/>
      <c r="X676" s="490"/>
      <c r="Y676" s="490"/>
      <c r="Z676" s="490"/>
      <c r="AA676" s="490"/>
      <c r="AB676" s="676"/>
      <c r="AC676" s="490"/>
      <c r="AD676" s="490"/>
      <c r="AE676" s="490"/>
      <c r="AF676" s="490"/>
      <c r="AG676" s="490"/>
      <c r="AH676" s="490"/>
      <c r="AI676" s="490"/>
      <c r="AJ676" s="490"/>
      <c r="AK676" s="490"/>
      <c r="AL676" s="490"/>
      <c r="AM676" s="490"/>
      <c r="AN676" s="490"/>
      <c r="AO676" s="490"/>
      <c r="AP676" s="490"/>
      <c r="AQ676" s="490"/>
      <c r="AR676" s="490"/>
      <c r="AS676" s="490"/>
      <c r="AT676" s="490"/>
      <c r="AU676" s="490"/>
      <c r="AV676" s="490"/>
      <c r="AW676" s="490"/>
      <c r="AX676" s="490"/>
      <c r="AY676" s="490"/>
      <c r="AZ676" s="491"/>
      <c r="BA676" s="491"/>
      <c r="BB676" s="491"/>
    </row>
    <row r="677" spans="1:54" hidden="1" outlineLevel="2" x14ac:dyDescent="0.2">
      <c r="A677" s="243"/>
      <c r="B677" s="243"/>
      <c r="C677" s="243"/>
      <c r="D677" s="243"/>
      <c r="E677" s="243"/>
      <c r="F677" s="495">
        <v>2</v>
      </c>
      <c r="G677" s="495">
        <v>3</v>
      </c>
      <c r="H677" s="495">
        <v>4</v>
      </c>
      <c r="I677" s="495">
        <v>5</v>
      </c>
      <c r="J677" s="495">
        <v>6</v>
      </c>
      <c r="K677" s="495">
        <v>7</v>
      </c>
      <c r="L677" s="495"/>
      <c r="M677" s="243"/>
      <c r="N677" s="243"/>
      <c r="O677" s="243"/>
      <c r="P677" s="243"/>
      <c r="Q677" s="243"/>
      <c r="R677" s="243"/>
      <c r="S677" s="243"/>
      <c r="T677" s="243"/>
      <c r="U677" s="243"/>
      <c r="V677" s="243"/>
      <c r="W677" s="490"/>
      <c r="X677" s="490"/>
      <c r="Y677" s="490"/>
      <c r="Z677" s="490"/>
      <c r="AA677" s="490"/>
      <c r="AB677" s="676"/>
      <c r="AC677" s="490"/>
      <c r="AD677" s="490"/>
      <c r="AE677" s="490"/>
      <c r="AF677" s="490"/>
      <c r="AG677" s="490"/>
      <c r="AH677" s="490"/>
      <c r="AI677" s="490"/>
      <c r="AJ677" s="490"/>
      <c r="AK677" s="490"/>
      <c r="AL677" s="490"/>
      <c r="AM677" s="490"/>
      <c r="AN677" s="490"/>
      <c r="AO677" s="490"/>
      <c r="AP677" s="490"/>
      <c r="AQ677" s="490"/>
      <c r="AR677" s="490"/>
      <c r="AS677" s="490"/>
      <c r="AT677" s="490"/>
      <c r="AU677" s="490"/>
      <c r="AV677" s="490"/>
      <c r="AW677" s="490"/>
      <c r="AX677" s="490"/>
      <c r="AY677" s="490"/>
      <c r="AZ677" s="491"/>
      <c r="BA677" s="491"/>
      <c r="BB677" s="491"/>
    </row>
    <row r="678" spans="1:54" ht="15" hidden="1" outlineLevel="2" x14ac:dyDescent="0.2">
      <c r="A678" s="243"/>
      <c r="B678" s="243"/>
      <c r="C678" s="243"/>
      <c r="D678" s="663" t="s">
        <v>0</v>
      </c>
      <c r="E678" s="663"/>
      <c r="F678" s="729">
        <f>FirstYear</f>
        <v>2021</v>
      </c>
      <c r="G678" s="729">
        <f>F678+1</f>
        <v>2022</v>
      </c>
      <c r="H678" s="729">
        <f>G678+1</f>
        <v>2023</v>
      </c>
      <c r="I678" s="729">
        <f>H678+1</f>
        <v>2024</v>
      </c>
      <c r="J678" s="729">
        <f>I678+1</f>
        <v>2025</v>
      </c>
      <c r="K678" s="729">
        <f>J678+1</f>
        <v>2026</v>
      </c>
      <c r="L678" s="491"/>
      <c r="M678" s="113"/>
      <c r="N678" s="679"/>
      <c r="O678" s="679"/>
      <c r="P678" s="679"/>
      <c r="Q678" s="674"/>
      <c r="R678" s="674"/>
      <c r="S678" s="674"/>
      <c r="T678" s="674"/>
      <c r="U678" s="674"/>
      <c r="V678" s="674"/>
      <c r="W678" s="491"/>
      <c r="X678" s="674"/>
      <c r="Y678" s="674"/>
      <c r="Z678" s="674"/>
      <c r="AA678" s="674"/>
      <c r="AB678" s="676"/>
      <c r="AC678" s="490"/>
      <c r="AD678" s="490"/>
      <c r="AE678" s="490"/>
      <c r="AF678" s="490"/>
      <c r="AG678" s="490"/>
      <c r="AH678" s="490"/>
      <c r="AI678" s="490"/>
      <c r="AJ678" s="490"/>
      <c r="AK678" s="490"/>
      <c r="AL678" s="490"/>
      <c r="AM678" s="490"/>
      <c r="AN678" s="490"/>
      <c r="AO678" s="490"/>
      <c r="AP678" s="490"/>
      <c r="AQ678" s="490"/>
      <c r="AR678" s="490"/>
      <c r="AS678" s="490"/>
      <c r="AT678" s="490"/>
      <c r="AU678" s="490"/>
      <c r="AV678" s="490"/>
      <c r="AW678" s="490"/>
      <c r="AX678" s="490"/>
      <c r="AY678" s="490"/>
      <c r="AZ678" s="491"/>
      <c r="BA678" s="491"/>
      <c r="BB678" s="491"/>
    </row>
    <row r="679" spans="1:54" hidden="1" outlineLevel="2" collapsed="1" x14ac:dyDescent="0.2">
      <c r="A679" s="243"/>
      <c r="B679" s="243"/>
      <c r="C679" s="243"/>
      <c r="D679" s="243"/>
      <c r="E679" s="433" t="s">
        <v>951</v>
      </c>
      <c r="F679" s="283">
        <f t="shared" ref="F679:K679" si="463">F680*INDEX(MBSDecCalc,$C676,3)</f>
        <v>0</v>
      </c>
      <c r="G679" s="283">
        <f t="shared" si="463"/>
        <v>0</v>
      </c>
      <c r="H679" s="283">
        <f t="shared" si="463"/>
        <v>0</v>
      </c>
      <c r="I679" s="283">
        <f t="shared" si="463"/>
        <v>0</v>
      </c>
      <c r="J679" s="283">
        <f t="shared" si="463"/>
        <v>0</v>
      </c>
      <c r="K679" s="283">
        <f t="shared" si="463"/>
        <v>0</v>
      </c>
      <c r="L679" s="490"/>
      <c r="M679" s="680"/>
      <c r="N679" s="664"/>
      <c r="O679" s="664"/>
      <c r="P679" s="664"/>
      <c r="Q679" s="681"/>
      <c r="R679" s="681"/>
      <c r="S679" s="681"/>
      <c r="T679" s="681"/>
      <c r="U679" s="681"/>
      <c r="V679" s="681"/>
      <c r="W679" s="493"/>
      <c r="X679" s="561">
        <f>INDEX(MBSDecItems,C676,1)</f>
        <v>0</v>
      </c>
      <c r="Y679" s="561">
        <f>FirstYear</f>
        <v>2021</v>
      </c>
      <c r="Z679" s="560">
        <f>IF(F680&lt;&gt;0,F680-F682,0)</f>
        <v>0</v>
      </c>
      <c r="AA679" s="560">
        <f>IF(F688&lt;&gt;0,F688-F690,0)</f>
        <v>0</v>
      </c>
      <c r="AB679" s="676"/>
      <c r="AC679" s="490"/>
      <c r="AD679" s="490"/>
      <c r="AE679" s="490"/>
      <c r="AF679" s="490"/>
      <c r="AG679" s="490"/>
      <c r="AH679" s="490"/>
      <c r="AI679" s="490"/>
      <c r="AJ679" s="490"/>
      <c r="AK679" s="490"/>
      <c r="AL679" s="490"/>
      <c r="AM679" s="490"/>
      <c r="AN679" s="490"/>
      <c r="AO679" s="490"/>
      <c r="AP679" s="490"/>
      <c r="AQ679" s="490"/>
      <c r="AR679" s="490"/>
      <c r="AS679" s="490"/>
      <c r="AT679" s="490"/>
      <c r="AU679" s="490"/>
      <c r="AV679" s="490"/>
      <c r="AW679" s="490"/>
      <c r="AX679" s="490"/>
      <c r="AY679" s="490"/>
      <c r="AZ679" s="491"/>
      <c r="BA679" s="491"/>
      <c r="BB679" s="491"/>
    </row>
    <row r="680" spans="1:54" hidden="1" outlineLevel="2" x14ac:dyDescent="0.2">
      <c r="A680" s="243"/>
      <c r="B680" s="672"/>
      <c r="C680" s="242" t="str">
        <f>INDEX(MBSDecCalc,C676,2)</f>
        <v/>
      </c>
      <c r="D680" s="243"/>
      <c r="E680" s="62" t="s">
        <v>1310</v>
      </c>
      <c r="F680" s="63">
        <f t="shared" ref="F680:K680" si="464">IF(INDEX(MBSDecRate,$C676,2)=2,IFERROR(INDEX(PBSScriptsChanged,$C680,F677),0),IFERROR(INDEX(MBSPBSDec,$C676,INDEX(MBSDecRate,$C676,3)*7+F677),0) * IFERROR(INDEX(MBSDecPopSplit,$C676),0)) * INDEX(MBSDecRate,$C676,1) * INDEX(MBSDecRate,$C676,4)</f>
        <v>0</v>
      </c>
      <c r="G680" s="63">
        <f t="shared" si="464"/>
        <v>0</v>
      </c>
      <c r="H680" s="63">
        <f t="shared" si="464"/>
        <v>0</v>
      </c>
      <c r="I680" s="63">
        <f t="shared" si="464"/>
        <v>0</v>
      </c>
      <c r="J680" s="63">
        <f t="shared" si="464"/>
        <v>0</v>
      </c>
      <c r="K680" s="63">
        <f t="shared" si="464"/>
        <v>0</v>
      </c>
      <c r="L680" s="490"/>
      <c r="M680" s="493"/>
      <c r="N680" s="493"/>
      <c r="O680" s="664"/>
      <c r="P680" s="664"/>
      <c r="Q680" s="681"/>
      <c r="R680" s="681"/>
      <c r="S680" s="681"/>
      <c r="T680" s="681"/>
      <c r="U680" s="681"/>
      <c r="V680" s="681"/>
      <c r="W680" s="493"/>
      <c r="X680" s="561">
        <f>X679</f>
        <v>0</v>
      </c>
      <c r="Y680" s="561">
        <f>Y679+1</f>
        <v>2022</v>
      </c>
      <c r="Z680" s="560">
        <f>IF(G680&lt;&gt;0,G680-G682,0)</f>
        <v>0</v>
      </c>
      <c r="AA680" s="560">
        <f>IF(G688&lt;&gt;0,G688-G690,0)</f>
        <v>0</v>
      </c>
      <c r="AB680" s="676"/>
      <c r="AC680" s="490"/>
      <c r="AD680" s="490"/>
      <c r="AE680" s="490"/>
      <c r="AF680" s="490"/>
      <c r="AG680" s="490"/>
      <c r="AH680" s="490"/>
      <c r="AI680" s="490"/>
      <c r="AJ680" s="490"/>
      <c r="AK680" s="490"/>
      <c r="AL680" s="490"/>
      <c r="AM680" s="490"/>
      <c r="AN680" s="490"/>
      <c r="AO680" s="490"/>
      <c r="AP680" s="490"/>
      <c r="AQ680" s="490"/>
      <c r="AR680" s="490"/>
      <c r="AS680" s="490"/>
      <c r="AT680" s="490"/>
      <c r="AU680" s="490"/>
      <c r="AV680" s="490"/>
      <c r="AW680" s="490"/>
      <c r="AX680" s="490"/>
      <c r="AY680" s="490"/>
      <c r="AZ680" s="491"/>
      <c r="BA680" s="491"/>
      <c r="BB680" s="491"/>
    </row>
    <row r="681" spans="1:54" hidden="1" outlineLevel="2" x14ac:dyDescent="0.2">
      <c r="A681" s="243"/>
      <c r="B681" s="242">
        <v>5</v>
      </c>
      <c r="C681" s="242">
        <v>6</v>
      </c>
      <c r="D681" s="243"/>
      <c r="E681" s="496" t="s">
        <v>1307</v>
      </c>
      <c r="F681" s="63" t="str">
        <f t="shared" ref="F681:K681" si="465">IFERROR(F680*INDEX(MBSDecItems,$C676,$B681)*INDEX(MBSDecItems,$C676,$C681),"")</f>
        <v/>
      </c>
      <c r="G681" s="63" t="str">
        <f t="shared" si="465"/>
        <v/>
      </c>
      <c r="H681" s="63" t="str">
        <f t="shared" si="465"/>
        <v/>
      </c>
      <c r="I681" s="63" t="str">
        <f t="shared" si="465"/>
        <v/>
      </c>
      <c r="J681" s="63" t="str">
        <f t="shared" si="465"/>
        <v/>
      </c>
      <c r="K681" s="63" t="str">
        <f t="shared" si="465"/>
        <v/>
      </c>
      <c r="L681" s="490"/>
      <c r="M681" s="493"/>
      <c r="N681" s="493"/>
      <c r="O681" s="682"/>
      <c r="P681" s="754"/>
      <c r="Q681" s="681"/>
      <c r="R681" s="681"/>
      <c r="S681" s="681"/>
      <c r="T681" s="681"/>
      <c r="U681" s="681"/>
      <c r="V681" s="681"/>
      <c r="W681" s="493"/>
      <c r="X681" s="561">
        <f t="shared" ref="X681:X684" si="466">X680</f>
        <v>0</v>
      </c>
      <c r="Y681" s="561">
        <f>Y680+1</f>
        <v>2023</v>
      </c>
      <c r="Z681" s="560">
        <f>IF(H680&lt;&gt;0,H680-H682,0)</f>
        <v>0</v>
      </c>
      <c r="AA681" s="560">
        <f>IF(H688&lt;&gt;0,H688-H690,0)</f>
        <v>0</v>
      </c>
      <c r="AB681" s="676"/>
      <c r="AC681" s="490"/>
      <c r="AD681" s="490"/>
      <c r="AE681" s="490"/>
      <c r="AF681" s="490"/>
      <c r="AG681" s="490"/>
      <c r="AH681" s="490"/>
      <c r="AI681" s="490"/>
      <c r="AJ681" s="490"/>
      <c r="AK681" s="490"/>
      <c r="AL681" s="490"/>
      <c r="AM681" s="490"/>
      <c r="AN681" s="490"/>
      <c r="AO681" s="490"/>
      <c r="AP681" s="490"/>
      <c r="AQ681" s="490"/>
      <c r="AR681" s="490"/>
      <c r="AS681" s="490"/>
      <c r="AT681" s="490"/>
      <c r="AU681" s="490"/>
      <c r="AV681" s="490"/>
      <c r="AW681" s="490"/>
      <c r="AX681" s="490"/>
      <c r="AY681" s="490"/>
      <c r="AZ681" s="491"/>
      <c r="BA681" s="491"/>
      <c r="BB681" s="491"/>
    </row>
    <row r="682" spans="1:54" hidden="1" outlineLevel="2" x14ac:dyDescent="0.2">
      <c r="A682" s="416"/>
      <c r="B682" s="242">
        <v>4</v>
      </c>
      <c r="C682" s="242">
        <v>6</v>
      </c>
      <c r="D682" s="243"/>
      <c r="E682" s="496" t="s">
        <v>1306</v>
      </c>
      <c r="F682" s="63" t="str">
        <f t="shared" ref="F682:K682" si="467">IFERROR(F680*INDEX(MBSDecItems,$C676,$B682)*INDEX(MBSDecItems,$C676,$C682),"")</f>
        <v/>
      </c>
      <c r="G682" s="63" t="str">
        <f t="shared" si="467"/>
        <v/>
      </c>
      <c r="H682" s="63" t="str">
        <f t="shared" si="467"/>
        <v/>
      </c>
      <c r="I682" s="63" t="str">
        <f t="shared" si="467"/>
        <v/>
      </c>
      <c r="J682" s="63" t="str">
        <f t="shared" si="467"/>
        <v/>
      </c>
      <c r="K682" s="63" t="str">
        <f t="shared" si="467"/>
        <v/>
      </c>
      <c r="L682" s="416"/>
      <c r="M682" s="416"/>
      <c r="N682" s="416"/>
      <c r="O682" s="416"/>
      <c r="P682" s="416"/>
      <c r="Q682" s="416"/>
      <c r="R682" s="416"/>
      <c r="S682" s="416"/>
      <c r="T682" s="416"/>
      <c r="U682" s="416"/>
      <c r="V682" s="416"/>
      <c r="W682" s="493"/>
      <c r="X682" s="561">
        <f t="shared" si="466"/>
        <v>0</v>
      </c>
      <c r="Y682" s="561">
        <f>Y681+1</f>
        <v>2024</v>
      </c>
      <c r="Z682" s="560">
        <f>IF(I680&lt;&gt;0,I680-I682,0)</f>
        <v>0</v>
      </c>
      <c r="AA682" s="560">
        <f>IF(I688&lt;&gt;0,I688-I690,0)</f>
        <v>0</v>
      </c>
      <c r="AB682" s="674"/>
      <c r="AC682" s="490"/>
      <c r="AD682" s="490"/>
      <c r="AE682" s="490"/>
      <c r="AF682" s="490"/>
      <c r="AG682" s="490"/>
      <c r="AH682" s="490"/>
      <c r="AI682" s="490"/>
      <c r="AJ682" s="490"/>
      <c r="AK682" s="490"/>
      <c r="AL682" s="490"/>
      <c r="AM682" s="490"/>
      <c r="AN682" s="490"/>
      <c r="AO682" s="490"/>
      <c r="AP682" s="490"/>
      <c r="AQ682" s="490"/>
      <c r="AR682" s="490"/>
      <c r="AS682" s="490"/>
      <c r="AT682" s="490"/>
      <c r="AU682" s="490"/>
      <c r="AV682" s="490"/>
      <c r="AW682" s="490"/>
      <c r="AX682" s="490"/>
      <c r="AY682" s="490"/>
      <c r="AZ682" s="491"/>
      <c r="BA682" s="491"/>
      <c r="BB682" s="491"/>
    </row>
    <row r="683" spans="1:54" hidden="1" outlineLevel="2" x14ac:dyDescent="0.2">
      <c r="A683" s="243"/>
      <c r="B683" s="242"/>
      <c r="C683" s="242">
        <v>7</v>
      </c>
      <c r="D683" s="243"/>
      <c r="E683" s="497" t="s">
        <v>1308</v>
      </c>
      <c r="F683" s="63" t="str">
        <f t="shared" ref="F683:K683" si="468">IFERROR(F680*INDEX(MBSDecItems,$C676,$C683),"")</f>
        <v/>
      </c>
      <c r="G683" s="63" t="str">
        <f t="shared" si="468"/>
        <v/>
      </c>
      <c r="H683" s="63" t="str">
        <f t="shared" si="468"/>
        <v/>
      </c>
      <c r="I683" s="63" t="str">
        <f t="shared" si="468"/>
        <v/>
      </c>
      <c r="J683" s="63" t="str">
        <f t="shared" si="468"/>
        <v/>
      </c>
      <c r="K683" s="63" t="str">
        <f t="shared" si="468"/>
        <v/>
      </c>
      <c r="L683" s="490"/>
      <c r="M683" s="493"/>
      <c r="N683" s="493"/>
      <c r="O683" s="682"/>
      <c r="P683" s="754"/>
      <c r="Q683" s="681"/>
      <c r="R683" s="681"/>
      <c r="S683" s="681"/>
      <c r="T683" s="681"/>
      <c r="U683" s="681"/>
      <c r="V683" s="681"/>
      <c r="W683" s="493"/>
      <c r="X683" s="561">
        <f t="shared" si="466"/>
        <v>0</v>
      </c>
      <c r="Y683" s="561">
        <f>Y682+1</f>
        <v>2025</v>
      </c>
      <c r="Z683" s="560">
        <f>IF(J680&lt;&gt;0,J680-J682,0)</f>
        <v>0</v>
      </c>
      <c r="AA683" s="560">
        <f>IF(J688&lt;&gt;0,J688-J690,0)</f>
        <v>0</v>
      </c>
      <c r="AB683" s="674"/>
      <c r="AC683" s="490"/>
      <c r="AD683" s="490"/>
      <c r="AE683" s="490"/>
      <c r="AF683" s="490"/>
      <c r="AG683" s="490"/>
      <c r="AH683" s="490"/>
      <c r="AI683" s="490"/>
      <c r="AJ683" s="490"/>
      <c r="AK683" s="490"/>
      <c r="AL683" s="490"/>
      <c r="AM683" s="490"/>
      <c r="AN683" s="490"/>
      <c r="AO683" s="490"/>
      <c r="AP683" s="490"/>
      <c r="AQ683" s="490"/>
      <c r="AR683" s="490"/>
      <c r="AS683" s="490"/>
      <c r="AT683" s="490"/>
      <c r="AU683" s="490"/>
      <c r="AV683" s="490"/>
      <c r="AW683" s="490"/>
      <c r="AX683" s="490"/>
      <c r="AY683" s="490"/>
      <c r="AZ683" s="491"/>
      <c r="BA683" s="491"/>
      <c r="BB683" s="491"/>
    </row>
    <row r="684" spans="1:54" hidden="1" outlineLevel="2" x14ac:dyDescent="0.2">
      <c r="A684" s="243"/>
      <c r="B684" s="493"/>
      <c r="C684" s="493"/>
      <c r="D684" s="493"/>
      <c r="E684" s="493"/>
      <c r="F684" s="493"/>
      <c r="G684" s="493"/>
      <c r="H684" s="493"/>
      <c r="I684" s="493"/>
      <c r="J684" s="493"/>
      <c r="K684" s="493"/>
      <c r="L684" s="490"/>
      <c r="M684" s="493"/>
      <c r="N684" s="493"/>
      <c r="O684" s="682"/>
      <c r="P684" s="682"/>
      <c r="Q684" s="681"/>
      <c r="R684" s="681"/>
      <c r="S684" s="681"/>
      <c r="T684" s="681"/>
      <c r="U684" s="681"/>
      <c r="V684" s="681"/>
      <c r="W684" s="493"/>
      <c r="X684" s="561">
        <f t="shared" si="466"/>
        <v>0</v>
      </c>
      <c r="Y684" s="561">
        <f>Y683+1</f>
        <v>2026</v>
      </c>
      <c r="Z684" s="560">
        <f>IF(K680&lt;&gt;0,K680-K682,0)</f>
        <v>0</v>
      </c>
      <c r="AA684" s="560">
        <f>IF(K688&lt;&gt;0,K688-K690,0)</f>
        <v>0</v>
      </c>
      <c r="AB684" s="675"/>
      <c r="AC684" s="490"/>
      <c r="AD684" s="490"/>
      <c r="AE684" s="490"/>
      <c r="AF684" s="490"/>
      <c r="AG684" s="490"/>
      <c r="AH684" s="490"/>
      <c r="AI684" s="490"/>
      <c r="AJ684" s="490"/>
      <c r="AK684" s="490"/>
      <c r="AL684" s="490"/>
      <c r="AM684" s="490"/>
      <c r="AN684" s="490"/>
      <c r="AO684" s="490"/>
      <c r="AP684" s="490"/>
      <c r="AQ684" s="490"/>
      <c r="AR684" s="490"/>
      <c r="AS684" s="490"/>
      <c r="AT684" s="490"/>
      <c r="AU684" s="490"/>
      <c r="AV684" s="490"/>
      <c r="AW684" s="490"/>
      <c r="AX684" s="490"/>
      <c r="AY684" s="490"/>
      <c r="AZ684" s="491"/>
      <c r="BA684" s="491"/>
      <c r="BB684" s="491"/>
    </row>
    <row r="685" spans="1:54" hidden="1" outlineLevel="2" x14ac:dyDescent="0.2">
      <c r="A685" s="243"/>
      <c r="B685" s="243"/>
      <c r="C685" s="243"/>
      <c r="D685" s="677"/>
      <c r="E685" s="677"/>
      <c r="F685" s="495">
        <v>2</v>
      </c>
      <c r="G685" s="495">
        <v>3</v>
      </c>
      <c r="H685" s="495">
        <v>4</v>
      </c>
      <c r="I685" s="495">
        <v>5</v>
      </c>
      <c r="J685" s="495">
        <v>6</v>
      </c>
      <c r="K685" s="495">
        <v>7</v>
      </c>
      <c r="L685" s="490"/>
      <c r="M685" s="243"/>
      <c r="N685" s="678"/>
      <c r="O685" s="678"/>
      <c r="P685" s="678"/>
      <c r="Q685" s="673"/>
      <c r="R685" s="673"/>
      <c r="S685" s="673"/>
      <c r="T685" s="673"/>
      <c r="U685" s="673"/>
      <c r="V685" s="673"/>
      <c r="W685" s="490"/>
      <c r="X685" s="676"/>
      <c r="Y685" s="676"/>
      <c r="Z685" s="676"/>
      <c r="AA685" s="676"/>
      <c r="AB685" s="675"/>
      <c r="AC685" s="490"/>
      <c r="AD685" s="490"/>
      <c r="AE685" s="490"/>
      <c r="AF685" s="490"/>
      <c r="AG685" s="490"/>
      <c r="AH685" s="490"/>
      <c r="AI685" s="490"/>
      <c r="AJ685" s="490"/>
      <c r="AK685" s="490"/>
      <c r="AL685" s="490"/>
      <c r="AM685" s="490"/>
      <c r="AN685" s="490"/>
      <c r="AO685" s="490"/>
      <c r="AP685" s="490"/>
      <c r="AQ685" s="490"/>
      <c r="AR685" s="490"/>
      <c r="AS685" s="490"/>
      <c r="AT685" s="490"/>
      <c r="AU685" s="490"/>
      <c r="AV685" s="490"/>
      <c r="AW685" s="490"/>
      <c r="AX685" s="490"/>
      <c r="AY685" s="490"/>
      <c r="AZ685" s="491"/>
      <c r="BA685" s="491"/>
      <c r="BB685" s="491"/>
    </row>
    <row r="686" spans="1:54" ht="15.75" hidden="1" outlineLevel="2" x14ac:dyDescent="0.2">
      <c r="A686" s="243"/>
      <c r="B686" s="243"/>
      <c r="C686" s="243"/>
      <c r="D686" s="663" t="s">
        <v>1</v>
      </c>
      <c r="E686" s="663"/>
      <c r="F686" s="751">
        <f>FirstYear</f>
        <v>2021</v>
      </c>
      <c r="G686" s="751">
        <f>F686+1</f>
        <v>2022</v>
      </c>
      <c r="H686" s="751">
        <f>G686+1</f>
        <v>2023</v>
      </c>
      <c r="I686" s="751">
        <f>H686+1</f>
        <v>2024</v>
      </c>
      <c r="J686" s="751">
        <f>I686+1</f>
        <v>2025</v>
      </c>
      <c r="K686" s="751">
        <f>J686+1</f>
        <v>2026</v>
      </c>
      <c r="L686" s="491"/>
      <c r="M686" s="243"/>
      <c r="N686" s="685"/>
      <c r="O686" s="685"/>
      <c r="P686" s="685"/>
      <c r="Q686" s="673"/>
      <c r="R686" s="673"/>
      <c r="S686" s="673"/>
      <c r="T686" s="673"/>
      <c r="U686" s="673"/>
      <c r="V686" s="673"/>
      <c r="W686" s="491"/>
      <c r="X686" s="676"/>
      <c r="Y686" s="676"/>
      <c r="Z686" s="676"/>
      <c r="AA686" s="676"/>
      <c r="AB686" s="675"/>
      <c r="AC686" s="490"/>
      <c r="AD686" s="490"/>
      <c r="AE686" s="490"/>
      <c r="AF686" s="490"/>
      <c r="AG686" s="490"/>
      <c r="AH686" s="490"/>
      <c r="AI686" s="490"/>
      <c r="AJ686" s="490"/>
      <c r="AK686" s="490"/>
      <c r="AL686" s="490"/>
      <c r="AM686" s="490"/>
      <c r="AN686" s="490"/>
      <c r="AO686" s="490"/>
      <c r="AP686" s="490"/>
      <c r="AQ686" s="490"/>
      <c r="AR686" s="490"/>
      <c r="AS686" s="490"/>
      <c r="AT686" s="490"/>
      <c r="AU686" s="490"/>
      <c r="AV686" s="490"/>
      <c r="AW686" s="490"/>
      <c r="AX686" s="490"/>
      <c r="AY686" s="490"/>
      <c r="AZ686" s="491"/>
      <c r="BA686" s="491"/>
      <c r="BB686" s="491"/>
    </row>
    <row r="687" spans="1:54" hidden="1" outlineLevel="2" x14ac:dyDescent="0.2">
      <c r="A687" s="243"/>
      <c r="B687" s="243"/>
      <c r="C687" s="243"/>
      <c r="D687" s="243"/>
      <c r="E687" s="433" t="s">
        <v>951</v>
      </c>
      <c r="F687" s="283">
        <f t="shared" ref="F687:K687" si="469">F688*INDEX(MBSDecCalc,$C676,3)</f>
        <v>0</v>
      </c>
      <c r="G687" s="283">
        <f t="shared" si="469"/>
        <v>0</v>
      </c>
      <c r="H687" s="283">
        <f t="shared" si="469"/>
        <v>0</v>
      </c>
      <c r="I687" s="283">
        <f t="shared" si="469"/>
        <v>0</v>
      </c>
      <c r="J687" s="283">
        <f t="shared" si="469"/>
        <v>0</v>
      </c>
      <c r="K687" s="283">
        <f t="shared" si="469"/>
        <v>0</v>
      </c>
      <c r="L687" s="490"/>
      <c r="M687" s="615"/>
      <c r="N687" s="615"/>
      <c r="O687" s="678"/>
      <c r="P687" s="678"/>
      <c r="Q687" s="673"/>
      <c r="R687" s="673"/>
      <c r="S687" s="673"/>
      <c r="T687" s="673"/>
      <c r="U687" s="673"/>
      <c r="V687" s="673"/>
      <c r="W687" s="490"/>
      <c r="X687" s="676"/>
      <c r="Y687" s="676"/>
      <c r="Z687" s="676"/>
      <c r="AA687" s="676"/>
      <c r="AB687" s="675"/>
      <c r="AC687" s="490"/>
      <c r="AD687" s="490"/>
      <c r="AE687" s="490"/>
      <c r="AF687" s="490"/>
      <c r="AG687" s="490"/>
      <c r="AH687" s="490"/>
      <c r="AI687" s="490"/>
      <c r="AJ687" s="490"/>
      <c r="AK687" s="490"/>
      <c r="AL687" s="490"/>
      <c r="AM687" s="490"/>
      <c r="AN687" s="490"/>
      <c r="AO687" s="490"/>
      <c r="AP687" s="490"/>
      <c r="AQ687" s="490"/>
      <c r="AR687" s="490"/>
      <c r="AS687" s="490"/>
      <c r="AT687" s="490"/>
      <c r="AU687" s="490"/>
      <c r="AV687" s="490"/>
      <c r="AW687" s="490"/>
      <c r="AX687" s="490"/>
      <c r="AY687" s="490"/>
      <c r="AZ687" s="491"/>
      <c r="BA687" s="491"/>
      <c r="BB687" s="491"/>
    </row>
    <row r="688" spans="1:54" hidden="1" outlineLevel="2" x14ac:dyDescent="0.2">
      <c r="A688" s="243"/>
      <c r="B688" s="672"/>
      <c r="C688" s="242" t="str">
        <f>C680</f>
        <v/>
      </c>
      <c r="D688" s="243"/>
      <c r="E688" s="62" t="s">
        <v>1310</v>
      </c>
      <c r="F688" s="63">
        <f t="shared" ref="F688:K688" si="470">IF(INDEX(MBSDecRate,$C676,2)=2,IFERROR(INDEX(RPBSScriptsChanged,$C688,F685),0),IFERROR(INDEX(MBSRPBSDec,$C676,INDEX(MBSDecRate,$C676,3)*7+F685),0) * IFERROR(INDEX(MBSDecPopSplit,$C676),0)) * INDEX(MBSDecRate,$C676,1) * INDEX(MBSDecRate,$C676,4)</f>
        <v>0</v>
      </c>
      <c r="G688" s="63">
        <f t="shared" si="470"/>
        <v>0</v>
      </c>
      <c r="H688" s="63">
        <f t="shared" si="470"/>
        <v>0</v>
      </c>
      <c r="I688" s="63">
        <f t="shared" si="470"/>
        <v>0</v>
      </c>
      <c r="J688" s="63">
        <f t="shared" si="470"/>
        <v>0</v>
      </c>
      <c r="K688" s="63">
        <f t="shared" si="470"/>
        <v>0</v>
      </c>
      <c r="L688" s="490"/>
      <c r="M688" s="243"/>
      <c r="N688" s="753"/>
      <c r="O688" s="678"/>
      <c r="P688" s="678"/>
      <c r="Q688" s="673"/>
      <c r="R688" s="673"/>
      <c r="S688" s="673"/>
      <c r="T688" s="673"/>
      <c r="U688" s="673"/>
      <c r="V688" s="673"/>
      <c r="W688" s="490"/>
      <c r="X688" s="676"/>
      <c r="Y688" s="676"/>
      <c r="Z688" s="676"/>
      <c r="AA688" s="676"/>
      <c r="AB688" s="675"/>
      <c r="AC688" s="490"/>
      <c r="AD688" s="490"/>
      <c r="AE688" s="490"/>
      <c r="AF688" s="490"/>
      <c r="AG688" s="490"/>
      <c r="AH688" s="490"/>
      <c r="AI688" s="490"/>
      <c r="AJ688" s="490"/>
      <c r="AK688" s="490"/>
      <c r="AL688" s="490"/>
      <c r="AM688" s="490"/>
      <c r="AN688" s="490"/>
      <c r="AO688" s="490"/>
      <c r="AP688" s="490"/>
      <c r="AQ688" s="490"/>
      <c r="AR688" s="490"/>
      <c r="AS688" s="490"/>
      <c r="AT688" s="490"/>
      <c r="AU688" s="490"/>
      <c r="AV688" s="490"/>
      <c r="AW688" s="490"/>
      <c r="AX688" s="490"/>
      <c r="AY688" s="490"/>
      <c r="AZ688" s="491"/>
      <c r="BA688" s="491"/>
      <c r="BB688" s="491"/>
    </row>
    <row r="689" spans="1:54" hidden="1" outlineLevel="2" x14ac:dyDescent="0.2">
      <c r="A689" s="243"/>
      <c r="B689" s="242">
        <v>5</v>
      </c>
      <c r="C689" s="242">
        <v>6</v>
      </c>
      <c r="D689" s="243"/>
      <c r="E689" s="496" t="s">
        <v>1307</v>
      </c>
      <c r="F689" s="63" t="str">
        <f t="shared" ref="F689:K689" si="471">IFERROR(F688*INDEX(MBSDecItems,$C676,$B689)*INDEX(MBSDecItems,$C676,$C689),"")</f>
        <v/>
      </c>
      <c r="G689" s="63" t="str">
        <f t="shared" si="471"/>
        <v/>
      </c>
      <c r="H689" s="63" t="str">
        <f t="shared" si="471"/>
        <v/>
      </c>
      <c r="I689" s="63" t="str">
        <f t="shared" si="471"/>
        <v/>
      </c>
      <c r="J689" s="63" t="str">
        <f t="shared" si="471"/>
        <v/>
      </c>
      <c r="K689" s="63" t="str">
        <f t="shared" si="471"/>
        <v/>
      </c>
      <c r="L689" s="490"/>
      <c r="M689" s="683"/>
      <c r="N689" s="753"/>
      <c r="O689" s="678"/>
      <c r="P689" s="678"/>
      <c r="Q689" s="673"/>
      <c r="R689" s="673"/>
      <c r="S689" s="673"/>
      <c r="T689" s="673"/>
      <c r="U689" s="673"/>
      <c r="V689" s="673"/>
      <c r="W689" s="490"/>
      <c r="X689" s="676"/>
      <c r="Y689" s="676"/>
      <c r="Z689" s="676"/>
      <c r="AA689" s="676"/>
      <c r="AB689" s="676"/>
      <c r="AC689" s="490"/>
      <c r="AD689" s="490"/>
      <c r="AE689" s="490"/>
      <c r="AF689" s="490"/>
      <c r="AG689" s="490"/>
      <c r="AH689" s="490"/>
      <c r="AI689" s="490"/>
      <c r="AJ689" s="490"/>
      <c r="AK689" s="490"/>
      <c r="AL689" s="490"/>
      <c r="AM689" s="490"/>
      <c r="AN689" s="490"/>
      <c r="AO689" s="490"/>
      <c r="AP689" s="490"/>
      <c r="AQ689" s="490"/>
      <c r="AR689" s="490"/>
      <c r="AS689" s="490"/>
      <c r="AT689" s="490"/>
      <c r="AU689" s="490"/>
      <c r="AV689" s="490"/>
      <c r="AW689" s="490"/>
      <c r="AX689" s="490"/>
      <c r="AY689" s="490"/>
      <c r="AZ689" s="491"/>
      <c r="BA689" s="491"/>
      <c r="BB689" s="491"/>
    </row>
    <row r="690" spans="1:54" hidden="1" outlineLevel="2" x14ac:dyDescent="0.2">
      <c r="A690" s="243"/>
      <c r="B690" s="242">
        <v>4</v>
      </c>
      <c r="C690" s="242">
        <v>6</v>
      </c>
      <c r="D690" s="243"/>
      <c r="E690" s="496" t="s">
        <v>1306</v>
      </c>
      <c r="F690" s="63" t="str">
        <f t="shared" ref="F690:K690" si="472">IFERROR(F688*INDEX(MBSDecItems,$C676,$B690)*INDEX(MBSDecItems,$C676,$C690),"")</f>
        <v/>
      </c>
      <c r="G690" s="63" t="str">
        <f t="shared" si="472"/>
        <v/>
      </c>
      <c r="H690" s="63" t="str">
        <f t="shared" si="472"/>
        <v/>
      </c>
      <c r="I690" s="63" t="str">
        <f t="shared" si="472"/>
        <v/>
      </c>
      <c r="J690" s="63" t="str">
        <f t="shared" si="472"/>
        <v/>
      </c>
      <c r="K690" s="63" t="str">
        <f t="shared" si="472"/>
        <v/>
      </c>
      <c r="L690" s="490"/>
      <c r="M690" s="684"/>
      <c r="N690" s="682"/>
      <c r="O690" s="678"/>
      <c r="P690" s="678"/>
      <c r="Q690" s="673"/>
      <c r="R690" s="673"/>
      <c r="S690" s="673"/>
      <c r="T690" s="673"/>
      <c r="U690" s="673"/>
      <c r="V690" s="673"/>
      <c r="W690" s="490"/>
      <c r="X690" s="676"/>
      <c r="Y690" s="676"/>
      <c r="Z690" s="676"/>
      <c r="AA690" s="676"/>
      <c r="AB690" s="676"/>
      <c r="AC690" s="490"/>
      <c r="AD690" s="490"/>
      <c r="AE690" s="490"/>
      <c r="AF690" s="490"/>
      <c r="AG690" s="490"/>
      <c r="AH690" s="490"/>
      <c r="AI690" s="490"/>
      <c r="AJ690" s="490"/>
      <c r="AK690" s="490"/>
      <c r="AL690" s="490"/>
      <c r="AM690" s="490"/>
      <c r="AN690" s="490"/>
      <c r="AO690" s="490"/>
      <c r="AP690" s="490"/>
      <c r="AQ690" s="490"/>
      <c r="AR690" s="490"/>
      <c r="AS690" s="490"/>
      <c r="AT690" s="490"/>
      <c r="AU690" s="490"/>
      <c r="AV690" s="490"/>
      <c r="AW690" s="490"/>
      <c r="AX690" s="490"/>
      <c r="AY690" s="490"/>
      <c r="AZ690" s="491"/>
      <c r="BA690" s="491"/>
      <c r="BB690" s="491"/>
    </row>
    <row r="691" spans="1:54" hidden="1" outlineLevel="2" x14ac:dyDescent="0.2">
      <c r="A691" s="243"/>
      <c r="B691" s="242"/>
      <c r="C691" s="242">
        <v>7</v>
      </c>
      <c r="D691" s="243"/>
      <c r="E691" s="497" t="s">
        <v>1308</v>
      </c>
      <c r="F691" s="63" t="str">
        <f t="shared" ref="F691:K691" si="473">IFERROR(F688*INDEX(MBSDecItems,$C676,$C691),"")</f>
        <v/>
      </c>
      <c r="G691" s="63" t="str">
        <f t="shared" si="473"/>
        <v/>
      </c>
      <c r="H691" s="63" t="str">
        <f t="shared" si="473"/>
        <v/>
      </c>
      <c r="I691" s="63" t="str">
        <f t="shared" si="473"/>
        <v/>
      </c>
      <c r="J691" s="63" t="str">
        <f t="shared" si="473"/>
        <v/>
      </c>
      <c r="K691" s="63" t="str">
        <f t="shared" si="473"/>
        <v/>
      </c>
      <c r="L691" s="490"/>
      <c r="M691" s="684"/>
      <c r="N691" s="682"/>
      <c r="O691" s="678"/>
      <c r="P691" s="678"/>
      <c r="Q691" s="673"/>
      <c r="R691" s="673"/>
      <c r="S691" s="673"/>
      <c r="T691" s="673"/>
      <c r="U691" s="673"/>
      <c r="V691" s="673"/>
      <c r="W691" s="490"/>
      <c r="X691" s="676"/>
      <c r="Y691" s="676"/>
      <c r="Z691" s="676"/>
      <c r="AA691" s="676"/>
      <c r="AB691" s="676"/>
      <c r="AC691" s="490"/>
      <c r="AD691" s="490"/>
      <c r="AE691" s="490"/>
      <c r="AF691" s="490"/>
      <c r="AG691" s="490"/>
      <c r="AH691" s="490"/>
      <c r="AI691" s="490"/>
      <c r="AJ691" s="490"/>
      <c r="AK691" s="490"/>
      <c r="AL691" s="490"/>
      <c r="AM691" s="490"/>
      <c r="AN691" s="490"/>
      <c r="AO691" s="490"/>
      <c r="AP691" s="490"/>
      <c r="AQ691" s="490"/>
      <c r="AR691" s="490"/>
      <c r="AS691" s="490"/>
      <c r="AT691" s="490"/>
      <c r="AU691" s="490"/>
      <c r="AV691" s="490"/>
      <c r="AW691" s="490"/>
      <c r="AX691" s="490"/>
      <c r="AY691" s="490"/>
      <c r="AZ691" s="491"/>
      <c r="BA691" s="491"/>
      <c r="BB691" s="491"/>
    </row>
    <row r="692" spans="1:54" hidden="1" outlineLevel="1" x14ac:dyDescent="0.2">
      <c r="A692" s="243"/>
      <c r="B692" s="243"/>
      <c r="C692" s="243"/>
      <c r="D692" s="677"/>
      <c r="E692" s="677"/>
      <c r="F692" s="243"/>
      <c r="G692" s="243"/>
      <c r="H692" s="243"/>
      <c r="I692" s="243"/>
      <c r="J692" s="243"/>
      <c r="K692" s="243"/>
      <c r="L692" s="243"/>
      <c r="M692" s="243"/>
      <c r="N692" s="678"/>
      <c r="O692" s="678"/>
      <c r="P692" s="678"/>
      <c r="Q692" s="673"/>
      <c r="R692" s="673"/>
      <c r="S692" s="673"/>
      <c r="T692" s="673"/>
      <c r="U692" s="673"/>
      <c r="V692" s="673"/>
      <c r="W692" s="490"/>
      <c r="X692" s="676"/>
      <c r="Y692" s="676"/>
      <c r="Z692" s="676"/>
      <c r="AA692" s="676"/>
      <c r="AB692" s="676"/>
      <c r="AC692" s="490"/>
      <c r="AD692" s="490"/>
      <c r="AE692" s="490"/>
      <c r="AF692" s="490"/>
      <c r="AG692" s="490"/>
      <c r="AH692" s="490"/>
      <c r="AI692" s="490"/>
      <c r="AJ692" s="490"/>
      <c r="AK692" s="490"/>
      <c r="AL692" s="490"/>
      <c r="AM692" s="490"/>
      <c r="AN692" s="490"/>
      <c r="AO692" s="490"/>
      <c r="AP692" s="490"/>
      <c r="AQ692" s="490"/>
      <c r="AR692" s="490"/>
      <c r="AS692" s="490"/>
      <c r="AT692" s="490"/>
      <c r="AU692" s="490"/>
      <c r="AV692" s="490"/>
      <c r="AW692" s="490"/>
      <c r="AX692" s="490"/>
      <c r="AY692" s="490"/>
      <c r="AZ692" s="491"/>
      <c r="BA692" s="491"/>
      <c r="BB692" s="491"/>
    </row>
    <row r="693" spans="1:54" ht="15.75" hidden="1" outlineLevel="1" x14ac:dyDescent="0.2">
      <c r="A693" s="243"/>
      <c r="B693" s="243"/>
      <c r="C693" s="242">
        <v>12</v>
      </c>
      <c r="D693" s="79" t="str">
        <f>INDEX(MBSDecNames,C693)</f>
        <v>** NOT USED **</v>
      </c>
      <c r="E693" s="79"/>
      <c r="F693" s="115"/>
      <c r="G693" s="115"/>
      <c r="H693" s="115"/>
      <c r="I693" s="115"/>
      <c r="J693" s="821" t="str">
        <f>IF(D693&lt;&gt;MsgNotUsed,"Co-payment group " &amp; K522,"")</f>
        <v/>
      </c>
      <c r="K693" s="821"/>
      <c r="L693" s="115"/>
      <c r="M693" s="115"/>
      <c r="N693" s="115"/>
      <c r="O693" s="115"/>
      <c r="P693" s="115"/>
      <c r="Q693" s="115"/>
      <c r="R693" s="115"/>
      <c r="S693" s="115"/>
      <c r="T693" s="115"/>
      <c r="U693" s="115"/>
      <c r="V693" s="115"/>
      <c r="W693" s="491"/>
      <c r="X693" s="490"/>
      <c r="Y693" s="490"/>
      <c r="Z693" s="490"/>
      <c r="AA693" s="490"/>
      <c r="AB693" s="676"/>
      <c r="AC693" s="490"/>
      <c r="AD693" s="490"/>
      <c r="AE693" s="490"/>
      <c r="AF693" s="490"/>
      <c r="AG693" s="490"/>
      <c r="AH693" s="490"/>
      <c r="AI693" s="490"/>
      <c r="AJ693" s="490"/>
      <c r="AK693" s="490"/>
      <c r="AL693" s="490"/>
      <c r="AM693" s="490"/>
      <c r="AN693" s="490"/>
      <c r="AO693" s="490"/>
      <c r="AP693" s="490"/>
      <c r="AQ693" s="490"/>
      <c r="AR693" s="490"/>
      <c r="AS693" s="490"/>
      <c r="AT693" s="490"/>
      <c r="AU693" s="490"/>
      <c r="AV693" s="490"/>
      <c r="AW693" s="490"/>
      <c r="AX693" s="490"/>
      <c r="AY693" s="490"/>
      <c r="AZ693" s="491"/>
      <c r="BA693" s="491"/>
      <c r="BB693" s="491"/>
    </row>
    <row r="694" spans="1:54" hidden="1" outlineLevel="2" x14ac:dyDescent="0.2">
      <c r="A694" s="243"/>
      <c r="B694" s="243"/>
      <c r="C694" s="243"/>
      <c r="D694" s="243"/>
      <c r="E694" s="243"/>
      <c r="F694" s="495">
        <v>2</v>
      </c>
      <c r="G694" s="495">
        <v>3</v>
      </c>
      <c r="H694" s="495">
        <v>4</v>
      </c>
      <c r="I694" s="495">
        <v>5</v>
      </c>
      <c r="J694" s="495">
        <v>6</v>
      </c>
      <c r="K694" s="495">
        <v>7</v>
      </c>
      <c r="L694" s="495"/>
      <c r="M694" s="243"/>
      <c r="N694" s="243"/>
      <c r="O694" s="243"/>
      <c r="P694" s="243"/>
      <c r="Q694" s="243"/>
      <c r="R694" s="243"/>
      <c r="S694" s="243"/>
      <c r="T694" s="243"/>
      <c r="U694" s="243"/>
      <c r="V694" s="243"/>
      <c r="W694" s="490"/>
      <c r="X694" s="490"/>
      <c r="Y694" s="490"/>
      <c r="Z694" s="490"/>
      <c r="AA694" s="490"/>
      <c r="AB694" s="676"/>
      <c r="AC694" s="490"/>
      <c r="AD694" s="490"/>
      <c r="AE694" s="490"/>
      <c r="AF694" s="490"/>
      <c r="AG694" s="490"/>
      <c r="AH694" s="490"/>
      <c r="AI694" s="490"/>
      <c r="AJ694" s="490"/>
      <c r="AK694" s="490"/>
      <c r="AL694" s="490"/>
      <c r="AM694" s="490"/>
      <c r="AN694" s="490"/>
      <c r="AO694" s="490"/>
      <c r="AP694" s="490"/>
      <c r="AQ694" s="490"/>
      <c r="AR694" s="490"/>
      <c r="AS694" s="490"/>
      <c r="AT694" s="490"/>
      <c r="AU694" s="490"/>
      <c r="AV694" s="490"/>
      <c r="AW694" s="490"/>
      <c r="AX694" s="490"/>
      <c r="AY694" s="490"/>
      <c r="AZ694" s="491"/>
      <c r="BA694" s="491"/>
      <c r="BB694" s="491"/>
    </row>
    <row r="695" spans="1:54" ht="15" hidden="1" outlineLevel="2" x14ac:dyDescent="0.2">
      <c r="A695" s="243"/>
      <c r="B695" s="243"/>
      <c r="C695" s="243"/>
      <c r="D695" s="663" t="s">
        <v>0</v>
      </c>
      <c r="E695" s="663"/>
      <c r="F695" s="729">
        <f>FirstYear</f>
        <v>2021</v>
      </c>
      <c r="G695" s="729">
        <f>F695+1</f>
        <v>2022</v>
      </c>
      <c r="H695" s="729">
        <f>G695+1</f>
        <v>2023</v>
      </c>
      <c r="I695" s="729">
        <f>H695+1</f>
        <v>2024</v>
      </c>
      <c r="J695" s="729">
        <f>I695+1</f>
        <v>2025</v>
      </c>
      <c r="K695" s="729">
        <f>J695+1</f>
        <v>2026</v>
      </c>
      <c r="L695" s="491"/>
      <c r="M695" s="113"/>
      <c r="N695" s="679"/>
      <c r="O695" s="679"/>
      <c r="P695" s="679"/>
      <c r="Q695" s="674"/>
      <c r="R695" s="674"/>
      <c r="S695" s="674"/>
      <c r="T695" s="674"/>
      <c r="U695" s="674"/>
      <c r="V695" s="674"/>
      <c r="W695" s="491"/>
      <c r="X695" s="674"/>
      <c r="Y695" s="674"/>
      <c r="Z695" s="674"/>
      <c r="AA695" s="674"/>
      <c r="AB695" s="676"/>
      <c r="AC695" s="490"/>
      <c r="AD695" s="490"/>
      <c r="AE695" s="490"/>
      <c r="AF695" s="490"/>
      <c r="AG695" s="490"/>
      <c r="AH695" s="490"/>
      <c r="AI695" s="490"/>
      <c r="AJ695" s="490"/>
      <c r="AK695" s="490"/>
      <c r="AL695" s="490"/>
      <c r="AM695" s="490"/>
      <c r="AN695" s="490"/>
      <c r="AO695" s="490"/>
      <c r="AP695" s="490"/>
      <c r="AQ695" s="490"/>
      <c r="AR695" s="490"/>
      <c r="AS695" s="490"/>
      <c r="AT695" s="490"/>
      <c r="AU695" s="490"/>
      <c r="AV695" s="490"/>
      <c r="AW695" s="490"/>
      <c r="AX695" s="490"/>
      <c r="AY695" s="490"/>
      <c r="AZ695" s="491"/>
      <c r="BA695" s="491"/>
      <c r="BB695" s="491"/>
    </row>
    <row r="696" spans="1:54" hidden="1" outlineLevel="2" collapsed="1" x14ac:dyDescent="0.2">
      <c r="A696" s="243"/>
      <c r="B696" s="243"/>
      <c r="C696" s="243"/>
      <c r="D696" s="243"/>
      <c r="E696" s="433" t="s">
        <v>951</v>
      </c>
      <c r="F696" s="283">
        <f t="shared" ref="F696:K696" si="474">F697*INDEX(MBSDecCalc,$C693,3)</f>
        <v>0</v>
      </c>
      <c r="G696" s="283">
        <f t="shared" si="474"/>
        <v>0</v>
      </c>
      <c r="H696" s="283">
        <f t="shared" si="474"/>
        <v>0</v>
      </c>
      <c r="I696" s="283">
        <f t="shared" si="474"/>
        <v>0</v>
      </c>
      <c r="J696" s="283">
        <f t="shared" si="474"/>
        <v>0</v>
      </c>
      <c r="K696" s="283">
        <f t="shared" si="474"/>
        <v>0</v>
      </c>
      <c r="L696" s="490"/>
      <c r="M696" s="680"/>
      <c r="N696" s="664"/>
      <c r="O696" s="664"/>
      <c r="P696" s="664"/>
      <c r="Q696" s="681"/>
      <c r="R696" s="681"/>
      <c r="S696" s="681"/>
      <c r="T696" s="681"/>
      <c r="U696" s="681"/>
      <c r="V696" s="681"/>
      <c r="W696" s="493"/>
      <c r="X696" s="561">
        <f>INDEX(MBSDecItems,C693,1)</f>
        <v>0</v>
      </c>
      <c r="Y696" s="561">
        <f>FirstYear</f>
        <v>2021</v>
      </c>
      <c r="Z696" s="560">
        <f>IF(F697&lt;&gt;0,F697-F699,0)</f>
        <v>0</v>
      </c>
      <c r="AA696" s="560">
        <f>IF(F705&lt;&gt;0,F705-F707,0)</f>
        <v>0</v>
      </c>
      <c r="AB696" s="676"/>
      <c r="AC696" s="490"/>
      <c r="AD696" s="490"/>
      <c r="AE696" s="490"/>
      <c r="AF696" s="490"/>
      <c r="AG696" s="490"/>
      <c r="AH696" s="490"/>
      <c r="AI696" s="490"/>
      <c r="AJ696" s="490"/>
      <c r="AK696" s="490"/>
      <c r="AL696" s="490"/>
      <c r="AM696" s="490"/>
      <c r="AN696" s="490"/>
      <c r="AO696" s="490"/>
      <c r="AP696" s="490"/>
      <c r="AQ696" s="490"/>
      <c r="AR696" s="490"/>
      <c r="AS696" s="490"/>
      <c r="AT696" s="490"/>
      <c r="AU696" s="490"/>
      <c r="AV696" s="490"/>
      <c r="AW696" s="490"/>
      <c r="AX696" s="490"/>
      <c r="AY696" s="490"/>
      <c r="AZ696" s="491"/>
      <c r="BA696" s="491"/>
      <c r="BB696" s="491"/>
    </row>
    <row r="697" spans="1:54" hidden="1" outlineLevel="2" x14ac:dyDescent="0.2">
      <c r="A697" s="243"/>
      <c r="B697" s="672"/>
      <c r="C697" s="242" t="str">
        <f>INDEX(MBSDecCalc,C693,2)</f>
        <v/>
      </c>
      <c r="D697" s="243"/>
      <c r="E697" s="62" t="s">
        <v>1310</v>
      </c>
      <c r="F697" s="63">
        <f t="shared" ref="F697:K697" si="475">IF(INDEX(MBSDecRate,$C693,2)=2,IFERROR(INDEX(PBSScriptsChanged,$C697,F694),0),IFERROR(INDEX(MBSPBSDec,$C693,INDEX(MBSDecRate,$C693,3)*7+F694),0) * IFERROR(INDEX(MBSDecPopSplit,$C693),0)) * INDEX(MBSDecRate,$C693,1) * INDEX(MBSDecRate,$C693,4)</f>
        <v>0</v>
      </c>
      <c r="G697" s="63">
        <f t="shared" si="475"/>
        <v>0</v>
      </c>
      <c r="H697" s="63">
        <f t="shared" si="475"/>
        <v>0</v>
      </c>
      <c r="I697" s="63">
        <f t="shared" si="475"/>
        <v>0</v>
      </c>
      <c r="J697" s="63">
        <f t="shared" si="475"/>
        <v>0</v>
      </c>
      <c r="K697" s="63">
        <f t="shared" si="475"/>
        <v>0</v>
      </c>
      <c r="L697" s="490"/>
      <c r="M697" s="493"/>
      <c r="N697" s="493"/>
      <c r="O697" s="664"/>
      <c r="P697" s="664"/>
      <c r="Q697" s="681"/>
      <c r="R697" s="681"/>
      <c r="S697" s="681"/>
      <c r="T697" s="681"/>
      <c r="U697" s="681"/>
      <c r="V697" s="681"/>
      <c r="W697" s="493"/>
      <c r="X697" s="561">
        <f>X696</f>
        <v>0</v>
      </c>
      <c r="Y697" s="561">
        <f>Y696+1</f>
        <v>2022</v>
      </c>
      <c r="Z697" s="560">
        <f>IF(G697&lt;&gt;0,G697-G699,0)</f>
        <v>0</v>
      </c>
      <c r="AA697" s="560">
        <f>IF(G705&lt;&gt;0,G705-G707,0)</f>
        <v>0</v>
      </c>
      <c r="AB697" s="676"/>
      <c r="AC697" s="490"/>
      <c r="AD697" s="490"/>
      <c r="AE697" s="490"/>
      <c r="AF697" s="490"/>
      <c r="AG697" s="490"/>
      <c r="AH697" s="490"/>
      <c r="AI697" s="490"/>
      <c r="AJ697" s="490"/>
      <c r="AK697" s="490"/>
      <c r="AL697" s="490"/>
      <c r="AM697" s="490"/>
      <c r="AN697" s="490"/>
      <c r="AO697" s="490"/>
      <c r="AP697" s="490"/>
      <c r="AQ697" s="490"/>
      <c r="AR697" s="490"/>
      <c r="AS697" s="490"/>
      <c r="AT697" s="490"/>
      <c r="AU697" s="490"/>
      <c r="AV697" s="490"/>
      <c r="AW697" s="490"/>
      <c r="AX697" s="490"/>
      <c r="AY697" s="490"/>
      <c r="AZ697" s="491"/>
      <c r="BA697" s="491"/>
      <c r="BB697" s="491"/>
    </row>
    <row r="698" spans="1:54" hidden="1" outlineLevel="2" x14ac:dyDescent="0.2">
      <c r="A698" s="243"/>
      <c r="B698" s="242">
        <v>5</v>
      </c>
      <c r="C698" s="242">
        <v>6</v>
      </c>
      <c r="D698" s="243"/>
      <c r="E698" s="496" t="s">
        <v>1307</v>
      </c>
      <c r="F698" s="63" t="str">
        <f t="shared" ref="F698:K698" si="476">IFERROR(F697*INDEX(MBSDecItems,$C693,$B698)*INDEX(MBSDecItems,$C693,$C698),"")</f>
        <v/>
      </c>
      <c r="G698" s="63" t="str">
        <f t="shared" si="476"/>
        <v/>
      </c>
      <c r="H698" s="63" t="str">
        <f t="shared" si="476"/>
        <v/>
      </c>
      <c r="I698" s="63" t="str">
        <f t="shared" si="476"/>
        <v/>
      </c>
      <c r="J698" s="63" t="str">
        <f t="shared" si="476"/>
        <v/>
      </c>
      <c r="K698" s="63" t="str">
        <f t="shared" si="476"/>
        <v/>
      </c>
      <c r="L698" s="490"/>
      <c r="M698" s="493"/>
      <c r="N698" s="493"/>
      <c r="O698" s="682"/>
      <c r="P698" s="754"/>
      <c r="Q698" s="681"/>
      <c r="R698" s="681"/>
      <c r="S698" s="681"/>
      <c r="T698" s="681"/>
      <c r="U698" s="681"/>
      <c r="V698" s="681"/>
      <c r="W698" s="493"/>
      <c r="X698" s="561">
        <f t="shared" ref="X698:X701" si="477">X697</f>
        <v>0</v>
      </c>
      <c r="Y698" s="561">
        <f>Y697+1</f>
        <v>2023</v>
      </c>
      <c r="Z698" s="560">
        <f>IF(H697&lt;&gt;0,H697-H699,0)</f>
        <v>0</v>
      </c>
      <c r="AA698" s="560">
        <f>IF(H705&lt;&gt;0,H705-H707,0)</f>
        <v>0</v>
      </c>
      <c r="AB698" s="676"/>
      <c r="AC698" s="490"/>
      <c r="AD698" s="490"/>
      <c r="AE698" s="490"/>
      <c r="AF698" s="490"/>
      <c r="AG698" s="490"/>
      <c r="AH698" s="490"/>
      <c r="AI698" s="490"/>
      <c r="AJ698" s="490"/>
      <c r="AK698" s="490"/>
      <c r="AL698" s="490"/>
      <c r="AM698" s="490"/>
      <c r="AN698" s="490"/>
      <c r="AO698" s="490"/>
      <c r="AP698" s="490"/>
      <c r="AQ698" s="490"/>
      <c r="AR698" s="490"/>
      <c r="AS698" s="490"/>
      <c r="AT698" s="490"/>
      <c r="AU698" s="490"/>
      <c r="AV698" s="490"/>
      <c r="AW698" s="490"/>
      <c r="AX698" s="490"/>
      <c r="AY698" s="490"/>
      <c r="AZ698" s="491"/>
      <c r="BA698" s="491"/>
      <c r="BB698" s="491"/>
    </row>
    <row r="699" spans="1:54" hidden="1" outlineLevel="2" x14ac:dyDescent="0.2">
      <c r="A699" s="416"/>
      <c r="B699" s="242">
        <v>4</v>
      </c>
      <c r="C699" s="242">
        <v>6</v>
      </c>
      <c r="D699" s="243"/>
      <c r="E699" s="496" t="s">
        <v>1306</v>
      </c>
      <c r="F699" s="63" t="str">
        <f t="shared" ref="F699:K699" si="478">IFERROR(F697*INDEX(MBSDecItems,$C693,$B699)*INDEX(MBSDecItems,$C693,$C699),"")</f>
        <v/>
      </c>
      <c r="G699" s="63" t="str">
        <f t="shared" si="478"/>
        <v/>
      </c>
      <c r="H699" s="63" t="str">
        <f t="shared" si="478"/>
        <v/>
      </c>
      <c r="I699" s="63" t="str">
        <f t="shared" si="478"/>
        <v/>
      </c>
      <c r="J699" s="63" t="str">
        <f t="shared" si="478"/>
        <v/>
      </c>
      <c r="K699" s="63" t="str">
        <f t="shared" si="478"/>
        <v/>
      </c>
      <c r="L699" s="416"/>
      <c r="M699" s="416"/>
      <c r="N699" s="416"/>
      <c r="O699" s="416"/>
      <c r="P699" s="416"/>
      <c r="Q699" s="416"/>
      <c r="R699" s="416"/>
      <c r="S699" s="416"/>
      <c r="T699" s="416"/>
      <c r="U699" s="416"/>
      <c r="V699" s="416"/>
      <c r="W699" s="493"/>
      <c r="X699" s="561">
        <f t="shared" si="477"/>
        <v>0</v>
      </c>
      <c r="Y699" s="561">
        <f>Y698+1</f>
        <v>2024</v>
      </c>
      <c r="Z699" s="560">
        <f>IF(I697&lt;&gt;0,I697-I699,0)</f>
        <v>0</v>
      </c>
      <c r="AA699" s="560">
        <f>IF(I705&lt;&gt;0,I705-I707,0)</f>
        <v>0</v>
      </c>
      <c r="AB699" s="674"/>
      <c r="AC699" s="490"/>
      <c r="AD699" s="490"/>
      <c r="AE699" s="490"/>
      <c r="AF699" s="490"/>
      <c r="AG699" s="490"/>
      <c r="AH699" s="490"/>
      <c r="AI699" s="490"/>
      <c r="AJ699" s="490"/>
      <c r="AK699" s="490"/>
      <c r="AL699" s="490"/>
      <c r="AM699" s="490"/>
      <c r="AN699" s="490"/>
      <c r="AO699" s="490"/>
      <c r="AP699" s="490"/>
      <c r="AQ699" s="490"/>
      <c r="AR699" s="490"/>
      <c r="AS699" s="490"/>
      <c r="AT699" s="490"/>
      <c r="AU699" s="490"/>
      <c r="AV699" s="490"/>
      <c r="AW699" s="490"/>
      <c r="AX699" s="490"/>
      <c r="AY699" s="490"/>
      <c r="AZ699" s="491"/>
      <c r="BA699" s="491"/>
      <c r="BB699" s="491"/>
    </row>
    <row r="700" spans="1:54" hidden="1" outlineLevel="2" x14ac:dyDescent="0.2">
      <c r="A700" s="243"/>
      <c r="B700" s="242"/>
      <c r="C700" s="242">
        <v>7</v>
      </c>
      <c r="D700" s="243"/>
      <c r="E700" s="497" t="s">
        <v>1308</v>
      </c>
      <c r="F700" s="63" t="str">
        <f t="shared" ref="F700:K700" si="479">IFERROR(F697*INDEX(MBSDecItems,$C693,$C700),"")</f>
        <v/>
      </c>
      <c r="G700" s="63" t="str">
        <f t="shared" si="479"/>
        <v/>
      </c>
      <c r="H700" s="63" t="str">
        <f t="shared" si="479"/>
        <v/>
      </c>
      <c r="I700" s="63" t="str">
        <f t="shared" si="479"/>
        <v/>
      </c>
      <c r="J700" s="63" t="str">
        <f t="shared" si="479"/>
        <v/>
      </c>
      <c r="K700" s="63" t="str">
        <f t="shared" si="479"/>
        <v/>
      </c>
      <c r="L700" s="490"/>
      <c r="M700" s="493"/>
      <c r="N700" s="493"/>
      <c r="O700" s="682"/>
      <c r="P700" s="754"/>
      <c r="Q700" s="681"/>
      <c r="R700" s="681"/>
      <c r="S700" s="681"/>
      <c r="T700" s="681"/>
      <c r="U700" s="681"/>
      <c r="V700" s="681"/>
      <c r="W700" s="493"/>
      <c r="X700" s="561">
        <f t="shared" si="477"/>
        <v>0</v>
      </c>
      <c r="Y700" s="561">
        <f>Y699+1</f>
        <v>2025</v>
      </c>
      <c r="Z700" s="560">
        <f>IF(J697&lt;&gt;0,J697-J699,0)</f>
        <v>0</v>
      </c>
      <c r="AA700" s="560">
        <f>IF(J705&lt;&gt;0,J705-J707,0)</f>
        <v>0</v>
      </c>
      <c r="AB700" s="674"/>
      <c r="AC700" s="490"/>
      <c r="AD700" s="490"/>
      <c r="AE700" s="490"/>
      <c r="AF700" s="490"/>
      <c r="AG700" s="490"/>
      <c r="AH700" s="490"/>
      <c r="AI700" s="490"/>
      <c r="AJ700" s="490"/>
      <c r="AK700" s="490"/>
      <c r="AL700" s="490"/>
      <c r="AM700" s="490"/>
      <c r="AN700" s="490"/>
      <c r="AO700" s="490"/>
      <c r="AP700" s="490"/>
      <c r="AQ700" s="490"/>
      <c r="AR700" s="490"/>
      <c r="AS700" s="490"/>
      <c r="AT700" s="490"/>
      <c r="AU700" s="490"/>
      <c r="AV700" s="490"/>
      <c r="AW700" s="490"/>
      <c r="AX700" s="490"/>
      <c r="AY700" s="490"/>
      <c r="AZ700" s="491"/>
      <c r="BA700" s="491"/>
      <c r="BB700" s="491"/>
    </row>
    <row r="701" spans="1:54" hidden="1" outlineLevel="2" x14ac:dyDescent="0.2">
      <c r="A701" s="243"/>
      <c r="B701" s="493"/>
      <c r="C701" s="493"/>
      <c r="D701" s="493"/>
      <c r="E701" s="493"/>
      <c r="F701" s="493"/>
      <c r="G701" s="493"/>
      <c r="H701" s="493"/>
      <c r="I701" s="493"/>
      <c r="J701" s="493"/>
      <c r="K701" s="493"/>
      <c r="L701" s="490"/>
      <c r="M701" s="493"/>
      <c r="N701" s="493"/>
      <c r="O701" s="682"/>
      <c r="P701" s="682"/>
      <c r="Q701" s="681"/>
      <c r="R701" s="681"/>
      <c r="S701" s="681"/>
      <c r="T701" s="681"/>
      <c r="U701" s="681"/>
      <c r="V701" s="681"/>
      <c r="W701" s="493"/>
      <c r="X701" s="561">
        <f t="shared" si="477"/>
        <v>0</v>
      </c>
      <c r="Y701" s="561">
        <f>Y700+1</f>
        <v>2026</v>
      </c>
      <c r="Z701" s="560">
        <f>IF(K697&lt;&gt;0,K697-K699,0)</f>
        <v>0</v>
      </c>
      <c r="AA701" s="560">
        <f>IF(K705&lt;&gt;0,K705-K707,0)</f>
        <v>0</v>
      </c>
      <c r="AB701" s="675"/>
      <c r="AC701" s="490"/>
      <c r="AD701" s="490"/>
      <c r="AE701" s="490"/>
      <c r="AF701" s="490"/>
      <c r="AG701" s="490"/>
      <c r="AH701" s="490"/>
      <c r="AI701" s="490"/>
      <c r="AJ701" s="490"/>
      <c r="AK701" s="490"/>
      <c r="AL701" s="490"/>
      <c r="AM701" s="490"/>
      <c r="AN701" s="490"/>
      <c r="AO701" s="490"/>
      <c r="AP701" s="490"/>
      <c r="AQ701" s="490"/>
      <c r="AR701" s="490"/>
      <c r="AS701" s="490"/>
      <c r="AT701" s="490"/>
      <c r="AU701" s="490"/>
      <c r="AV701" s="490"/>
      <c r="AW701" s="490"/>
      <c r="AX701" s="490"/>
      <c r="AY701" s="490"/>
      <c r="AZ701" s="491"/>
      <c r="BA701" s="491"/>
      <c r="BB701" s="491"/>
    </row>
    <row r="702" spans="1:54" hidden="1" outlineLevel="2" x14ac:dyDescent="0.2">
      <c r="A702" s="243"/>
      <c r="B702" s="243"/>
      <c r="C702" s="243"/>
      <c r="D702" s="677"/>
      <c r="E702" s="677"/>
      <c r="F702" s="495">
        <v>2</v>
      </c>
      <c r="G702" s="495">
        <v>3</v>
      </c>
      <c r="H702" s="495">
        <v>4</v>
      </c>
      <c r="I702" s="495">
        <v>5</v>
      </c>
      <c r="J702" s="495">
        <v>6</v>
      </c>
      <c r="K702" s="495">
        <v>7</v>
      </c>
      <c r="L702" s="490"/>
      <c r="M702" s="243"/>
      <c r="N702" s="678"/>
      <c r="O702" s="678"/>
      <c r="P702" s="678"/>
      <c r="Q702" s="673"/>
      <c r="R702" s="673"/>
      <c r="S702" s="673"/>
      <c r="T702" s="673"/>
      <c r="U702" s="673"/>
      <c r="V702" s="673"/>
      <c r="W702" s="490"/>
      <c r="X702" s="676"/>
      <c r="Y702" s="676"/>
      <c r="Z702" s="676"/>
      <c r="AA702" s="676"/>
      <c r="AB702" s="675"/>
      <c r="AC702" s="490"/>
      <c r="AD702" s="490"/>
      <c r="AE702" s="490"/>
      <c r="AF702" s="490"/>
      <c r="AG702" s="490"/>
      <c r="AH702" s="490"/>
      <c r="AI702" s="490"/>
      <c r="AJ702" s="490"/>
      <c r="AK702" s="490"/>
      <c r="AL702" s="490"/>
      <c r="AM702" s="490"/>
      <c r="AN702" s="490"/>
      <c r="AO702" s="490"/>
      <c r="AP702" s="490"/>
      <c r="AQ702" s="490"/>
      <c r="AR702" s="490"/>
      <c r="AS702" s="490"/>
      <c r="AT702" s="490"/>
      <c r="AU702" s="490"/>
      <c r="AV702" s="490"/>
      <c r="AW702" s="490"/>
      <c r="AX702" s="490"/>
      <c r="AY702" s="490"/>
      <c r="AZ702" s="491"/>
      <c r="BA702" s="491"/>
      <c r="BB702" s="491"/>
    </row>
    <row r="703" spans="1:54" ht="15.75" hidden="1" outlineLevel="2" x14ac:dyDescent="0.2">
      <c r="A703" s="243"/>
      <c r="B703" s="243"/>
      <c r="C703" s="243"/>
      <c r="D703" s="663" t="s">
        <v>1</v>
      </c>
      <c r="E703" s="663"/>
      <c r="F703" s="751">
        <f>FirstYear</f>
        <v>2021</v>
      </c>
      <c r="G703" s="751">
        <f>F703+1</f>
        <v>2022</v>
      </c>
      <c r="H703" s="751">
        <f>G703+1</f>
        <v>2023</v>
      </c>
      <c r="I703" s="751">
        <f>H703+1</f>
        <v>2024</v>
      </c>
      <c r="J703" s="751">
        <f>I703+1</f>
        <v>2025</v>
      </c>
      <c r="K703" s="751">
        <f>J703+1</f>
        <v>2026</v>
      </c>
      <c r="L703" s="491"/>
      <c r="M703" s="243"/>
      <c r="N703" s="685"/>
      <c r="O703" s="685"/>
      <c r="P703" s="685"/>
      <c r="Q703" s="673"/>
      <c r="R703" s="673"/>
      <c r="S703" s="673"/>
      <c r="T703" s="673"/>
      <c r="U703" s="673"/>
      <c r="V703" s="673"/>
      <c r="W703" s="491"/>
      <c r="X703" s="676"/>
      <c r="Y703" s="676"/>
      <c r="Z703" s="676"/>
      <c r="AA703" s="676"/>
      <c r="AB703" s="675"/>
      <c r="AC703" s="490"/>
      <c r="AD703" s="490"/>
      <c r="AE703" s="490"/>
      <c r="AF703" s="490"/>
      <c r="AG703" s="490"/>
      <c r="AH703" s="490"/>
      <c r="AI703" s="490"/>
      <c r="AJ703" s="490"/>
      <c r="AK703" s="490"/>
      <c r="AL703" s="490"/>
      <c r="AM703" s="490"/>
      <c r="AN703" s="490"/>
      <c r="AO703" s="490"/>
      <c r="AP703" s="490"/>
      <c r="AQ703" s="490"/>
      <c r="AR703" s="490"/>
      <c r="AS703" s="490"/>
      <c r="AT703" s="490"/>
      <c r="AU703" s="490"/>
      <c r="AV703" s="490"/>
      <c r="AW703" s="490"/>
      <c r="AX703" s="490"/>
      <c r="AY703" s="490"/>
      <c r="AZ703" s="491"/>
      <c r="BA703" s="491"/>
      <c r="BB703" s="491"/>
    </row>
    <row r="704" spans="1:54" hidden="1" outlineLevel="2" x14ac:dyDescent="0.2">
      <c r="A704" s="243"/>
      <c r="B704" s="243"/>
      <c r="C704" s="243"/>
      <c r="D704" s="243"/>
      <c r="E704" s="433" t="s">
        <v>951</v>
      </c>
      <c r="F704" s="283">
        <f t="shared" ref="F704:K704" si="480">F705*INDEX(MBSDecCalc,$C693,3)</f>
        <v>0</v>
      </c>
      <c r="G704" s="283">
        <f t="shared" si="480"/>
        <v>0</v>
      </c>
      <c r="H704" s="283">
        <f t="shared" si="480"/>
        <v>0</v>
      </c>
      <c r="I704" s="283">
        <f t="shared" si="480"/>
        <v>0</v>
      </c>
      <c r="J704" s="283">
        <f t="shared" si="480"/>
        <v>0</v>
      </c>
      <c r="K704" s="283">
        <f t="shared" si="480"/>
        <v>0</v>
      </c>
      <c r="L704" s="490"/>
      <c r="M704" s="615"/>
      <c r="N704" s="615"/>
      <c r="O704" s="678"/>
      <c r="P704" s="678"/>
      <c r="Q704" s="673"/>
      <c r="R704" s="673"/>
      <c r="S704" s="673"/>
      <c r="T704" s="673"/>
      <c r="U704" s="673"/>
      <c r="V704" s="673"/>
      <c r="W704" s="490"/>
      <c r="X704" s="676"/>
      <c r="Y704" s="676"/>
      <c r="Z704" s="676"/>
      <c r="AA704" s="676"/>
      <c r="AB704" s="675"/>
      <c r="AC704" s="490"/>
      <c r="AD704" s="490"/>
      <c r="AE704" s="490"/>
      <c r="AF704" s="490"/>
      <c r="AG704" s="490"/>
      <c r="AH704" s="490"/>
      <c r="AI704" s="490"/>
      <c r="AJ704" s="490"/>
      <c r="AK704" s="490"/>
      <c r="AL704" s="490"/>
      <c r="AM704" s="490"/>
      <c r="AN704" s="490"/>
      <c r="AO704" s="490"/>
      <c r="AP704" s="490"/>
      <c r="AQ704" s="490"/>
      <c r="AR704" s="490"/>
      <c r="AS704" s="490"/>
      <c r="AT704" s="490"/>
      <c r="AU704" s="490"/>
      <c r="AV704" s="490"/>
      <c r="AW704" s="490"/>
      <c r="AX704" s="490"/>
      <c r="AY704" s="490"/>
      <c r="AZ704" s="491"/>
      <c r="BA704" s="491"/>
      <c r="BB704" s="491"/>
    </row>
    <row r="705" spans="1:54" hidden="1" outlineLevel="2" x14ac:dyDescent="0.2">
      <c r="A705" s="243"/>
      <c r="B705" s="672"/>
      <c r="C705" s="242" t="str">
        <f>C697</f>
        <v/>
      </c>
      <c r="D705" s="243"/>
      <c r="E705" s="62" t="s">
        <v>1310</v>
      </c>
      <c r="F705" s="63">
        <f t="shared" ref="F705:K705" si="481">IF(INDEX(MBSDecRate,$C693,2)=2,IFERROR(INDEX(RPBSScriptsChanged,$C705,F702),0),IFERROR(INDEX(MBSRPBSDec,$C693,INDEX(MBSDecRate,$C693,3)*7+F702),0) * IFERROR(INDEX(MBSDecPopSplit,$C693),0)) * INDEX(MBSDecRate,$C693,1) * INDEX(MBSDecRate,$C693,4)</f>
        <v>0</v>
      </c>
      <c r="G705" s="63">
        <f t="shared" si="481"/>
        <v>0</v>
      </c>
      <c r="H705" s="63">
        <f t="shared" si="481"/>
        <v>0</v>
      </c>
      <c r="I705" s="63">
        <f t="shared" si="481"/>
        <v>0</v>
      </c>
      <c r="J705" s="63">
        <f t="shared" si="481"/>
        <v>0</v>
      </c>
      <c r="K705" s="63">
        <f t="shared" si="481"/>
        <v>0</v>
      </c>
      <c r="L705" s="490"/>
      <c r="M705" s="243"/>
      <c r="N705" s="753"/>
      <c r="O705" s="678"/>
      <c r="P705" s="678"/>
      <c r="Q705" s="673"/>
      <c r="R705" s="673"/>
      <c r="S705" s="673"/>
      <c r="T705" s="673"/>
      <c r="U705" s="673"/>
      <c r="V705" s="673"/>
      <c r="W705" s="490"/>
      <c r="X705" s="676"/>
      <c r="Y705" s="676"/>
      <c r="Z705" s="676"/>
      <c r="AA705" s="676"/>
      <c r="AB705" s="675"/>
      <c r="AC705" s="490"/>
      <c r="AD705" s="490"/>
      <c r="AE705" s="490"/>
      <c r="AF705" s="490"/>
      <c r="AG705" s="490"/>
      <c r="AH705" s="490"/>
      <c r="AI705" s="490"/>
      <c r="AJ705" s="490"/>
      <c r="AK705" s="490"/>
      <c r="AL705" s="490"/>
      <c r="AM705" s="490"/>
      <c r="AN705" s="490"/>
      <c r="AO705" s="490"/>
      <c r="AP705" s="490"/>
      <c r="AQ705" s="490"/>
      <c r="AR705" s="490"/>
      <c r="AS705" s="490"/>
      <c r="AT705" s="490"/>
      <c r="AU705" s="490"/>
      <c r="AV705" s="490"/>
      <c r="AW705" s="490"/>
      <c r="AX705" s="490"/>
      <c r="AY705" s="490"/>
      <c r="AZ705" s="491"/>
      <c r="BA705" s="491"/>
      <c r="BB705" s="491"/>
    </row>
    <row r="706" spans="1:54" hidden="1" outlineLevel="2" x14ac:dyDescent="0.2">
      <c r="A706" s="243"/>
      <c r="B706" s="242">
        <v>5</v>
      </c>
      <c r="C706" s="242">
        <v>6</v>
      </c>
      <c r="D706" s="243"/>
      <c r="E706" s="496" t="s">
        <v>1307</v>
      </c>
      <c r="F706" s="63" t="str">
        <f t="shared" ref="F706:K706" si="482">IFERROR(F705*INDEX(MBSDecItems,$C693,$B706)*INDEX(MBSDecItems,$C693,$C706),"")</f>
        <v/>
      </c>
      <c r="G706" s="63" t="str">
        <f t="shared" si="482"/>
        <v/>
      </c>
      <c r="H706" s="63" t="str">
        <f t="shared" si="482"/>
        <v/>
      </c>
      <c r="I706" s="63" t="str">
        <f t="shared" si="482"/>
        <v/>
      </c>
      <c r="J706" s="63" t="str">
        <f t="shared" si="482"/>
        <v/>
      </c>
      <c r="K706" s="63" t="str">
        <f t="shared" si="482"/>
        <v/>
      </c>
      <c r="L706" s="490"/>
      <c r="M706" s="683"/>
      <c r="N706" s="753"/>
      <c r="O706" s="678"/>
      <c r="P706" s="678"/>
      <c r="Q706" s="673"/>
      <c r="R706" s="673"/>
      <c r="S706" s="673"/>
      <c r="T706" s="673"/>
      <c r="U706" s="673"/>
      <c r="V706" s="673"/>
      <c r="W706" s="490"/>
      <c r="X706" s="676"/>
      <c r="Y706" s="676"/>
      <c r="Z706" s="676"/>
      <c r="AA706" s="676"/>
      <c r="AB706" s="676"/>
      <c r="AC706" s="490"/>
      <c r="AD706" s="490"/>
      <c r="AE706" s="490"/>
      <c r="AF706" s="490"/>
      <c r="AG706" s="490"/>
      <c r="AH706" s="490"/>
      <c r="AI706" s="490"/>
      <c r="AJ706" s="490"/>
      <c r="AK706" s="490"/>
      <c r="AL706" s="490"/>
      <c r="AM706" s="490"/>
      <c r="AN706" s="490"/>
      <c r="AO706" s="490"/>
      <c r="AP706" s="490"/>
      <c r="AQ706" s="490"/>
      <c r="AR706" s="490"/>
      <c r="AS706" s="490"/>
      <c r="AT706" s="490"/>
      <c r="AU706" s="490"/>
      <c r="AV706" s="490"/>
      <c r="AW706" s="490"/>
      <c r="AX706" s="490"/>
      <c r="AY706" s="490"/>
      <c r="AZ706" s="491"/>
      <c r="BA706" s="491"/>
      <c r="BB706" s="491"/>
    </row>
    <row r="707" spans="1:54" hidden="1" outlineLevel="2" x14ac:dyDescent="0.2">
      <c r="A707" s="243"/>
      <c r="B707" s="242">
        <v>4</v>
      </c>
      <c r="C707" s="242">
        <v>6</v>
      </c>
      <c r="D707" s="243"/>
      <c r="E707" s="496" t="s">
        <v>1306</v>
      </c>
      <c r="F707" s="63" t="str">
        <f t="shared" ref="F707:K707" si="483">IFERROR(F705*INDEX(MBSDecItems,$C693,$B707)*INDEX(MBSDecItems,$C693,$C707),"")</f>
        <v/>
      </c>
      <c r="G707" s="63" t="str">
        <f t="shared" si="483"/>
        <v/>
      </c>
      <c r="H707" s="63" t="str">
        <f t="shared" si="483"/>
        <v/>
      </c>
      <c r="I707" s="63" t="str">
        <f t="shared" si="483"/>
        <v/>
      </c>
      <c r="J707" s="63" t="str">
        <f t="shared" si="483"/>
        <v/>
      </c>
      <c r="K707" s="63" t="str">
        <f t="shared" si="483"/>
        <v/>
      </c>
      <c r="L707" s="490"/>
      <c r="M707" s="684"/>
      <c r="N707" s="682"/>
      <c r="O707" s="678"/>
      <c r="P707" s="678"/>
      <c r="Q707" s="673"/>
      <c r="R707" s="673"/>
      <c r="S707" s="673"/>
      <c r="T707" s="673"/>
      <c r="U707" s="673"/>
      <c r="V707" s="673"/>
      <c r="W707" s="490"/>
      <c r="X707" s="676"/>
      <c r="Y707" s="676"/>
      <c r="Z707" s="676"/>
      <c r="AA707" s="676"/>
      <c r="AB707" s="676"/>
      <c r="AC707" s="490"/>
      <c r="AD707" s="490"/>
      <c r="AE707" s="490"/>
      <c r="AF707" s="490"/>
      <c r="AG707" s="490"/>
      <c r="AH707" s="490"/>
      <c r="AI707" s="490"/>
      <c r="AJ707" s="490"/>
      <c r="AK707" s="490"/>
      <c r="AL707" s="490"/>
      <c r="AM707" s="490"/>
      <c r="AN707" s="490"/>
      <c r="AO707" s="490"/>
      <c r="AP707" s="490"/>
      <c r="AQ707" s="490"/>
      <c r="AR707" s="490"/>
      <c r="AS707" s="490"/>
      <c r="AT707" s="490"/>
      <c r="AU707" s="490"/>
      <c r="AV707" s="490"/>
      <c r="AW707" s="490"/>
      <c r="AX707" s="490"/>
      <c r="AY707" s="490"/>
      <c r="AZ707" s="491"/>
      <c r="BA707" s="491"/>
      <c r="BB707" s="491"/>
    </row>
    <row r="708" spans="1:54" hidden="1" outlineLevel="2" x14ac:dyDescent="0.2">
      <c r="A708" s="243"/>
      <c r="B708" s="242"/>
      <c r="C708" s="242">
        <v>7</v>
      </c>
      <c r="D708" s="243"/>
      <c r="E708" s="497" t="s">
        <v>1308</v>
      </c>
      <c r="F708" s="63" t="str">
        <f t="shared" ref="F708:K708" si="484">IFERROR(F705*INDEX(MBSDecItems,$C693,$C708),"")</f>
        <v/>
      </c>
      <c r="G708" s="63" t="str">
        <f t="shared" si="484"/>
        <v/>
      </c>
      <c r="H708" s="63" t="str">
        <f t="shared" si="484"/>
        <v/>
      </c>
      <c r="I708" s="63" t="str">
        <f t="shared" si="484"/>
        <v/>
      </c>
      <c r="J708" s="63" t="str">
        <f t="shared" si="484"/>
        <v/>
      </c>
      <c r="K708" s="63" t="str">
        <f t="shared" si="484"/>
        <v/>
      </c>
      <c r="L708" s="490"/>
      <c r="M708" s="684"/>
      <c r="N708" s="682"/>
      <c r="O708" s="678"/>
      <c r="P708" s="678"/>
      <c r="Q708" s="673"/>
      <c r="R708" s="673"/>
      <c r="S708" s="673"/>
      <c r="T708" s="673"/>
      <c r="U708" s="673"/>
      <c r="V708" s="673"/>
      <c r="W708" s="490"/>
      <c r="X708" s="676"/>
      <c r="Y708" s="676"/>
      <c r="Z708" s="676"/>
      <c r="AA708" s="676"/>
      <c r="AB708" s="676"/>
      <c r="AC708" s="490"/>
      <c r="AD708" s="490"/>
      <c r="AE708" s="490"/>
      <c r="AF708" s="490"/>
      <c r="AG708" s="490"/>
      <c r="AH708" s="490"/>
      <c r="AI708" s="490"/>
      <c r="AJ708" s="490"/>
      <c r="AK708" s="490"/>
      <c r="AL708" s="490"/>
      <c r="AM708" s="490"/>
      <c r="AN708" s="490"/>
      <c r="AO708" s="490"/>
      <c r="AP708" s="490"/>
      <c r="AQ708" s="490"/>
      <c r="AR708" s="490"/>
      <c r="AS708" s="490"/>
      <c r="AT708" s="490"/>
      <c r="AU708" s="490"/>
      <c r="AV708" s="490"/>
      <c r="AW708" s="490"/>
      <c r="AX708" s="490"/>
      <c r="AY708" s="490"/>
      <c r="AZ708" s="491"/>
      <c r="BA708" s="491"/>
      <c r="BB708" s="491"/>
    </row>
    <row r="709" spans="1:54" hidden="1" outlineLevel="1" x14ac:dyDescent="0.2">
      <c r="A709" s="243"/>
      <c r="B709" s="243"/>
      <c r="C709" s="243"/>
      <c r="D709" s="677"/>
      <c r="E709" s="677"/>
      <c r="F709" s="243"/>
      <c r="G709" s="243"/>
      <c r="H709" s="243"/>
      <c r="I709" s="243"/>
      <c r="J709" s="243"/>
      <c r="K709" s="243"/>
      <c r="L709" s="243"/>
      <c r="M709" s="243"/>
      <c r="N709" s="678"/>
      <c r="O709" s="678"/>
      <c r="P709" s="678"/>
      <c r="Q709" s="673"/>
      <c r="R709" s="673"/>
      <c r="S709" s="673"/>
      <c r="T709" s="673"/>
      <c r="U709" s="673"/>
      <c r="V709" s="673"/>
      <c r="W709" s="490"/>
      <c r="X709" s="676"/>
      <c r="Y709" s="676"/>
      <c r="Z709" s="676"/>
      <c r="AA709" s="676"/>
      <c r="AB709" s="676"/>
      <c r="AC709" s="490"/>
      <c r="AD709" s="490"/>
      <c r="AE709" s="490"/>
      <c r="AF709" s="490"/>
      <c r="AG709" s="490"/>
      <c r="AH709" s="490"/>
      <c r="AI709" s="490"/>
      <c r="AJ709" s="490"/>
      <c r="AK709" s="490"/>
      <c r="AL709" s="490"/>
      <c r="AM709" s="490"/>
      <c r="AN709" s="490"/>
      <c r="AO709" s="490"/>
      <c r="AP709" s="490"/>
      <c r="AQ709" s="490"/>
      <c r="AR709" s="490"/>
      <c r="AS709" s="490"/>
      <c r="AT709" s="490"/>
      <c r="AU709" s="490"/>
      <c r="AV709" s="490"/>
      <c r="AW709" s="490"/>
      <c r="AX709" s="490"/>
      <c r="AY709" s="490"/>
      <c r="AZ709" s="491"/>
      <c r="BA709" s="491"/>
      <c r="BB709" s="491"/>
    </row>
    <row r="710" spans="1:54" ht="15.75" hidden="1" outlineLevel="1" x14ac:dyDescent="0.2">
      <c r="A710" s="243"/>
      <c r="B710" s="243"/>
      <c r="C710" s="242">
        <v>13</v>
      </c>
      <c r="D710" s="79" t="str">
        <f>INDEX(MBSDecNames,C710)</f>
        <v>** NOT USED **</v>
      </c>
      <c r="E710" s="79"/>
      <c r="F710" s="115"/>
      <c r="G710" s="115"/>
      <c r="H710" s="115"/>
      <c r="I710" s="115"/>
      <c r="J710" s="821" t="str">
        <f>IF(D710&lt;&gt;MsgNotUsed,"Co-payment group " &amp; K539,"")</f>
        <v/>
      </c>
      <c r="K710" s="821"/>
      <c r="L710" s="115"/>
      <c r="M710" s="115"/>
      <c r="N710" s="115"/>
      <c r="O710" s="115"/>
      <c r="P710" s="115"/>
      <c r="Q710" s="115"/>
      <c r="R710" s="115"/>
      <c r="S710" s="115"/>
      <c r="T710" s="115"/>
      <c r="U710" s="115"/>
      <c r="V710" s="115"/>
      <c r="W710" s="491"/>
      <c r="X710" s="490"/>
      <c r="Y710" s="490"/>
      <c r="Z710" s="490"/>
      <c r="AA710" s="490"/>
      <c r="AB710" s="676"/>
      <c r="AC710" s="490"/>
      <c r="AD710" s="490"/>
      <c r="AE710" s="490"/>
      <c r="AF710" s="490"/>
      <c r="AG710" s="490"/>
      <c r="AH710" s="490"/>
      <c r="AI710" s="490"/>
      <c r="AJ710" s="490"/>
      <c r="AK710" s="490"/>
      <c r="AL710" s="490"/>
      <c r="AM710" s="490"/>
      <c r="AN710" s="490"/>
      <c r="AO710" s="490"/>
      <c r="AP710" s="490"/>
      <c r="AQ710" s="490"/>
      <c r="AR710" s="490"/>
      <c r="AS710" s="490"/>
      <c r="AT710" s="490"/>
      <c r="AU710" s="490"/>
      <c r="AV710" s="490"/>
      <c r="AW710" s="490"/>
      <c r="AX710" s="490"/>
      <c r="AY710" s="490"/>
      <c r="AZ710" s="491"/>
      <c r="BA710" s="491"/>
      <c r="BB710" s="491"/>
    </row>
    <row r="711" spans="1:54" hidden="1" outlineLevel="2" x14ac:dyDescent="0.2">
      <c r="A711" s="243"/>
      <c r="B711" s="243"/>
      <c r="C711" s="243"/>
      <c r="D711" s="243"/>
      <c r="E711" s="243"/>
      <c r="F711" s="495">
        <v>2</v>
      </c>
      <c r="G711" s="495">
        <v>3</v>
      </c>
      <c r="H711" s="495">
        <v>4</v>
      </c>
      <c r="I711" s="495">
        <v>5</v>
      </c>
      <c r="J711" s="495">
        <v>6</v>
      </c>
      <c r="K711" s="495">
        <v>7</v>
      </c>
      <c r="L711" s="495"/>
      <c r="M711" s="243"/>
      <c r="N711" s="243"/>
      <c r="O711" s="243"/>
      <c r="P711" s="243"/>
      <c r="Q711" s="243"/>
      <c r="R711" s="243"/>
      <c r="S711" s="243"/>
      <c r="T711" s="243"/>
      <c r="U711" s="243"/>
      <c r="V711" s="243"/>
      <c r="W711" s="490"/>
      <c r="X711" s="490"/>
      <c r="Y711" s="490"/>
      <c r="Z711" s="490"/>
      <c r="AA711" s="490"/>
      <c r="AB711" s="676"/>
      <c r="AC711" s="490"/>
      <c r="AD711" s="490"/>
      <c r="AE711" s="490"/>
      <c r="AF711" s="490"/>
      <c r="AG711" s="490"/>
      <c r="AH711" s="490"/>
      <c r="AI711" s="490"/>
      <c r="AJ711" s="490"/>
      <c r="AK711" s="490"/>
      <c r="AL711" s="490"/>
      <c r="AM711" s="490"/>
      <c r="AN711" s="490"/>
      <c r="AO711" s="490"/>
      <c r="AP711" s="490"/>
      <c r="AQ711" s="490"/>
      <c r="AR711" s="490"/>
      <c r="AS711" s="490"/>
      <c r="AT711" s="490"/>
      <c r="AU711" s="490"/>
      <c r="AV711" s="490"/>
      <c r="AW711" s="490"/>
      <c r="AX711" s="490"/>
      <c r="AY711" s="490"/>
      <c r="AZ711" s="491"/>
      <c r="BA711" s="491"/>
      <c r="BB711" s="491"/>
    </row>
    <row r="712" spans="1:54" ht="15" hidden="1" outlineLevel="2" x14ac:dyDescent="0.2">
      <c r="A712" s="243"/>
      <c r="B712" s="243"/>
      <c r="C712" s="243"/>
      <c r="D712" s="663" t="s">
        <v>0</v>
      </c>
      <c r="E712" s="663"/>
      <c r="F712" s="729">
        <f>FirstYear</f>
        <v>2021</v>
      </c>
      <c r="G712" s="729">
        <f>F712+1</f>
        <v>2022</v>
      </c>
      <c r="H712" s="729">
        <f>G712+1</f>
        <v>2023</v>
      </c>
      <c r="I712" s="729">
        <f>H712+1</f>
        <v>2024</v>
      </c>
      <c r="J712" s="729">
        <f>I712+1</f>
        <v>2025</v>
      </c>
      <c r="K712" s="729">
        <f>J712+1</f>
        <v>2026</v>
      </c>
      <c r="L712" s="491"/>
      <c r="M712" s="113"/>
      <c r="N712" s="679"/>
      <c r="O712" s="679"/>
      <c r="P712" s="679"/>
      <c r="Q712" s="674"/>
      <c r="R712" s="674"/>
      <c r="S712" s="674"/>
      <c r="T712" s="674"/>
      <c r="U712" s="674"/>
      <c r="V712" s="674"/>
      <c r="W712" s="491"/>
      <c r="X712" s="674"/>
      <c r="Y712" s="674"/>
      <c r="Z712" s="674"/>
      <c r="AA712" s="674"/>
      <c r="AB712" s="676"/>
      <c r="AC712" s="490"/>
      <c r="AD712" s="490"/>
      <c r="AE712" s="490"/>
      <c r="AF712" s="490"/>
      <c r="AG712" s="490"/>
      <c r="AH712" s="490"/>
      <c r="AI712" s="490"/>
      <c r="AJ712" s="490"/>
      <c r="AK712" s="490"/>
      <c r="AL712" s="490"/>
      <c r="AM712" s="490"/>
      <c r="AN712" s="490"/>
      <c r="AO712" s="490"/>
      <c r="AP712" s="490"/>
      <c r="AQ712" s="490"/>
      <c r="AR712" s="490"/>
      <c r="AS712" s="490"/>
      <c r="AT712" s="490"/>
      <c r="AU712" s="490"/>
      <c r="AV712" s="490"/>
      <c r="AW712" s="490"/>
      <c r="AX712" s="490"/>
      <c r="AY712" s="490"/>
      <c r="AZ712" s="491"/>
      <c r="BA712" s="491"/>
      <c r="BB712" s="491"/>
    </row>
    <row r="713" spans="1:54" hidden="1" outlineLevel="2" collapsed="1" x14ac:dyDescent="0.2">
      <c r="A713" s="243"/>
      <c r="B713" s="243"/>
      <c r="C713" s="243"/>
      <c r="D713" s="243"/>
      <c r="E713" s="433" t="s">
        <v>951</v>
      </c>
      <c r="F713" s="283">
        <f t="shared" ref="F713:K713" si="485">F714*INDEX(MBSDecCalc,$C710,3)</f>
        <v>0</v>
      </c>
      <c r="G713" s="283">
        <f t="shared" si="485"/>
        <v>0</v>
      </c>
      <c r="H713" s="283">
        <f t="shared" si="485"/>
        <v>0</v>
      </c>
      <c r="I713" s="283">
        <f t="shared" si="485"/>
        <v>0</v>
      </c>
      <c r="J713" s="283">
        <f t="shared" si="485"/>
        <v>0</v>
      </c>
      <c r="K713" s="283">
        <f t="shared" si="485"/>
        <v>0</v>
      </c>
      <c r="L713" s="490"/>
      <c r="M713" s="680"/>
      <c r="N713" s="664"/>
      <c r="O713" s="664"/>
      <c r="P713" s="664"/>
      <c r="Q713" s="681"/>
      <c r="R713" s="681"/>
      <c r="S713" s="681"/>
      <c r="T713" s="681"/>
      <c r="U713" s="681"/>
      <c r="V713" s="681"/>
      <c r="W713" s="493"/>
      <c r="X713" s="561">
        <f>INDEX(MBSDecItems,C710,1)</f>
        <v>0</v>
      </c>
      <c r="Y713" s="561">
        <f>FirstYear</f>
        <v>2021</v>
      </c>
      <c r="Z713" s="560">
        <f>IF(F714&lt;&gt;0,F714-F716,0)</f>
        <v>0</v>
      </c>
      <c r="AA713" s="560">
        <f>IF(F722&lt;&gt;0,F722-F724,0)</f>
        <v>0</v>
      </c>
      <c r="AB713" s="676"/>
      <c r="AC713" s="490"/>
      <c r="AD713" s="490"/>
      <c r="AE713" s="490"/>
      <c r="AF713" s="490"/>
      <c r="AG713" s="490"/>
      <c r="AH713" s="490"/>
      <c r="AI713" s="490"/>
      <c r="AJ713" s="490"/>
      <c r="AK713" s="490"/>
      <c r="AL713" s="490"/>
      <c r="AM713" s="490"/>
      <c r="AN713" s="490"/>
      <c r="AO713" s="490"/>
      <c r="AP713" s="490"/>
      <c r="AQ713" s="490"/>
      <c r="AR713" s="490"/>
      <c r="AS713" s="490"/>
      <c r="AT713" s="490"/>
      <c r="AU713" s="490"/>
      <c r="AV713" s="490"/>
      <c r="AW713" s="490"/>
      <c r="AX713" s="490"/>
      <c r="AY713" s="490"/>
      <c r="AZ713" s="491"/>
      <c r="BA713" s="491"/>
      <c r="BB713" s="491"/>
    </row>
    <row r="714" spans="1:54" hidden="1" outlineLevel="2" x14ac:dyDescent="0.2">
      <c r="A714" s="243"/>
      <c r="B714" s="672"/>
      <c r="C714" s="242" t="str">
        <f>INDEX(MBSDecCalc,C710,2)</f>
        <v/>
      </c>
      <c r="D714" s="243"/>
      <c r="E714" s="62" t="s">
        <v>1310</v>
      </c>
      <c r="F714" s="63">
        <f t="shared" ref="F714:K714" si="486">IF(INDEX(MBSDecRate,$C710,2)=2,IFERROR(INDEX(PBSScriptsChanged,$C714,F711),0),IFERROR(INDEX(MBSPBSDec,$C710,INDEX(MBSDecRate,$C710,3)*7+F711),0) * IFERROR(INDEX(MBSDecPopSplit,$C710),0)) * INDEX(MBSDecRate,$C710,1) * INDEX(MBSDecRate,$C710,4)</f>
        <v>0</v>
      </c>
      <c r="G714" s="63">
        <f t="shared" si="486"/>
        <v>0</v>
      </c>
      <c r="H714" s="63">
        <f t="shared" si="486"/>
        <v>0</v>
      </c>
      <c r="I714" s="63">
        <f t="shared" si="486"/>
        <v>0</v>
      </c>
      <c r="J714" s="63">
        <f t="shared" si="486"/>
        <v>0</v>
      </c>
      <c r="K714" s="63">
        <f t="shared" si="486"/>
        <v>0</v>
      </c>
      <c r="L714" s="490"/>
      <c r="M714" s="493"/>
      <c r="N714" s="493"/>
      <c r="O714" s="664"/>
      <c r="P714" s="664"/>
      <c r="Q714" s="681"/>
      <c r="R714" s="681"/>
      <c r="S714" s="681"/>
      <c r="T714" s="681"/>
      <c r="U714" s="681"/>
      <c r="V714" s="681"/>
      <c r="W714" s="493"/>
      <c r="X714" s="561">
        <f>X713</f>
        <v>0</v>
      </c>
      <c r="Y714" s="561">
        <f>Y713+1</f>
        <v>2022</v>
      </c>
      <c r="Z714" s="560">
        <f>IF(G714&lt;&gt;0,G714-G716,0)</f>
        <v>0</v>
      </c>
      <c r="AA714" s="560">
        <f>IF(G722&lt;&gt;0,G722-G724,0)</f>
        <v>0</v>
      </c>
      <c r="AB714" s="676"/>
      <c r="AC714" s="490"/>
      <c r="AD714" s="490"/>
      <c r="AE714" s="490"/>
      <c r="AF714" s="490"/>
      <c r="AG714" s="490"/>
      <c r="AH714" s="490"/>
      <c r="AI714" s="490"/>
      <c r="AJ714" s="490"/>
      <c r="AK714" s="490"/>
      <c r="AL714" s="490"/>
      <c r="AM714" s="490"/>
      <c r="AN714" s="490"/>
      <c r="AO714" s="490"/>
      <c r="AP714" s="490"/>
      <c r="AQ714" s="490"/>
      <c r="AR714" s="490"/>
      <c r="AS714" s="490"/>
      <c r="AT714" s="490"/>
      <c r="AU714" s="490"/>
      <c r="AV714" s="490"/>
      <c r="AW714" s="490"/>
      <c r="AX714" s="490"/>
      <c r="AY714" s="490"/>
      <c r="AZ714" s="491"/>
      <c r="BA714" s="491"/>
      <c r="BB714" s="491"/>
    </row>
    <row r="715" spans="1:54" hidden="1" outlineLevel="2" x14ac:dyDescent="0.2">
      <c r="A715" s="243"/>
      <c r="B715" s="242">
        <v>5</v>
      </c>
      <c r="C715" s="242">
        <v>6</v>
      </c>
      <c r="D715" s="243"/>
      <c r="E715" s="496" t="s">
        <v>1307</v>
      </c>
      <c r="F715" s="63" t="str">
        <f t="shared" ref="F715:K715" si="487">IFERROR(F714*INDEX(MBSDecItems,$C710,$B715)*INDEX(MBSDecItems,$C710,$C715),"")</f>
        <v/>
      </c>
      <c r="G715" s="63" t="str">
        <f t="shared" si="487"/>
        <v/>
      </c>
      <c r="H715" s="63" t="str">
        <f t="shared" si="487"/>
        <v/>
      </c>
      <c r="I715" s="63" t="str">
        <f t="shared" si="487"/>
        <v/>
      </c>
      <c r="J715" s="63" t="str">
        <f t="shared" si="487"/>
        <v/>
      </c>
      <c r="K715" s="63" t="str">
        <f t="shared" si="487"/>
        <v/>
      </c>
      <c r="L715" s="490"/>
      <c r="M715" s="493"/>
      <c r="N715" s="493"/>
      <c r="O715" s="682"/>
      <c r="P715" s="754"/>
      <c r="Q715" s="681"/>
      <c r="R715" s="681"/>
      <c r="S715" s="681"/>
      <c r="T715" s="681"/>
      <c r="U715" s="681"/>
      <c r="V715" s="681"/>
      <c r="W715" s="493"/>
      <c r="X715" s="561">
        <f t="shared" ref="X715:X718" si="488">X714</f>
        <v>0</v>
      </c>
      <c r="Y715" s="561">
        <f>Y714+1</f>
        <v>2023</v>
      </c>
      <c r="Z715" s="560">
        <f>IF(H714&lt;&gt;0,H714-H716,0)</f>
        <v>0</v>
      </c>
      <c r="AA715" s="560">
        <f>IF(H722&lt;&gt;0,H722-H724,0)</f>
        <v>0</v>
      </c>
      <c r="AB715" s="676"/>
      <c r="AC715" s="490"/>
      <c r="AD715" s="490"/>
      <c r="AE715" s="490"/>
      <c r="AF715" s="490"/>
      <c r="AG715" s="490"/>
      <c r="AH715" s="490"/>
      <c r="AI715" s="490"/>
      <c r="AJ715" s="490"/>
      <c r="AK715" s="490"/>
      <c r="AL715" s="490"/>
      <c r="AM715" s="490"/>
      <c r="AN715" s="490"/>
      <c r="AO715" s="490"/>
      <c r="AP715" s="490"/>
      <c r="AQ715" s="490"/>
      <c r="AR715" s="490"/>
      <c r="AS715" s="490"/>
      <c r="AT715" s="490"/>
      <c r="AU715" s="490"/>
      <c r="AV715" s="490"/>
      <c r="AW715" s="490"/>
      <c r="AX715" s="490"/>
      <c r="AY715" s="490"/>
      <c r="AZ715" s="491"/>
      <c r="BA715" s="491"/>
      <c r="BB715" s="491"/>
    </row>
    <row r="716" spans="1:54" hidden="1" outlineLevel="2" x14ac:dyDescent="0.2">
      <c r="A716" s="416"/>
      <c r="B716" s="242">
        <v>4</v>
      </c>
      <c r="C716" s="242">
        <v>6</v>
      </c>
      <c r="D716" s="243"/>
      <c r="E716" s="496" t="s">
        <v>1306</v>
      </c>
      <c r="F716" s="63" t="str">
        <f t="shared" ref="F716:K716" si="489">IFERROR(F714*INDEX(MBSDecItems,$C710,$B716)*INDEX(MBSDecItems,$C710,$C716),"")</f>
        <v/>
      </c>
      <c r="G716" s="63" t="str">
        <f t="shared" si="489"/>
        <v/>
      </c>
      <c r="H716" s="63" t="str">
        <f t="shared" si="489"/>
        <v/>
      </c>
      <c r="I716" s="63" t="str">
        <f t="shared" si="489"/>
        <v/>
      </c>
      <c r="J716" s="63" t="str">
        <f t="shared" si="489"/>
        <v/>
      </c>
      <c r="K716" s="63" t="str">
        <f t="shared" si="489"/>
        <v/>
      </c>
      <c r="L716" s="416"/>
      <c r="M716" s="416"/>
      <c r="N716" s="416"/>
      <c r="O716" s="416"/>
      <c r="P716" s="416"/>
      <c r="Q716" s="416"/>
      <c r="R716" s="416"/>
      <c r="S716" s="416"/>
      <c r="T716" s="416"/>
      <c r="U716" s="416"/>
      <c r="V716" s="416"/>
      <c r="W716" s="493"/>
      <c r="X716" s="561">
        <f t="shared" si="488"/>
        <v>0</v>
      </c>
      <c r="Y716" s="561">
        <f>Y715+1</f>
        <v>2024</v>
      </c>
      <c r="Z716" s="560">
        <f>IF(I714&lt;&gt;0,I714-I716,0)</f>
        <v>0</v>
      </c>
      <c r="AA716" s="560">
        <f>IF(I722&lt;&gt;0,I722-I724,0)</f>
        <v>0</v>
      </c>
      <c r="AB716" s="674"/>
      <c r="AC716" s="490"/>
      <c r="AD716" s="490"/>
      <c r="AE716" s="490"/>
      <c r="AF716" s="490"/>
      <c r="AG716" s="490"/>
      <c r="AH716" s="490"/>
      <c r="AI716" s="490"/>
      <c r="AJ716" s="490"/>
      <c r="AK716" s="490"/>
      <c r="AL716" s="490"/>
      <c r="AM716" s="490"/>
      <c r="AN716" s="490"/>
      <c r="AO716" s="490"/>
      <c r="AP716" s="490"/>
      <c r="AQ716" s="490"/>
      <c r="AR716" s="490"/>
      <c r="AS716" s="490"/>
      <c r="AT716" s="490"/>
      <c r="AU716" s="490"/>
      <c r="AV716" s="490"/>
      <c r="AW716" s="490"/>
      <c r="AX716" s="490"/>
      <c r="AY716" s="490"/>
      <c r="AZ716" s="491"/>
      <c r="BA716" s="491"/>
      <c r="BB716" s="491"/>
    </row>
    <row r="717" spans="1:54" hidden="1" outlineLevel="2" x14ac:dyDescent="0.2">
      <c r="A717" s="243"/>
      <c r="B717" s="242"/>
      <c r="C717" s="242">
        <v>7</v>
      </c>
      <c r="D717" s="243"/>
      <c r="E717" s="497" t="s">
        <v>1308</v>
      </c>
      <c r="F717" s="63" t="str">
        <f t="shared" ref="F717:K717" si="490">IFERROR(F714*INDEX(MBSDecItems,$C710,$C717),"")</f>
        <v/>
      </c>
      <c r="G717" s="63" t="str">
        <f t="shared" si="490"/>
        <v/>
      </c>
      <c r="H717" s="63" t="str">
        <f t="shared" si="490"/>
        <v/>
      </c>
      <c r="I717" s="63" t="str">
        <f t="shared" si="490"/>
        <v/>
      </c>
      <c r="J717" s="63" t="str">
        <f t="shared" si="490"/>
        <v/>
      </c>
      <c r="K717" s="63" t="str">
        <f t="shared" si="490"/>
        <v/>
      </c>
      <c r="L717" s="490"/>
      <c r="M717" s="493"/>
      <c r="N717" s="493"/>
      <c r="O717" s="682"/>
      <c r="P717" s="754"/>
      <c r="Q717" s="681"/>
      <c r="R717" s="681"/>
      <c r="S717" s="681"/>
      <c r="T717" s="681"/>
      <c r="U717" s="681"/>
      <c r="V717" s="681"/>
      <c r="W717" s="493"/>
      <c r="X717" s="561">
        <f t="shared" si="488"/>
        <v>0</v>
      </c>
      <c r="Y717" s="561">
        <f>Y716+1</f>
        <v>2025</v>
      </c>
      <c r="Z717" s="560">
        <f>IF(J714&lt;&gt;0,J714-J716,0)</f>
        <v>0</v>
      </c>
      <c r="AA717" s="560">
        <f>IF(J722&lt;&gt;0,J722-J724,0)</f>
        <v>0</v>
      </c>
      <c r="AB717" s="674"/>
      <c r="AC717" s="490"/>
      <c r="AD717" s="490"/>
      <c r="AE717" s="490"/>
      <c r="AF717" s="490"/>
      <c r="AG717" s="490"/>
      <c r="AH717" s="490"/>
      <c r="AI717" s="490"/>
      <c r="AJ717" s="490"/>
      <c r="AK717" s="490"/>
      <c r="AL717" s="490"/>
      <c r="AM717" s="490"/>
      <c r="AN717" s="490"/>
      <c r="AO717" s="490"/>
      <c r="AP717" s="490"/>
      <c r="AQ717" s="490"/>
      <c r="AR717" s="490"/>
      <c r="AS717" s="490"/>
      <c r="AT717" s="490"/>
      <c r="AU717" s="490"/>
      <c r="AV717" s="490"/>
      <c r="AW717" s="490"/>
      <c r="AX717" s="490"/>
      <c r="AY717" s="490"/>
      <c r="AZ717" s="491"/>
      <c r="BA717" s="491"/>
      <c r="BB717" s="491"/>
    </row>
    <row r="718" spans="1:54" hidden="1" outlineLevel="2" x14ac:dyDescent="0.2">
      <c r="A718" s="243"/>
      <c r="B718" s="493"/>
      <c r="C718" s="493"/>
      <c r="D718" s="493"/>
      <c r="E718" s="493"/>
      <c r="F718" s="493"/>
      <c r="G718" s="493"/>
      <c r="H718" s="493"/>
      <c r="I718" s="493"/>
      <c r="J718" s="493"/>
      <c r="K718" s="493"/>
      <c r="L718" s="490"/>
      <c r="M718" s="493"/>
      <c r="N718" s="493"/>
      <c r="O718" s="682"/>
      <c r="P718" s="682"/>
      <c r="Q718" s="681"/>
      <c r="R718" s="681"/>
      <c r="S718" s="681"/>
      <c r="T718" s="681"/>
      <c r="U718" s="681"/>
      <c r="V718" s="681"/>
      <c r="W718" s="493"/>
      <c r="X718" s="561">
        <f t="shared" si="488"/>
        <v>0</v>
      </c>
      <c r="Y718" s="561">
        <f>Y717+1</f>
        <v>2026</v>
      </c>
      <c r="Z718" s="560">
        <f>IF(K714&lt;&gt;0,K714-K716,0)</f>
        <v>0</v>
      </c>
      <c r="AA718" s="560">
        <f>IF(K722&lt;&gt;0,K722-K724,0)</f>
        <v>0</v>
      </c>
      <c r="AB718" s="675"/>
      <c r="AC718" s="490"/>
      <c r="AD718" s="490"/>
      <c r="AE718" s="490"/>
      <c r="AF718" s="490"/>
      <c r="AG718" s="490"/>
      <c r="AH718" s="490"/>
      <c r="AI718" s="490"/>
      <c r="AJ718" s="490"/>
      <c r="AK718" s="490"/>
      <c r="AL718" s="490"/>
      <c r="AM718" s="490"/>
      <c r="AN718" s="490"/>
      <c r="AO718" s="490"/>
      <c r="AP718" s="490"/>
      <c r="AQ718" s="490"/>
      <c r="AR718" s="490"/>
      <c r="AS718" s="490"/>
      <c r="AT718" s="490"/>
      <c r="AU718" s="490"/>
      <c r="AV718" s="490"/>
      <c r="AW718" s="490"/>
      <c r="AX718" s="490"/>
      <c r="AY718" s="490"/>
      <c r="AZ718" s="491"/>
      <c r="BA718" s="491"/>
      <c r="BB718" s="491"/>
    </row>
    <row r="719" spans="1:54" hidden="1" outlineLevel="2" x14ac:dyDescent="0.2">
      <c r="A719" s="243"/>
      <c r="B719" s="243"/>
      <c r="C719" s="243"/>
      <c r="D719" s="677"/>
      <c r="E719" s="677"/>
      <c r="F719" s="495">
        <v>2</v>
      </c>
      <c r="G719" s="495">
        <v>3</v>
      </c>
      <c r="H719" s="495">
        <v>4</v>
      </c>
      <c r="I719" s="495">
        <v>5</v>
      </c>
      <c r="J719" s="495">
        <v>6</v>
      </c>
      <c r="K719" s="495">
        <v>7</v>
      </c>
      <c r="L719" s="490"/>
      <c r="M719" s="243"/>
      <c r="N719" s="678"/>
      <c r="O719" s="678"/>
      <c r="P719" s="678"/>
      <c r="Q719" s="673"/>
      <c r="R719" s="673"/>
      <c r="S719" s="673"/>
      <c r="T719" s="673"/>
      <c r="U719" s="673"/>
      <c r="V719" s="673"/>
      <c r="W719" s="490"/>
      <c r="X719" s="676"/>
      <c r="Y719" s="676"/>
      <c r="Z719" s="676"/>
      <c r="AA719" s="676"/>
      <c r="AB719" s="675"/>
      <c r="AC719" s="490"/>
      <c r="AD719" s="490"/>
      <c r="AE719" s="490"/>
      <c r="AF719" s="490"/>
      <c r="AG719" s="490"/>
      <c r="AH719" s="490"/>
      <c r="AI719" s="490"/>
      <c r="AJ719" s="490"/>
      <c r="AK719" s="490"/>
      <c r="AL719" s="490"/>
      <c r="AM719" s="490"/>
      <c r="AN719" s="490"/>
      <c r="AO719" s="490"/>
      <c r="AP719" s="490"/>
      <c r="AQ719" s="490"/>
      <c r="AR719" s="490"/>
      <c r="AS719" s="490"/>
      <c r="AT719" s="490"/>
      <c r="AU719" s="490"/>
      <c r="AV719" s="490"/>
      <c r="AW719" s="490"/>
      <c r="AX719" s="490"/>
      <c r="AY719" s="490"/>
      <c r="AZ719" s="491"/>
      <c r="BA719" s="491"/>
      <c r="BB719" s="491"/>
    </row>
    <row r="720" spans="1:54" ht="15.75" hidden="1" outlineLevel="2" x14ac:dyDescent="0.2">
      <c r="A720" s="243"/>
      <c r="B720" s="243"/>
      <c r="C720" s="243"/>
      <c r="D720" s="663" t="s">
        <v>1</v>
      </c>
      <c r="E720" s="663"/>
      <c r="F720" s="751">
        <f>FirstYear</f>
        <v>2021</v>
      </c>
      <c r="G720" s="751">
        <f>F720+1</f>
        <v>2022</v>
      </c>
      <c r="H720" s="751">
        <f>G720+1</f>
        <v>2023</v>
      </c>
      <c r="I720" s="751">
        <f>H720+1</f>
        <v>2024</v>
      </c>
      <c r="J720" s="751">
        <f>I720+1</f>
        <v>2025</v>
      </c>
      <c r="K720" s="751">
        <f>J720+1</f>
        <v>2026</v>
      </c>
      <c r="L720" s="491"/>
      <c r="M720" s="243"/>
      <c r="N720" s="685"/>
      <c r="O720" s="685"/>
      <c r="P720" s="685"/>
      <c r="Q720" s="673"/>
      <c r="R720" s="673"/>
      <c r="S720" s="673"/>
      <c r="T720" s="673"/>
      <c r="U720" s="673"/>
      <c r="V720" s="673"/>
      <c r="W720" s="491"/>
      <c r="X720" s="676"/>
      <c r="Y720" s="676"/>
      <c r="Z720" s="676"/>
      <c r="AA720" s="676"/>
      <c r="AB720" s="675"/>
      <c r="AC720" s="490"/>
      <c r="AD720" s="490"/>
      <c r="AE720" s="490"/>
      <c r="AF720" s="490"/>
      <c r="AG720" s="490"/>
      <c r="AH720" s="490"/>
      <c r="AI720" s="490"/>
      <c r="AJ720" s="490"/>
      <c r="AK720" s="490"/>
      <c r="AL720" s="490"/>
      <c r="AM720" s="490"/>
      <c r="AN720" s="490"/>
      <c r="AO720" s="490"/>
      <c r="AP720" s="490"/>
      <c r="AQ720" s="490"/>
      <c r="AR720" s="490"/>
      <c r="AS720" s="490"/>
      <c r="AT720" s="490"/>
      <c r="AU720" s="490"/>
      <c r="AV720" s="490"/>
      <c r="AW720" s="490"/>
      <c r="AX720" s="490"/>
      <c r="AY720" s="490"/>
      <c r="AZ720" s="491"/>
      <c r="BA720" s="491"/>
      <c r="BB720" s="491"/>
    </row>
    <row r="721" spans="1:54" hidden="1" outlineLevel="2" x14ac:dyDescent="0.2">
      <c r="A721" s="243"/>
      <c r="B721" s="243"/>
      <c r="C721" s="243"/>
      <c r="D721" s="243"/>
      <c r="E721" s="433" t="s">
        <v>951</v>
      </c>
      <c r="F721" s="283">
        <f t="shared" ref="F721:K721" si="491">F722*INDEX(MBSDecCalc,$C710,3)</f>
        <v>0</v>
      </c>
      <c r="G721" s="283">
        <f t="shared" si="491"/>
        <v>0</v>
      </c>
      <c r="H721" s="283">
        <f t="shared" si="491"/>
        <v>0</v>
      </c>
      <c r="I721" s="283">
        <f t="shared" si="491"/>
        <v>0</v>
      </c>
      <c r="J721" s="283">
        <f t="shared" si="491"/>
        <v>0</v>
      </c>
      <c r="K721" s="283">
        <f t="shared" si="491"/>
        <v>0</v>
      </c>
      <c r="L721" s="490"/>
      <c r="M721" s="615"/>
      <c r="N721" s="615"/>
      <c r="O721" s="678"/>
      <c r="P721" s="678"/>
      <c r="Q721" s="673"/>
      <c r="R721" s="673"/>
      <c r="S721" s="673"/>
      <c r="T721" s="673"/>
      <c r="U721" s="673"/>
      <c r="V721" s="673"/>
      <c r="W721" s="490"/>
      <c r="X721" s="676"/>
      <c r="Y721" s="676"/>
      <c r="Z721" s="676"/>
      <c r="AA721" s="676"/>
      <c r="AB721" s="675"/>
      <c r="AC721" s="490"/>
      <c r="AD721" s="490"/>
      <c r="AE721" s="490"/>
      <c r="AF721" s="490"/>
      <c r="AG721" s="490"/>
      <c r="AH721" s="490"/>
      <c r="AI721" s="490"/>
      <c r="AJ721" s="490"/>
      <c r="AK721" s="490"/>
      <c r="AL721" s="490"/>
      <c r="AM721" s="490"/>
      <c r="AN721" s="490"/>
      <c r="AO721" s="490"/>
      <c r="AP721" s="490"/>
      <c r="AQ721" s="490"/>
      <c r="AR721" s="490"/>
      <c r="AS721" s="490"/>
      <c r="AT721" s="490"/>
      <c r="AU721" s="490"/>
      <c r="AV721" s="490"/>
      <c r="AW721" s="490"/>
      <c r="AX721" s="490"/>
      <c r="AY721" s="490"/>
      <c r="AZ721" s="491"/>
      <c r="BA721" s="491"/>
      <c r="BB721" s="491"/>
    </row>
    <row r="722" spans="1:54" hidden="1" outlineLevel="2" x14ac:dyDescent="0.2">
      <c r="A722" s="243"/>
      <c r="B722" s="672"/>
      <c r="C722" s="242" t="str">
        <f>C714</f>
        <v/>
      </c>
      <c r="D722" s="243"/>
      <c r="E722" s="62" t="s">
        <v>1310</v>
      </c>
      <c r="F722" s="63">
        <f t="shared" ref="F722:K722" si="492">IF(INDEX(MBSDecRate,$C710,2)=2,IFERROR(INDEX(RPBSScriptsChanged,$C722,F719),0),IFERROR(INDEX(MBSRPBSDec,$C710,INDEX(MBSDecRate,$C710,3)*7+F719),0) * IFERROR(INDEX(MBSDecPopSplit,$C710),0)) * INDEX(MBSDecRate,$C710,1) * INDEX(MBSDecRate,$C710,4)</f>
        <v>0</v>
      </c>
      <c r="G722" s="63">
        <f t="shared" si="492"/>
        <v>0</v>
      </c>
      <c r="H722" s="63">
        <f t="shared" si="492"/>
        <v>0</v>
      </c>
      <c r="I722" s="63">
        <f t="shared" si="492"/>
        <v>0</v>
      </c>
      <c r="J722" s="63">
        <f t="shared" si="492"/>
        <v>0</v>
      </c>
      <c r="K722" s="63">
        <f t="shared" si="492"/>
        <v>0</v>
      </c>
      <c r="L722" s="490"/>
      <c r="M722" s="243"/>
      <c r="N722" s="753"/>
      <c r="O722" s="678"/>
      <c r="P722" s="678"/>
      <c r="Q722" s="673"/>
      <c r="R722" s="673"/>
      <c r="S722" s="673"/>
      <c r="T722" s="673"/>
      <c r="U722" s="673"/>
      <c r="V722" s="673"/>
      <c r="W722" s="490"/>
      <c r="X722" s="676"/>
      <c r="Y722" s="676"/>
      <c r="Z722" s="676"/>
      <c r="AA722" s="676"/>
      <c r="AB722" s="675"/>
      <c r="AC722" s="490"/>
      <c r="AD722" s="490"/>
      <c r="AE722" s="490"/>
      <c r="AF722" s="490"/>
      <c r="AG722" s="490"/>
      <c r="AH722" s="490"/>
      <c r="AI722" s="490"/>
      <c r="AJ722" s="490"/>
      <c r="AK722" s="490"/>
      <c r="AL722" s="490"/>
      <c r="AM722" s="490"/>
      <c r="AN722" s="490"/>
      <c r="AO722" s="490"/>
      <c r="AP722" s="490"/>
      <c r="AQ722" s="490"/>
      <c r="AR722" s="490"/>
      <c r="AS722" s="490"/>
      <c r="AT722" s="490"/>
      <c r="AU722" s="490"/>
      <c r="AV722" s="490"/>
      <c r="AW722" s="490"/>
      <c r="AX722" s="490"/>
      <c r="AY722" s="490"/>
      <c r="AZ722" s="491"/>
      <c r="BA722" s="491"/>
      <c r="BB722" s="491"/>
    </row>
    <row r="723" spans="1:54" hidden="1" outlineLevel="2" x14ac:dyDescent="0.2">
      <c r="A723" s="243"/>
      <c r="B723" s="242">
        <v>5</v>
      </c>
      <c r="C723" s="242">
        <v>6</v>
      </c>
      <c r="D723" s="243"/>
      <c r="E723" s="496" t="s">
        <v>1307</v>
      </c>
      <c r="F723" s="63" t="str">
        <f t="shared" ref="F723:K723" si="493">IFERROR(F722*INDEX(MBSDecItems,$C710,$B723)*INDEX(MBSDecItems,$C710,$C723),"")</f>
        <v/>
      </c>
      <c r="G723" s="63" t="str">
        <f t="shared" si="493"/>
        <v/>
      </c>
      <c r="H723" s="63" t="str">
        <f t="shared" si="493"/>
        <v/>
      </c>
      <c r="I723" s="63" t="str">
        <f t="shared" si="493"/>
        <v/>
      </c>
      <c r="J723" s="63" t="str">
        <f t="shared" si="493"/>
        <v/>
      </c>
      <c r="K723" s="63" t="str">
        <f t="shared" si="493"/>
        <v/>
      </c>
      <c r="L723" s="490"/>
      <c r="M723" s="683"/>
      <c r="N723" s="753"/>
      <c r="O723" s="678"/>
      <c r="P723" s="678"/>
      <c r="Q723" s="673"/>
      <c r="R723" s="673"/>
      <c r="S723" s="673"/>
      <c r="T723" s="673"/>
      <c r="U723" s="673"/>
      <c r="V723" s="673"/>
      <c r="W723" s="490"/>
      <c r="X723" s="676"/>
      <c r="Y723" s="676"/>
      <c r="Z723" s="676"/>
      <c r="AA723" s="676"/>
      <c r="AB723" s="676"/>
      <c r="AC723" s="490"/>
      <c r="AD723" s="490"/>
      <c r="AE723" s="490"/>
      <c r="AF723" s="490"/>
      <c r="AG723" s="490"/>
      <c r="AH723" s="490"/>
      <c r="AI723" s="490"/>
      <c r="AJ723" s="490"/>
      <c r="AK723" s="490"/>
      <c r="AL723" s="490"/>
      <c r="AM723" s="490"/>
      <c r="AN723" s="490"/>
      <c r="AO723" s="490"/>
      <c r="AP723" s="490"/>
      <c r="AQ723" s="490"/>
      <c r="AR723" s="490"/>
      <c r="AS723" s="490"/>
      <c r="AT723" s="490"/>
      <c r="AU723" s="490"/>
      <c r="AV723" s="490"/>
      <c r="AW723" s="490"/>
      <c r="AX723" s="490"/>
      <c r="AY723" s="490"/>
      <c r="AZ723" s="491"/>
      <c r="BA723" s="491"/>
      <c r="BB723" s="491"/>
    </row>
    <row r="724" spans="1:54" hidden="1" outlineLevel="2" x14ac:dyDescent="0.2">
      <c r="A724" s="243"/>
      <c r="B724" s="242">
        <v>4</v>
      </c>
      <c r="C724" s="242">
        <v>6</v>
      </c>
      <c r="D724" s="243"/>
      <c r="E724" s="496" t="s">
        <v>1306</v>
      </c>
      <c r="F724" s="63" t="str">
        <f t="shared" ref="F724:K724" si="494">IFERROR(F722*INDEX(MBSDecItems,$C710,$B724)*INDEX(MBSDecItems,$C710,$C724),"")</f>
        <v/>
      </c>
      <c r="G724" s="63" t="str">
        <f t="shared" si="494"/>
        <v/>
      </c>
      <c r="H724" s="63" t="str">
        <f t="shared" si="494"/>
        <v/>
      </c>
      <c r="I724" s="63" t="str">
        <f t="shared" si="494"/>
        <v/>
      </c>
      <c r="J724" s="63" t="str">
        <f t="shared" si="494"/>
        <v/>
      </c>
      <c r="K724" s="63" t="str">
        <f t="shared" si="494"/>
        <v/>
      </c>
      <c r="L724" s="490"/>
      <c r="M724" s="684"/>
      <c r="N724" s="682"/>
      <c r="O724" s="678"/>
      <c r="P724" s="678"/>
      <c r="Q724" s="673"/>
      <c r="R724" s="673"/>
      <c r="S724" s="673"/>
      <c r="T724" s="673"/>
      <c r="U724" s="673"/>
      <c r="V724" s="673"/>
      <c r="W724" s="490"/>
      <c r="X724" s="676"/>
      <c r="Y724" s="676"/>
      <c r="Z724" s="676"/>
      <c r="AA724" s="676"/>
      <c r="AB724" s="676"/>
      <c r="AC724" s="490"/>
      <c r="AD724" s="490"/>
      <c r="AE724" s="490"/>
      <c r="AF724" s="490"/>
      <c r="AG724" s="490"/>
      <c r="AH724" s="490"/>
      <c r="AI724" s="490"/>
      <c r="AJ724" s="490"/>
      <c r="AK724" s="490"/>
      <c r="AL724" s="490"/>
      <c r="AM724" s="490"/>
      <c r="AN724" s="490"/>
      <c r="AO724" s="490"/>
      <c r="AP724" s="490"/>
      <c r="AQ724" s="490"/>
      <c r="AR724" s="490"/>
      <c r="AS724" s="490"/>
      <c r="AT724" s="490"/>
      <c r="AU724" s="490"/>
      <c r="AV724" s="490"/>
      <c r="AW724" s="490"/>
      <c r="AX724" s="490"/>
      <c r="AY724" s="490"/>
      <c r="AZ724" s="491"/>
      <c r="BA724" s="491"/>
      <c r="BB724" s="491"/>
    </row>
    <row r="725" spans="1:54" hidden="1" outlineLevel="2" x14ac:dyDescent="0.2">
      <c r="A725" s="243"/>
      <c r="B725" s="242"/>
      <c r="C725" s="242">
        <v>7</v>
      </c>
      <c r="D725" s="243"/>
      <c r="E725" s="497" t="s">
        <v>1308</v>
      </c>
      <c r="F725" s="63" t="str">
        <f t="shared" ref="F725:K725" si="495">IFERROR(F722*INDEX(MBSDecItems,$C710,$C725),"")</f>
        <v/>
      </c>
      <c r="G725" s="63" t="str">
        <f t="shared" si="495"/>
        <v/>
      </c>
      <c r="H725" s="63" t="str">
        <f t="shared" si="495"/>
        <v/>
      </c>
      <c r="I725" s="63" t="str">
        <f t="shared" si="495"/>
        <v/>
      </c>
      <c r="J725" s="63" t="str">
        <f t="shared" si="495"/>
        <v/>
      </c>
      <c r="K725" s="63" t="str">
        <f t="shared" si="495"/>
        <v/>
      </c>
      <c r="L725" s="490"/>
      <c r="M725" s="684"/>
      <c r="N725" s="682"/>
      <c r="O725" s="678"/>
      <c r="P725" s="678"/>
      <c r="Q725" s="673"/>
      <c r="R725" s="673"/>
      <c r="S725" s="673"/>
      <c r="T725" s="673"/>
      <c r="U725" s="673"/>
      <c r="V725" s="673"/>
      <c r="W725" s="490"/>
      <c r="X725" s="676"/>
      <c r="Y725" s="676"/>
      <c r="Z725" s="676"/>
      <c r="AA725" s="676"/>
      <c r="AB725" s="676"/>
      <c r="AC725" s="490"/>
      <c r="AD725" s="490"/>
      <c r="AE725" s="490"/>
      <c r="AF725" s="490"/>
      <c r="AG725" s="490"/>
      <c r="AH725" s="490"/>
      <c r="AI725" s="490"/>
      <c r="AJ725" s="490"/>
      <c r="AK725" s="490"/>
      <c r="AL725" s="490"/>
      <c r="AM725" s="490"/>
      <c r="AN725" s="490"/>
      <c r="AO725" s="490"/>
      <c r="AP725" s="490"/>
      <c r="AQ725" s="490"/>
      <c r="AR725" s="490"/>
      <c r="AS725" s="490"/>
      <c r="AT725" s="490"/>
      <c r="AU725" s="490"/>
      <c r="AV725" s="490"/>
      <c r="AW725" s="490"/>
      <c r="AX725" s="490"/>
      <c r="AY725" s="490"/>
      <c r="AZ725" s="491"/>
      <c r="BA725" s="491"/>
      <c r="BB725" s="491"/>
    </row>
    <row r="726" spans="1:54" hidden="1" outlineLevel="1" x14ac:dyDescent="0.2">
      <c r="A726" s="243"/>
      <c r="B726" s="243"/>
      <c r="C726" s="243"/>
      <c r="D726" s="677"/>
      <c r="E726" s="677"/>
      <c r="F726" s="243"/>
      <c r="G726" s="243"/>
      <c r="H726" s="243"/>
      <c r="I726" s="243"/>
      <c r="J726" s="243"/>
      <c r="K726" s="243"/>
      <c r="L726" s="243"/>
      <c r="M726" s="243"/>
      <c r="N726" s="678"/>
      <c r="O726" s="678"/>
      <c r="P726" s="678"/>
      <c r="Q726" s="673"/>
      <c r="R726" s="673"/>
      <c r="S726" s="673"/>
      <c r="T726" s="673"/>
      <c r="U726" s="673"/>
      <c r="V726" s="673"/>
      <c r="W726" s="490"/>
      <c r="X726" s="676"/>
      <c r="Y726" s="676"/>
      <c r="Z726" s="676"/>
      <c r="AA726" s="676"/>
      <c r="AB726" s="676"/>
      <c r="AC726" s="490"/>
      <c r="AD726" s="490"/>
      <c r="AE726" s="490"/>
      <c r="AF726" s="490"/>
      <c r="AG726" s="490"/>
      <c r="AH726" s="490"/>
      <c r="AI726" s="490"/>
      <c r="AJ726" s="490"/>
      <c r="AK726" s="490"/>
      <c r="AL726" s="490"/>
      <c r="AM726" s="490"/>
      <c r="AN726" s="490"/>
      <c r="AO726" s="490"/>
      <c r="AP726" s="490"/>
      <c r="AQ726" s="490"/>
      <c r="AR726" s="490"/>
      <c r="AS726" s="490"/>
      <c r="AT726" s="490"/>
      <c r="AU726" s="490"/>
      <c r="AV726" s="490"/>
      <c r="AW726" s="490"/>
      <c r="AX726" s="490"/>
      <c r="AY726" s="490"/>
      <c r="AZ726" s="491"/>
      <c r="BA726" s="491"/>
      <c r="BB726" s="491"/>
    </row>
    <row r="727" spans="1:54" ht="15.75" hidden="1" outlineLevel="1" x14ac:dyDescent="0.2">
      <c r="A727" s="243"/>
      <c r="B727" s="243"/>
      <c r="C727" s="242">
        <v>14</v>
      </c>
      <c r="D727" s="79" t="str">
        <f>INDEX(MBSDecNames,C727)</f>
        <v>** NOT USED **</v>
      </c>
      <c r="E727" s="79"/>
      <c r="F727" s="115"/>
      <c r="G727" s="115"/>
      <c r="H727" s="115"/>
      <c r="I727" s="115"/>
      <c r="J727" s="821" t="str">
        <f>IF(D727&lt;&gt;MsgNotUsed,"Co-payment group " &amp; K556,"")</f>
        <v/>
      </c>
      <c r="K727" s="821"/>
      <c r="L727" s="115"/>
      <c r="M727" s="115"/>
      <c r="N727" s="115"/>
      <c r="O727" s="115"/>
      <c r="P727" s="115"/>
      <c r="Q727" s="115"/>
      <c r="R727" s="115"/>
      <c r="S727" s="115"/>
      <c r="T727" s="115"/>
      <c r="U727" s="115"/>
      <c r="V727" s="115"/>
      <c r="W727" s="491"/>
      <c r="X727" s="490"/>
      <c r="Y727" s="490"/>
      <c r="Z727" s="490"/>
      <c r="AA727" s="490"/>
      <c r="AB727" s="676"/>
      <c r="AC727" s="490"/>
      <c r="AD727" s="490"/>
      <c r="AE727" s="490"/>
      <c r="AF727" s="490"/>
      <c r="AG727" s="490"/>
      <c r="AH727" s="490"/>
      <c r="AI727" s="490"/>
      <c r="AJ727" s="490"/>
      <c r="AK727" s="490"/>
      <c r="AL727" s="490"/>
      <c r="AM727" s="490"/>
      <c r="AN727" s="490"/>
      <c r="AO727" s="490"/>
      <c r="AP727" s="490"/>
      <c r="AQ727" s="490"/>
      <c r="AR727" s="490"/>
      <c r="AS727" s="490"/>
      <c r="AT727" s="490"/>
      <c r="AU727" s="490"/>
      <c r="AV727" s="490"/>
      <c r="AW727" s="490"/>
      <c r="AX727" s="490"/>
      <c r="AY727" s="490"/>
      <c r="AZ727" s="491"/>
      <c r="BA727" s="491"/>
      <c r="BB727" s="491"/>
    </row>
    <row r="728" spans="1:54" hidden="1" outlineLevel="2" x14ac:dyDescent="0.2">
      <c r="A728" s="243"/>
      <c r="B728" s="243"/>
      <c r="C728" s="243"/>
      <c r="D728" s="243"/>
      <c r="E728" s="243"/>
      <c r="F728" s="495">
        <v>2</v>
      </c>
      <c r="G728" s="495">
        <v>3</v>
      </c>
      <c r="H728" s="495">
        <v>4</v>
      </c>
      <c r="I728" s="495">
        <v>5</v>
      </c>
      <c r="J728" s="495">
        <v>6</v>
      </c>
      <c r="K728" s="495">
        <v>7</v>
      </c>
      <c r="L728" s="495"/>
      <c r="M728" s="243"/>
      <c r="N728" s="243"/>
      <c r="O728" s="243"/>
      <c r="P728" s="243"/>
      <c r="Q728" s="243"/>
      <c r="R728" s="243"/>
      <c r="S728" s="243"/>
      <c r="T728" s="243"/>
      <c r="U728" s="243"/>
      <c r="V728" s="243"/>
      <c r="W728" s="490"/>
      <c r="X728" s="490"/>
      <c r="Y728" s="490"/>
      <c r="Z728" s="490"/>
      <c r="AA728" s="490"/>
      <c r="AB728" s="676"/>
      <c r="AC728" s="490"/>
      <c r="AD728" s="490"/>
      <c r="AE728" s="490"/>
      <c r="AF728" s="490"/>
      <c r="AG728" s="490"/>
      <c r="AH728" s="490"/>
      <c r="AI728" s="490"/>
      <c r="AJ728" s="490"/>
      <c r="AK728" s="490"/>
      <c r="AL728" s="490"/>
      <c r="AM728" s="490"/>
      <c r="AN728" s="490"/>
      <c r="AO728" s="490"/>
      <c r="AP728" s="490"/>
      <c r="AQ728" s="490"/>
      <c r="AR728" s="490"/>
      <c r="AS728" s="490"/>
      <c r="AT728" s="490"/>
      <c r="AU728" s="490"/>
      <c r="AV728" s="490"/>
      <c r="AW728" s="490"/>
      <c r="AX728" s="490"/>
      <c r="AY728" s="490"/>
      <c r="AZ728" s="491"/>
      <c r="BA728" s="491"/>
      <c r="BB728" s="491"/>
    </row>
    <row r="729" spans="1:54" ht="15" hidden="1" outlineLevel="2" x14ac:dyDescent="0.2">
      <c r="A729" s="243"/>
      <c r="B729" s="243"/>
      <c r="C729" s="243"/>
      <c r="D729" s="663" t="s">
        <v>0</v>
      </c>
      <c r="E729" s="663"/>
      <c r="F729" s="729">
        <f>FirstYear</f>
        <v>2021</v>
      </c>
      <c r="G729" s="729">
        <f>F729+1</f>
        <v>2022</v>
      </c>
      <c r="H729" s="729">
        <f>G729+1</f>
        <v>2023</v>
      </c>
      <c r="I729" s="729">
        <f>H729+1</f>
        <v>2024</v>
      </c>
      <c r="J729" s="729">
        <f>I729+1</f>
        <v>2025</v>
      </c>
      <c r="K729" s="729">
        <f>J729+1</f>
        <v>2026</v>
      </c>
      <c r="L729" s="491"/>
      <c r="M729" s="113"/>
      <c r="N729" s="679"/>
      <c r="O729" s="679"/>
      <c r="P729" s="679"/>
      <c r="Q729" s="674"/>
      <c r="R729" s="674"/>
      <c r="S729" s="674"/>
      <c r="T729" s="674"/>
      <c r="U729" s="674"/>
      <c r="V729" s="674"/>
      <c r="W729" s="491"/>
      <c r="X729" s="674"/>
      <c r="Y729" s="674"/>
      <c r="Z729" s="674"/>
      <c r="AA729" s="674"/>
      <c r="AB729" s="676"/>
      <c r="AC729" s="490"/>
      <c r="AD729" s="490"/>
      <c r="AE729" s="490"/>
      <c r="AF729" s="490"/>
      <c r="AG729" s="490"/>
      <c r="AH729" s="490"/>
      <c r="AI729" s="490"/>
      <c r="AJ729" s="490"/>
      <c r="AK729" s="490"/>
      <c r="AL729" s="490"/>
      <c r="AM729" s="490"/>
      <c r="AN729" s="490"/>
      <c r="AO729" s="490"/>
      <c r="AP729" s="490"/>
      <c r="AQ729" s="490"/>
      <c r="AR729" s="490"/>
      <c r="AS729" s="490"/>
      <c r="AT729" s="490"/>
      <c r="AU729" s="490"/>
      <c r="AV729" s="490"/>
      <c r="AW729" s="490"/>
      <c r="AX729" s="490"/>
      <c r="AY729" s="490"/>
      <c r="AZ729" s="491"/>
      <c r="BA729" s="491"/>
      <c r="BB729" s="491"/>
    </row>
    <row r="730" spans="1:54" hidden="1" outlineLevel="2" collapsed="1" x14ac:dyDescent="0.2">
      <c r="A730" s="243"/>
      <c r="B730" s="243"/>
      <c r="C730" s="243"/>
      <c r="D730" s="243"/>
      <c r="E730" s="433" t="s">
        <v>951</v>
      </c>
      <c r="F730" s="283">
        <f t="shared" ref="F730:K730" si="496">F731*INDEX(MBSDecCalc,$C727,3)</f>
        <v>0</v>
      </c>
      <c r="G730" s="283">
        <f t="shared" si="496"/>
        <v>0</v>
      </c>
      <c r="H730" s="283">
        <f t="shared" si="496"/>
        <v>0</v>
      </c>
      <c r="I730" s="283">
        <f t="shared" si="496"/>
        <v>0</v>
      </c>
      <c r="J730" s="283">
        <f t="shared" si="496"/>
        <v>0</v>
      </c>
      <c r="K730" s="283">
        <f t="shared" si="496"/>
        <v>0</v>
      </c>
      <c r="L730" s="490"/>
      <c r="M730" s="680"/>
      <c r="N730" s="664"/>
      <c r="O730" s="664"/>
      <c r="P730" s="664"/>
      <c r="Q730" s="681"/>
      <c r="R730" s="681"/>
      <c r="S730" s="681"/>
      <c r="T730" s="681"/>
      <c r="U730" s="681"/>
      <c r="V730" s="681"/>
      <c r="W730" s="493"/>
      <c r="X730" s="561">
        <f>INDEX(MBSDecItems,C727,1)</f>
        <v>0</v>
      </c>
      <c r="Y730" s="561">
        <f>FirstYear</f>
        <v>2021</v>
      </c>
      <c r="Z730" s="560">
        <f>IF(F731&lt;&gt;0,F731-F733,0)</f>
        <v>0</v>
      </c>
      <c r="AA730" s="560">
        <f>IF(F739&lt;&gt;0,F739-F741,0)</f>
        <v>0</v>
      </c>
      <c r="AB730" s="676"/>
      <c r="AC730" s="490"/>
      <c r="AD730" s="490"/>
      <c r="AE730" s="490"/>
      <c r="AF730" s="490"/>
      <c r="AG730" s="490"/>
      <c r="AH730" s="490"/>
      <c r="AI730" s="490"/>
      <c r="AJ730" s="490"/>
      <c r="AK730" s="490"/>
      <c r="AL730" s="490"/>
      <c r="AM730" s="490"/>
      <c r="AN730" s="490"/>
      <c r="AO730" s="490"/>
      <c r="AP730" s="490"/>
      <c r="AQ730" s="490"/>
      <c r="AR730" s="490"/>
      <c r="AS730" s="490"/>
      <c r="AT730" s="490"/>
      <c r="AU730" s="490"/>
      <c r="AV730" s="490"/>
      <c r="AW730" s="490"/>
      <c r="AX730" s="490"/>
      <c r="AY730" s="490"/>
      <c r="AZ730" s="491"/>
      <c r="BA730" s="491"/>
      <c r="BB730" s="491"/>
    </row>
    <row r="731" spans="1:54" hidden="1" outlineLevel="2" x14ac:dyDescent="0.2">
      <c r="A731" s="243"/>
      <c r="B731" s="672"/>
      <c r="C731" s="242" t="str">
        <f>INDEX(MBSDecCalc,C727,2)</f>
        <v/>
      </c>
      <c r="D731" s="243"/>
      <c r="E731" s="62" t="s">
        <v>1310</v>
      </c>
      <c r="F731" s="63">
        <f t="shared" ref="F731:K731" si="497">IF(INDEX(MBSDecRate,$C727,2)=2,IFERROR(INDEX(PBSScriptsChanged,$C731,F728),0),IFERROR(INDEX(MBSPBSDec,$C727,INDEX(MBSDecRate,$C727,3)*7+F728),0) * IFERROR(INDEX(MBSDecPopSplit,$C727),0)) * INDEX(MBSDecRate,$C727,1) * INDEX(MBSDecRate,$C727,4)</f>
        <v>0</v>
      </c>
      <c r="G731" s="63">
        <f t="shared" si="497"/>
        <v>0</v>
      </c>
      <c r="H731" s="63">
        <f t="shared" si="497"/>
        <v>0</v>
      </c>
      <c r="I731" s="63">
        <f t="shared" si="497"/>
        <v>0</v>
      </c>
      <c r="J731" s="63">
        <f t="shared" si="497"/>
        <v>0</v>
      </c>
      <c r="K731" s="63">
        <f t="shared" si="497"/>
        <v>0</v>
      </c>
      <c r="L731" s="490"/>
      <c r="M731" s="493"/>
      <c r="N731" s="493"/>
      <c r="O731" s="664"/>
      <c r="P731" s="664"/>
      <c r="Q731" s="681"/>
      <c r="R731" s="681"/>
      <c r="S731" s="681"/>
      <c r="T731" s="681"/>
      <c r="U731" s="681"/>
      <c r="V731" s="681"/>
      <c r="W731" s="493"/>
      <c r="X731" s="561">
        <f>X730</f>
        <v>0</v>
      </c>
      <c r="Y731" s="561">
        <f>Y730+1</f>
        <v>2022</v>
      </c>
      <c r="Z731" s="560">
        <f>IF(G731&lt;&gt;0,G731-G733,0)</f>
        <v>0</v>
      </c>
      <c r="AA731" s="560">
        <f>IF(G739&lt;&gt;0,G739-G741,0)</f>
        <v>0</v>
      </c>
      <c r="AB731" s="676"/>
      <c r="AC731" s="490"/>
      <c r="AD731" s="490"/>
      <c r="AE731" s="490"/>
      <c r="AF731" s="490"/>
      <c r="AG731" s="490"/>
      <c r="AH731" s="490"/>
      <c r="AI731" s="490"/>
      <c r="AJ731" s="490"/>
      <c r="AK731" s="490"/>
      <c r="AL731" s="490"/>
      <c r="AM731" s="490"/>
      <c r="AN731" s="490"/>
      <c r="AO731" s="490"/>
      <c r="AP731" s="490"/>
      <c r="AQ731" s="490"/>
      <c r="AR731" s="490"/>
      <c r="AS731" s="490"/>
      <c r="AT731" s="490"/>
      <c r="AU731" s="490"/>
      <c r="AV731" s="490"/>
      <c r="AW731" s="490"/>
      <c r="AX731" s="490"/>
      <c r="AY731" s="490"/>
      <c r="AZ731" s="491"/>
      <c r="BA731" s="491"/>
      <c r="BB731" s="491"/>
    </row>
    <row r="732" spans="1:54" hidden="1" outlineLevel="2" x14ac:dyDescent="0.2">
      <c r="A732" s="243"/>
      <c r="B732" s="242">
        <v>5</v>
      </c>
      <c r="C732" s="242">
        <v>6</v>
      </c>
      <c r="D732" s="243"/>
      <c r="E732" s="496" t="s">
        <v>1307</v>
      </c>
      <c r="F732" s="63" t="str">
        <f t="shared" ref="F732:K732" si="498">IFERROR(F731*INDEX(MBSDecItems,$C727,$B732)*INDEX(MBSDecItems,$C727,$C732),"")</f>
        <v/>
      </c>
      <c r="G732" s="63" t="str">
        <f t="shared" si="498"/>
        <v/>
      </c>
      <c r="H732" s="63" t="str">
        <f t="shared" si="498"/>
        <v/>
      </c>
      <c r="I732" s="63" t="str">
        <f t="shared" si="498"/>
        <v/>
      </c>
      <c r="J732" s="63" t="str">
        <f t="shared" si="498"/>
        <v/>
      </c>
      <c r="K732" s="63" t="str">
        <f t="shared" si="498"/>
        <v/>
      </c>
      <c r="L732" s="490"/>
      <c r="M732" s="493"/>
      <c r="N732" s="493"/>
      <c r="O732" s="682"/>
      <c r="P732" s="754"/>
      <c r="Q732" s="681"/>
      <c r="R732" s="681"/>
      <c r="S732" s="681"/>
      <c r="T732" s="681"/>
      <c r="U732" s="681"/>
      <c r="V732" s="681"/>
      <c r="W732" s="493"/>
      <c r="X732" s="561">
        <f t="shared" ref="X732:X735" si="499">X731</f>
        <v>0</v>
      </c>
      <c r="Y732" s="561">
        <f>Y731+1</f>
        <v>2023</v>
      </c>
      <c r="Z732" s="560">
        <f>IF(H731&lt;&gt;0,H731-H733,0)</f>
        <v>0</v>
      </c>
      <c r="AA732" s="560">
        <f>IF(H739&lt;&gt;0,H739-H741,0)</f>
        <v>0</v>
      </c>
      <c r="AB732" s="676"/>
      <c r="AC732" s="490"/>
      <c r="AD732" s="490"/>
      <c r="AE732" s="490"/>
      <c r="AF732" s="490"/>
      <c r="AG732" s="490"/>
      <c r="AH732" s="490"/>
      <c r="AI732" s="490"/>
      <c r="AJ732" s="490"/>
      <c r="AK732" s="490"/>
      <c r="AL732" s="490"/>
      <c r="AM732" s="490"/>
      <c r="AN732" s="490"/>
      <c r="AO732" s="490"/>
      <c r="AP732" s="490"/>
      <c r="AQ732" s="490"/>
      <c r="AR732" s="490"/>
      <c r="AS732" s="490"/>
      <c r="AT732" s="490"/>
      <c r="AU732" s="490"/>
      <c r="AV732" s="490"/>
      <c r="AW732" s="490"/>
      <c r="AX732" s="490"/>
      <c r="AY732" s="490"/>
      <c r="AZ732" s="491"/>
      <c r="BA732" s="491"/>
      <c r="BB732" s="491"/>
    </row>
    <row r="733" spans="1:54" hidden="1" outlineLevel="2" x14ac:dyDescent="0.2">
      <c r="A733" s="416"/>
      <c r="B733" s="242">
        <v>4</v>
      </c>
      <c r="C733" s="242">
        <v>6</v>
      </c>
      <c r="D733" s="243"/>
      <c r="E733" s="496" t="s">
        <v>1306</v>
      </c>
      <c r="F733" s="63" t="str">
        <f t="shared" ref="F733:K733" si="500">IFERROR(F731*INDEX(MBSDecItems,$C727,$B733)*INDEX(MBSDecItems,$C727,$C733),"")</f>
        <v/>
      </c>
      <c r="G733" s="63" t="str">
        <f t="shared" si="500"/>
        <v/>
      </c>
      <c r="H733" s="63" t="str">
        <f t="shared" si="500"/>
        <v/>
      </c>
      <c r="I733" s="63" t="str">
        <f t="shared" si="500"/>
        <v/>
      </c>
      <c r="J733" s="63" t="str">
        <f t="shared" si="500"/>
        <v/>
      </c>
      <c r="K733" s="63" t="str">
        <f t="shared" si="500"/>
        <v/>
      </c>
      <c r="L733" s="416"/>
      <c r="M733" s="416"/>
      <c r="N733" s="416"/>
      <c r="O733" s="416"/>
      <c r="P733" s="416"/>
      <c r="Q733" s="416"/>
      <c r="R733" s="416"/>
      <c r="S733" s="416"/>
      <c r="T733" s="416"/>
      <c r="U733" s="416"/>
      <c r="V733" s="416"/>
      <c r="W733" s="493"/>
      <c r="X733" s="561">
        <f t="shared" si="499"/>
        <v>0</v>
      </c>
      <c r="Y733" s="561">
        <f>Y732+1</f>
        <v>2024</v>
      </c>
      <c r="Z733" s="560">
        <f>IF(I731&lt;&gt;0,I731-I733,0)</f>
        <v>0</v>
      </c>
      <c r="AA733" s="560">
        <f>IF(I739&lt;&gt;0,I739-I741,0)</f>
        <v>0</v>
      </c>
      <c r="AB733" s="674"/>
      <c r="AC733" s="490"/>
      <c r="AD733" s="490"/>
      <c r="AE733" s="490"/>
      <c r="AF733" s="490"/>
      <c r="AG733" s="490"/>
      <c r="AH733" s="490"/>
      <c r="AI733" s="490"/>
      <c r="AJ733" s="490"/>
      <c r="AK733" s="490"/>
      <c r="AL733" s="490"/>
      <c r="AM733" s="490"/>
      <c r="AN733" s="490"/>
      <c r="AO733" s="490"/>
      <c r="AP733" s="490"/>
      <c r="AQ733" s="490"/>
      <c r="AR733" s="490"/>
      <c r="AS733" s="490"/>
      <c r="AT733" s="490"/>
      <c r="AU733" s="490"/>
      <c r="AV733" s="490"/>
      <c r="AW733" s="490"/>
      <c r="AX733" s="490"/>
      <c r="AY733" s="490"/>
      <c r="AZ733" s="491"/>
      <c r="BA733" s="491"/>
      <c r="BB733" s="491"/>
    </row>
    <row r="734" spans="1:54" hidden="1" outlineLevel="2" x14ac:dyDescent="0.2">
      <c r="A734" s="243"/>
      <c r="B734" s="242"/>
      <c r="C734" s="242">
        <v>7</v>
      </c>
      <c r="D734" s="243"/>
      <c r="E734" s="497" t="s">
        <v>1308</v>
      </c>
      <c r="F734" s="63" t="str">
        <f t="shared" ref="F734:K734" si="501">IFERROR(F731*INDEX(MBSDecItems,$C727,$C734),"")</f>
        <v/>
      </c>
      <c r="G734" s="63" t="str">
        <f t="shared" si="501"/>
        <v/>
      </c>
      <c r="H734" s="63" t="str">
        <f t="shared" si="501"/>
        <v/>
      </c>
      <c r="I734" s="63" t="str">
        <f t="shared" si="501"/>
        <v/>
      </c>
      <c r="J734" s="63" t="str">
        <f t="shared" si="501"/>
        <v/>
      </c>
      <c r="K734" s="63" t="str">
        <f t="shared" si="501"/>
        <v/>
      </c>
      <c r="L734" s="490"/>
      <c r="M734" s="493"/>
      <c r="N734" s="493"/>
      <c r="O734" s="682"/>
      <c r="P734" s="754"/>
      <c r="Q734" s="681"/>
      <c r="R734" s="681"/>
      <c r="S734" s="681"/>
      <c r="T734" s="681"/>
      <c r="U734" s="681"/>
      <c r="V734" s="681"/>
      <c r="W734" s="493"/>
      <c r="X734" s="561">
        <f t="shared" si="499"/>
        <v>0</v>
      </c>
      <c r="Y734" s="561">
        <f>Y733+1</f>
        <v>2025</v>
      </c>
      <c r="Z734" s="560">
        <f>IF(J731&lt;&gt;0,J731-J733,0)</f>
        <v>0</v>
      </c>
      <c r="AA734" s="560">
        <f>IF(J739&lt;&gt;0,J739-J741,0)</f>
        <v>0</v>
      </c>
      <c r="AB734" s="674"/>
      <c r="AC734" s="490"/>
      <c r="AD734" s="490"/>
      <c r="AE734" s="490"/>
      <c r="AF734" s="490"/>
      <c r="AG734" s="490"/>
      <c r="AH734" s="490"/>
      <c r="AI734" s="490"/>
      <c r="AJ734" s="490"/>
      <c r="AK734" s="490"/>
      <c r="AL734" s="490"/>
      <c r="AM734" s="490"/>
      <c r="AN734" s="490"/>
      <c r="AO734" s="490"/>
      <c r="AP734" s="490"/>
      <c r="AQ734" s="490"/>
      <c r="AR734" s="490"/>
      <c r="AS734" s="490"/>
      <c r="AT734" s="490"/>
      <c r="AU734" s="490"/>
      <c r="AV734" s="490"/>
      <c r="AW734" s="490"/>
      <c r="AX734" s="490"/>
      <c r="AY734" s="490"/>
      <c r="AZ734" s="491"/>
      <c r="BA734" s="491"/>
      <c r="BB734" s="491"/>
    </row>
    <row r="735" spans="1:54" hidden="1" outlineLevel="2" x14ac:dyDescent="0.2">
      <c r="A735" s="243"/>
      <c r="B735" s="493"/>
      <c r="C735" s="493"/>
      <c r="D735" s="493"/>
      <c r="E735" s="493"/>
      <c r="F735" s="493"/>
      <c r="G735" s="493"/>
      <c r="H735" s="493"/>
      <c r="I735" s="493"/>
      <c r="J735" s="493"/>
      <c r="K735" s="493"/>
      <c r="L735" s="490"/>
      <c r="M735" s="493"/>
      <c r="N735" s="493"/>
      <c r="O735" s="682"/>
      <c r="P735" s="682"/>
      <c r="Q735" s="681"/>
      <c r="R735" s="681"/>
      <c r="S735" s="681"/>
      <c r="T735" s="681"/>
      <c r="U735" s="681"/>
      <c r="V735" s="681"/>
      <c r="W735" s="493"/>
      <c r="X735" s="561">
        <f t="shared" si="499"/>
        <v>0</v>
      </c>
      <c r="Y735" s="561">
        <f>Y734+1</f>
        <v>2026</v>
      </c>
      <c r="Z735" s="560">
        <f>IF(K731&lt;&gt;0,K731-K733,0)</f>
        <v>0</v>
      </c>
      <c r="AA735" s="560">
        <f>IF(K739&lt;&gt;0,K739-K741,0)</f>
        <v>0</v>
      </c>
      <c r="AB735" s="675"/>
      <c r="AC735" s="490"/>
      <c r="AD735" s="490"/>
      <c r="AE735" s="490"/>
      <c r="AF735" s="490"/>
      <c r="AG735" s="490"/>
      <c r="AH735" s="490"/>
      <c r="AI735" s="490"/>
      <c r="AJ735" s="490"/>
      <c r="AK735" s="490"/>
      <c r="AL735" s="490"/>
      <c r="AM735" s="490"/>
      <c r="AN735" s="490"/>
      <c r="AO735" s="490"/>
      <c r="AP735" s="490"/>
      <c r="AQ735" s="490"/>
      <c r="AR735" s="490"/>
      <c r="AS735" s="490"/>
      <c r="AT735" s="490"/>
      <c r="AU735" s="490"/>
      <c r="AV735" s="490"/>
      <c r="AW735" s="490"/>
      <c r="AX735" s="490"/>
      <c r="AY735" s="490"/>
      <c r="AZ735" s="491"/>
      <c r="BA735" s="491"/>
      <c r="BB735" s="491"/>
    </row>
    <row r="736" spans="1:54" hidden="1" outlineLevel="2" x14ac:dyDescent="0.2">
      <c r="A736" s="243"/>
      <c r="B736" s="243"/>
      <c r="C736" s="243"/>
      <c r="D736" s="677"/>
      <c r="E736" s="677"/>
      <c r="F736" s="495">
        <v>2</v>
      </c>
      <c r="G736" s="495">
        <v>3</v>
      </c>
      <c r="H736" s="495">
        <v>4</v>
      </c>
      <c r="I736" s="495">
        <v>5</v>
      </c>
      <c r="J736" s="495">
        <v>6</v>
      </c>
      <c r="K736" s="495">
        <v>7</v>
      </c>
      <c r="L736" s="490"/>
      <c r="M736" s="243"/>
      <c r="N736" s="678"/>
      <c r="O736" s="678"/>
      <c r="P736" s="678"/>
      <c r="Q736" s="673"/>
      <c r="R736" s="673"/>
      <c r="S736" s="673"/>
      <c r="T736" s="673"/>
      <c r="U736" s="673"/>
      <c r="V736" s="673"/>
      <c r="W736" s="490"/>
      <c r="X736" s="676"/>
      <c r="Y736" s="676"/>
      <c r="Z736" s="676"/>
      <c r="AA736" s="676"/>
      <c r="AB736" s="675"/>
      <c r="AC736" s="490"/>
      <c r="AD736" s="490"/>
      <c r="AE736" s="490"/>
      <c r="AF736" s="490"/>
      <c r="AG736" s="490"/>
      <c r="AH736" s="490"/>
      <c r="AI736" s="490"/>
      <c r="AJ736" s="490"/>
      <c r="AK736" s="490"/>
      <c r="AL736" s="490"/>
      <c r="AM736" s="490"/>
      <c r="AN736" s="490"/>
      <c r="AO736" s="490"/>
      <c r="AP736" s="490"/>
      <c r="AQ736" s="490"/>
      <c r="AR736" s="490"/>
      <c r="AS736" s="490"/>
      <c r="AT736" s="490"/>
      <c r="AU736" s="490"/>
      <c r="AV736" s="490"/>
      <c r="AW736" s="490"/>
      <c r="AX736" s="490"/>
      <c r="AY736" s="490"/>
      <c r="AZ736" s="491"/>
      <c r="BA736" s="491"/>
      <c r="BB736" s="491"/>
    </row>
    <row r="737" spans="1:54" ht="15.75" hidden="1" outlineLevel="2" x14ac:dyDescent="0.2">
      <c r="A737" s="243"/>
      <c r="B737" s="243"/>
      <c r="C737" s="243"/>
      <c r="D737" s="663" t="s">
        <v>1</v>
      </c>
      <c r="E737" s="663"/>
      <c r="F737" s="751">
        <f>FirstYear</f>
        <v>2021</v>
      </c>
      <c r="G737" s="751">
        <f>F737+1</f>
        <v>2022</v>
      </c>
      <c r="H737" s="751">
        <f>G737+1</f>
        <v>2023</v>
      </c>
      <c r="I737" s="751">
        <f>H737+1</f>
        <v>2024</v>
      </c>
      <c r="J737" s="751">
        <f>I737+1</f>
        <v>2025</v>
      </c>
      <c r="K737" s="751">
        <f>J737+1</f>
        <v>2026</v>
      </c>
      <c r="L737" s="491"/>
      <c r="M737" s="243"/>
      <c r="N737" s="685"/>
      <c r="O737" s="685"/>
      <c r="P737" s="685"/>
      <c r="Q737" s="673"/>
      <c r="R737" s="673"/>
      <c r="S737" s="673"/>
      <c r="T737" s="673"/>
      <c r="U737" s="673"/>
      <c r="V737" s="673"/>
      <c r="W737" s="491"/>
      <c r="X737" s="676"/>
      <c r="Y737" s="676"/>
      <c r="Z737" s="676"/>
      <c r="AA737" s="676"/>
      <c r="AB737" s="675"/>
      <c r="AC737" s="490"/>
      <c r="AD737" s="490"/>
      <c r="AE737" s="490"/>
      <c r="AF737" s="490"/>
      <c r="AG737" s="490"/>
      <c r="AH737" s="490"/>
      <c r="AI737" s="490"/>
      <c r="AJ737" s="490"/>
      <c r="AK737" s="490"/>
      <c r="AL737" s="490"/>
      <c r="AM737" s="490"/>
      <c r="AN737" s="490"/>
      <c r="AO737" s="490"/>
      <c r="AP737" s="490"/>
      <c r="AQ737" s="490"/>
      <c r="AR737" s="490"/>
      <c r="AS737" s="490"/>
      <c r="AT737" s="490"/>
      <c r="AU737" s="490"/>
      <c r="AV737" s="490"/>
      <c r="AW737" s="490"/>
      <c r="AX737" s="490"/>
      <c r="AY737" s="490"/>
      <c r="AZ737" s="491"/>
      <c r="BA737" s="491"/>
      <c r="BB737" s="491"/>
    </row>
    <row r="738" spans="1:54" hidden="1" outlineLevel="2" x14ac:dyDescent="0.2">
      <c r="A738" s="243"/>
      <c r="B738" s="243"/>
      <c r="C738" s="243"/>
      <c r="D738" s="243"/>
      <c r="E738" s="433" t="s">
        <v>951</v>
      </c>
      <c r="F738" s="283">
        <f t="shared" ref="F738:K738" si="502">F739*INDEX(MBSDecCalc,$C727,3)</f>
        <v>0</v>
      </c>
      <c r="G738" s="283">
        <f t="shared" si="502"/>
        <v>0</v>
      </c>
      <c r="H738" s="283">
        <f t="shared" si="502"/>
        <v>0</v>
      </c>
      <c r="I738" s="283">
        <f t="shared" si="502"/>
        <v>0</v>
      </c>
      <c r="J738" s="283">
        <f t="shared" si="502"/>
        <v>0</v>
      </c>
      <c r="K738" s="283">
        <f t="shared" si="502"/>
        <v>0</v>
      </c>
      <c r="L738" s="490"/>
      <c r="M738" s="615"/>
      <c r="N738" s="615"/>
      <c r="O738" s="678"/>
      <c r="P738" s="678"/>
      <c r="Q738" s="673"/>
      <c r="R738" s="673"/>
      <c r="S738" s="673"/>
      <c r="T738" s="673"/>
      <c r="U738" s="673"/>
      <c r="V738" s="673"/>
      <c r="W738" s="490"/>
      <c r="X738" s="676"/>
      <c r="Y738" s="676"/>
      <c r="Z738" s="676"/>
      <c r="AA738" s="676"/>
      <c r="AB738" s="675"/>
      <c r="AC738" s="490"/>
      <c r="AD738" s="490"/>
      <c r="AE738" s="490"/>
      <c r="AF738" s="490"/>
      <c r="AG738" s="490"/>
      <c r="AH738" s="490"/>
      <c r="AI738" s="490"/>
      <c r="AJ738" s="490"/>
      <c r="AK738" s="490"/>
      <c r="AL738" s="490"/>
      <c r="AM738" s="490"/>
      <c r="AN738" s="490"/>
      <c r="AO738" s="490"/>
      <c r="AP738" s="490"/>
      <c r="AQ738" s="490"/>
      <c r="AR738" s="490"/>
      <c r="AS738" s="490"/>
      <c r="AT738" s="490"/>
      <c r="AU738" s="490"/>
      <c r="AV738" s="490"/>
      <c r="AW738" s="490"/>
      <c r="AX738" s="490"/>
      <c r="AY738" s="490"/>
      <c r="AZ738" s="491"/>
      <c r="BA738" s="491"/>
      <c r="BB738" s="491"/>
    </row>
    <row r="739" spans="1:54" hidden="1" outlineLevel="2" x14ac:dyDescent="0.2">
      <c r="A739" s="243"/>
      <c r="B739" s="672"/>
      <c r="C739" s="242" t="str">
        <f>C731</f>
        <v/>
      </c>
      <c r="D739" s="243"/>
      <c r="E739" s="62" t="s">
        <v>1310</v>
      </c>
      <c r="F739" s="63">
        <f t="shared" ref="F739:K739" si="503">IF(INDEX(MBSDecRate,$C727,2)=2,IFERROR(INDEX(RPBSScriptsChanged,$C739,F736),0),IFERROR(INDEX(MBSRPBSDec,$C727,INDEX(MBSDecRate,$C727,3)*7+F736),0) * IFERROR(INDEX(MBSDecPopSplit,$C727),0)) * INDEX(MBSDecRate,$C727,1) * INDEX(MBSDecRate,$C727,4)</f>
        <v>0</v>
      </c>
      <c r="G739" s="63">
        <f t="shared" si="503"/>
        <v>0</v>
      </c>
      <c r="H739" s="63">
        <f t="shared" si="503"/>
        <v>0</v>
      </c>
      <c r="I739" s="63">
        <f t="shared" si="503"/>
        <v>0</v>
      </c>
      <c r="J739" s="63">
        <f t="shared" si="503"/>
        <v>0</v>
      </c>
      <c r="K739" s="63">
        <f t="shared" si="503"/>
        <v>0</v>
      </c>
      <c r="L739" s="490"/>
      <c r="M739" s="243"/>
      <c r="N739" s="753"/>
      <c r="O739" s="678"/>
      <c r="P739" s="678"/>
      <c r="Q739" s="673"/>
      <c r="R739" s="673"/>
      <c r="S739" s="673"/>
      <c r="T739" s="673"/>
      <c r="U739" s="673"/>
      <c r="V739" s="673"/>
      <c r="W739" s="490"/>
      <c r="X739" s="676"/>
      <c r="Y739" s="676"/>
      <c r="Z739" s="676"/>
      <c r="AA739" s="676"/>
      <c r="AB739" s="675"/>
      <c r="AC739" s="490"/>
      <c r="AD739" s="490"/>
      <c r="AE739" s="490"/>
      <c r="AF739" s="490"/>
      <c r="AG739" s="490"/>
      <c r="AH739" s="490"/>
      <c r="AI739" s="490"/>
      <c r="AJ739" s="490"/>
      <c r="AK739" s="490"/>
      <c r="AL739" s="490"/>
      <c r="AM739" s="490"/>
      <c r="AN739" s="490"/>
      <c r="AO739" s="490"/>
      <c r="AP739" s="490"/>
      <c r="AQ739" s="490"/>
      <c r="AR739" s="490"/>
      <c r="AS739" s="490"/>
      <c r="AT739" s="490"/>
      <c r="AU739" s="490"/>
      <c r="AV739" s="490"/>
      <c r="AW739" s="490"/>
      <c r="AX739" s="490"/>
      <c r="AY739" s="490"/>
      <c r="AZ739" s="491"/>
      <c r="BA739" s="491"/>
      <c r="BB739" s="491"/>
    </row>
    <row r="740" spans="1:54" hidden="1" outlineLevel="2" x14ac:dyDescent="0.2">
      <c r="A740" s="243"/>
      <c r="B740" s="242">
        <v>5</v>
      </c>
      <c r="C740" s="242">
        <v>6</v>
      </c>
      <c r="D740" s="243"/>
      <c r="E740" s="496" t="s">
        <v>1307</v>
      </c>
      <c r="F740" s="63" t="str">
        <f t="shared" ref="F740:K740" si="504">IFERROR(F739*INDEX(MBSDecItems,$C727,$B740)*INDEX(MBSDecItems,$C727,$C740),"")</f>
        <v/>
      </c>
      <c r="G740" s="63" t="str">
        <f t="shared" si="504"/>
        <v/>
      </c>
      <c r="H740" s="63" t="str">
        <f t="shared" si="504"/>
        <v/>
      </c>
      <c r="I740" s="63" t="str">
        <f t="shared" si="504"/>
        <v/>
      </c>
      <c r="J740" s="63" t="str">
        <f t="shared" si="504"/>
        <v/>
      </c>
      <c r="K740" s="63" t="str">
        <f t="shared" si="504"/>
        <v/>
      </c>
      <c r="L740" s="490"/>
      <c r="M740" s="683"/>
      <c r="N740" s="753"/>
      <c r="O740" s="678"/>
      <c r="P740" s="678"/>
      <c r="Q740" s="673"/>
      <c r="R740" s="673"/>
      <c r="S740" s="673"/>
      <c r="T740" s="673"/>
      <c r="U740" s="673"/>
      <c r="V740" s="673"/>
      <c r="W740" s="490"/>
      <c r="X740" s="676"/>
      <c r="Y740" s="676"/>
      <c r="Z740" s="676"/>
      <c r="AA740" s="676"/>
      <c r="AB740" s="676"/>
      <c r="AC740" s="490"/>
      <c r="AD740" s="490"/>
      <c r="AE740" s="490"/>
      <c r="AF740" s="490"/>
      <c r="AG740" s="490"/>
      <c r="AH740" s="490"/>
      <c r="AI740" s="490"/>
      <c r="AJ740" s="490"/>
      <c r="AK740" s="490"/>
      <c r="AL740" s="490"/>
      <c r="AM740" s="490"/>
      <c r="AN740" s="490"/>
      <c r="AO740" s="490"/>
      <c r="AP740" s="490"/>
      <c r="AQ740" s="490"/>
      <c r="AR740" s="490"/>
      <c r="AS740" s="490"/>
      <c r="AT740" s="490"/>
      <c r="AU740" s="490"/>
      <c r="AV740" s="490"/>
      <c r="AW740" s="490"/>
      <c r="AX740" s="490"/>
      <c r="AY740" s="490"/>
      <c r="AZ740" s="491"/>
      <c r="BA740" s="491"/>
      <c r="BB740" s="491"/>
    </row>
    <row r="741" spans="1:54" hidden="1" outlineLevel="2" x14ac:dyDescent="0.2">
      <c r="A741" s="243"/>
      <c r="B741" s="242">
        <v>4</v>
      </c>
      <c r="C741" s="242">
        <v>6</v>
      </c>
      <c r="D741" s="243"/>
      <c r="E741" s="496" t="s">
        <v>1306</v>
      </c>
      <c r="F741" s="63" t="str">
        <f t="shared" ref="F741:K741" si="505">IFERROR(F739*INDEX(MBSDecItems,$C727,$B741)*INDEX(MBSDecItems,$C727,$C741),"")</f>
        <v/>
      </c>
      <c r="G741" s="63" t="str">
        <f t="shared" si="505"/>
        <v/>
      </c>
      <c r="H741" s="63" t="str">
        <f t="shared" si="505"/>
        <v/>
      </c>
      <c r="I741" s="63" t="str">
        <f t="shared" si="505"/>
        <v/>
      </c>
      <c r="J741" s="63" t="str">
        <f t="shared" si="505"/>
        <v/>
      </c>
      <c r="K741" s="63" t="str">
        <f t="shared" si="505"/>
        <v/>
      </c>
      <c r="L741" s="490"/>
      <c r="M741" s="684"/>
      <c r="N741" s="682"/>
      <c r="O741" s="678"/>
      <c r="P741" s="678"/>
      <c r="Q741" s="673"/>
      <c r="R741" s="673"/>
      <c r="S741" s="673"/>
      <c r="T741" s="673"/>
      <c r="U741" s="673"/>
      <c r="V741" s="673"/>
      <c r="W741" s="490"/>
      <c r="X741" s="676"/>
      <c r="Y741" s="676"/>
      <c r="Z741" s="676"/>
      <c r="AA741" s="676"/>
      <c r="AB741" s="676"/>
      <c r="AC741" s="490"/>
      <c r="AD741" s="490"/>
      <c r="AE741" s="490"/>
      <c r="AF741" s="490"/>
      <c r="AG741" s="490"/>
      <c r="AH741" s="490"/>
      <c r="AI741" s="490"/>
      <c r="AJ741" s="490"/>
      <c r="AK741" s="490"/>
      <c r="AL741" s="490"/>
      <c r="AM741" s="490"/>
      <c r="AN741" s="490"/>
      <c r="AO741" s="490"/>
      <c r="AP741" s="490"/>
      <c r="AQ741" s="490"/>
      <c r="AR741" s="490"/>
      <c r="AS741" s="490"/>
      <c r="AT741" s="490"/>
      <c r="AU741" s="490"/>
      <c r="AV741" s="490"/>
      <c r="AW741" s="490"/>
      <c r="AX741" s="490"/>
      <c r="AY741" s="490"/>
      <c r="AZ741" s="491"/>
      <c r="BA741" s="491"/>
      <c r="BB741" s="491"/>
    </row>
    <row r="742" spans="1:54" hidden="1" outlineLevel="2" x14ac:dyDescent="0.2">
      <c r="A742" s="243"/>
      <c r="B742" s="242"/>
      <c r="C742" s="242">
        <v>7</v>
      </c>
      <c r="D742" s="243"/>
      <c r="E742" s="497" t="s">
        <v>1308</v>
      </c>
      <c r="F742" s="63" t="str">
        <f t="shared" ref="F742:K742" si="506">IFERROR(F739*INDEX(MBSDecItems,$C727,$C742),"")</f>
        <v/>
      </c>
      <c r="G742" s="63" t="str">
        <f t="shared" si="506"/>
        <v/>
      </c>
      <c r="H742" s="63" t="str">
        <f t="shared" si="506"/>
        <v/>
      </c>
      <c r="I742" s="63" t="str">
        <f t="shared" si="506"/>
        <v/>
      </c>
      <c r="J742" s="63" t="str">
        <f t="shared" si="506"/>
        <v/>
      </c>
      <c r="K742" s="63" t="str">
        <f t="shared" si="506"/>
        <v/>
      </c>
      <c r="L742" s="490"/>
      <c r="M742" s="684"/>
      <c r="N742" s="682"/>
      <c r="O742" s="678"/>
      <c r="P742" s="678"/>
      <c r="Q742" s="673"/>
      <c r="R742" s="673"/>
      <c r="S742" s="673"/>
      <c r="T742" s="673"/>
      <c r="U742" s="673"/>
      <c r="V742" s="673"/>
      <c r="W742" s="490"/>
      <c r="X742" s="676"/>
      <c r="Y742" s="676"/>
      <c r="Z742" s="676"/>
      <c r="AA742" s="676"/>
      <c r="AB742" s="676"/>
      <c r="AC742" s="490"/>
      <c r="AD742" s="490"/>
      <c r="AE742" s="490"/>
      <c r="AF742" s="490"/>
      <c r="AG742" s="490"/>
      <c r="AH742" s="490"/>
      <c r="AI742" s="490"/>
      <c r="AJ742" s="490"/>
      <c r="AK742" s="490"/>
      <c r="AL742" s="490"/>
      <c r="AM742" s="490"/>
      <c r="AN742" s="490"/>
      <c r="AO742" s="490"/>
      <c r="AP742" s="490"/>
      <c r="AQ742" s="490"/>
      <c r="AR742" s="490"/>
      <c r="AS742" s="490"/>
      <c r="AT742" s="490"/>
      <c r="AU742" s="490"/>
      <c r="AV742" s="490"/>
      <c r="AW742" s="490"/>
      <c r="AX742" s="490"/>
      <c r="AY742" s="490"/>
      <c r="AZ742" s="491"/>
      <c r="BA742" s="491"/>
      <c r="BB742" s="491"/>
    </row>
    <row r="743" spans="1:54" hidden="1" outlineLevel="1" x14ac:dyDescent="0.2">
      <c r="A743" s="243"/>
      <c r="B743" s="243"/>
      <c r="C743" s="243"/>
      <c r="D743" s="677"/>
      <c r="E743" s="677"/>
      <c r="F743" s="243"/>
      <c r="G743" s="243"/>
      <c r="H743" s="243"/>
      <c r="I743" s="243"/>
      <c r="J743" s="243"/>
      <c r="K743" s="243"/>
      <c r="L743" s="243"/>
      <c r="M743" s="243"/>
      <c r="N743" s="678"/>
      <c r="O743" s="678"/>
      <c r="P743" s="678"/>
      <c r="Q743" s="673"/>
      <c r="R743" s="673"/>
      <c r="S743" s="673"/>
      <c r="T743" s="673"/>
      <c r="U743" s="673"/>
      <c r="V743" s="673"/>
      <c r="W743" s="490"/>
      <c r="X743" s="676"/>
      <c r="Y743" s="676"/>
      <c r="Z743" s="676"/>
      <c r="AA743" s="676"/>
      <c r="AB743" s="676"/>
      <c r="AC743" s="490"/>
      <c r="AD743" s="490"/>
      <c r="AE743" s="490"/>
      <c r="AF743" s="490"/>
      <c r="AG743" s="490"/>
      <c r="AH743" s="490"/>
      <c r="AI743" s="490"/>
      <c r="AJ743" s="490"/>
      <c r="AK743" s="490"/>
      <c r="AL743" s="490"/>
      <c r="AM743" s="490"/>
      <c r="AN743" s="490"/>
      <c r="AO743" s="490"/>
      <c r="AP743" s="490"/>
      <c r="AQ743" s="490"/>
      <c r="AR743" s="490"/>
      <c r="AS743" s="490"/>
      <c r="AT743" s="490"/>
      <c r="AU743" s="490"/>
      <c r="AV743" s="490"/>
      <c r="AW743" s="490"/>
      <c r="AX743" s="490"/>
      <c r="AY743" s="490"/>
      <c r="AZ743" s="491"/>
      <c r="BA743" s="491"/>
      <c r="BB743" s="491"/>
    </row>
    <row r="744" spans="1:54" ht="15.75" hidden="1" outlineLevel="1" x14ac:dyDescent="0.2">
      <c r="A744" s="243"/>
      <c r="B744" s="243"/>
      <c r="C744" s="242">
        <v>15</v>
      </c>
      <c r="D744" s="79" t="str">
        <f>INDEX(MBSDecNames,C744)</f>
        <v>** NOT USED **</v>
      </c>
      <c r="E744" s="79"/>
      <c r="F744" s="115"/>
      <c r="G744" s="115"/>
      <c r="H744" s="115"/>
      <c r="I744" s="115"/>
      <c r="J744" s="821" t="str">
        <f>IF(D744&lt;&gt;MsgNotUsed,"Co-payment group " &amp; K573,"")</f>
        <v/>
      </c>
      <c r="K744" s="821"/>
      <c r="L744" s="115"/>
      <c r="M744" s="115"/>
      <c r="N744" s="115"/>
      <c r="O744" s="115"/>
      <c r="P744" s="115"/>
      <c r="Q744" s="115"/>
      <c r="R744" s="115"/>
      <c r="S744" s="115"/>
      <c r="T744" s="115"/>
      <c r="U744" s="115"/>
      <c r="V744" s="115"/>
      <c r="W744" s="491"/>
      <c r="X744" s="490"/>
      <c r="Y744" s="490"/>
      <c r="Z744" s="490"/>
      <c r="AA744" s="490"/>
      <c r="AB744" s="676"/>
      <c r="AC744" s="490"/>
      <c r="AD744" s="490"/>
      <c r="AE744" s="490"/>
      <c r="AF744" s="490"/>
      <c r="AG744" s="490"/>
      <c r="AH744" s="490"/>
      <c r="AI744" s="490"/>
      <c r="AJ744" s="490"/>
      <c r="AK744" s="490"/>
      <c r="AL744" s="490"/>
      <c r="AM744" s="490"/>
      <c r="AN744" s="490"/>
      <c r="AO744" s="490"/>
      <c r="AP744" s="490"/>
      <c r="AQ744" s="490"/>
      <c r="AR744" s="490"/>
      <c r="AS744" s="490"/>
      <c r="AT744" s="490"/>
      <c r="AU744" s="490"/>
      <c r="AV744" s="490"/>
      <c r="AW744" s="490"/>
      <c r="AX744" s="490"/>
      <c r="AY744" s="490"/>
      <c r="AZ744" s="491"/>
      <c r="BA744" s="491"/>
      <c r="BB744" s="491"/>
    </row>
    <row r="745" spans="1:54" hidden="1" outlineLevel="2" x14ac:dyDescent="0.2">
      <c r="A745" s="243"/>
      <c r="B745" s="243"/>
      <c r="C745" s="243"/>
      <c r="D745" s="243"/>
      <c r="E745" s="243"/>
      <c r="F745" s="495">
        <v>2</v>
      </c>
      <c r="G745" s="495">
        <v>3</v>
      </c>
      <c r="H745" s="495">
        <v>4</v>
      </c>
      <c r="I745" s="495">
        <v>5</v>
      </c>
      <c r="J745" s="495">
        <v>6</v>
      </c>
      <c r="K745" s="495">
        <v>7</v>
      </c>
      <c r="L745" s="495"/>
      <c r="M745" s="243"/>
      <c r="N745" s="243"/>
      <c r="O745" s="243"/>
      <c r="P745" s="243"/>
      <c r="Q745" s="243"/>
      <c r="R745" s="243"/>
      <c r="S745" s="243"/>
      <c r="T745" s="243"/>
      <c r="U745" s="243"/>
      <c r="V745" s="243"/>
      <c r="W745" s="490"/>
      <c r="X745" s="490"/>
      <c r="Y745" s="490"/>
      <c r="Z745" s="490"/>
      <c r="AA745" s="490"/>
      <c r="AB745" s="676"/>
      <c r="AC745" s="490"/>
      <c r="AD745" s="490"/>
      <c r="AE745" s="490"/>
      <c r="AF745" s="490"/>
      <c r="AG745" s="490"/>
      <c r="AH745" s="490"/>
      <c r="AI745" s="490"/>
      <c r="AJ745" s="490"/>
      <c r="AK745" s="490"/>
      <c r="AL745" s="490"/>
      <c r="AM745" s="490"/>
      <c r="AN745" s="490"/>
      <c r="AO745" s="490"/>
      <c r="AP745" s="490"/>
      <c r="AQ745" s="490"/>
      <c r="AR745" s="490"/>
      <c r="AS745" s="490"/>
      <c r="AT745" s="490"/>
      <c r="AU745" s="490"/>
      <c r="AV745" s="490"/>
      <c r="AW745" s="490"/>
      <c r="AX745" s="490"/>
      <c r="AY745" s="490"/>
      <c r="AZ745" s="491"/>
      <c r="BA745" s="491"/>
      <c r="BB745" s="491"/>
    </row>
    <row r="746" spans="1:54" ht="15" hidden="1" outlineLevel="2" x14ac:dyDescent="0.2">
      <c r="A746" s="243"/>
      <c r="B746" s="243"/>
      <c r="C746" s="243"/>
      <c r="D746" s="663" t="s">
        <v>0</v>
      </c>
      <c r="E746" s="663"/>
      <c r="F746" s="729">
        <f>FirstYear</f>
        <v>2021</v>
      </c>
      <c r="G746" s="729">
        <f>F746+1</f>
        <v>2022</v>
      </c>
      <c r="H746" s="729">
        <f>G746+1</f>
        <v>2023</v>
      </c>
      <c r="I746" s="729">
        <f>H746+1</f>
        <v>2024</v>
      </c>
      <c r="J746" s="729">
        <f>I746+1</f>
        <v>2025</v>
      </c>
      <c r="K746" s="729">
        <f>J746+1</f>
        <v>2026</v>
      </c>
      <c r="L746" s="491"/>
      <c r="M746" s="113"/>
      <c r="N746" s="679"/>
      <c r="O746" s="679"/>
      <c r="P746" s="679"/>
      <c r="Q746" s="674"/>
      <c r="R746" s="674"/>
      <c r="S746" s="674"/>
      <c r="T746" s="674"/>
      <c r="U746" s="674"/>
      <c r="V746" s="674"/>
      <c r="W746" s="491"/>
      <c r="X746" s="674"/>
      <c r="Y746" s="674"/>
      <c r="Z746" s="674"/>
      <c r="AA746" s="674"/>
      <c r="AB746" s="676"/>
      <c r="AC746" s="490"/>
      <c r="AD746" s="490"/>
      <c r="AE746" s="490"/>
      <c r="AF746" s="490"/>
      <c r="AG746" s="490"/>
      <c r="AH746" s="490"/>
      <c r="AI746" s="490"/>
      <c r="AJ746" s="490"/>
      <c r="AK746" s="490"/>
      <c r="AL746" s="490"/>
      <c r="AM746" s="490"/>
      <c r="AN746" s="490"/>
      <c r="AO746" s="490"/>
      <c r="AP746" s="490"/>
      <c r="AQ746" s="490"/>
      <c r="AR746" s="490"/>
      <c r="AS746" s="490"/>
      <c r="AT746" s="490"/>
      <c r="AU746" s="490"/>
      <c r="AV746" s="490"/>
      <c r="AW746" s="490"/>
      <c r="AX746" s="490"/>
      <c r="AY746" s="490"/>
      <c r="AZ746" s="491"/>
      <c r="BA746" s="491"/>
      <c r="BB746" s="491"/>
    </row>
    <row r="747" spans="1:54" hidden="1" outlineLevel="2" collapsed="1" x14ac:dyDescent="0.2">
      <c r="A747" s="243"/>
      <c r="B747" s="243"/>
      <c r="C747" s="243"/>
      <c r="D747" s="243"/>
      <c r="E747" s="433" t="s">
        <v>951</v>
      </c>
      <c r="F747" s="283">
        <f t="shared" ref="F747:K747" si="507">F748*INDEX(MBSDecCalc,$C744,3)</f>
        <v>0</v>
      </c>
      <c r="G747" s="283">
        <f t="shared" si="507"/>
        <v>0</v>
      </c>
      <c r="H747" s="283">
        <f t="shared" si="507"/>
        <v>0</v>
      </c>
      <c r="I747" s="283">
        <f t="shared" si="507"/>
        <v>0</v>
      </c>
      <c r="J747" s="283">
        <f t="shared" si="507"/>
        <v>0</v>
      </c>
      <c r="K747" s="283">
        <f t="shared" si="507"/>
        <v>0</v>
      </c>
      <c r="L747" s="490"/>
      <c r="M747" s="680"/>
      <c r="N747" s="664"/>
      <c r="O747" s="664"/>
      <c r="P747" s="664"/>
      <c r="Q747" s="681"/>
      <c r="R747" s="681"/>
      <c r="S747" s="681"/>
      <c r="T747" s="681"/>
      <c r="U747" s="681"/>
      <c r="V747" s="681"/>
      <c r="W747" s="493"/>
      <c r="X747" s="561">
        <f>INDEX(MBSDecItems,C744,1)</f>
        <v>0</v>
      </c>
      <c r="Y747" s="561">
        <f>FirstYear</f>
        <v>2021</v>
      </c>
      <c r="Z747" s="560">
        <f>IF(F748&lt;&gt;0,F748-F750,0)</f>
        <v>0</v>
      </c>
      <c r="AA747" s="560">
        <f>IF(F756&lt;&gt;0,F756-F758,0)</f>
        <v>0</v>
      </c>
      <c r="AB747" s="676"/>
      <c r="AC747" s="490"/>
      <c r="AD747" s="490"/>
      <c r="AE747" s="490"/>
      <c r="AF747" s="490"/>
      <c r="AG747" s="490"/>
      <c r="AH747" s="490"/>
      <c r="AI747" s="490"/>
      <c r="AJ747" s="490"/>
      <c r="AK747" s="490"/>
      <c r="AL747" s="490"/>
      <c r="AM747" s="490"/>
      <c r="AN747" s="490"/>
      <c r="AO747" s="490"/>
      <c r="AP747" s="490"/>
      <c r="AQ747" s="490"/>
      <c r="AR747" s="490"/>
      <c r="AS747" s="490"/>
      <c r="AT747" s="490"/>
      <c r="AU747" s="490"/>
      <c r="AV747" s="490"/>
      <c r="AW747" s="490"/>
      <c r="AX747" s="490"/>
      <c r="AY747" s="490"/>
      <c r="AZ747" s="491"/>
      <c r="BA747" s="491"/>
      <c r="BB747" s="491"/>
    </row>
    <row r="748" spans="1:54" hidden="1" outlineLevel="2" x14ac:dyDescent="0.2">
      <c r="A748" s="243"/>
      <c r="B748" s="672"/>
      <c r="C748" s="242" t="str">
        <f>INDEX(MBSDecCalc,C744,2)</f>
        <v/>
      </c>
      <c r="D748" s="243"/>
      <c r="E748" s="62" t="s">
        <v>1310</v>
      </c>
      <c r="F748" s="63">
        <f t="shared" ref="F748:K748" si="508">IF(INDEX(MBSDecRate,$C744,2)=2,IFERROR(INDEX(PBSScriptsChanged,$C748,F745),0),IFERROR(INDEX(MBSPBSDec,$C744,INDEX(MBSDecRate,$C744,3)*7+F745),0) * IFERROR(INDEX(MBSDecPopSplit,$C744),0)) * INDEX(MBSDecRate,$C744,1) * INDEX(MBSDecRate,$C744,4)</f>
        <v>0</v>
      </c>
      <c r="G748" s="63">
        <f t="shared" si="508"/>
        <v>0</v>
      </c>
      <c r="H748" s="63">
        <f t="shared" si="508"/>
        <v>0</v>
      </c>
      <c r="I748" s="63">
        <f t="shared" si="508"/>
        <v>0</v>
      </c>
      <c r="J748" s="63">
        <f t="shared" si="508"/>
        <v>0</v>
      </c>
      <c r="K748" s="63">
        <f t="shared" si="508"/>
        <v>0</v>
      </c>
      <c r="L748" s="490"/>
      <c r="M748" s="493"/>
      <c r="N748" s="493"/>
      <c r="O748" s="664"/>
      <c r="P748" s="664"/>
      <c r="Q748" s="681"/>
      <c r="R748" s="681"/>
      <c r="S748" s="681"/>
      <c r="T748" s="681"/>
      <c r="U748" s="681"/>
      <c r="V748" s="681"/>
      <c r="W748" s="493"/>
      <c r="X748" s="561">
        <f>X747</f>
        <v>0</v>
      </c>
      <c r="Y748" s="561">
        <f>Y747+1</f>
        <v>2022</v>
      </c>
      <c r="Z748" s="560">
        <f>IF(G748&lt;&gt;0,G748-G750,0)</f>
        <v>0</v>
      </c>
      <c r="AA748" s="560">
        <f>IF(G756&lt;&gt;0,G756-G758,0)</f>
        <v>0</v>
      </c>
      <c r="AB748" s="676"/>
      <c r="AC748" s="490"/>
      <c r="AD748" s="490"/>
      <c r="AE748" s="490"/>
      <c r="AF748" s="490"/>
      <c r="AG748" s="490"/>
      <c r="AH748" s="490"/>
      <c r="AI748" s="490"/>
      <c r="AJ748" s="490"/>
      <c r="AK748" s="490"/>
      <c r="AL748" s="490"/>
      <c r="AM748" s="490"/>
      <c r="AN748" s="490"/>
      <c r="AO748" s="490"/>
      <c r="AP748" s="490"/>
      <c r="AQ748" s="490"/>
      <c r="AR748" s="490"/>
      <c r="AS748" s="490"/>
      <c r="AT748" s="490"/>
      <c r="AU748" s="490"/>
      <c r="AV748" s="490"/>
      <c r="AW748" s="490"/>
      <c r="AX748" s="490"/>
      <c r="AY748" s="490"/>
      <c r="AZ748" s="491"/>
      <c r="BA748" s="491"/>
      <c r="BB748" s="491"/>
    </row>
    <row r="749" spans="1:54" hidden="1" outlineLevel="2" x14ac:dyDescent="0.2">
      <c r="A749" s="243"/>
      <c r="B749" s="242">
        <v>5</v>
      </c>
      <c r="C749" s="242">
        <v>6</v>
      </c>
      <c r="D749" s="243"/>
      <c r="E749" s="496" t="s">
        <v>1307</v>
      </c>
      <c r="F749" s="63" t="str">
        <f t="shared" ref="F749:K749" si="509">IFERROR(F748*INDEX(MBSDecItems,$C744,$B749)*INDEX(MBSDecItems,$C744,$C749),"")</f>
        <v/>
      </c>
      <c r="G749" s="63" t="str">
        <f t="shared" si="509"/>
        <v/>
      </c>
      <c r="H749" s="63" t="str">
        <f t="shared" si="509"/>
        <v/>
      </c>
      <c r="I749" s="63" t="str">
        <f t="shared" si="509"/>
        <v/>
      </c>
      <c r="J749" s="63" t="str">
        <f t="shared" si="509"/>
        <v/>
      </c>
      <c r="K749" s="63" t="str">
        <f t="shared" si="509"/>
        <v/>
      </c>
      <c r="L749" s="490"/>
      <c r="M749" s="493"/>
      <c r="N749" s="493"/>
      <c r="O749" s="682"/>
      <c r="P749" s="754"/>
      <c r="Q749" s="681"/>
      <c r="R749" s="681"/>
      <c r="S749" s="681"/>
      <c r="T749" s="681"/>
      <c r="U749" s="681"/>
      <c r="V749" s="681"/>
      <c r="W749" s="493"/>
      <c r="X749" s="561">
        <f t="shared" ref="X749:X752" si="510">X748</f>
        <v>0</v>
      </c>
      <c r="Y749" s="561">
        <f>Y748+1</f>
        <v>2023</v>
      </c>
      <c r="Z749" s="560">
        <f>IF(H748&lt;&gt;0,H748-H750,0)</f>
        <v>0</v>
      </c>
      <c r="AA749" s="560">
        <f>IF(H756&lt;&gt;0,H756-H758,0)</f>
        <v>0</v>
      </c>
      <c r="AB749" s="676"/>
      <c r="AC749" s="490"/>
      <c r="AD749" s="490"/>
      <c r="AE749" s="490"/>
      <c r="AF749" s="490"/>
      <c r="AG749" s="490"/>
      <c r="AH749" s="490"/>
      <c r="AI749" s="490"/>
      <c r="AJ749" s="490"/>
      <c r="AK749" s="490"/>
      <c r="AL749" s="490"/>
      <c r="AM749" s="490"/>
      <c r="AN749" s="490"/>
      <c r="AO749" s="490"/>
      <c r="AP749" s="490"/>
      <c r="AQ749" s="490"/>
      <c r="AR749" s="490"/>
      <c r="AS749" s="490"/>
      <c r="AT749" s="490"/>
      <c r="AU749" s="490"/>
      <c r="AV749" s="490"/>
      <c r="AW749" s="490"/>
      <c r="AX749" s="490"/>
      <c r="AY749" s="490"/>
      <c r="AZ749" s="491"/>
      <c r="BA749" s="491"/>
      <c r="BB749" s="491"/>
    </row>
    <row r="750" spans="1:54" hidden="1" outlineLevel="2" x14ac:dyDescent="0.2">
      <c r="A750" s="416"/>
      <c r="B750" s="242">
        <v>4</v>
      </c>
      <c r="C750" s="242">
        <v>6</v>
      </c>
      <c r="D750" s="243"/>
      <c r="E750" s="496" t="s">
        <v>1306</v>
      </c>
      <c r="F750" s="63" t="str">
        <f t="shared" ref="F750:K750" si="511">IFERROR(F748*INDEX(MBSDecItems,$C744,$B750)*INDEX(MBSDecItems,$C744,$C750),"")</f>
        <v/>
      </c>
      <c r="G750" s="63" t="str">
        <f t="shared" si="511"/>
        <v/>
      </c>
      <c r="H750" s="63" t="str">
        <f t="shared" si="511"/>
        <v/>
      </c>
      <c r="I750" s="63" t="str">
        <f t="shared" si="511"/>
        <v/>
      </c>
      <c r="J750" s="63" t="str">
        <f t="shared" si="511"/>
        <v/>
      </c>
      <c r="K750" s="63" t="str">
        <f t="shared" si="511"/>
        <v/>
      </c>
      <c r="L750" s="416"/>
      <c r="M750" s="416"/>
      <c r="N750" s="416"/>
      <c r="O750" s="416"/>
      <c r="P750" s="416"/>
      <c r="Q750" s="416"/>
      <c r="R750" s="416"/>
      <c r="S750" s="416"/>
      <c r="T750" s="416"/>
      <c r="U750" s="416"/>
      <c r="V750" s="416"/>
      <c r="W750" s="493"/>
      <c r="X750" s="561">
        <f t="shared" si="510"/>
        <v>0</v>
      </c>
      <c r="Y750" s="561">
        <f>Y749+1</f>
        <v>2024</v>
      </c>
      <c r="Z750" s="560">
        <f>IF(I748&lt;&gt;0,I748-I750,0)</f>
        <v>0</v>
      </c>
      <c r="AA750" s="560">
        <f>IF(I756&lt;&gt;0,I756-I758,0)</f>
        <v>0</v>
      </c>
      <c r="AB750" s="674"/>
      <c r="AC750" s="490"/>
      <c r="AD750" s="490"/>
      <c r="AE750" s="490"/>
      <c r="AF750" s="490"/>
      <c r="AG750" s="490"/>
      <c r="AH750" s="490"/>
      <c r="AI750" s="490"/>
      <c r="AJ750" s="490"/>
      <c r="AK750" s="490"/>
      <c r="AL750" s="490"/>
      <c r="AM750" s="490"/>
      <c r="AN750" s="490"/>
      <c r="AO750" s="490"/>
      <c r="AP750" s="490"/>
      <c r="AQ750" s="490"/>
      <c r="AR750" s="490"/>
      <c r="AS750" s="490"/>
      <c r="AT750" s="490"/>
      <c r="AU750" s="490"/>
      <c r="AV750" s="490"/>
      <c r="AW750" s="490"/>
      <c r="AX750" s="490"/>
      <c r="AY750" s="490"/>
      <c r="AZ750" s="491"/>
      <c r="BA750" s="491"/>
      <c r="BB750" s="491"/>
    </row>
    <row r="751" spans="1:54" hidden="1" outlineLevel="2" x14ac:dyDescent="0.2">
      <c r="A751" s="243"/>
      <c r="B751" s="242"/>
      <c r="C751" s="242">
        <v>7</v>
      </c>
      <c r="D751" s="243"/>
      <c r="E751" s="497" t="s">
        <v>1308</v>
      </c>
      <c r="F751" s="63" t="str">
        <f t="shared" ref="F751:K751" si="512">IFERROR(F748*INDEX(MBSDecItems,$C744,$C751),"")</f>
        <v/>
      </c>
      <c r="G751" s="63" t="str">
        <f t="shared" si="512"/>
        <v/>
      </c>
      <c r="H751" s="63" t="str">
        <f t="shared" si="512"/>
        <v/>
      </c>
      <c r="I751" s="63" t="str">
        <f t="shared" si="512"/>
        <v/>
      </c>
      <c r="J751" s="63" t="str">
        <f t="shared" si="512"/>
        <v/>
      </c>
      <c r="K751" s="63" t="str">
        <f t="shared" si="512"/>
        <v/>
      </c>
      <c r="L751" s="490"/>
      <c r="M751" s="493"/>
      <c r="N751" s="493"/>
      <c r="O751" s="682"/>
      <c r="P751" s="754"/>
      <c r="Q751" s="681"/>
      <c r="R751" s="681"/>
      <c r="S751" s="681"/>
      <c r="T751" s="681"/>
      <c r="U751" s="681"/>
      <c r="V751" s="681"/>
      <c r="W751" s="493"/>
      <c r="X751" s="561">
        <f t="shared" si="510"/>
        <v>0</v>
      </c>
      <c r="Y751" s="561">
        <f>Y750+1</f>
        <v>2025</v>
      </c>
      <c r="Z751" s="560">
        <f>IF(J748&lt;&gt;0,J748-J750,0)</f>
        <v>0</v>
      </c>
      <c r="AA751" s="560">
        <f>IF(J756&lt;&gt;0,J756-J758,0)</f>
        <v>0</v>
      </c>
      <c r="AB751" s="674"/>
      <c r="AC751" s="490"/>
      <c r="AD751" s="490"/>
      <c r="AE751" s="490"/>
      <c r="AF751" s="490"/>
      <c r="AG751" s="490"/>
      <c r="AH751" s="490"/>
      <c r="AI751" s="490"/>
      <c r="AJ751" s="490"/>
      <c r="AK751" s="490"/>
      <c r="AL751" s="490"/>
      <c r="AM751" s="490"/>
      <c r="AN751" s="490"/>
      <c r="AO751" s="490"/>
      <c r="AP751" s="490"/>
      <c r="AQ751" s="490"/>
      <c r="AR751" s="490"/>
      <c r="AS751" s="490"/>
      <c r="AT751" s="490"/>
      <c r="AU751" s="490"/>
      <c r="AV751" s="490"/>
      <c r="AW751" s="490"/>
      <c r="AX751" s="490"/>
      <c r="AY751" s="490"/>
      <c r="AZ751" s="491"/>
      <c r="BA751" s="491"/>
      <c r="BB751" s="491"/>
    </row>
    <row r="752" spans="1:54" hidden="1" outlineLevel="2" x14ac:dyDescent="0.2">
      <c r="A752" s="243"/>
      <c r="B752" s="493"/>
      <c r="C752" s="493"/>
      <c r="D752" s="493"/>
      <c r="E752" s="493"/>
      <c r="F752" s="493"/>
      <c r="G752" s="493"/>
      <c r="H752" s="493"/>
      <c r="I752" s="493"/>
      <c r="J752" s="493"/>
      <c r="K752" s="493"/>
      <c r="L752" s="490"/>
      <c r="M752" s="493"/>
      <c r="N752" s="493"/>
      <c r="O752" s="682"/>
      <c r="P752" s="682"/>
      <c r="Q752" s="681"/>
      <c r="R752" s="681"/>
      <c r="S752" s="681"/>
      <c r="T752" s="681"/>
      <c r="U752" s="681"/>
      <c r="V752" s="681"/>
      <c r="W752" s="493"/>
      <c r="X752" s="561">
        <f t="shared" si="510"/>
        <v>0</v>
      </c>
      <c r="Y752" s="561">
        <f>Y751+1</f>
        <v>2026</v>
      </c>
      <c r="Z752" s="560">
        <f>IF(K748&lt;&gt;0,K748-K750,0)</f>
        <v>0</v>
      </c>
      <c r="AA752" s="560">
        <f>IF(K756&lt;&gt;0,K756-K758,0)</f>
        <v>0</v>
      </c>
      <c r="AB752" s="675"/>
      <c r="AC752" s="490"/>
      <c r="AD752" s="490"/>
      <c r="AE752" s="490"/>
      <c r="AF752" s="490"/>
      <c r="AG752" s="490"/>
      <c r="AH752" s="490"/>
      <c r="AI752" s="490"/>
      <c r="AJ752" s="490"/>
      <c r="AK752" s="490"/>
      <c r="AL752" s="490"/>
      <c r="AM752" s="490"/>
      <c r="AN752" s="490"/>
      <c r="AO752" s="490"/>
      <c r="AP752" s="490"/>
      <c r="AQ752" s="490"/>
      <c r="AR752" s="490"/>
      <c r="AS752" s="490"/>
      <c r="AT752" s="490"/>
      <c r="AU752" s="490"/>
      <c r="AV752" s="490"/>
      <c r="AW752" s="490"/>
      <c r="AX752" s="490"/>
      <c r="AY752" s="490"/>
      <c r="AZ752" s="491"/>
      <c r="BA752" s="491"/>
      <c r="BB752" s="491"/>
    </row>
    <row r="753" spans="1:54" hidden="1" outlineLevel="2" x14ac:dyDescent="0.2">
      <c r="A753" s="243"/>
      <c r="B753" s="243"/>
      <c r="C753" s="243"/>
      <c r="D753" s="677"/>
      <c r="E753" s="677"/>
      <c r="F753" s="495">
        <v>2</v>
      </c>
      <c r="G753" s="495">
        <v>3</v>
      </c>
      <c r="H753" s="495">
        <v>4</v>
      </c>
      <c r="I753" s="495">
        <v>5</v>
      </c>
      <c r="J753" s="495">
        <v>6</v>
      </c>
      <c r="K753" s="495">
        <v>7</v>
      </c>
      <c r="L753" s="490"/>
      <c r="M753" s="243"/>
      <c r="N753" s="678"/>
      <c r="O753" s="678"/>
      <c r="P753" s="678"/>
      <c r="Q753" s="673"/>
      <c r="R753" s="673"/>
      <c r="S753" s="673"/>
      <c r="T753" s="673"/>
      <c r="U753" s="673"/>
      <c r="V753" s="673"/>
      <c r="W753" s="490"/>
      <c r="X753" s="676"/>
      <c r="Y753" s="676"/>
      <c r="Z753" s="676"/>
      <c r="AA753" s="676"/>
      <c r="AB753" s="675"/>
      <c r="AC753" s="490"/>
      <c r="AD753" s="490"/>
      <c r="AE753" s="490"/>
      <c r="AF753" s="490"/>
      <c r="AG753" s="490"/>
      <c r="AH753" s="490"/>
      <c r="AI753" s="490"/>
      <c r="AJ753" s="490"/>
      <c r="AK753" s="490"/>
      <c r="AL753" s="490"/>
      <c r="AM753" s="490"/>
      <c r="AN753" s="490"/>
      <c r="AO753" s="490"/>
      <c r="AP753" s="490"/>
      <c r="AQ753" s="490"/>
      <c r="AR753" s="490"/>
      <c r="AS753" s="490"/>
      <c r="AT753" s="490"/>
      <c r="AU753" s="490"/>
      <c r="AV753" s="490"/>
      <c r="AW753" s="490"/>
      <c r="AX753" s="490"/>
      <c r="AY753" s="490"/>
      <c r="AZ753" s="491"/>
      <c r="BA753" s="491"/>
      <c r="BB753" s="491"/>
    </row>
    <row r="754" spans="1:54" ht="15.75" hidden="1" outlineLevel="2" x14ac:dyDescent="0.2">
      <c r="A754" s="243"/>
      <c r="B754" s="243"/>
      <c r="C754" s="243"/>
      <c r="D754" s="663" t="s">
        <v>1</v>
      </c>
      <c r="E754" s="663"/>
      <c r="F754" s="751">
        <f>FirstYear</f>
        <v>2021</v>
      </c>
      <c r="G754" s="751">
        <f>F754+1</f>
        <v>2022</v>
      </c>
      <c r="H754" s="751">
        <f>G754+1</f>
        <v>2023</v>
      </c>
      <c r="I754" s="751">
        <f>H754+1</f>
        <v>2024</v>
      </c>
      <c r="J754" s="751">
        <f>I754+1</f>
        <v>2025</v>
      </c>
      <c r="K754" s="751">
        <f>J754+1</f>
        <v>2026</v>
      </c>
      <c r="L754" s="491"/>
      <c r="M754" s="243"/>
      <c r="N754" s="685"/>
      <c r="O754" s="685"/>
      <c r="P754" s="685"/>
      <c r="Q754" s="673"/>
      <c r="R754" s="673"/>
      <c r="S754" s="673"/>
      <c r="T754" s="673"/>
      <c r="U754" s="673"/>
      <c r="V754" s="673"/>
      <c r="W754" s="491"/>
      <c r="X754" s="676"/>
      <c r="Y754" s="676"/>
      <c r="Z754" s="676"/>
      <c r="AA754" s="676"/>
      <c r="AB754" s="675"/>
      <c r="AC754" s="490"/>
      <c r="AD754" s="490"/>
      <c r="AE754" s="490"/>
      <c r="AF754" s="490"/>
      <c r="AG754" s="490"/>
      <c r="AH754" s="490"/>
      <c r="AI754" s="490"/>
      <c r="AJ754" s="490"/>
      <c r="AK754" s="490"/>
      <c r="AL754" s="490"/>
      <c r="AM754" s="490"/>
      <c r="AN754" s="490"/>
      <c r="AO754" s="490"/>
      <c r="AP754" s="490"/>
      <c r="AQ754" s="490"/>
      <c r="AR754" s="490"/>
      <c r="AS754" s="490"/>
      <c r="AT754" s="490"/>
      <c r="AU754" s="490"/>
      <c r="AV754" s="490"/>
      <c r="AW754" s="490"/>
      <c r="AX754" s="490"/>
      <c r="AY754" s="490"/>
      <c r="AZ754" s="491"/>
      <c r="BA754" s="491"/>
      <c r="BB754" s="491"/>
    </row>
    <row r="755" spans="1:54" hidden="1" outlineLevel="2" x14ac:dyDescent="0.2">
      <c r="A755" s="243"/>
      <c r="B755" s="243"/>
      <c r="C755" s="243"/>
      <c r="D755" s="243"/>
      <c r="E755" s="433" t="s">
        <v>951</v>
      </c>
      <c r="F755" s="283">
        <f t="shared" ref="F755:K755" si="513">F756*INDEX(MBSDecCalc,$C744,3)</f>
        <v>0</v>
      </c>
      <c r="G755" s="283">
        <f t="shared" si="513"/>
        <v>0</v>
      </c>
      <c r="H755" s="283">
        <f t="shared" si="513"/>
        <v>0</v>
      </c>
      <c r="I755" s="283">
        <f t="shared" si="513"/>
        <v>0</v>
      </c>
      <c r="J755" s="283">
        <f t="shared" si="513"/>
        <v>0</v>
      </c>
      <c r="K755" s="283">
        <f t="shared" si="513"/>
        <v>0</v>
      </c>
      <c r="L755" s="490"/>
      <c r="M755" s="615"/>
      <c r="N755" s="615"/>
      <c r="O755" s="678"/>
      <c r="P755" s="678"/>
      <c r="Q755" s="673"/>
      <c r="R755" s="673"/>
      <c r="S755" s="673"/>
      <c r="T755" s="673"/>
      <c r="U755" s="673"/>
      <c r="V755" s="673"/>
      <c r="W755" s="490"/>
      <c r="X755" s="676"/>
      <c r="Y755" s="676"/>
      <c r="Z755" s="676"/>
      <c r="AA755" s="676"/>
      <c r="AB755" s="675"/>
      <c r="AC755" s="490"/>
      <c r="AD755" s="490"/>
      <c r="AE755" s="490"/>
      <c r="AF755" s="490"/>
      <c r="AG755" s="490"/>
      <c r="AH755" s="490"/>
      <c r="AI755" s="490"/>
      <c r="AJ755" s="490"/>
      <c r="AK755" s="490"/>
      <c r="AL755" s="490"/>
      <c r="AM755" s="490"/>
      <c r="AN755" s="490"/>
      <c r="AO755" s="490"/>
      <c r="AP755" s="490"/>
      <c r="AQ755" s="490"/>
      <c r="AR755" s="490"/>
      <c r="AS755" s="490"/>
      <c r="AT755" s="490"/>
      <c r="AU755" s="490"/>
      <c r="AV755" s="490"/>
      <c r="AW755" s="490"/>
      <c r="AX755" s="490"/>
      <c r="AY755" s="490"/>
      <c r="AZ755" s="491"/>
      <c r="BA755" s="491"/>
      <c r="BB755" s="491"/>
    </row>
    <row r="756" spans="1:54" hidden="1" outlineLevel="2" x14ac:dyDescent="0.2">
      <c r="A756" s="243"/>
      <c r="B756" s="672"/>
      <c r="C756" s="242" t="str">
        <f>C748</f>
        <v/>
      </c>
      <c r="D756" s="243"/>
      <c r="E756" s="62" t="s">
        <v>1310</v>
      </c>
      <c r="F756" s="63">
        <f t="shared" ref="F756:K756" si="514">IF(INDEX(MBSDecRate,$C744,2)=2,IFERROR(INDEX(RPBSScriptsChanged,$C756,F753),0),IFERROR(INDEX(MBSRPBSDec,$C744,INDEX(MBSDecRate,$C744,3)*7+F753),0) * IFERROR(INDEX(MBSDecPopSplit,$C744),0)) * INDEX(MBSDecRate,$C744,1) * INDEX(MBSDecRate,$C744,4)</f>
        <v>0</v>
      </c>
      <c r="G756" s="63">
        <f t="shared" si="514"/>
        <v>0</v>
      </c>
      <c r="H756" s="63">
        <f t="shared" si="514"/>
        <v>0</v>
      </c>
      <c r="I756" s="63">
        <f t="shared" si="514"/>
        <v>0</v>
      </c>
      <c r="J756" s="63">
        <f t="shared" si="514"/>
        <v>0</v>
      </c>
      <c r="K756" s="63">
        <f t="shared" si="514"/>
        <v>0</v>
      </c>
      <c r="L756" s="490"/>
      <c r="M756" s="243"/>
      <c r="N756" s="753"/>
      <c r="O756" s="678"/>
      <c r="P756" s="678"/>
      <c r="Q756" s="673"/>
      <c r="R756" s="673"/>
      <c r="S756" s="673"/>
      <c r="T756" s="673"/>
      <c r="U756" s="673"/>
      <c r="V756" s="673"/>
      <c r="W756" s="490"/>
      <c r="X756" s="676"/>
      <c r="Y756" s="676"/>
      <c r="Z756" s="676"/>
      <c r="AA756" s="676"/>
      <c r="AB756" s="675"/>
      <c r="AC756" s="490"/>
      <c r="AD756" s="490"/>
      <c r="AE756" s="490"/>
      <c r="AF756" s="490"/>
      <c r="AG756" s="490"/>
      <c r="AH756" s="490"/>
      <c r="AI756" s="490"/>
      <c r="AJ756" s="490"/>
      <c r="AK756" s="490"/>
      <c r="AL756" s="490"/>
      <c r="AM756" s="490"/>
      <c r="AN756" s="490"/>
      <c r="AO756" s="490"/>
      <c r="AP756" s="490"/>
      <c r="AQ756" s="490"/>
      <c r="AR756" s="490"/>
      <c r="AS756" s="490"/>
      <c r="AT756" s="490"/>
      <c r="AU756" s="490"/>
      <c r="AV756" s="490"/>
      <c r="AW756" s="490"/>
      <c r="AX756" s="490"/>
      <c r="AY756" s="490"/>
      <c r="AZ756" s="491"/>
      <c r="BA756" s="491"/>
      <c r="BB756" s="491"/>
    </row>
    <row r="757" spans="1:54" hidden="1" outlineLevel="2" x14ac:dyDescent="0.2">
      <c r="A757" s="243"/>
      <c r="B757" s="242">
        <v>5</v>
      </c>
      <c r="C757" s="242">
        <v>6</v>
      </c>
      <c r="D757" s="243"/>
      <c r="E757" s="496" t="s">
        <v>1307</v>
      </c>
      <c r="F757" s="63" t="str">
        <f t="shared" ref="F757:K757" si="515">IFERROR(F756*INDEX(MBSDecItems,$C744,$B757)*INDEX(MBSDecItems,$C744,$C757),"")</f>
        <v/>
      </c>
      <c r="G757" s="63" t="str">
        <f t="shared" si="515"/>
        <v/>
      </c>
      <c r="H757" s="63" t="str">
        <f t="shared" si="515"/>
        <v/>
      </c>
      <c r="I757" s="63" t="str">
        <f t="shared" si="515"/>
        <v/>
      </c>
      <c r="J757" s="63" t="str">
        <f t="shared" si="515"/>
        <v/>
      </c>
      <c r="K757" s="63" t="str">
        <f t="shared" si="515"/>
        <v/>
      </c>
      <c r="L757" s="490"/>
      <c r="M757" s="683"/>
      <c r="N757" s="753"/>
      <c r="O757" s="678"/>
      <c r="P757" s="678"/>
      <c r="Q757" s="673"/>
      <c r="R757" s="673"/>
      <c r="S757" s="673"/>
      <c r="T757" s="673"/>
      <c r="U757" s="673"/>
      <c r="V757" s="673"/>
      <c r="W757" s="490"/>
      <c r="X757" s="676"/>
      <c r="Y757" s="676"/>
      <c r="Z757" s="676"/>
      <c r="AA757" s="676"/>
      <c r="AB757" s="676"/>
      <c r="AC757" s="490"/>
      <c r="AD757" s="490"/>
      <c r="AE757" s="490"/>
      <c r="AF757" s="490"/>
      <c r="AG757" s="490"/>
      <c r="AH757" s="490"/>
      <c r="AI757" s="490"/>
      <c r="AJ757" s="490"/>
      <c r="AK757" s="490"/>
      <c r="AL757" s="490"/>
      <c r="AM757" s="490"/>
      <c r="AN757" s="490"/>
      <c r="AO757" s="490"/>
      <c r="AP757" s="490"/>
      <c r="AQ757" s="490"/>
      <c r="AR757" s="490"/>
      <c r="AS757" s="490"/>
      <c r="AT757" s="490"/>
      <c r="AU757" s="490"/>
      <c r="AV757" s="490"/>
      <c r="AW757" s="490"/>
      <c r="AX757" s="490"/>
      <c r="AY757" s="490"/>
      <c r="AZ757" s="491"/>
      <c r="BA757" s="491"/>
      <c r="BB757" s="491"/>
    </row>
    <row r="758" spans="1:54" hidden="1" outlineLevel="2" x14ac:dyDescent="0.2">
      <c r="A758" s="243"/>
      <c r="B758" s="242">
        <v>4</v>
      </c>
      <c r="C758" s="242">
        <v>6</v>
      </c>
      <c r="D758" s="243"/>
      <c r="E758" s="496" t="s">
        <v>1306</v>
      </c>
      <c r="F758" s="63" t="str">
        <f t="shared" ref="F758:K758" si="516">IFERROR(F756*INDEX(MBSDecItems,$C744,$B758)*INDEX(MBSDecItems,$C744,$C758),"")</f>
        <v/>
      </c>
      <c r="G758" s="63" t="str">
        <f t="shared" si="516"/>
        <v/>
      </c>
      <c r="H758" s="63" t="str">
        <f t="shared" si="516"/>
        <v/>
      </c>
      <c r="I758" s="63" t="str">
        <f t="shared" si="516"/>
        <v/>
      </c>
      <c r="J758" s="63" t="str">
        <f t="shared" si="516"/>
        <v/>
      </c>
      <c r="K758" s="63" t="str">
        <f t="shared" si="516"/>
        <v/>
      </c>
      <c r="L758" s="490"/>
      <c r="M758" s="684"/>
      <c r="N758" s="682"/>
      <c r="O758" s="678"/>
      <c r="P758" s="678"/>
      <c r="Q758" s="673"/>
      <c r="R758" s="673"/>
      <c r="S758" s="673"/>
      <c r="T758" s="673"/>
      <c r="U758" s="673"/>
      <c r="V758" s="673"/>
      <c r="W758" s="490"/>
      <c r="X758" s="676"/>
      <c r="Y758" s="676"/>
      <c r="Z758" s="676"/>
      <c r="AA758" s="676"/>
      <c r="AB758" s="676"/>
      <c r="AC758" s="490"/>
      <c r="AD758" s="490"/>
      <c r="AE758" s="490"/>
      <c r="AF758" s="490"/>
      <c r="AG758" s="490"/>
      <c r="AH758" s="490"/>
      <c r="AI758" s="490"/>
      <c r="AJ758" s="490"/>
      <c r="AK758" s="490"/>
      <c r="AL758" s="490"/>
      <c r="AM758" s="490"/>
      <c r="AN758" s="490"/>
      <c r="AO758" s="490"/>
      <c r="AP758" s="490"/>
      <c r="AQ758" s="490"/>
      <c r="AR758" s="490"/>
      <c r="AS758" s="490"/>
      <c r="AT758" s="490"/>
      <c r="AU758" s="490"/>
      <c r="AV758" s="490"/>
      <c r="AW758" s="490"/>
      <c r="AX758" s="490"/>
      <c r="AY758" s="490"/>
      <c r="AZ758" s="491"/>
      <c r="BA758" s="491"/>
      <c r="BB758" s="491"/>
    </row>
    <row r="759" spans="1:54" hidden="1" outlineLevel="2" x14ac:dyDescent="0.2">
      <c r="A759" s="243"/>
      <c r="B759" s="242"/>
      <c r="C759" s="242">
        <v>7</v>
      </c>
      <c r="D759" s="243"/>
      <c r="E759" s="497" t="s">
        <v>1308</v>
      </c>
      <c r="F759" s="63" t="str">
        <f t="shared" ref="F759:K759" si="517">IFERROR(F756*INDEX(MBSDecItems,$C744,$C759),"")</f>
        <v/>
      </c>
      <c r="G759" s="63" t="str">
        <f t="shared" si="517"/>
        <v/>
      </c>
      <c r="H759" s="63" t="str">
        <f t="shared" si="517"/>
        <v/>
      </c>
      <c r="I759" s="63" t="str">
        <f t="shared" si="517"/>
        <v/>
      </c>
      <c r="J759" s="63" t="str">
        <f t="shared" si="517"/>
        <v/>
      </c>
      <c r="K759" s="63" t="str">
        <f t="shared" si="517"/>
        <v/>
      </c>
      <c r="L759" s="490"/>
      <c r="M759" s="684"/>
      <c r="N759" s="682"/>
      <c r="O759" s="678"/>
      <c r="P759" s="678"/>
      <c r="Q759" s="673"/>
      <c r="R759" s="673"/>
      <c r="S759" s="673"/>
      <c r="T759" s="673"/>
      <c r="U759" s="673"/>
      <c r="V759" s="673"/>
      <c r="W759" s="490"/>
      <c r="X759" s="676"/>
      <c r="Y759" s="676"/>
      <c r="Z759" s="676"/>
      <c r="AA759" s="676"/>
      <c r="AB759" s="676"/>
      <c r="AC759" s="490"/>
      <c r="AD759" s="490"/>
      <c r="AE759" s="490"/>
      <c r="AF759" s="490"/>
      <c r="AG759" s="490"/>
      <c r="AH759" s="490"/>
      <c r="AI759" s="490"/>
      <c r="AJ759" s="490"/>
      <c r="AK759" s="490"/>
      <c r="AL759" s="490"/>
      <c r="AM759" s="490"/>
      <c r="AN759" s="490"/>
      <c r="AO759" s="490"/>
      <c r="AP759" s="490"/>
      <c r="AQ759" s="490"/>
      <c r="AR759" s="490"/>
      <c r="AS759" s="490"/>
      <c r="AT759" s="490"/>
      <c r="AU759" s="490"/>
      <c r="AV759" s="490"/>
      <c r="AW759" s="490"/>
      <c r="AX759" s="490"/>
      <c r="AY759" s="490"/>
      <c r="AZ759" s="491"/>
      <c r="BA759" s="491"/>
      <c r="BB759" s="491"/>
    </row>
    <row r="760" spans="1:54" hidden="1" outlineLevel="1" x14ac:dyDescent="0.2">
      <c r="A760" s="243"/>
      <c r="B760" s="243"/>
      <c r="C760" s="243"/>
      <c r="D760" s="677"/>
      <c r="E760" s="677"/>
      <c r="F760" s="243"/>
      <c r="G760" s="243"/>
      <c r="H760" s="243"/>
      <c r="I760" s="243"/>
      <c r="J760" s="243"/>
      <c r="K760" s="243"/>
      <c r="L760" s="243"/>
      <c r="M760" s="243"/>
      <c r="N760" s="678"/>
      <c r="O760" s="678"/>
      <c r="P760" s="678"/>
      <c r="Q760" s="673"/>
      <c r="R760" s="673"/>
      <c r="S760" s="673"/>
      <c r="T760" s="673"/>
      <c r="U760" s="673"/>
      <c r="V760" s="673"/>
      <c r="W760" s="490"/>
      <c r="X760" s="676"/>
      <c r="Y760" s="676"/>
      <c r="Z760" s="676"/>
      <c r="AA760" s="676"/>
      <c r="AB760" s="676"/>
      <c r="AC760" s="490"/>
      <c r="AD760" s="490"/>
      <c r="AE760" s="490"/>
      <c r="AF760" s="490"/>
      <c r="AG760" s="490"/>
      <c r="AH760" s="490"/>
      <c r="AI760" s="490"/>
      <c r="AJ760" s="490"/>
      <c r="AK760" s="490"/>
      <c r="AL760" s="490"/>
      <c r="AM760" s="490"/>
      <c r="AN760" s="490"/>
      <c r="AO760" s="490"/>
      <c r="AP760" s="490"/>
      <c r="AQ760" s="490"/>
      <c r="AR760" s="490"/>
      <c r="AS760" s="490"/>
      <c r="AT760" s="490"/>
      <c r="AU760" s="490"/>
      <c r="AV760" s="490"/>
      <c r="AW760" s="490"/>
      <c r="AX760" s="490"/>
      <c r="AY760" s="490"/>
      <c r="AZ760" s="491"/>
      <c r="BA760" s="491"/>
      <c r="BB760" s="491"/>
    </row>
    <row r="761" spans="1:54" ht="15.75" hidden="1" outlineLevel="1" x14ac:dyDescent="0.2">
      <c r="A761" s="243"/>
      <c r="B761" s="243"/>
      <c r="C761" s="242">
        <v>16</v>
      </c>
      <c r="D761" s="79" t="str">
        <f>INDEX(MBSDecNames,C761)</f>
        <v>** NOT USED **</v>
      </c>
      <c r="E761" s="79"/>
      <c r="F761" s="115"/>
      <c r="G761" s="115"/>
      <c r="H761" s="115"/>
      <c r="I761" s="115"/>
      <c r="J761" s="821" t="str">
        <f>IF(D761&lt;&gt;MsgNotUsed,"Co-payment group " &amp; K590,"")</f>
        <v/>
      </c>
      <c r="K761" s="821"/>
      <c r="L761" s="115"/>
      <c r="M761" s="115"/>
      <c r="N761" s="115"/>
      <c r="O761" s="115"/>
      <c r="P761" s="115"/>
      <c r="Q761" s="115"/>
      <c r="R761" s="115"/>
      <c r="S761" s="115"/>
      <c r="T761" s="115"/>
      <c r="U761" s="115"/>
      <c r="V761" s="115"/>
      <c r="W761" s="491"/>
      <c r="X761" s="490"/>
      <c r="Y761" s="490"/>
      <c r="Z761" s="490"/>
      <c r="AA761" s="490"/>
      <c r="AB761" s="676"/>
      <c r="AC761" s="490"/>
      <c r="AD761" s="490"/>
      <c r="AE761" s="490"/>
      <c r="AF761" s="490"/>
      <c r="AG761" s="490"/>
      <c r="AH761" s="490"/>
      <c r="AI761" s="490"/>
      <c r="AJ761" s="490"/>
      <c r="AK761" s="490"/>
      <c r="AL761" s="490"/>
      <c r="AM761" s="490"/>
      <c r="AN761" s="490"/>
      <c r="AO761" s="490"/>
      <c r="AP761" s="490"/>
      <c r="AQ761" s="490"/>
      <c r="AR761" s="490"/>
      <c r="AS761" s="490"/>
      <c r="AT761" s="490"/>
      <c r="AU761" s="490"/>
      <c r="AV761" s="490"/>
      <c r="AW761" s="490"/>
      <c r="AX761" s="490"/>
      <c r="AY761" s="490"/>
      <c r="AZ761" s="491"/>
      <c r="BA761" s="491"/>
      <c r="BB761" s="491"/>
    </row>
    <row r="762" spans="1:54" hidden="1" outlineLevel="2" x14ac:dyDescent="0.2">
      <c r="A762" s="243"/>
      <c r="B762" s="243"/>
      <c r="C762" s="243"/>
      <c r="D762" s="243"/>
      <c r="E762" s="243"/>
      <c r="F762" s="495">
        <v>2</v>
      </c>
      <c r="G762" s="495">
        <v>3</v>
      </c>
      <c r="H762" s="495">
        <v>4</v>
      </c>
      <c r="I762" s="495">
        <v>5</v>
      </c>
      <c r="J762" s="495">
        <v>6</v>
      </c>
      <c r="K762" s="495">
        <v>7</v>
      </c>
      <c r="L762" s="495"/>
      <c r="M762" s="243"/>
      <c r="N762" s="243"/>
      <c r="O762" s="243"/>
      <c r="P762" s="243"/>
      <c r="Q762" s="243"/>
      <c r="R762" s="243"/>
      <c r="S762" s="243"/>
      <c r="T762" s="243"/>
      <c r="U762" s="243"/>
      <c r="V762" s="243"/>
      <c r="W762" s="490"/>
      <c r="X762" s="490"/>
      <c r="Y762" s="490"/>
      <c r="Z762" s="490"/>
      <c r="AA762" s="490"/>
      <c r="AB762" s="676"/>
      <c r="AC762" s="490"/>
      <c r="AD762" s="490"/>
      <c r="AE762" s="490"/>
      <c r="AF762" s="490"/>
      <c r="AG762" s="490"/>
      <c r="AH762" s="490"/>
      <c r="AI762" s="490"/>
      <c r="AJ762" s="490"/>
      <c r="AK762" s="490"/>
      <c r="AL762" s="490"/>
      <c r="AM762" s="490"/>
      <c r="AN762" s="490"/>
      <c r="AO762" s="490"/>
      <c r="AP762" s="490"/>
      <c r="AQ762" s="490"/>
      <c r="AR762" s="490"/>
      <c r="AS762" s="490"/>
      <c r="AT762" s="490"/>
      <c r="AU762" s="490"/>
      <c r="AV762" s="490"/>
      <c r="AW762" s="490"/>
      <c r="AX762" s="490"/>
      <c r="AY762" s="490"/>
      <c r="AZ762" s="491"/>
      <c r="BA762" s="491"/>
      <c r="BB762" s="491"/>
    </row>
    <row r="763" spans="1:54" ht="15" hidden="1" outlineLevel="2" x14ac:dyDescent="0.2">
      <c r="A763" s="243"/>
      <c r="B763" s="243"/>
      <c r="C763" s="243"/>
      <c r="D763" s="663" t="s">
        <v>0</v>
      </c>
      <c r="E763" s="663"/>
      <c r="F763" s="729">
        <f>FirstYear</f>
        <v>2021</v>
      </c>
      <c r="G763" s="729">
        <f>F763+1</f>
        <v>2022</v>
      </c>
      <c r="H763" s="729">
        <f>G763+1</f>
        <v>2023</v>
      </c>
      <c r="I763" s="729">
        <f>H763+1</f>
        <v>2024</v>
      </c>
      <c r="J763" s="729">
        <f>I763+1</f>
        <v>2025</v>
      </c>
      <c r="K763" s="729">
        <f>J763+1</f>
        <v>2026</v>
      </c>
      <c r="L763" s="491"/>
      <c r="M763" s="113"/>
      <c r="N763" s="679"/>
      <c r="O763" s="679"/>
      <c r="P763" s="679"/>
      <c r="Q763" s="674"/>
      <c r="R763" s="674"/>
      <c r="S763" s="674"/>
      <c r="T763" s="674"/>
      <c r="U763" s="674"/>
      <c r="V763" s="674"/>
      <c r="W763" s="491"/>
      <c r="X763" s="674"/>
      <c r="Y763" s="674"/>
      <c r="Z763" s="674"/>
      <c r="AA763" s="674"/>
      <c r="AB763" s="676"/>
      <c r="AC763" s="490"/>
      <c r="AD763" s="490"/>
      <c r="AE763" s="490"/>
      <c r="AF763" s="490"/>
      <c r="AG763" s="490"/>
      <c r="AH763" s="490"/>
      <c r="AI763" s="490"/>
      <c r="AJ763" s="490"/>
      <c r="AK763" s="490"/>
      <c r="AL763" s="490"/>
      <c r="AM763" s="490"/>
      <c r="AN763" s="490"/>
      <c r="AO763" s="490"/>
      <c r="AP763" s="490"/>
      <c r="AQ763" s="490"/>
      <c r="AR763" s="490"/>
      <c r="AS763" s="490"/>
      <c r="AT763" s="490"/>
      <c r="AU763" s="490"/>
      <c r="AV763" s="490"/>
      <c r="AW763" s="490"/>
      <c r="AX763" s="490"/>
      <c r="AY763" s="490"/>
      <c r="AZ763" s="491"/>
      <c r="BA763" s="491"/>
      <c r="BB763" s="491"/>
    </row>
    <row r="764" spans="1:54" hidden="1" outlineLevel="2" collapsed="1" x14ac:dyDescent="0.2">
      <c r="A764" s="243"/>
      <c r="B764" s="243"/>
      <c r="C764" s="243"/>
      <c r="D764" s="243"/>
      <c r="E764" s="433" t="s">
        <v>951</v>
      </c>
      <c r="F764" s="283">
        <f t="shared" ref="F764:K764" si="518">F765*INDEX(MBSDecCalc,$C761,3)</f>
        <v>0</v>
      </c>
      <c r="G764" s="283">
        <f t="shared" si="518"/>
        <v>0</v>
      </c>
      <c r="H764" s="283">
        <f t="shared" si="518"/>
        <v>0</v>
      </c>
      <c r="I764" s="283">
        <f t="shared" si="518"/>
        <v>0</v>
      </c>
      <c r="J764" s="283">
        <f t="shared" si="518"/>
        <v>0</v>
      </c>
      <c r="K764" s="283">
        <f t="shared" si="518"/>
        <v>0</v>
      </c>
      <c r="L764" s="490"/>
      <c r="M764" s="680"/>
      <c r="N764" s="664"/>
      <c r="O764" s="664"/>
      <c r="P764" s="664"/>
      <c r="Q764" s="681"/>
      <c r="R764" s="681"/>
      <c r="S764" s="681"/>
      <c r="T764" s="681"/>
      <c r="U764" s="681"/>
      <c r="V764" s="681"/>
      <c r="W764" s="493"/>
      <c r="X764" s="561">
        <f>INDEX(MBSDecItems,C761,1)</f>
        <v>0</v>
      </c>
      <c r="Y764" s="561">
        <f>FirstYear</f>
        <v>2021</v>
      </c>
      <c r="Z764" s="560">
        <f>IF(F765&lt;&gt;0,F765-F767,0)</f>
        <v>0</v>
      </c>
      <c r="AA764" s="560">
        <f>IF(F773&lt;&gt;0,F773-F775,0)</f>
        <v>0</v>
      </c>
      <c r="AB764" s="676"/>
      <c r="AC764" s="490"/>
      <c r="AD764" s="490"/>
      <c r="AE764" s="490"/>
      <c r="AF764" s="490"/>
      <c r="AG764" s="490"/>
      <c r="AH764" s="490"/>
      <c r="AI764" s="490"/>
      <c r="AJ764" s="490"/>
      <c r="AK764" s="490"/>
      <c r="AL764" s="490"/>
      <c r="AM764" s="490"/>
      <c r="AN764" s="490"/>
      <c r="AO764" s="490"/>
      <c r="AP764" s="490"/>
      <c r="AQ764" s="490"/>
      <c r="AR764" s="490"/>
      <c r="AS764" s="490"/>
      <c r="AT764" s="490"/>
      <c r="AU764" s="490"/>
      <c r="AV764" s="490"/>
      <c r="AW764" s="490"/>
      <c r="AX764" s="490"/>
      <c r="AY764" s="490"/>
      <c r="AZ764" s="491"/>
      <c r="BA764" s="491"/>
      <c r="BB764" s="491"/>
    </row>
    <row r="765" spans="1:54" hidden="1" outlineLevel="2" x14ac:dyDescent="0.2">
      <c r="A765" s="243"/>
      <c r="B765" s="672"/>
      <c r="C765" s="242" t="str">
        <f>INDEX(MBSDecCalc,C761,2)</f>
        <v/>
      </c>
      <c r="D765" s="243"/>
      <c r="E765" s="62" t="s">
        <v>1310</v>
      </c>
      <c r="F765" s="63">
        <f t="shared" ref="F765:K765" si="519">IF(INDEX(MBSDecRate,$C761,2)=2,IFERROR(INDEX(PBSScriptsChanged,$C765,F762),0),IFERROR(INDEX(MBSPBSDec,$C761,INDEX(MBSDecRate,$C761,3)*7+F762),0) * IFERROR(INDEX(MBSDecPopSplit,$C761),0)) * INDEX(MBSDecRate,$C761,1) * INDEX(MBSDecRate,$C761,4)</f>
        <v>0</v>
      </c>
      <c r="G765" s="63">
        <f t="shared" si="519"/>
        <v>0</v>
      </c>
      <c r="H765" s="63">
        <f t="shared" si="519"/>
        <v>0</v>
      </c>
      <c r="I765" s="63">
        <f t="shared" si="519"/>
        <v>0</v>
      </c>
      <c r="J765" s="63">
        <f t="shared" si="519"/>
        <v>0</v>
      </c>
      <c r="K765" s="63">
        <f t="shared" si="519"/>
        <v>0</v>
      </c>
      <c r="L765" s="490"/>
      <c r="M765" s="493"/>
      <c r="N765" s="493"/>
      <c r="O765" s="664"/>
      <c r="P765" s="664"/>
      <c r="Q765" s="681"/>
      <c r="R765" s="681"/>
      <c r="S765" s="681"/>
      <c r="T765" s="681"/>
      <c r="U765" s="681"/>
      <c r="V765" s="681"/>
      <c r="W765" s="493"/>
      <c r="X765" s="561">
        <f>X764</f>
        <v>0</v>
      </c>
      <c r="Y765" s="561">
        <f>Y764+1</f>
        <v>2022</v>
      </c>
      <c r="Z765" s="560">
        <f>IF(G765&lt;&gt;0,G765-G767,0)</f>
        <v>0</v>
      </c>
      <c r="AA765" s="560">
        <f>IF(G773&lt;&gt;0,G773-G775,0)</f>
        <v>0</v>
      </c>
      <c r="AB765" s="676"/>
      <c r="AC765" s="490"/>
      <c r="AD765" s="490"/>
      <c r="AE765" s="490"/>
      <c r="AF765" s="490"/>
      <c r="AG765" s="490"/>
      <c r="AH765" s="490"/>
      <c r="AI765" s="490"/>
      <c r="AJ765" s="490"/>
      <c r="AK765" s="490"/>
      <c r="AL765" s="490"/>
      <c r="AM765" s="490"/>
      <c r="AN765" s="490"/>
      <c r="AO765" s="490"/>
      <c r="AP765" s="490"/>
      <c r="AQ765" s="490"/>
      <c r="AR765" s="490"/>
      <c r="AS765" s="490"/>
      <c r="AT765" s="490"/>
      <c r="AU765" s="490"/>
      <c r="AV765" s="490"/>
      <c r="AW765" s="490"/>
      <c r="AX765" s="490"/>
      <c r="AY765" s="490"/>
      <c r="AZ765" s="491"/>
      <c r="BA765" s="491"/>
      <c r="BB765" s="491"/>
    </row>
    <row r="766" spans="1:54" hidden="1" outlineLevel="2" x14ac:dyDescent="0.2">
      <c r="A766" s="243"/>
      <c r="B766" s="242">
        <v>5</v>
      </c>
      <c r="C766" s="242">
        <v>6</v>
      </c>
      <c r="D766" s="243"/>
      <c r="E766" s="496" t="s">
        <v>1307</v>
      </c>
      <c r="F766" s="63" t="str">
        <f t="shared" ref="F766:K766" si="520">IFERROR(F765*INDEX(MBSDecItems,$C761,$B766)*INDEX(MBSDecItems,$C761,$C766),"")</f>
        <v/>
      </c>
      <c r="G766" s="63" t="str">
        <f t="shared" si="520"/>
        <v/>
      </c>
      <c r="H766" s="63" t="str">
        <f t="shared" si="520"/>
        <v/>
      </c>
      <c r="I766" s="63" t="str">
        <f t="shared" si="520"/>
        <v/>
      </c>
      <c r="J766" s="63" t="str">
        <f t="shared" si="520"/>
        <v/>
      </c>
      <c r="K766" s="63" t="str">
        <f t="shared" si="520"/>
        <v/>
      </c>
      <c r="L766" s="490"/>
      <c r="M766" s="493"/>
      <c r="N766" s="493"/>
      <c r="O766" s="682"/>
      <c r="P766" s="754"/>
      <c r="Q766" s="681"/>
      <c r="R766" s="681"/>
      <c r="S766" s="681"/>
      <c r="T766" s="681"/>
      <c r="U766" s="681"/>
      <c r="V766" s="681"/>
      <c r="W766" s="493"/>
      <c r="X766" s="561">
        <f t="shared" ref="X766:X769" si="521">X765</f>
        <v>0</v>
      </c>
      <c r="Y766" s="561">
        <f>Y765+1</f>
        <v>2023</v>
      </c>
      <c r="Z766" s="560">
        <f>IF(H765&lt;&gt;0,H765-H767,0)</f>
        <v>0</v>
      </c>
      <c r="AA766" s="560">
        <f>IF(H773&lt;&gt;0,H773-H775,0)</f>
        <v>0</v>
      </c>
      <c r="AB766" s="676"/>
      <c r="AC766" s="490"/>
      <c r="AD766" s="490"/>
      <c r="AE766" s="490"/>
      <c r="AF766" s="490"/>
      <c r="AG766" s="490"/>
      <c r="AH766" s="490"/>
      <c r="AI766" s="490"/>
      <c r="AJ766" s="490"/>
      <c r="AK766" s="490"/>
      <c r="AL766" s="490"/>
      <c r="AM766" s="490"/>
      <c r="AN766" s="490"/>
      <c r="AO766" s="490"/>
      <c r="AP766" s="490"/>
      <c r="AQ766" s="490"/>
      <c r="AR766" s="490"/>
      <c r="AS766" s="490"/>
      <c r="AT766" s="490"/>
      <c r="AU766" s="490"/>
      <c r="AV766" s="490"/>
      <c r="AW766" s="490"/>
      <c r="AX766" s="490"/>
      <c r="AY766" s="490"/>
      <c r="AZ766" s="491"/>
      <c r="BA766" s="491"/>
      <c r="BB766" s="491"/>
    </row>
    <row r="767" spans="1:54" hidden="1" outlineLevel="2" x14ac:dyDescent="0.2">
      <c r="A767" s="416"/>
      <c r="B767" s="242">
        <v>4</v>
      </c>
      <c r="C767" s="242">
        <v>6</v>
      </c>
      <c r="D767" s="243"/>
      <c r="E767" s="496" t="s">
        <v>1306</v>
      </c>
      <c r="F767" s="63" t="str">
        <f t="shared" ref="F767:K767" si="522">IFERROR(F765*INDEX(MBSDecItems,$C761,$B767)*INDEX(MBSDecItems,$C761,$C767),"")</f>
        <v/>
      </c>
      <c r="G767" s="63" t="str">
        <f t="shared" si="522"/>
        <v/>
      </c>
      <c r="H767" s="63" t="str">
        <f t="shared" si="522"/>
        <v/>
      </c>
      <c r="I767" s="63" t="str">
        <f t="shared" si="522"/>
        <v/>
      </c>
      <c r="J767" s="63" t="str">
        <f t="shared" si="522"/>
        <v/>
      </c>
      <c r="K767" s="63" t="str">
        <f t="shared" si="522"/>
        <v/>
      </c>
      <c r="L767" s="416"/>
      <c r="M767" s="416"/>
      <c r="N767" s="416"/>
      <c r="O767" s="416"/>
      <c r="P767" s="416"/>
      <c r="Q767" s="416"/>
      <c r="R767" s="416"/>
      <c r="S767" s="416"/>
      <c r="T767" s="416"/>
      <c r="U767" s="416"/>
      <c r="V767" s="416"/>
      <c r="W767" s="493"/>
      <c r="X767" s="561">
        <f t="shared" si="521"/>
        <v>0</v>
      </c>
      <c r="Y767" s="561">
        <f>Y766+1</f>
        <v>2024</v>
      </c>
      <c r="Z767" s="560">
        <f>IF(I765&lt;&gt;0,I765-I767,0)</f>
        <v>0</v>
      </c>
      <c r="AA767" s="560">
        <f>IF(I773&lt;&gt;0,I773-I775,0)</f>
        <v>0</v>
      </c>
      <c r="AB767" s="674"/>
      <c r="AC767" s="490"/>
      <c r="AD767" s="490"/>
      <c r="AE767" s="490"/>
      <c r="AF767" s="490"/>
      <c r="AG767" s="490"/>
      <c r="AH767" s="490"/>
      <c r="AI767" s="490"/>
      <c r="AJ767" s="490"/>
      <c r="AK767" s="490"/>
      <c r="AL767" s="490"/>
      <c r="AM767" s="490"/>
      <c r="AN767" s="490"/>
      <c r="AO767" s="490"/>
      <c r="AP767" s="490"/>
      <c r="AQ767" s="490"/>
      <c r="AR767" s="490"/>
      <c r="AS767" s="490"/>
      <c r="AT767" s="490"/>
      <c r="AU767" s="490"/>
      <c r="AV767" s="490"/>
      <c r="AW767" s="490"/>
      <c r="AX767" s="490"/>
      <c r="AY767" s="490"/>
      <c r="AZ767" s="491"/>
      <c r="BA767" s="491"/>
      <c r="BB767" s="491"/>
    </row>
    <row r="768" spans="1:54" hidden="1" outlineLevel="2" x14ac:dyDescent="0.2">
      <c r="A768" s="243"/>
      <c r="B768" s="242"/>
      <c r="C768" s="242">
        <v>7</v>
      </c>
      <c r="D768" s="243"/>
      <c r="E768" s="497" t="s">
        <v>1308</v>
      </c>
      <c r="F768" s="63" t="str">
        <f t="shared" ref="F768:K768" si="523">IFERROR(F765*INDEX(MBSDecItems,$C761,$C768),"")</f>
        <v/>
      </c>
      <c r="G768" s="63" t="str">
        <f t="shared" si="523"/>
        <v/>
      </c>
      <c r="H768" s="63" t="str">
        <f t="shared" si="523"/>
        <v/>
      </c>
      <c r="I768" s="63" t="str">
        <f t="shared" si="523"/>
        <v/>
      </c>
      <c r="J768" s="63" t="str">
        <f t="shared" si="523"/>
        <v/>
      </c>
      <c r="K768" s="63" t="str">
        <f t="shared" si="523"/>
        <v/>
      </c>
      <c r="L768" s="490"/>
      <c r="M768" s="493"/>
      <c r="N768" s="493"/>
      <c r="O768" s="682"/>
      <c r="P768" s="754"/>
      <c r="Q768" s="681"/>
      <c r="R768" s="681"/>
      <c r="S768" s="681"/>
      <c r="T768" s="681"/>
      <c r="U768" s="681"/>
      <c r="V768" s="681"/>
      <c r="W768" s="493"/>
      <c r="X768" s="561">
        <f t="shared" si="521"/>
        <v>0</v>
      </c>
      <c r="Y768" s="561">
        <f>Y767+1</f>
        <v>2025</v>
      </c>
      <c r="Z768" s="560">
        <f>IF(J765&lt;&gt;0,J765-J767,0)</f>
        <v>0</v>
      </c>
      <c r="AA768" s="560">
        <f>IF(J773&lt;&gt;0,J773-J775,0)</f>
        <v>0</v>
      </c>
      <c r="AB768" s="674"/>
      <c r="AC768" s="490"/>
      <c r="AD768" s="490"/>
      <c r="AE768" s="490"/>
      <c r="AF768" s="490"/>
      <c r="AG768" s="490"/>
      <c r="AH768" s="490"/>
      <c r="AI768" s="490"/>
      <c r="AJ768" s="490"/>
      <c r="AK768" s="490"/>
      <c r="AL768" s="490"/>
      <c r="AM768" s="490"/>
      <c r="AN768" s="490"/>
      <c r="AO768" s="490"/>
      <c r="AP768" s="490"/>
      <c r="AQ768" s="490"/>
      <c r="AR768" s="490"/>
      <c r="AS768" s="490"/>
      <c r="AT768" s="490"/>
      <c r="AU768" s="490"/>
      <c r="AV768" s="490"/>
      <c r="AW768" s="490"/>
      <c r="AX768" s="490"/>
      <c r="AY768" s="490"/>
      <c r="AZ768" s="491"/>
      <c r="BA768" s="491"/>
      <c r="BB768" s="491"/>
    </row>
    <row r="769" spans="1:54" hidden="1" outlineLevel="2" x14ac:dyDescent="0.2">
      <c r="A769" s="243"/>
      <c r="B769" s="493"/>
      <c r="C769" s="493"/>
      <c r="D769" s="493"/>
      <c r="E769" s="493"/>
      <c r="F769" s="493"/>
      <c r="G769" s="493"/>
      <c r="H769" s="493"/>
      <c r="I769" s="493"/>
      <c r="J769" s="493"/>
      <c r="K769" s="493"/>
      <c r="L769" s="490"/>
      <c r="M769" s="493"/>
      <c r="N769" s="493"/>
      <c r="O769" s="682"/>
      <c r="P769" s="682"/>
      <c r="Q769" s="681"/>
      <c r="R769" s="681"/>
      <c r="S769" s="681"/>
      <c r="T769" s="681"/>
      <c r="U769" s="681"/>
      <c r="V769" s="681"/>
      <c r="W769" s="493"/>
      <c r="X769" s="561">
        <f t="shared" si="521"/>
        <v>0</v>
      </c>
      <c r="Y769" s="561">
        <f>Y768+1</f>
        <v>2026</v>
      </c>
      <c r="Z769" s="560">
        <f>IF(K765&lt;&gt;0,K765-K767,0)</f>
        <v>0</v>
      </c>
      <c r="AA769" s="560">
        <f>IF(K773&lt;&gt;0,K773-K775,0)</f>
        <v>0</v>
      </c>
      <c r="AB769" s="675"/>
      <c r="AC769" s="490"/>
      <c r="AD769" s="490"/>
      <c r="AE769" s="490"/>
      <c r="AF769" s="490"/>
      <c r="AG769" s="490"/>
      <c r="AH769" s="490"/>
      <c r="AI769" s="490"/>
      <c r="AJ769" s="490"/>
      <c r="AK769" s="490"/>
      <c r="AL769" s="490"/>
      <c r="AM769" s="490"/>
      <c r="AN769" s="490"/>
      <c r="AO769" s="490"/>
      <c r="AP769" s="490"/>
      <c r="AQ769" s="490"/>
      <c r="AR769" s="490"/>
      <c r="AS769" s="490"/>
      <c r="AT769" s="490"/>
      <c r="AU769" s="490"/>
      <c r="AV769" s="490"/>
      <c r="AW769" s="490"/>
      <c r="AX769" s="490"/>
      <c r="AY769" s="490"/>
      <c r="AZ769" s="491"/>
      <c r="BA769" s="491"/>
      <c r="BB769" s="491"/>
    </row>
    <row r="770" spans="1:54" hidden="1" outlineLevel="2" x14ac:dyDescent="0.2">
      <c r="A770" s="243"/>
      <c r="B770" s="243"/>
      <c r="C770" s="243"/>
      <c r="D770" s="677"/>
      <c r="E770" s="677"/>
      <c r="F770" s="495">
        <v>2</v>
      </c>
      <c r="G770" s="495">
        <v>3</v>
      </c>
      <c r="H770" s="495">
        <v>4</v>
      </c>
      <c r="I770" s="495">
        <v>5</v>
      </c>
      <c r="J770" s="495">
        <v>6</v>
      </c>
      <c r="K770" s="495">
        <v>7</v>
      </c>
      <c r="L770" s="490"/>
      <c r="M770" s="243"/>
      <c r="N770" s="678"/>
      <c r="O770" s="678"/>
      <c r="P770" s="678"/>
      <c r="Q770" s="673"/>
      <c r="R770" s="673"/>
      <c r="S770" s="673"/>
      <c r="T770" s="673"/>
      <c r="U770" s="673"/>
      <c r="V770" s="673"/>
      <c r="W770" s="490"/>
      <c r="X770" s="676"/>
      <c r="Y770" s="676"/>
      <c r="Z770" s="676"/>
      <c r="AA770" s="676"/>
      <c r="AB770" s="675"/>
      <c r="AC770" s="490"/>
      <c r="AD770" s="490"/>
      <c r="AE770" s="490"/>
      <c r="AF770" s="490"/>
      <c r="AG770" s="490"/>
      <c r="AH770" s="490"/>
      <c r="AI770" s="490"/>
      <c r="AJ770" s="490"/>
      <c r="AK770" s="490"/>
      <c r="AL770" s="490"/>
      <c r="AM770" s="490"/>
      <c r="AN770" s="490"/>
      <c r="AO770" s="490"/>
      <c r="AP770" s="490"/>
      <c r="AQ770" s="490"/>
      <c r="AR770" s="490"/>
      <c r="AS770" s="490"/>
      <c r="AT770" s="490"/>
      <c r="AU770" s="490"/>
      <c r="AV770" s="490"/>
      <c r="AW770" s="490"/>
      <c r="AX770" s="490"/>
      <c r="AY770" s="490"/>
      <c r="AZ770" s="491"/>
      <c r="BA770" s="491"/>
      <c r="BB770" s="491"/>
    </row>
    <row r="771" spans="1:54" ht="15.75" hidden="1" outlineLevel="2" x14ac:dyDescent="0.2">
      <c r="A771" s="243"/>
      <c r="B771" s="243"/>
      <c r="C771" s="243"/>
      <c r="D771" s="663" t="s">
        <v>1</v>
      </c>
      <c r="E771" s="663"/>
      <c r="F771" s="751">
        <f>FirstYear</f>
        <v>2021</v>
      </c>
      <c r="G771" s="751">
        <f>F771+1</f>
        <v>2022</v>
      </c>
      <c r="H771" s="751">
        <f>G771+1</f>
        <v>2023</v>
      </c>
      <c r="I771" s="751">
        <f>H771+1</f>
        <v>2024</v>
      </c>
      <c r="J771" s="751">
        <f>I771+1</f>
        <v>2025</v>
      </c>
      <c r="K771" s="751">
        <f>J771+1</f>
        <v>2026</v>
      </c>
      <c r="L771" s="491"/>
      <c r="M771" s="243"/>
      <c r="N771" s="685"/>
      <c r="O771" s="685"/>
      <c r="P771" s="685"/>
      <c r="Q771" s="673"/>
      <c r="R771" s="673"/>
      <c r="S771" s="673"/>
      <c r="T771" s="673"/>
      <c r="U771" s="673"/>
      <c r="V771" s="673"/>
      <c r="W771" s="491"/>
      <c r="X771" s="676"/>
      <c r="Y771" s="676"/>
      <c r="Z771" s="676"/>
      <c r="AA771" s="676"/>
      <c r="AB771" s="675"/>
      <c r="AC771" s="490"/>
      <c r="AD771" s="490"/>
      <c r="AE771" s="490"/>
      <c r="AF771" s="490"/>
      <c r="AG771" s="490"/>
      <c r="AH771" s="490"/>
      <c r="AI771" s="490"/>
      <c r="AJ771" s="490"/>
      <c r="AK771" s="490"/>
      <c r="AL771" s="490"/>
      <c r="AM771" s="490"/>
      <c r="AN771" s="490"/>
      <c r="AO771" s="490"/>
      <c r="AP771" s="490"/>
      <c r="AQ771" s="490"/>
      <c r="AR771" s="490"/>
      <c r="AS771" s="490"/>
      <c r="AT771" s="490"/>
      <c r="AU771" s="490"/>
      <c r="AV771" s="490"/>
      <c r="AW771" s="490"/>
      <c r="AX771" s="490"/>
      <c r="AY771" s="490"/>
      <c r="AZ771" s="491"/>
      <c r="BA771" s="491"/>
      <c r="BB771" s="491"/>
    </row>
    <row r="772" spans="1:54" hidden="1" outlineLevel="2" x14ac:dyDescent="0.2">
      <c r="A772" s="243"/>
      <c r="B772" s="243"/>
      <c r="C772" s="243"/>
      <c r="D772" s="243"/>
      <c r="E772" s="433" t="s">
        <v>951</v>
      </c>
      <c r="F772" s="283">
        <f t="shared" ref="F772:K772" si="524">F773*INDEX(MBSDecCalc,$C761,3)</f>
        <v>0</v>
      </c>
      <c r="G772" s="283">
        <f t="shared" si="524"/>
        <v>0</v>
      </c>
      <c r="H772" s="283">
        <f t="shared" si="524"/>
        <v>0</v>
      </c>
      <c r="I772" s="283">
        <f t="shared" si="524"/>
        <v>0</v>
      </c>
      <c r="J772" s="283">
        <f t="shared" si="524"/>
        <v>0</v>
      </c>
      <c r="K772" s="283">
        <f t="shared" si="524"/>
        <v>0</v>
      </c>
      <c r="L772" s="490"/>
      <c r="M772" s="615"/>
      <c r="N772" s="615"/>
      <c r="O772" s="678"/>
      <c r="P772" s="678"/>
      <c r="Q772" s="673"/>
      <c r="R772" s="673"/>
      <c r="S772" s="673"/>
      <c r="T772" s="673"/>
      <c r="U772" s="673"/>
      <c r="V772" s="673"/>
      <c r="W772" s="490"/>
      <c r="X772" s="676"/>
      <c r="Y772" s="676"/>
      <c r="Z772" s="676"/>
      <c r="AA772" s="676"/>
      <c r="AB772" s="675"/>
      <c r="AC772" s="490"/>
      <c r="AD772" s="490"/>
      <c r="AE772" s="490"/>
      <c r="AF772" s="490"/>
      <c r="AG772" s="490"/>
      <c r="AH772" s="490"/>
      <c r="AI772" s="490"/>
      <c r="AJ772" s="490"/>
      <c r="AK772" s="490"/>
      <c r="AL772" s="490"/>
      <c r="AM772" s="490"/>
      <c r="AN772" s="490"/>
      <c r="AO772" s="490"/>
      <c r="AP772" s="490"/>
      <c r="AQ772" s="490"/>
      <c r="AR772" s="490"/>
      <c r="AS772" s="490"/>
      <c r="AT772" s="490"/>
      <c r="AU772" s="490"/>
      <c r="AV772" s="490"/>
      <c r="AW772" s="490"/>
      <c r="AX772" s="490"/>
      <c r="AY772" s="490"/>
      <c r="AZ772" s="491"/>
      <c r="BA772" s="491"/>
      <c r="BB772" s="491"/>
    </row>
    <row r="773" spans="1:54" hidden="1" outlineLevel="2" x14ac:dyDescent="0.2">
      <c r="A773" s="243"/>
      <c r="B773" s="672"/>
      <c r="C773" s="242" t="str">
        <f>C765</f>
        <v/>
      </c>
      <c r="D773" s="243"/>
      <c r="E773" s="62" t="s">
        <v>1310</v>
      </c>
      <c r="F773" s="63">
        <f t="shared" ref="F773:K773" si="525">IF(INDEX(MBSDecRate,$C761,2)=2,IFERROR(INDEX(RPBSScriptsChanged,$C773,F770),0),IFERROR(INDEX(MBSRPBSDec,$C761,INDEX(MBSDecRate,$C761,3)*7+F770),0) * IFERROR(INDEX(MBSDecPopSplit,$C761),0)) * INDEX(MBSDecRate,$C761,1) * INDEX(MBSDecRate,$C761,4)</f>
        <v>0</v>
      </c>
      <c r="G773" s="63">
        <f t="shared" si="525"/>
        <v>0</v>
      </c>
      <c r="H773" s="63">
        <f t="shared" si="525"/>
        <v>0</v>
      </c>
      <c r="I773" s="63">
        <f t="shared" si="525"/>
        <v>0</v>
      </c>
      <c r="J773" s="63">
        <f t="shared" si="525"/>
        <v>0</v>
      </c>
      <c r="K773" s="63">
        <f t="shared" si="525"/>
        <v>0</v>
      </c>
      <c r="L773" s="490"/>
      <c r="M773" s="243"/>
      <c r="N773" s="753"/>
      <c r="O773" s="678"/>
      <c r="P773" s="678"/>
      <c r="Q773" s="673"/>
      <c r="R773" s="673"/>
      <c r="S773" s="673"/>
      <c r="T773" s="673"/>
      <c r="U773" s="673"/>
      <c r="V773" s="673"/>
      <c r="W773" s="490"/>
      <c r="X773" s="676"/>
      <c r="Y773" s="676"/>
      <c r="Z773" s="676"/>
      <c r="AA773" s="676"/>
      <c r="AB773" s="675"/>
      <c r="AC773" s="490"/>
      <c r="AD773" s="490"/>
      <c r="AE773" s="490"/>
      <c r="AF773" s="490"/>
      <c r="AG773" s="490"/>
      <c r="AH773" s="490"/>
      <c r="AI773" s="490"/>
      <c r="AJ773" s="490"/>
      <c r="AK773" s="490"/>
      <c r="AL773" s="490"/>
      <c r="AM773" s="490"/>
      <c r="AN773" s="490"/>
      <c r="AO773" s="490"/>
      <c r="AP773" s="490"/>
      <c r="AQ773" s="490"/>
      <c r="AR773" s="490"/>
      <c r="AS773" s="490"/>
      <c r="AT773" s="490"/>
      <c r="AU773" s="490"/>
      <c r="AV773" s="490"/>
      <c r="AW773" s="490"/>
      <c r="AX773" s="490"/>
      <c r="AY773" s="490"/>
      <c r="AZ773" s="491"/>
      <c r="BA773" s="491"/>
      <c r="BB773" s="491"/>
    </row>
    <row r="774" spans="1:54" hidden="1" outlineLevel="2" x14ac:dyDescent="0.2">
      <c r="A774" s="243"/>
      <c r="B774" s="242">
        <v>5</v>
      </c>
      <c r="C774" s="242">
        <v>6</v>
      </c>
      <c r="D774" s="243"/>
      <c r="E774" s="496" t="s">
        <v>1307</v>
      </c>
      <c r="F774" s="63" t="str">
        <f t="shared" ref="F774:K774" si="526">IFERROR(F773*INDEX(MBSDecItems,$C761,$B774)*INDEX(MBSDecItems,$C761,$C774),"")</f>
        <v/>
      </c>
      <c r="G774" s="63" t="str">
        <f t="shared" si="526"/>
        <v/>
      </c>
      <c r="H774" s="63" t="str">
        <f t="shared" si="526"/>
        <v/>
      </c>
      <c r="I774" s="63" t="str">
        <f t="shared" si="526"/>
        <v/>
      </c>
      <c r="J774" s="63" t="str">
        <f t="shared" si="526"/>
        <v/>
      </c>
      <c r="K774" s="63" t="str">
        <f t="shared" si="526"/>
        <v/>
      </c>
      <c r="L774" s="490"/>
      <c r="M774" s="683"/>
      <c r="N774" s="753"/>
      <c r="O774" s="678"/>
      <c r="P774" s="678"/>
      <c r="Q774" s="673"/>
      <c r="R774" s="673"/>
      <c r="S774" s="673"/>
      <c r="T774" s="673"/>
      <c r="U774" s="673"/>
      <c r="V774" s="673"/>
      <c r="W774" s="490"/>
      <c r="X774" s="676"/>
      <c r="Y774" s="676"/>
      <c r="Z774" s="676"/>
      <c r="AA774" s="676"/>
      <c r="AB774" s="676"/>
      <c r="AC774" s="490"/>
      <c r="AD774" s="490"/>
      <c r="AE774" s="490"/>
      <c r="AF774" s="490"/>
      <c r="AG774" s="490"/>
      <c r="AH774" s="490"/>
      <c r="AI774" s="490"/>
      <c r="AJ774" s="490"/>
      <c r="AK774" s="490"/>
      <c r="AL774" s="490"/>
      <c r="AM774" s="490"/>
      <c r="AN774" s="490"/>
      <c r="AO774" s="490"/>
      <c r="AP774" s="490"/>
      <c r="AQ774" s="490"/>
      <c r="AR774" s="490"/>
      <c r="AS774" s="490"/>
      <c r="AT774" s="490"/>
      <c r="AU774" s="490"/>
      <c r="AV774" s="490"/>
      <c r="AW774" s="490"/>
      <c r="AX774" s="490"/>
      <c r="AY774" s="490"/>
      <c r="AZ774" s="491"/>
      <c r="BA774" s="491"/>
      <c r="BB774" s="491"/>
    </row>
    <row r="775" spans="1:54" hidden="1" outlineLevel="2" x14ac:dyDescent="0.2">
      <c r="A775" s="243"/>
      <c r="B775" s="242">
        <v>4</v>
      </c>
      <c r="C775" s="242">
        <v>6</v>
      </c>
      <c r="D775" s="243"/>
      <c r="E775" s="496" t="s">
        <v>1306</v>
      </c>
      <c r="F775" s="63" t="str">
        <f t="shared" ref="F775:K775" si="527">IFERROR(F773*INDEX(MBSDecItems,$C761,$B775)*INDEX(MBSDecItems,$C761,$C775),"")</f>
        <v/>
      </c>
      <c r="G775" s="63" t="str">
        <f t="shared" si="527"/>
        <v/>
      </c>
      <c r="H775" s="63" t="str">
        <f t="shared" si="527"/>
        <v/>
      </c>
      <c r="I775" s="63" t="str">
        <f t="shared" si="527"/>
        <v/>
      </c>
      <c r="J775" s="63" t="str">
        <f t="shared" si="527"/>
        <v/>
      </c>
      <c r="K775" s="63" t="str">
        <f t="shared" si="527"/>
        <v/>
      </c>
      <c r="L775" s="490"/>
      <c r="M775" s="684"/>
      <c r="N775" s="682"/>
      <c r="O775" s="678"/>
      <c r="P775" s="678"/>
      <c r="Q775" s="673"/>
      <c r="R775" s="673"/>
      <c r="S775" s="673"/>
      <c r="T775" s="673"/>
      <c r="U775" s="673"/>
      <c r="V775" s="673"/>
      <c r="W775" s="490"/>
      <c r="X775" s="676"/>
      <c r="Y775" s="676"/>
      <c r="Z775" s="676"/>
      <c r="AA775" s="676"/>
      <c r="AB775" s="676"/>
      <c r="AC775" s="490"/>
      <c r="AD775" s="490"/>
      <c r="AE775" s="490"/>
      <c r="AF775" s="490"/>
      <c r="AG775" s="490"/>
      <c r="AH775" s="490"/>
      <c r="AI775" s="490"/>
      <c r="AJ775" s="490"/>
      <c r="AK775" s="490"/>
      <c r="AL775" s="490"/>
      <c r="AM775" s="490"/>
      <c r="AN775" s="490"/>
      <c r="AO775" s="490"/>
      <c r="AP775" s="490"/>
      <c r="AQ775" s="490"/>
      <c r="AR775" s="490"/>
      <c r="AS775" s="490"/>
      <c r="AT775" s="490"/>
      <c r="AU775" s="490"/>
      <c r="AV775" s="490"/>
      <c r="AW775" s="490"/>
      <c r="AX775" s="490"/>
      <c r="AY775" s="490"/>
      <c r="AZ775" s="491"/>
      <c r="BA775" s="491"/>
      <c r="BB775" s="491"/>
    </row>
    <row r="776" spans="1:54" hidden="1" outlineLevel="2" x14ac:dyDescent="0.2">
      <c r="A776" s="243"/>
      <c r="B776" s="242"/>
      <c r="C776" s="242">
        <v>7</v>
      </c>
      <c r="D776" s="243"/>
      <c r="E776" s="497" t="s">
        <v>1308</v>
      </c>
      <c r="F776" s="63" t="str">
        <f t="shared" ref="F776:K776" si="528">IFERROR(F773*INDEX(MBSDecItems,$C761,$C776),"")</f>
        <v/>
      </c>
      <c r="G776" s="63" t="str">
        <f t="shared" si="528"/>
        <v/>
      </c>
      <c r="H776" s="63" t="str">
        <f t="shared" si="528"/>
        <v/>
      </c>
      <c r="I776" s="63" t="str">
        <f t="shared" si="528"/>
        <v/>
      </c>
      <c r="J776" s="63" t="str">
        <f t="shared" si="528"/>
        <v/>
      </c>
      <c r="K776" s="63" t="str">
        <f t="shared" si="528"/>
        <v/>
      </c>
      <c r="L776" s="490"/>
      <c r="M776" s="684"/>
      <c r="N776" s="682"/>
      <c r="O776" s="678"/>
      <c r="P776" s="678"/>
      <c r="Q776" s="673"/>
      <c r="R776" s="673"/>
      <c r="S776" s="673"/>
      <c r="T776" s="673"/>
      <c r="U776" s="673"/>
      <c r="V776" s="673"/>
      <c r="W776" s="490"/>
      <c r="X776" s="676"/>
      <c r="Y776" s="676"/>
      <c r="Z776" s="676"/>
      <c r="AA776" s="676"/>
      <c r="AB776" s="676"/>
      <c r="AC776" s="490"/>
      <c r="AD776" s="490"/>
      <c r="AE776" s="490"/>
      <c r="AF776" s="490"/>
      <c r="AG776" s="490"/>
      <c r="AH776" s="490"/>
      <c r="AI776" s="490"/>
      <c r="AJ776" s="490"/>
      <c r="AK776" s="490"/>
      <c r="AL776" s="490"/>
      <c r="AM776" s="490"/>
      <c r="AN776" s="490"/>
      <c r="AO776" s="490"/>
      <c r="AP776" s="490"/>
      <c r="AQ776" s="490"/>
      <c r="AR776" s="490"/>
      <c r="AS776" s="490"/>
      <c r="AT776" s="490"/>
      <c r="AU776" s="490"/>
      <c r="AV776" s="490"/>
      <c r="AW776" s="490"/>
      <c r="AX776" s="490"/>
      <c r="AY776" s="490"/>
      <c r="AZ776" s="491"/>
      <c r="BA776" s="491"/>
      <c r="BB776" s="491"/>
    </row>
    <row r="777" spans="1:54" hidden="1" outlineLevel="1" x14ac:dyDescent="0.2">
      <c r="A777" s="243"/>
      <c r="B777" s="243"/>
      <c r="C777" s="243"/>
      <c r="D777" s="677"/>
      <c r="E777" s="677"/>
      <c r="F777" s="243"/>
      <c r="G777" s="243"/>
      <c r="H777" s="243"/>
      <c r="I777" s="243"/>
      <c r="J777" s="243"/>
      <c r="K777" s="243"/>
      <c r="L777" s="243"/>
      <c r="M777" s="243"/>
      <c r="N777" s="678"/>
      <c r="O777" s="678"/>
      <c r="P777" s="678"/>
      <c r="Q777" s="673"/>
      <c r="R777" s="673"/>
      <c r="S777" s="673"/>
      <c r="T777" s="673"/>
      <c r="U777" s="673"/>
      <c r="V777" s="673"/>
      <c r="W777" s="490"/>
      <c r="X777" s="676"/>
      <c r="Y777" s="676"/>
      <c r="Z777" s="676"/>
      <c r="AA777" s="676"/>
      <c r="AB777" s="676"/>
      <c r="AC777" s="490"/>
      <c r="AD777" s="490"/>
      <c r="AE777" s="490"/>
      <c r="AF777" s="490"/>
      <c r="AG777" s="490"/>
      <c r="AH777" s="490"/>
      <c r="AI777" s="490"/>
      <c r="AJ777" s="490"/>
      <c r="AK777" s="490"/>
      <c r="AL777" s="490"/>
      <c r="AM777" s="490"/>
      <c r="AN777" s="490"/>
      <c r="AO777" s="490"/>
      <c r="AP777" s="490"/>
      <c r="AQ777" s="490"/>
      <c r="AR777" s="490"/>
      <c r="AS777" s="490"/>
      <c r="AT777" s="490"/>
      <c r="AU777" s="490"/>
      <c r="AV777" s="490"/>
      <c r="AW777" s="490"/>
      <c r="AX777" s="490"/>
      <c r="AY777" s="490"/>
      <c r="AZ777" s="491"/>
      <c r="BA777" s="491"/>
      <c r="BB777" s="491"/>
    </row>
    <row r="778" spans="1:54" ht="15.75" hidden="1" outlineLevel="1" x14ac:dyDescent="0.2">
      <c r="A778" s="243"/>
      <c r="B778" s="243"/>
      <c r="C778" s="242">
        <v>17</v>
      </c>
      <c r="D778" s="79" t="str">
        <f>INDEX(MBSDecNames,C778)</f>
        <v>** NOT USED **</v>
      </c>
      <c r="E778" s="79"/>
      <c r="F778" s="115"/>
      <c r="G778" s="115"/>
      <c r="H778" s="115"/>
      <c r="I778" s="115"/>
      <c r="J778" s="821" t="str">
        <f>IF(D778&lt;&gt;MsgNotUsed,"Co-payment group " &amp; K607,"")</f>
        <v/>
      </c>
      <c r="K778" s="821"/>
      <c r="L778" s="115"/>
      <c r="M778" s="115"/>
      <c r="N778" s="115"/>
      <c r="O778" s="115"/>
      <c r="P778" s="115"/>
      <c r="Q778" s="115"/>
      <c r="R778" s="115"/>
      <c r="S778" s="115"/>
      <c r="T778" s="115"/>
      <c r="U778" s="115"/>
      <c r="V778" s="115"/>
      <c r="W778" s="491"/>
      <c r="X778" s="490"/>
      <c r="Y778" s="490"/>
      <c r="Z778" s="490"/>
      <c r="AA778" s="490"/>
      <c r="AB778" s="676"/>
      <c r="AC778" s="490"/>
      <c r="AD778" s="490"/>
      <c r="AE778" s="490"/>
      <c r="AF778" s="490"/>
      <c r="AG778" s="490"/>
      <c r="AH778" s="490"/>
      <c r="AI778" s="490"/>
      <c r="AJ778" s="490"/>
      <c r="AK778" s="490"/>
      <c r="AL778" s="490"/>
      <c r="AM778" s="490"/>
      <c r="AN778" s="490"/>
      <c r="AO778" s="490"/>
      <c r="AP778" s="490"/>
      <c r="AQ778" s="490"/>
      <c r="AR778" s="490"/>
      <c r="AS778" s="490"/>
      <c r="AT778" s="490"/>
      <c r="AU778" s="490"/>
      <c r="AV778" s="490"/>
      <c r="AW778" s="490"/>
      <c r="AX778" s="490"/>
      <c r="AY778" s="490"/>
      <c r="AZ778" s="491"/>
      <c r="BA778" s="491"/>
      <c r="BB778" s="491"/>
    </row>
    <row r="779" spans="1:54" hidden="1" outlineLevel="2" x14ac:dyDescent="0.2">
      <c r="A779" s="243"/>
      <c r="B779" s="243"/>
      <c r="C779" s="243"/>
      <c r="D779" s="243"/>
      <c r="E779" s="243"/>
      <c r="F779" s="495">
        <v>2</v>
      </c>
      <c r="G779" s="495">
        <v>3</v>
      </c>
      <c r="H779" s="495">
        <v>4</v>
      </c>
      <c r="I779" s="495">
        <v>5</v>
      </c>
      <c r="J779" s="495">
        <v>6</v>
      </c>
      <c r="K779" s="495">
        <v>7</v>
      </c>
      <c r="L779" s="495"/>
      <c r="M779" s="243"/>
      <c r="N779" s="243"/>
      <c r="O779" s="243"/>
      <c r="P779" s="243"/>
      <c r="Q779" s="243"/>
      <c r="R779" s="243"/>
      <c r="S779" s="243"/>
      <c r="T779" s="243"/>
      <c r="U779" s="243"/>
      <c r="V779" s="243"/>
      <c r="W779" s="490"/>
      <c r="X779" s="490"/>
      <c r="Y779" s="490"/>
      <c r="Z779" s="490"/>
      <c r="AA779" s="490"/>
      <c r="AB779" s="676"/>
      <c r="AC779" s="490"/>
      <c r="AD779" s="490"/>
      <c r="AE779" s="490"/>
      <c r="AF779" s="490"/>
      <c r="AG779" s="490"/>
      <c r="AH779" s="490"/>
      <c r="AI779" s="490"/>
      <c r="AJ779" s="490"/>
      <c r="AK779" s="490"/>
      <c r="AL779" s="490"/>
      <c r="AM779" s="490"/>
      <c r="AN779" s="490"/>
      <c r="AO779" s="490"/>
      <c r="AP779" s="490"/>
      <c r="AQ779" s="490"/>
      <c r="AR779" s="490"/>
      <c r="AS779" s="490"/>
      <c r="AT779" s="490"/>
      <c r="AU779" s="490"/>
      <c r="AV779" s="490"/>
      <c r="AW779" s="490"/>
      <c r="AX779" s="490"/>
      <c r="AY779" s="490"/>
      <c r="AZ779" s="491"/>
      <c r="BA779" s="491"/>
      <c r="BB779" s="491"/>
    </row>
    <row r="780" spans="1:54" ht="15" hidden="1" outlineLevel="2" x14ac:dyDescent="0.2">
      <c r="A780" s="243"/>
      <c r="B780" s="243"/>
      <c r="C780" s="243"/>
      <c r="D780" s="663" t="s">
        <v>0</v>
      </c>
      <c r="E780" s="663"/>
      <c r="F780" s="729">
        <f>FirstYear</f>
        <v>2021</v>
      </c>
      <c r="G780" s="729">
        <f>F780+1</f>
        <v>2022</v>
      </c>
      <c r="H780" s="729">
        <f>G780+1</f>
        <v>2023</v>
      </c>
      <c r="I780" s="729">
        <f>H780+1</f>
        <v>2024</v>
      </c>
      <c r="J780" s="729">
        <f>I780+1</f>
        <v>2025</v>
      </c>
      <c r="K780" s="729">
        <f>J780+1</f>
        <v>2026</v>
      </c>
      <c r="L780" s="491"/>
      <c r="M780" s="113"/>
      <c r="N780" s="679"/>
      <c r="O780" s="679"/>
      <c r="P780" s="679"/>
      <c r="Q780" s="674"/>
      <c r="R780" s="674"/>
      <c r="S780" s="674"/>
      <c r="T780" s="674"/>
      <c r="U780" s="674"/>
      <c r="V780" s="674"/>
      <c r="W780" s="491"/>
      <c r="X780" s="674"/>
      <c r="Y780" s="674"/>
      <c r="Z780" s="674"/>
      <c r="AA780" s="674"/>
      <c r="AB780" s="676"/>
      <c r="AC780" s="490"/>
      <c r="AD780" s="490"/>
      <c r="AE780" s="490"/>
      <c r="AF780" s="490"/>
      <c r="AG780" s="490"/>
      <c r="AH780" s="490"/>
      <c r="AI780" s="490"/>
      <c r="AJ780" s="490"/>
      <c r="AK780" s="490"/>
      <c r="AL780" s="490"/>
      <c r="AM780" s="490"/>
      <c r="AN780" s="490"/>
      <c r="AO780" s="490"/>
      <c r="AP780" s="490"/>
      <c r="AQ780" s="490"/>
      <c r="AR780" s="490"/>
      <c r="AS780" s="490"/>
      <c r="AT780" s="490"/>
      <c r="AU780" s="490"/>
      <c r="AV780" s="490"/>
      <c r="AW780" s="490"/>
      <c r="AX780" s="490"/>
      <c r="AY780" s="490"/>
      <c r="AZ780" s="491"/>
      <c r="BA780" s="491"/>
      <c r="BB780" s="491"/>
    </row>
    <row r="781" spans="1:54" hidden="1" outlineLevel="2" collapsed="1" x14ac:dyDescent="0.2">
      <c r="A781" s="243"/>
      <c r="B781" s="243"/>
      <c r="C781" s="243"/>
      <c r="D781" s="243"/>
      <c r="E781" s="433" t="s">
        <v>951</v>
      </c>
      <c r="F781" s="283">
        <f t="shared" ref="F781:K781" si="529">F782*INDEX(MBSDecCalc,$C778,3)</f>
        <v>0</v>
      </c>
      <c r="G781" s="283">
        <f t="shared" si="529"/>
        <v>0</v>
      </c>
      <c r="H781" s="283">
        <f t="shared" si="529"/>
        <v>0</v>
      </c>
      <c r="I781" s="283">
        <f t="shared" si="529"/>
        <v>0</v>
      </c>
      <c r="J781" s="283">
        <f t="shared" si="529"/>
        <v>0</v>
      </c>
      <c r="K781" s="283">
        <f t="shared" si="529"/>
        <v>0</v>
      </c>
      <c r="L781" s="490"/>
      <c r="M781" s="680"/>
      <c r="N781" s="664"/>
      <c r="O781" s="664"/>
      <c r="P781" s="664"/>
      <c r="Q781" s="681"/>
      <c r="R781" s="681"/>
      <c r="S781" s="681"/>
      <c r="T781" s="681"/>
      <c r="U781" s="681"/>
      <c r="V781" s="681"/>
      <c r="W781" s="493"/>
      <c r="X781" s="561">
        <f>INDEX(MBSDecItems,C778,1)</f>
        <v>0</v>
      </c>
      <c r="Y781" s="561">
        <f>FirstYear</f>
        <v>2021</v>
      </c>
      <c r="Z781" s="560">
        <f>IF(F782&lt;&gt;0,F782-F784,0)</f>
        <v>0</v>
      </c>
      <c r="AA781" s="560">
        <f>IF(F790&lt;&gt;0,F790-F792,0)</f>
        <v>0</v>
      </c>
      <c r="AB781" s="676"/>
      <c r="AC781" s="490"/>
      <c r="AD781" s="490"/>
      <c r="AE781" s="490"/>
      <c r="AF781" s="490"/>
      <c r="AG781" s="490"/>
      <c r="AH781" s="490"/>
      <c r="AI781" s="490"/>
      <c r="AJ781" s="490"/>
      <c r="AK781" s="490"/>
      <c r="AL781" s="490"/>
      <c r="AM781" s="490"/>
      <c r="AN781" s="490"/>
      <c r="AO781" s="490"/>
      <c r="AP781" s="490"/>
      <c r="AQ781" s="490"/>
      <c r="AR781" s="490"/>
      <c r="AS781" s="490"/>
      <c r="AT781" s="490"/>
      <c r="AU781" s="490"/>
      <c r="AV781" s="490"/>
      <c r="AW781" s="490"/>
      <c r="AX781" s="490"/>
      <c r="AY781" s="490"/>
      <c r="AZ781" s="491"/>
      <c r="BA781" s="491"/>
      <c r="BB781" s="491"/>
    </row>
    <row r="782" spans="1:54" hidden="1" outlineLevel="2" x14ac:dyDescent="0.2">
      <c r="A782" s="243"/>
      <c r="B782" s="672"/>
      <c r="C782" s="242" t="str">
        <f>INDEX(MBSDecCalc,C778,2)</f>
        <v/>
      </c>
      <c r="D782" s="243"/>
      <c r="E782" s="62" t="s">
        <v>1310</v>
      </c>
      <c r="F782" s="63">
        <f t="shared" ref="F782:K782" si="530">IF(INDEX(MBSDecRate,$C778,2)=2,IFERROR(INDEX(PBSScriptsChanged,$C782,F779),0),IFERROR(INDEX(MBSPBSDec,$C778,INDEX(MBSDecRate,$C778,3)*7+F779),0) * IFERROR(INDEX(MBSDecPopSplit,$C778),0)) * INDEX(MBSDecRate,$C778,1) * INDEX(MBSDecRate,$C778,4)</f>
        <v>0</v>
      </c>
      <c r="G782" s="63">
        <f t="shared" si="530"/>
        <v>0</v>
      </c>
      <c r="H782" s="63">
        <f t="shared" si="530"/>
        <v>0</v>
      </c>
      <c r="I782" s="63">
        <f t="shared" si="530"/>
        <v>0</v>
      </c>
      <c r="J782" s="63">
        <f t="shared" si="530"/>
        <v>0</v>
      </c>
      <c r="K782" s="63">
        <f t="shared" si="530"/>
        <v>0</v>
      </c>
      <c r="L782" s="490"/>
      <c r="M782" s="493"/>
      <c r="N782" s="493"/>
      <c r="O782" s="664"/>
      <c r="P782" s="664"/>
      <c r="Q782" s="681"/>
      <c r="R782" s="681"/>
      <c r="S782" s="681"/>
      <c r="T782" s="681"/>
      <c r="U782" s="681"/>
      <c r="V782" s="681"/>
      <c r="W782" s="493"/>
      <c r="X782" s="561">
        <f>X781</f>
        <v>0</v>
      </c>
      <c r="Y782" s="561">
        <f>Y781+1</f>
        <v>2022</v>
      </c>
      <c r="Z782" s="560">
        <f>IF(G782&lt;&gt;0,G782-G784,0)</f>
        <v>0</v>
      </c>
      <c r="AA782" s="560">
        <f>IF(G790&lt;&gt;0,G790-G792,0)</f>
        <v>0</v>
      </c>
      <c r="AB782" s="676"/>
      <c r="AC782" s="490"/>
      <c r="AD782" s="490"/>
      <c r="AE782" s="490"/>
      <c r="AF782" s="490"/>
      <c r="AG782" s="490"/>
      <c r="AH782" s="490"/>
      <c r="AI782" s="490"/>
      <c r="AJ782" s="490"/>
      <c r="AK782" s="490"/>
      <c r="AL782" s="490"/>
      <c r="AM782" s="490"/>
      <c r="AN782" s="490"/>
      <c r="AO782" s="490"/>
      <c r="AP782" s="490"/>
      <c r="AQ782" s="490"/>
      <c r="AR782" s="490"/>
      <c r="AS782" s="490"/>
      <c r="AT782" s="490"/>
      <c r="AU782" s="490"/>
      <c r="AV782" s="490"/>
      <c r="AW782" s="490"/>
      <c r="AX782" s="490"/>
      <c r="AY782" s="490"/>
      <c r="AZ782" s="491"/>
      <c r="BA782" s="491"/>
      <c r="BB782" s="491"/>
    </row>
    <row r="783" spans="1:54" hidden="1" outlineLevel="2" x14ac:dyDescent="0.2">
      <c r="A783" s="243"/>
      <c r="B783" s="242">
        <v>5</v>
      </c>
      <c r="C783" s="242">
        <v>6</v>
      </c>
      <c r="D783" s="243"/>
      <c r="E783" s="496" t="s">
        <v>1307</v>
      </c>
      <c r="F783" s="63" t="str">
        <f t="shared" ref="F783:K783" si="531">IFERROR(F782*INDEX(MBSDecItems,$C778,$B783)*INDEX(MBSDecItems,$C778,$C783),"")</f>
        <v/>
      </c>
      <c r="G783" s="63" t="str">
        <f t="shared" si="531"/>
        <v/>
      </c>
      <c r="H783" s="63" t="str">
        <f t="shared" si="531"/>
        <v/>
      </c>
      <c r="I783" s="63" t="str">
        <f t="shared" si="531"/>
        <v/>
      </c>
      <c r="J783" s="63" t="str">
        <f t="shared" si="531"/>
        <v/>
      </c>
      <c r="K783" s="63" t="str">
        <f t="shared" si="531"/>
        <v/>
      </c>
      <c r="L783" s="490"/>
      <c r="M783" s="493"/>
      <c r="N783" s="493"/>
      <c r="O783" s="682"/>
      <c r="P783" s="754"/>
      <c r="Q783" s="681"/>
      <c r="R783" s="681"/>
      <c r="S783" s="681"/>
      <c r="T783" s="681"/>
      <c r="U783" s="681"/>
      <c r="V783" s="681"/>
      <c r="W783" s="493"/>
      <c r="X783" s="561">
        <f t="shared" ref="X783:X786" si="532">X782</f>
        <v>0</v>
      </c>
      <c r="Y783" s="561">
        <f>Y782+1</f>
        <v>2023</v>
      </c>
      <c r="Z783" s="560">
        <f>IF(H782&lt;&gt;0,H782-H784,0)</f>
        <v>0</v>
      </c>
      <c r="AA783" s="560">
        <f>IF(H790&lt;&gt;0,H790-H792,0)</f>
        <v>0</v>
      </c>
      <c r="AB783" s="676"/>
      <c r="AC783" s="490"/>
      <c r="AD783" s="490"/>
      <c r="AE783" s="490"/>
      <c r="AF783" s="490"/>
      <c r="AG783" s="490"/>
      <c r="AH783" s="490"/>
      <c r="AI783" s="490"/>
      <c r="AJ783" s="490"/>
      <c r="AK783" s="490"/>
      <c r="AL783" s="490"/>
      <c r="AM783" s="490"/>
      <c r="AN783" s="490"/>
      <c r="AO783" s="490"/>
      <c r="AP783" s="490"/>
      <c r="AQ783" s="490"/>
      <c r="AR783" s="490"/>
      <c r="AS783" s="490"/>
      <c r="AT783" s="490"/>
      <c r="AU783" s="490"/>
      <c r="AV783" s="490"/>
      <c r="AW783" s="490"/>
      <c r="AX783" s="490"/>
      <c r="AY783" s="490"/>
      <c r="AZ783" s="491"/>
      <c r="BA783" s="491"/>
      <c r="BB783" s="491"/>
    </row>
    <row r="784" spans="1:54" hidden="1" outlineLevel="2" x14ac:dyDescent="0.2">
      <c r="A784" s="416"/>
      <c r="B784" s="242">
        <v>4</v>
      </c>
      <c r="C784" s="242">
        <v>6</v>
      </c>
      <c r="D784" s="243"/>
      <c r="E784" s="496" t="s">
        <v>1306</v>
      </c>
      <c r="F784" s="63" t="str">
        <f t="shared" ref="F784:K784" si="533">IFERROR(F782*INDEX(MBSDecItems,$C778,$B784)*INDEX(MBSDecItems,$C778,$C784),"")</f>
        <v/>
      </c>
      <c r="G784" s="63" t="str">
        <f t="shared" si="533"/>
        <v/>
      </c>
      <c r="H784" s="63" t="str">
        <f t="shared" si="533"/>
        <v/>
      </c>
      <c r="I784" s="63" t="str">
        <f t="shared" si="533"/>
        <v/>
      </c>
      <c r="J784" s="63" t="str">
        <f t="shared" si="533"/>
        <v/>
      </c>
      <c r="K784" s="63" t="str">
        <f t="shared" si="533"/>
        <v/>
      </c>
      <c r="L784" s="416"/>
      <c r="M784" s="416"/>
      <c r="N784" s="416"/>
      <c r="O784" s="416"/>
      <c r="P784" s="416"/>
      <c r="Q784" s="416"/>
      <c r="R784" s="416"/>
      <c r="S784" s="416"/>
      <c r="T784" s="416"/>
      <c r="U784" s="416"/>
      <c r="V784" s="416"/>
      <c r="W784" s="493"/>
      <c r="X784" s="561">
        <f t="shared" si="532"/>
        <v>0</v>
      </c>
      <c r="Y784" s="561">
        <f>Y783+1</f>
        <v>2024</v>
      </c>
      <c r="Z784" s="560">
        <f>IF(I782&lt;&gt;0,I782-I784,0)</f>
        <v>0</v>
      </c>
      <c r="AA784" s="560">
        <f>IF(I790&lt;&gt;0,I790-I792,0)</f>
        <v>0</v>
      </c>
      <c r="AB784" s="674"/>
      <c r="AC784" s="490"/>
      <c r="AD784" s="490"/>
      <c r="AE784" s="490"/>
      <c r="AF784" s="490"/>
      <c r="AG784" s="490"/>
      <c r="AH784" s="490"/>
      <c r="AI784" s="490"/>
      <c r="AJ784" s="490"/>
      <c r="AK784" s="490"/>
      <c r="AL784" s="490"/>
      <c r="AM784" s="490"/>
      <c r="AN784" s="490"/>
      <c r="AO784" s="490"/>
      <c r="AP784" s="490"/>
      <c r="AQ784" s="490"/>
      <c r="AR784" s="490"/>
      <c r="AS784" s="490"/>
      <c r="AT784" s="490"/>
      <c r="AU784" s="490"/>
      <c r="AV784" s="490"/>
      <c r="AW784" s="490"/>
      <c r="AX784" s="490"/>
      <c r="AY784" s="490"/>
      <c r="AZ784" s="491"/>
      <c r="BA784" s="491"/>
      <c r="BB784" s="491"/>
    </row>
    <row r="785" spans="1:54" hidden="1" outlineLevel="2" x14ac:dyDescent="0.2">
      <c r="A785" s="243"/>
      <c r="B785" s="242"/>
      <c r="C785" s="242">
        <v>7</v>
      </c>
      <c r="D785" s="243"/>
      <c r="E785" s="497" t="s">
        <v>1308</v>
      </c>
      <c r="F785" s="63" t="str">
        <f t="shared" ref="F785:K785" si="534">IFERROR(F782*INDEX(MBSDecItems,$C778,$C785),"")</f>
        <v/>
      </c>
      <c r="G785" s="63" t="str">
        <f t="shared" si="534"/>
        <v/>
      </c>
      <c r="H785" s="63" t="str">
        <f t="shared" si="534"/>
        <v/>
      </c>
      <c r="I785" s="63" t="str">
        <f t="shared" si="534"/>
        <v/>
      </c>
      <c r="J785" s="63" t="str">
        <f t="shared" si="534"/>
        <v/>
      </c>
      <c r="K785" s="63" t="str">
        <f t="shared" si="534"/>
        <v/>
      </c>
      <c r="L785" s="490"/>
      <c r="M785" s="493"/>
      <c r="N785" s="493"/>
      <c r="O785" s="682"/>
      <c r="P785" s="754"/>
      <c r="Q785" s="681"/>
      <c r="R785" s="681"/>
      <c r="S785" s="681"/>
      <c r="T785" s="681"/>
      <c r="U785" s="681"/>
      <c r="V785" s="681"/>
      <c r="W785" s="493"/>
      <c r="X785" s="561">
        <f t="shared" si="532"/>
        <v>0</v>
      </c>
      <c r="Y785" s="561">
        <f>Y784+1</f>
        <v>2025</v>
      </c>
      <c r="Z785" s="560">
        <f>IF(J782&lt;&gt;0,J782-J784,0)</f>
        <v>0</v>
      </c>
      <c r="AA785" s="560">
        <f>IF(J790&lt;&gt;0,J790-J792,0)</f>
        <v>0</v>
      </c>
      <c r="AB785" s="674"/>
      <c r="AC785" s="490"/>
      <c r="AD785" s="490"/>
      <c r="AE785" s="490"/>
      <c r="AF785" s="490"/>
      <c r="AG785" s="490"/>
      <c r="AH785" s="490"/>
      <c r="AI785" s="490"/>
      <c r="AJ785" s="490"/>
      <c r="AK785" s="490"/>
      <c r="AL785" s="490"/>
      <c r="AM785" s="490"/>
      <c r="AN785" s="490"/>
      <c r="AO785" s="490"/>
      <c r="AP785" s="490"/>
      <c r="AQ785" s="490"/>
      <c r="AR785" s="490"/>
      <c r="AS785" s="490"/>
      <c r="AT785" s="490"/>
      <c r="AU785" s="490"/>
      <c r="AV785" s="490"/>
      <c r="AW785" s="490"/>
      <c r="AX785" s="490"/>
      <c r="AY785" s="490"/>
      <c r="AZ785" s="491"/>
      <c r="BA785" s="491"/>
      <c r="BB785" s="491"/>
    </row>
    <row r="786" spans="1:54" hidden="1" outlineLevel="2" x14ac:dyDescent="0.2">
      <c r="A786" s="243"/>
      <c r="B786" s="493"/>
      <c r="C786" s="493"/>
      <c r="D786" s="493"/>
      <c r="E786" s="493"/>
      <c r="F786" s="493"/>
      <c r="G786" s="493"/>
      <c r="H786" s="493"/>
      <c r="I786" s="493"/>
      <c r="J786" s="493"/>
      <c r="K786" s="493"/>
      <c r="L786" s="490"/>
      <c r="M786" s="493"/>
      <c r="N786" s="493"/>
      <c r="O786" s="682"/>
      <c r="P786" s="682"/>
      <c r="Q786" s="681"/>
      <c r="R786" s="681"/>
      <c r="S786" s="681"/>
      <c r="T786" s="681"/>
      <c r="U786" s="681"/>
      <c r="V786" s="681"/>
      <c r="W786" s="493"/>
      <c r="X786" s="561">
        <f t="shared" si="532"/>
        <v>0</v>
      </c>
      <c r="Y786" s="561">
        <f>Y785+1</f>
        <v>2026</v>
      </c>
      <c r="Z786" s="560">
        <f>IF(K782&lt;&gt;0,K782-K784,0)</f>
        <v>0</v>
      </c>
      <c r="AA786" s="560">
        <f>IF(K790&lt;&gt;0,K790-K792,0)</f>
        <v>0</v>
      </c>
      <c r="AB786" s="675"/>
      <c r="AC786" s="490"/>
      <c r="AD786" s="490"/>
      <c r="AE786" s="490"/>
      <c r="AF786" s="490"/>
      <c r="AG786" s="490"/>
      <c r="AH786" s="490"/>
      <c r="AI786" s="490"/>
      <c r="AJ786" s="490"/>
      <c r="AK786" s="490"/>
      <c r="AL786" s="490"/>
      <c r="AM786" s="490"/>
      <c r="AN786" s="490"/>
      <c r="AO786" s="490"/>
      <c r="AP786" s="490"/>
      <c r="AQ786" s="490"/>
      <c r="AR786" s="490"/>
      <c r="AS786" s="490"/>
      <c r="AT786" s="490"/>
      <c r="AU786" s="490"/>
      <c r="AV786" s="490"/>
      <c r="AW786" s="490"/>
      <c r="AX786" s="490"/>
      <c r="AY786" s="490"/>
      <c r="AZ786" s="491"/>
      <c r="BA786" s="491"/>
      <c r="BB786" s="491"/>
    </row>
    <row r="787" spans="1:54" hidden="1" outlineLevel="2" x14ac:dyDescent="0.2">
      <c r="A787" s="243"/>
      <c r="B787" s="243"/>
      <c r="C787" s="243"/>
      <c r="D787" s="677"/>
      <c r="E787" s="677"/>
      <c r="F787" s="495">
        <v>2</v>
      </c>
      <c r="G787" s="495">
        <v>3</v>
      </c>
      <c r="H787" s="495">
        <v>4</v>
      </c>
      <c r="I787" s="495">
        <v>5</v>
      </c>
      <c r="J787" s="495">
        <v>6</v>
      </c>
      <c r="K787" s="495">
        <v>7</v>
      </c>
      <c r="L787" s="490"/>
      <c r="M787" s="243"/>
      <c r="N787" s="678"/>
      <c r="O787" s="678"/>
      <c r="P787" s="678"/>
      <c r="Q787" s="673"/>
      <c r="R787" s="673"/>
      <c r="S787" s="673"/>
      <c r="T787" s="673"/>
      <c r="U787" s="673"/>
      <c r="V787" s="673"/>
      <c r="W787" s="490"/>
      <c r="X787" s="676"/>
      <c r="Y787" s="676"/>
      <c r="Z787" s="676"/>
      <c r="AA787" s="676"/>
      <c r="AB787" s="675"/>
      <c r="AC787" s="490"/>
      <c r="AD787" s="490"/>
      <c r="AE787" s="490"/>
      <c r="AF787" s="490"/>
      <c r="AG787" s="490"/>
      <c r="AH787" s="490"/>
      <c r="AI787" s="490"/>
      <c r="AJ787" s="490"/>
      <c r="AK787" s="490"/>
      <c r="AL787" s="490"/>
      <c r="AM787" s="490"/>
      <c r="AN787" s="490"/>
      <c r="AO787" s="490"/>
      <c r="AP787" s="490"/>
      <c r="AQ787" s="490"/>
      <c r="AR787" s="490"/>
      <c r="AS787" s="490"/>
      <c r="AT787" s="490"/>
      <c r="AU787" s="490"/>
      <c r="AV787" s="490"/>
      <c r="AW787" s="490"/>
      <c r="AX787" s="490"/>
      <c r="AY787" s="490"/>
      <c r="AZ787" s="491"/>
      <c r="BA787" s="491"/>
      <c r="BB787" s="491"/>
    </row>
    <row r="788" spans="1:54" ht="15.75" hidden="1" outlineLevel="2" x14ac:dyDescent="0.2">
      <c r="A788" s="243"/>
      <c r="B788" s="243"/>
      <c r="C788" s="243"/>
      <c r="D788" s="663" t="s">
        <v>1</v>
      </c>
      <c r="E788" s="663"/>
      <c r="F788" s="751">
        <f>FirstYear</f>
        <v>2021</v>
      </c>
      <c r="G788" s="751">
        <f>F788+1</f>
        <v>2022</v>
      </c>
      <c r="H788" s="751">
        <f>G788+1</f>
        <v>2023</v>
      </c>
      <c r="I788" s="751">
        <f>H788+1</f>
        <v>2024</v>
      </c>
      <c r="J788" s="751">
        <f>I788+1</f>
        <v>2025</v>
      </c>
      <c r="K788" s="751">
        <f>J788+1</f>
        <v>2026</v>
      </c>
      <c r="L788" s="491"/>
      <c r="M788" s="243"/>
      <c r="N788" s="685"/>
      <c r="O788" s="685"/>
      <c r="P788" s="685"/>
      <c r="Q788" s="673"/>
      <c r="R788" s="673"/>
      <c r="S788" s="673"/>
      <c r="T788" s="673"/>
      <c r="U788" s="673"/>
      <c r="V788" s="673"/>
      <c r="W788" s="491"/>
      <c r="X788" s="676"/>
      <c r="Y788" s="676"/>
      <c r="Z788" s="676"/>
      <c r="AA788" s="676"/>
      <c r="AB788" s="675"/>
      <c r="AC788" s="490"/>
      <c r="AD788" s="490"/>
      <c r="AE788" s="490"/>
      <c r="AF788" s="490"/>
      <c r="AG788" s="490"/>
      <c r="AH788" s="490"/>
      <c r="AI788" s="490"/>
      <c r="AJ788" s="490"/>
      <c r="AK788" s="490"/>
      <c r="AL788" s="490"/>
      <c r="AM788" s="490"/>
      <c r="AN788" s="490"/>
      <c r="AO788" s="490"/>
      <c r="AP788" s="490"/>
      <c r="AQ788" s="490"/>
      <c r="AR788" s="490"/>
      <c r="AS788" s="490"/>
      <c r="AT788" s="490"/>
      <c r="AU788" s="490"/>
      <c r="AV788" s="490"/>
      <c r="AW788" s="490"/>
      <c r="AX788" s="490"/>
      <c r="AY788" s="490"/>
      <c r="AZ788" s="491"/>
      <c r="BA788" s="491"/>
      <c r="BB788" s="491"/>
    </row>
    <row r="789" spans="1:54" hidden="1" outlineLevel="2" x14ac:dyDescent="0.2">
      <c r="A789" s="243"/>
      <c r="B789" s="243"/>
      <c r="C789" s="243"/>
      <c r="D789" s="243"/>
      <c r="E789" s="433" t="s">
        <v>951</v>
      </c>
      <c r="F789" s="283">
        <f t="shared" ref="F789:K789" si="535">F790*INDEX(MBSDecCalc,$C778,3)</f>
        <v>0</v>
      </c>
      <c r="G789" s="283">
        <f t="shared" si="535"/>
        <v>0</v>
      </c>
      <c r="H789" s="283">
        <f t="shared" si="535"/>
        <v>0</v>
      </c>
      <c r="I789" s="283">
        <f t="shared" si="535"/>
        <v>0</v>
      </c>
      <c r="J789" s="283">
        <f t="shared" si="535"/>
        <v>0</v>
      </c>
      <c r="K789" s="283">
        <f t="shared" si="535"/>
        <v>0</v>
      </c>
      <c r="L789" s="490"/>
      <c r="M789" s="615"/>
      <c r="N789" s="615"/>
      <c r="O789" s="678"/>
      <c r="P789" s="678"/>
      <c r="Q789" s="673"/>
      <c r="R789" s="673"/>
      <c r="S789" s="673"/>
      <c r="T789" s="673"/>
      <c r="U789" s="673"/>
      <c r="V789" s="673"/>
      <c r="W789" s="490"/>
      <c r="X789" s="676"/>
      <c r="Y789" s="676"/>
      <c r="Z789" s="676"/>
      <c r="AA789" s="676"/>
      <c r="AB789" s="675"/>
      <c r="AC789" s="490"/>
      <c r="AD789" s="490"/>
      <c r="AE789" s="490"/>
      <c r="AF789" s="490"/>
      <c r="AG789" s="490"/>
      <c r="AH789" s="490"/>
      <c r="AI789" s="490"/>
      <c r="AJ789" s="490"/>
      <c r="AK789" s="490"/>
      <c r="AL789" s="490"/>
      <c r="AM789" s="490"/>
      <c r="AN789" s="490"/>
      <c r="AO789" s="490"/>
      <c r="AP789" s="490"/>
      <c r="AQ789" s="490"/>
      <c r="AR789" s="490"/>
      <c r="AS789" s="490"/>
      <c r="AT789" s="490"/>
      <c r="AU789" s="490"/>
      <c r="AV789" s="490"/>
      <c r="AW789" s="490"/>
      <c r="AX789" s="490"/>
      <c r="AY789" s="490"/>
      <c r="AZ789" s="491"/>
      <c r="BA789" s="491"/>
      <c r="BB789" s="491"/>
    </row>
    <row r="790" spans="1:54" hidden="1" outlineLevel="2" x14ac:dyDescent="0.2">
      <c r="A790" s="243"/>
      <c r="B790" s="672"/>
      <c r="C790" s="242" t="str">
        <f>C782</f>
        <v/>
      </c>
      <c r="D790" s="243"/>
      <c r="E790" s="62" t="s">
        <v>1310</v>
      </c>
      <c r="F790" s="63">
        <f t="shared" ref="F790:K790" si="536">IF(INDEX(MBSDecRate,$C778,2)=2,IFERROR(INDEX(RPBSScriptsChanged,$C790,F787),0),IFERROR(INDEX(MBSRPBSDec,$C778,INDEX(MBSDecRate,$C778,3)*7+F787),0) * IFERROR(INDEX(MBSDecPopSplit,$C778),0)) * INDEX(MBSDecRate,$C778,1) * INDEX(MBSDecRate,$C778,4)</f>
        <v>0</v>
      </c>
      <c r="G790" s="63">
        <f t="shared" si="536"/>
        <v>0</v>
      </c>
      <c r="H790" s="63">
        <f t="shared" si="536"/>
        <v>0</v>
      </c>
      <c r="I790" s="63">
        <f t="shared" si="536"/>
        <v>0</v>
      </c>
      <c r="J790" s="63">
        <f t="shared" si="536"/>
        <v>0</v>
      </c>
      <c r="K790" s="63">
        <f t="shared" si="536"/>
        <v>0</v>
      </c>
      <c r="L790" s="490"/>
      <c r="M790" s="243"/>
      <c r="N790" s="753"/>
      <c r="O790" s="678"/>
      <c r="P790" s="678"/>
      <c r="Q790" s="673"/>
      <c r="R790" s="673"/>
      <c r="S790" s="673"/>
      <c r="T790" s="673"/>
      <c r="U790" s="673"/>
      <c r="V790" s="673"/>
      <c r="W790" s="490"/>
      <c r="X790" s="676"/>
      <c r="Y790" s="676"/>
      <c r="Z790" s="676"/>
      <c r="AA790" s="676"/>
      <c r="AB790" s="675"/>
      <c r="AC790" s="490"/>
      <c r="AD790" s="490"/>
      <c r="AE790" s="490"/>
      <c r="AF790" s="490"/>
      <c r="AG790" s="490"/>
      <c r="AH790" s="490"/>
      <c r="AI790" s="490"/>
      <c r="AJ790" s="490"/>
      <c r="AK790" s="490"/>
      <c r="AL790" s="490"/>
      <c r="AM790" s="490"/>
      <c r="AN790" s="490"/>
      <c r="AO790" s="490"/>
      <c r="AP790" s="490"/>
      <c r="AQ790" s="490"/>
      <c r="AR790" s="490"/>
      <c r="AS790" s="490"/>
      <c r="AT790" s="490"/>
      <c r="AU790" s="490"/>
      <c r="AV790" s="490"/>
      <c r="AW790" s="490"/>
      <c r="AX790" s="490"/>
      <c r="AY790" s="490"/>
      <c r="AZ790" s="491"/>
      <c r="BA790" s="491"/>
      <c r="BB790" s="491"/>
    </row>
    <row r="791" spans="1:54" hidden="1" outlineLevel="2" x14ac:dyDescent="0.2">
      <c r="A791" s="243"/>
      <c r="B791" s="242">
        <v>5</v>
      </c>
      <c r="C791" s="242">
        <v>6</v>
      </c>
      <c r="D791" s="243"/>
      <c r="E791" s="496" t="s">
        <v>1307</v>
      </c>
      <c r="F791" s="63" t="str">
        <f t="shared" ref="F791:K791" si="537">IFERROR(F790*INDEX(MBSDecItems,$C778,$B791)*INDEX(MBSDecItems,$C778,$C791),"")</f>
        <v/>
      </c>
      <c r="G791" s="63" t="str">
        <f t="shared" si="537"/>
        <v/>
      </c>
      <c r="H791" s="63" t="str">
        <f t="shared" si="537"/>
        <v/>
      </c>
      <c r="I791" s="63" t="str">
        <f t="shared" si="537"/>
        <v/>
      </c>
      <c r="J791" s="63" t="str">
        <f t="shared" si="537"/>
        <v/>
      </c>
      <c r="K791" s="63" t="str">
        <f t="shared" si="537"/>
        <v/>
      </c>
      <c r="L791" s="490"/>
      <c r="M791" s="683"/>
      <c r="N791" s="753"/>
      <c r="O791" s="678"/>
      <c r="P791" s="678"/>
      <c r="Q791" s="673"/>
      <c r="R791" s="673"/>
      <c r="S791" s="673"/>
      <c r="T791" s="673"/>
      <c r="U791" s="673"/>
      <c r="V791" s="673"/>
      <c r="W791" s="490"/>
      <c r="X791" s="676"/>
      <c r="Y791" s="676"/>
      <c r="Z791" s="676"/>
      <c r="AA791" s="676"/>
      <c r="AB791" s="676"/>
      <c r="AC791" s="490"/>
      <c r="AD791" s="490"/>
      <c r="AE791" s="490"/>
      <c r="AF791" s="490"/>
      <c r="AG791" s="490"/>
      <c r="AH791" s="490"/>
      <c r="AI791" s="490"/>
      <c r="AJ791" s="490"/>
      <c r="AK791" s="490"/>
      <c r="AL791" s="490"/>
      <c r="AM791" s="490"/>
      <c r="AN791" s="490"/>
      <c r="AO791" s="490"/>
      <c r="AP791" s="490"/>
      <c r="AQ791" s="490"/>
      <c r="AR791" s="490"/>
      <c r="AS791" s="490"/>
      <c r="AT791" s="490"/>
      <c r="AU791" s="490"/>
      <c r="AV791" s="490"/>
      <c r="AW791" s="490"/>
      <c r="AX791" s="490"/>
      <c r="AY791" s="490"/>
      <c r="AZ791" s="491"/>
      <c r="BA791" s="491"/>
      <c r="BB791" s="491"/>
    </row>
    <row r="792" spans="1:54" hidden="1" outlineLevel="2" x14ac:dyDescent="0.2">
      <c r="A792" s="243"/>
      <c r="B792" s="242">
        <v>4</v>
      </c>
      <c r="C792" s="242">
        <v>6</v>
      </c>
      <c r="D792" s="243"/>
      <c r="E792" s="496" t="s">
        <v>1306</v>
      </c>
      <c r="F792" s="63" t="str">
        <f t="shared" ref="F792:K792" si="538">IFERROR(F790*INDEX(MBSDecItems,$C778,$B792)*INDEX(MBSDecItems,$C778,$C792),"")</f>
        <v/>
      </c>
      <c r="G792" s="63" t="str">
        <f t="shared" si="538"/>
        <v/>
      </c>
      <c r="H792" s="63" t="str">
        <f t="shared" si="538"/>
        <v/>
      </c>
      <c r="I792" s="63" t="str">
        <f t="shared" si="538"/>
        <v/>
      </c>
      <c r="J792" s="63" t="str">
        <f t="shared" si="538"/>
        <v/>
      </c>
      <c r="K792" s="63" t="str">
        <f t="shared" si="538"/>
        <v/>
      </c>
      <c r="L792" s="490"/>
      <c r="M792" s="684"/>
      <c r="N792" s="682"/>
      <c r="O792" s="678"/>
      <c r="P792" s="678"/>
      <c r="Q792" s="673"/>
      <c r="R792" s="673"/>
      <c r="S792" s="673"/>
      <c r="T792" s="673"/>
      <c r="U792" s="673"/>
      <c r="V792" s="673"/>
      <c r="W792" s="490"/>
      <c r="X792" s="676"/>
      <c r="Y792" s="676"/>
      <c r="Z792" s="676"/>
      <c r="AA792" s="676"/>
      <c r="AB792" s="676"/>
      <c r="AC792" s="490"/>
      <c r="AD792" s="490"/>
      <c r="AE792" s="490"/>
      <c r="AF792" s="490"/>
      <c r="AG792" s="490"/>
      <c r="AH792" s="490"/>
      <c r="AI792" s="490"/>
      <c r="AJ792" s="490"/>
      <c r="AK792" s="490"/>
      <c r="AL792" s="490"/>
      <c r="AM792" s="490"/>
      <c r="AN792" s="490"/>
      <c r="AO792" s="490"/>
      <c r="AP792" s="490"/>
      <c r="AQ792" s="490"/>
      <c r="AR792" s="490"/>
      <c r="AS792" s="490"/>
      <c r="AT792" s="490"/>
      <c r="AU792" s="490"/>
      <c r="AV792" s="490"/>
      <c r="AW792" s="490"/>
      <c r="AX792" s="490"/>
      <c r="AY792" s="490"/>
      <c r="AZ792" s="491"/>
      <c r="BA792" s="491"/>
      <c r="BB792" s="491"/>
    </row>
    <row r="793" spans="1:54" hidden="1" outlineLevel="2" x14ac:dyDescent="0.2">
      <c r="A793" s="243"/>
      <c r="B793" s="242"/>
      <c r="C793" s="242">
        <v>7</v>
      </c>
      <c r="D793" s="243"/>
      <c r="E793" s="497" t="s">
        <v>1308</v>
      </c>
      <c r="F793" s="63" t="str">
        <f t="shared" ref="F793:K793" si="539">IFERROR(F790*INDEX(MBSDecItems,$C778,$C793),"")</f>
        <v/>
      </c>
      <c r="G793" s="63" t="str">
        <f t="shared" si="539"/>
        <v/>
      </c>
      <c r="H793" s="63" t="str">
        <f t="shared" si="539"/>
        <v/>
      </c>
      <c r="I793" s="63" t="str">
        <f t="shared" si="539"/>
        <v/>
      </c>
      <c r="J793" s="63" t="str">
        <f t="shared" si="539"/>
        <v/>
      </c>
      <c r="K793" s="63" t="str">
        <f t="shared" si="539"/>
        <v/>
      </c>
      <c r="L793" s="490"/>
      <c r="M793" s="684"/>
      <c r="N793" s="682"/>
      <c r="O793" s="678"/>
      <c r="P793" s="678"/>
      <c r="Q793" s="673"/>
      <c r="R793" s="673"/>
      <c r="S793" s="673"/>
      <c r="T793" s="673"/>
      <c r="U793" s="673"/>
      <c r="V793" s="673"/>
      <c r="W793" s="490"/>
      <c r="X793" s="676"/>
      <c r="Y793" s="676"/>
      <c r="Z793" s="676"/>
      <c r="AA793" s="676"/>
      <c r="AB793" s="676"/>
      <c r="AC793" s="490"/>
      <c r="AD793" s="490"/>
      <c r="AE793" s="490"/>
      <c r="AF793" s="490"/>
      <c r="AG793" s="490"/>
      <c r="AH793" s="490"/>
      <c r="AI793" s="490"/>
      <c r="AJ793" s="490"/>
      <c r="AK793" s="490"/>
      <c r="AL793" s="490"/>
      <c r="AM793" s="490"/>
      <c r="AN793" s="490"/>
      <c r="AO793" s="490"/>
      <c r="AP793" s="490"/>
      <c r="AQ793" s="490"/>
      <c r="AR793" s="490"/>
      <c r="AS793" s="490"/>
      <c r="AT793" s="490"/>
      <c r="AU793" s="490"/>
      <c r="AV793" s="490"/>
      <c r="AW793" s="490"/>
      <c r="AX793" s="490"/>
      <c r="AY793" s="490"/>
      <c r="AZ793" s="491"/>
      <c r="BA793" s="491"/>
      <c r="BB793" s="491"/>
    </row>
    <row r="794" spans="1:54" hidden="1" outlineLevel="1" x14ac:dyDescent="0.2">
      <c r="A794" s="243"/>
      <c r="B794" s="243"/>
      <c r="C794" s="243"/>
      <c r="D794" s="677"/>
      <c r="E794" s="677"/>
      <c r="F794" s="243"/>
      <c r="G794" s="243"/>
      <c r="H794" s="243"/>
      <c r="I794" s="243"/>
      <c r="J794" s="243"/>
      <c r="K794" s="243"/>
      <c r="L794" s="243"/>
      <c r="M794" s="243"/>
      <c r="N794" s="678"/>
      <c r="O794" s="678"/>
      <c r="P794" s="678"/>
      <c r="Q794" s="673"/>
      <c r="R794" s="673"/>
      <c r="S794" s="673"/>
      <c r="T794" s="673"/>
      <c r="U794" s="673"/>
      <c r="V794" s="673"/>
      <c r="W794" s="490"/>
      <c r="X794" s="676"/>
      <c r="Y794" s="676"/>
      <c r="Z794" s="676"/>
      <c r="AA794" s="676"/>
      <c r="AB794" s="676"/>
      <c r="AC794" s="490"/>
      <c r="AD794" s="490"/>
      <c r="AE794" s="490"/>
      <c r="AF794" s="490"/>
      <c r="AG794" s="490"/>
      <c r="AH794" s="490"/>
      <c r="AI794" s="490"/>
      <c r="AJ794" s="490"/>
      <c r="AK794" s="490"/>
      <c r="AL794" s="490"/>
      <c r="AM794" s="490"/>
      <c r="AN794" s="490"/>
      <c r="AO794" s="490"/>
      <c r="AP794" s="490"/>
      <c r="AQ794" s="490"/>
      <c r="AR794" s="490"/>
      <c r="AS794" s="490"/>
      <c r="AT794" s="490"/>
      <c r="AU794" s="490"/>
      <c r="AV794" s="490"/>
      <c r="AW794" s="490"/>
      <c r="AX794" s="490"/>
      <c r="AY794" s="490"/>
      <c r="AZ794" s="491"/>
      <c r="BA794" s="491"/>
      <c r="BB794" s="491"/>
    </row>
    <row r="795" spans="1:54" ht="15.75" hidden="1" outlineLevel="1" x14ac:dyDescent="0.2">
      <c r="A795" s="243"/>
      <c r="B795" s="243"/>
      <c r="C795" s="242">
        <v>18</v>
      </c>
      <c r="D795" s="79" t="str">
        <f>INDEX(MBSDecNames,C795)</f>
        <v>** NOT USED **</v>
      </c>
      <c r="E795" s="79"/>
      <c r="F795" s="115"/>
      <c r="G795" s="115"/>
      <c r="H795" s="115"/>
      <c r="I795" s="115"/>
      <c r="J795" s="821" t="str">
        <f>IF(D795&lt;&gt;MsgNotUsed,"Co-payment group " &amp; K624,"")</f>
        <v/>
      </c>
      <c r="K795" s="821"/>
      <c r="L795" s="115"/>
      <c r="M795" s="115"/>
      <c r="N795" s="115"/>
      <c r="O795" s="115"/>
      <c r="P795" s="115"/>
      <c r="Q795" s="115"/>
      <c r="R795" s="115"/>
      <c r="S795" s="115"/>
      <c r="T795" s="115"/>
      <c r="U795" s="115"/>
      <c r="V795" s="115"/>
      <c r="W795" s="491"/>
      <c r="X795" s="490"/>
      <c r="Y795" s="490"/>
      <c r="Z795" s="490"/>
      <c r="AA795" s="490"/>
      <c r="AB795" s="676"/>
      <c r="AC795" s="490"/>
      <c r="AD795" s="490"/>
      <c r="AE795" s="490"/>
      <c r="AF795" s="490"/>
      <c r="AG795" s="490"/>
      <c r="AH795" s="490"/>
      <c r="AI795" s="490"/>
      <c r="AJ795" s="490"/>
      <c r="AK795" s="490"/>
      <c r="AL795" s="490"/>
      <c r="AM795" s="490"/>
      <c r="AN795" s="490"/>
      <c r="AO795" s="490"/>
      <c r="AP795" s="490"/>
      <c r="AQ795" s="490"/>
      <c r="AR795" s="490"/>
      <c r="AS795" s="490"/>
      <c r="AT795" s="490"/>
      <c r="AU795" s="490"/>
      <c r="AV795" s="490"/>
      <c r="AW795" s="490"/>
      <c r="AX795" s="490"/>
      <c r="AY795" s="490"/>
      <c r="AZ795" s="491"/>
      <c r="BA795" s="491"/>
      <c r="BB795" s="491"/>
    </row>
    <row r="796" spans="1:54" hidden="1" outlineLevel="2" x14ac:dyDescent="0.2">
      <c r="A796" s="243"/>
      <c r="B796" s="243"/>
      <c r="C796" s="243"/>
      <c r="D796" s="243"/>
      <c r="E796" s="243"/>
      <c r="F796" s="495">
        <v>2</v>
      </c>
      <c r="G796" s="495">
        <v>3</v>
      </c>
      <c r="H796" s="495">
        <v>4</v>
      </c>
      <c r="I796" s="495">
        <v>5</v>
      </c>
      <c r="J796" s="495">
        <v>6</v>
      </c>
      <c r="K796" s="495">
        <v>7</v>
      </c>
      <c r="L796" s="495"/>
      <c r="M796" s="243"/>
      <c r="N796" s="243"/>
      <c r="O796" s="243"/>
      <c r="P796" s="243"/>
      <c r="Q796" s="243"/>
      <c r="R796" s="243"/>
      <c r="S796" s="243"/>
      <c r="T796" s="243"/>
      <c r="U796" s="243"/>
      <c r="V796" s="243"/>
      <c r="W796" s="490"/>
      <c r="X796" s="490"/>
      <c r="Y796" s="490"/>
      <c r="Z796" s="490"/>
      <c r="AA796" s="490"/>
      <c r="AB796" s="676"/>
      <c r="AC796" s="490"/>
      <c r="AD796" s="490"/>
      <c r="AE796" s="490"/>
      <c r="AF796" s="490"/>
      <c r="AG796" s="490"/>
      <c r="AH796" s="490"/>
      <c r="AI796" s="490"/>
      <c r="AJ796" s="490"/>
      <c r="AK796" s="490"/>
      <c r="AL796" s="490"/>
      <c r="AM796" s="490"/>
      <c r="AN796" s="490"/>
      <c r="AO796" s="490"/>
      <c r="AP796" s="490"/>
      <c r="AQ796" s="490"/>
      <c r="AR796" s="490"/>
      <c r="AS796" s="490"/>
      <c r="AT796" s="490"/>
      <c r="AU796" s="490"/>
      <c r="AV796" s="490"/>
      <c r="AW796" s="490"/>
      <c r="AX796" s="490"/>
      <c r="AY796" s="490"/>
      <c r="AZ796" s="491"/>
      <c r="BA796" s="491"/>
      <c r="BB796" s="491"/>
    </row>
    <row r="797" spans="1:54" ht="15" hidden="1" outlineLevel="2" x14ac:dyDescent="0.2">
      <c r="A797" s="243"/>
      <c r="B797" s="243"/>
      <c r="C797" s="243"/>
      <c r="D797" s="663" t="s">
        <v>0</v>
      </c>
      <c r="E797" s="663"/>
      <c r="F797" s="729">
        <f>FirstYear</f>
        <v>2021</v>
      </c>
      <c r="G797" s="729">
        <f>F797+1</f>
        <v>2022</v>
      </c>
      <c r="H797" s="729">
        <f>G797+1</f>
        <v>2023</v>
      </c>
      <c r="I797" s="729">
        <f>H797+1</f>
        <v>2024</v>
      </c>
      <c r="J797" s="729">
        <f>I797+1</f>
        <v>2025</v>
      </c>
      <c r="K797" s="729">
        <f>J797+1</f>
        <v>2026</v>
      </c>
      <c r="L797" s="491"/>
      <c r="M797" s="113"/>
      <c r="N797" s="679"/>
      <c r="O797" s="679"/>
      <c r="P797" s="679"/>
      <c r="Q797" s="674"/>
      <c r="R797" s="674"/>
      <c r="S797" s="674"/>
      <c r="T797" s="674"/>
      <c r="U797" s="674"/>
      <c r="V797" s="674"/>
      <c r="W797" s="491"/>
      <c r="X797" s="674"/>
      <c r="Y797" s="674"/>
      <c r="Z797" s="674"/>
      <c r="AA797" s="674"/>
      <c r="AB797" s="676"/>
      <c r="AC797" s="490"/>
      <c r="AD797" s="490"/>
      <c r="AE797" s="490"/>
      <c r="AF797" s="490"/>
      <c r="AG797" s="490"/>
      <c r="AH797" s="490"/>
      <c r="AI797" s="490"/>
      <c r="AJ797" s="490"/>
      <c r="AK797" s="490"/>
      <c r="AL797" s="490"/>
      <c r="AM797" s="490"/>
      <c r="AN797" s="490"/>
      <c r="AO797" s="490"/>
      <c r="AP797" s="490"/>
      <c r="AQ797" s="490"/>
      <c r="AR797" s="490"/>
      <c r="AS797" s="490"/>
      <c r="AT797" s="490"/>
      <c r="AU797" s="490"/>
      <c r="AV797" s="490"/>
      <c r="AW797" s="490"/>
      <c r="AX797" s="490"/>
      <c r="AY797" s="490"/>
      <c r="AZ797" s="491"/>
      <c r="BA797" s="491"/>
      <c r="BB797" s="491"/>
    </row>
    <row r="798" spans="1:54" hidden="1" outlineLevel="2" collapsed="1" x14ac:dyDescent="0.2">
      <c r="A798" s="243"/>
      <c r="B798" s="243"/>
      <c r="C798" s="243"/>
      <c r="D798" s="243"/>
      <c r="E798" s="433" t="s">
        <v>951</v>
      </c>
      <c r="F798" s="283">
        <f t="shared" ref="F798:K798" si="540">F799*INDEX(MBSDecCalc,$C795,3)</f>
        <v>0</v>
      </c>
      <c r="G798" s="283">
        <f t="shared" si="540"/>
        <v>0</v>
      </c>
      <c r="H798" s="283">
        <f t="shared" si="540"/>
        <v>0</v>
      </c>
      <c r="I798" s="283">
        <f t="shared" si="540"/>
        <v>0</v>
      </c>
      <c r="J798" s="283">
        <f t="shared" si="540"/>
        <v>0</v>
      </c>
      <c r="K798" s="283">
        <f t="shared" si="540"/>
        <v>0</v>
      </c>
      <c r="L798" s="490"/>
      <c r="M798" s="680"/>
      <c r="N798" s="664"/>
      <c r="O798" s="664"/>
      <c r="P798" s="664"/>
      <c r="Q798" s="681"/>
      <c r="R798" s="681"/>
      <c r="S798" s="681"/>
      <c r="T798" s="681"/>
      <c r="U798" s="681"/>
      <c r="V798" s="681"/>
      <c r="W798" s="493"/>
      <c r="X798" s="561">
        <f>INDEX(MBSDecItems,C795,1)</f>
        <v>0</v>
      </c>
      <c r="Y798" s="561">
        <f>FirstYear</f>
        <v>2021</v>
      </c>
      <c r="Z798" s="560">
        <f>IF(F799&lt;&gt;0,F799-F801,0)</f>
        <v>0</v>
      </c>
      <c r="AA798" s="560">
        <f>IF(F807&lt;&gt;0,F807-F809,0)</f>
        <v>0</v>
      </c>
      <c r="AB798" s="676"/>
      <c r="AC798" s="490"/>
      <c r="AD798" s="490"/>
      <c r="AE798" s="490"/>
      <c r="AF798" s="490"/>
      <c r="AG798" s="490"/>
      <c r="AH798" s="490"/>
      <c r="AI798" s="490"/>
      <c r="AJ798" s="490"/>
      <c r="AK798" s="490"/>
      <c r="AL798" s="490"/>
      <c r="AM798" s="490"/>
      <c r="AN798" s="490"/>
      <c r="AO798" s="490"/>
      <c r="AP798" s="490"/>
      <c r="AQ798" s="490"/>
      <c r="AR798" s="490"/>
      <c r="AS798" s="490"/>
      <c r="AT798" s="490"/>
      <c r="AU798" s="490"/>
      <c r="AV798" s="490"/>
      <c r="AW798" s="490"/>
      <c r="AX798" s="490"/>
      <c r="AY798" s="490"/>
      <c r="AZ798" s="491"/>
      <c r="BA798" s="491"/>
      <c r="BB798" s="491"/>
    </row>
    <row r="799" spans="1:54" hidden="1" outlineLevel="2" x14ac:dyDescent="0.2">
      <c r="A799" s="243"/>
      <c r="B799" s="672"/>
      <c r="C799" s="242" t="str">
        <f>INDEX(MBSDecCalc,C795,2)</f>
        <v/>
      </c>
      <c r="D799" s="243"/>
      <c r="E799" s="62" t="s">
        <v>1310</v>
      </c>
      <c r="F799" s="63">
        <f t="shared" ref="F799:K799" si="541">IF(INDEX(MBSDecRate,$C795,2)=2,IFERROR(INDEX(PBSScriptsChanged,$C799,F796),0),IFERROR(INDEX(MBSPBSDec,$C795,INDEX(MBSDecRate,$C795,3)*7+F796),0) * IFERROR(INDEX(MBSDecPopSplit,$C795),0)) * INDEX(MBSDecRate,$C795,1) * INDEX(MBSDecRate,$C795,4)</f>
        <v>0</v>
      </c>
      <c r="G799" s="63">
        <f t="shared" si="541"/>
        <v>0</v>
      </c>
      <c r="H799" s="63">
        <f t="shared" si="541"/>
        <v>0</v>
      </c>
      <c r="I799" s="63">
        <f t="shared" si="541"/>
        <v>0</v>
      </c>
      <c r="J799" s="63">
        <f t="shared" si="541"/>
        <v>0</v>
      </c>
      <c r="K799" s="63">
        <f t="shared" si="541"/>
        <v>0</v>
      </c>
      <c r="L799" s="490"/>
      <c r="M799" s="493"/>
      <c r="N799" s="493"/>
      <c r="O799" s="664"/>
      <c r="P799" s="664"/>
      <c r="Q799" s="681"/>
      <c r="R799" s="681"/>
      <c r="S799" s="681"/>
      <c r="T799" s="681"/>
      <c r="U799" s="681"/>
      <c r="V799" s="681"/>
      <c r="W799" s="493"/>
      <c r="X799" s="561">
        <f>X798</f>
        <v>0</v>
      </c>
      <c r="Y799" s="561">
        <f>Y798+1</f>
        <v>2022</v>
      </c>
      <c r="Z799" s="560">
        <f>IF(G799&lt;&gt;0,G799-G801,0)</f>
        <v>0</v>
      </c>
      <c r="AA799" s="560">
        <f>IF(G807&lt;&gt;0,G807-G809,0)</f>
        <v>0</v>
      </c>
      <c r="AB799" s="676"/>
      <c r="AC799" s="490"/>
      <c r="AD799" s="490"/>
      <c r="AE799" s="490"/>
      <c r="AF799" s="490"/>
      <c r="AG799" s="490"/>
      <c r="AH799" s="490"/>
      <c r="AI799" s="490"/>
      <c r="AJ799" s="490"/>
      <c r="AK799" s="490"/>
      <c r="AL799" s="490"/>
      <c r="AM799" s="490"/>
      <c r="AN799" s="490"/>
      <c r="AO799" s="490"/>
      <c r="AP799" s="490"/>
      <c r="AQ799" s="490"/>
      <c r="AR799" s="490"/>
      <c r="AS799" s="490"/>
      <c r="AT799" s="490"/>
      <c r="AU799" s="490"/>
      <c r="AV799" s="490"/>
      <c r="AW799" s="490"/>
      <c r="AX799" s="490"/>
      <c r="AY799" s="490"/>
      <c r="AZ799" s="491"/>
      <c r="BA799" s="491"/>
      <c r="BB799" s="491"/>
    </row>
    <row r="800" spans="1:54" hidden="1" outlineLevel="2" x14ac:dyDescent="0.2">
      <c r="A800" s="243"/>
      <c r="B800" s="242">
        <v>5</v>
      </c>
      <c r="C800" s="242">
        <v>6</v>
      </c>
      <c r="D800" s="243"/>
      <c r="E800" s="496" t="s">
        <v>1307</v>
      </c>
      <c r="F800" s="63" t="str">
        <f t="shared" ref="F800:K800" si="542">IFERROR(F799*INDEX(MBSDecItems,$C795,$B800)*INDEX(MBSDecItems,$C795,$C800),"")</f>
        <v/>
      </c>
      <c r="G800" s="63" t="str">
        <f t="shared" si="542"/>
        <v/>
      </c>
      <c r="H800" s="63" t="str">
        <f t="shared" si="542"/>
        <v/>
      </c>
      <c r="I800" s="63" t="str">
        <f t="shared" si="542"/>
        <v/>
      </c>
      <c r="J800" s="63" t="str">
        <f t="shared" si="542"/>
        <v/>
      </c>
      <c r="K800" s="63" t="str">
        <f t="shared" si="542"/>
        <v/>
      </c>
      <c r="L800" s="490"/>
      <c r="M800" s="493"/>
      <c r="N800" s="493"/>
      <c r="O800" s="682"/>
      <c r="P800" s="754"/>
      <c r="Q800" s="681"/>
      <c r="R800" s="681"/>
      <c r="S800" s="681"/>
      <c r="T800" s="681"/>
      <c r="U800" s="681"/>
      <c r="V800" s="681"/>
      <c r="W800" s="493"/>
      <c r="X800" s="561">
        <f t="shared" ref="X800:X803" si="543">X799</f>
        <v>0</v>
      </c>
      <c r="Y800" s="561">
        <f>Y799+1</f>
        <v>2023</v>
      </c>
      <c r="Z800" s="560">
        <f>IF(H799&lt;&gt;0,H799-H801,0)</f>
        <v>0</v>
      </c>
      <c r="AA800" s="560">
        <f>IF(H807&lt;&gt;0,H807-H809,0)</f>
        <v>0</v>
      </c>
      <c r="AB800" s="676"/>
      <c r="AC800" s="490"/>
      <c r="AD800" s="490"/>
      <c r="AE800" s="490"/>
      <c r="AF800" s="490"/>
      <c r="AG800" s="490"/>
      <c r="AH800" s="490"/>
      <c r="AI800" s="490"/>
      <c r="AJ800" s="490"/>
      <c r="AK800" s="490"/>
      <c r="AL800" s="490"/>
      <c r="AM800" s="490"/>
      <c r="AN800" s="490"/>
      <c r="AO800" s="490"/>
      <c r="AP800" s="490"/>
      <c r="AQ800" s="490"/>
      <c r="AR800" s="490"/>
      <c r="AS800" s="490"/>
      <c r="AT800" s="490"/>
      <c r="AU800" s="490"/>
      <c r="AV800" s="490"/>
      <c r="AW800" s="490"/>
      <c r="AX800" s="490"/>
      <c r="AY800" s="490"/>
      <c r="AZ800" s="491"/>
      <c r="BA800" s="491"/>
      <c r="BB800" s="491"/>
    </row>
    <row r="801" spans="1:54" hidden="1" outlineLevel="2" x14ac:dyDescent="0.2">
      <c r="A801" s="416"/>
      <c r="B801" s="242">
        <v>4</v>
      </c>
      <c r="C801" s="242">
        <v>6</v>
      </c>
      <c r="D801" s="243"/>
      <c r="E801" s="496" t="s">
        <v>1306</v>
      </c>
      <c r="F801" s="63" t="str">
        <f t="shared" ref="F801:K801" si="544">IFERROR(F799*INDEX(MBSDecItems,$C795,$B801)*INDEX(MBSDecItems,$C795,$C801),"")</f>
        <v/>
      </c>
      <c r="G801" s="63" t="str">
        <f t="shared" si="544"/>
        <v/>
      </c>
      <c r="H801" s="63" t="str">
        <f t="shared" si="544"/>
        <v/>
      </c>
      <c r="I801" s="63" t="str">
        <f t="shared" si="544"/>
        <v/>
      </c>
      <c r="J801" s="63" t="str">
        <f t="shared" si="544"/>
        <v/>
      </c>
      <c r="K801" s="63" t="str">
        <f t="shared" si="544"/>
        <v/>
      </c>
      <c r="L801" s="416"/>
      <c r="M801" s="416"/>
      <c r="N801" s="416"/>
      <c r="O801" s="416"/>
      <c r="P801" s="416"/>
      <c r="Q801" s="416"/>
      <c r="R801" s="416"/>
      <c r="S801" s="416"/>
      <c r="T801" s="416"/>
      <c r="U801" s="416"/>
      <c r="V801" s="416"/>
      <c r="W801" s="493"/>
      <c r="X801" s="561">
        <f t="shared" si="543"/>
        <v>0</v>
      </c>
      <c r="Y801" s="561">
        <f>Y800+1</f>
        <v>2024</v>
      </c>
      <c r="Z801" s="560">
        <f>IF(I799&lt;&gt;0,I799-I801,0)</f>
        <v>0</v>
      </c>
      <c r="AA801" s="560">
        <f>IF(I807&lt;&gt;0,I807-I809,0)</f>
        <v>0</v>
      </c>
      <c r="AB801" s="674"/>
      <c r="AC801" s="490"/>
      <c r="AD801" s="490"/>
      <c r="AE801" s="490"/>
      <c r="AF801" s="490"/>
      <c r="AG801" s="490"/>
      <c r="AH801" s="490"/>
      <c r="AI801" s="490"/>
      <c r="AJ801" s="490"/>
      <c r="AK801" s="490"/>
      <c r="AL801" s="490"/>
      <c r="AM801" s="490"/>
      <c r="AN801" s="490"/>
      <c r="AO801" s="490"/>
      <c r="AP801" s="490"/>
      <c r="AQ801" s="490"/>
      <c r="AR801" s="490"/>
      <c r="AS801" s="490"/>
      <c r="AT801" s="490"/>
      <c r="AU801" s="490"/>
      <c r="AV801" s="490"/>
      <c r="AW801" s="490"/>
      <c r="AX801" s="490"/>
      <c r="AY801" s="490"/>
      <c r="AZ801" s="491"/>
      <c r="BA801" s="491"/>
      <c r="BB801" s="491"/>
    </row>
    <row r="802" spans="1:54" hidden="1" outlineLevel="2" x14ac:dyDescent="0.2">
      <c r="A802" s="243"/>
      <c r="B802" s="242"/>
      <c r="C802" s="242">
        <v>7</v>
      </c>
      <c r="D802" s="243"/>
      <c r="E802" s="497" t="s">
        <v>1308</v>
      </c>
      <c r="F802" s="63" t="str">
        <f t="shared" ref="F802:K802" si="545">IFERROR(F799*INDEX(MBSDecItems,$C795,$C802),"")</f>
        <v/>
      </c>
      <c r="G802" s="63" t="str">
        <f t="shared" si="545"/>
        <v/>
      </c>
      <c r="H802" s="63" t="str">
        <f t="shared" si="545"/>
        <v/>
      </c>
      <c r="I802" s="63" t="str">
        <f t="shared" si="545"/>
        <v/>
      </c>
      <c r="J802" s="63" t="str">
        <f t="shared" si="545"/>
        <v/>
      </c>
      <c r="K802" s="63" t="str">
        <f t="shared" si="545"/>
        <v/>
      </c>
      <c r="L802" s="490"/>
      <c r="M802" s="493"/>
      <c r="N802" s="493"/>
      <c r="O802" s="682"/>
      <c r="P802" s="754"/>
      <c r="Q802" s="681"/>
      <c r="R802" s="681"/>
      <c r="S802" s="681"/>
      <c r="T802" s="681"/>
      <c r="U802" s="681"/>
      <c r="V802" s="681"/>
      <c r="W802" s="493"/>
      <c r="X802" s="561">
        <f t="shared" si="543"/>
        <v>0</v>
      </c>
      <c r="Y802" s="561">
        <f>Y801+1</f>
        <v>2025</v>
      </c>
      <c r="Z802" s="560">
        <f>IF(J799&lt;&gt;0,J799-J801,0)</f>
        <v>0</v>
      </c>
      <c r="AA802" s="560">
        <f>IF(J807&lt;&gt;0,J807-J809,0)</f>
        <v>0</v>
      </c>
      <c r="AB802" s="674"/>
      <c r="AC802" s="490"/>
      <c r="AD802" s="490"/>
      <c r="AE802" s="490"/>
      <c r="AF802" s="490"/>
      <c r="AG802" s="490"/>
      <c r="AH802" s="490"/>
      <c r="AI802" s="490"/>
      <c r="AJ802" s="490"/>
      <c r="AK802" s="490"/>
      <c r="AL802" s="490"/>
      <c r="AM802" s="490"/>
      <c r="AN802" s="490"/>
      <c r="AO802" s="490"/>
      <c r="AP802" s="490"/>
      <c r="AQ802" s="490"/>
      <c r="AR802" s="490"/>
      <c r="AS802" s="490"/>
      <c r="AT802" s="490"/>
      <c r="AU802" s="490"/>
      <c r="AV802" s="490"/>
      <c r="AW802" s="490"/>
      <c r="AX802" s="490"/>
      <c r="AY802" s="490"/>
      <c r="AZ802" s="491"/>
      <c r="BA802" s="491"/>
      <c r="BB802" s="491"/>
    </row>
    <row r="803" spans="1:54" hidden="1" outlineLevel="2" x14ac:dyDescent="0.2">
      <c r="A803" s="243"/>
      <c r="B803" s="493"/>
      <c r="C803" s="493"/>
      <c r="D803" s="493"/>
      <c r="E803" s="493"/>
      <c r="F803" s="493"/>
      <c r="G803" s="493"/>
      <c r="H803" s="493"/>
      <c r="I803" s="493"/>
      <c r="J803" s="493"/>
      <c r="K803" s="493"/>
      <c r="L803" s="490"/>
      <c r="M803" s="493"/>
      <c r="N803" s="493"/>
      <c r="O803" s="682"/>
      <c r="P803" s="682"/>
      <c r="Q803" s="681"/>
      <c r="R803" s="681"/>
      <c r="S803" s="681"/>
      <c r="T803" s="681"/>
      <c r="U803" s="681"/>
      <c r="V803" s="681"/>
      <c r="W803" s="493"/>
      <c r="X803" s="561">
        <f t="shared" si="543"/>
        <v>0</v>
      </c>
      <c r="Y803" s="561">
        <f>Y802+1</f>
        <v>2026</v>
      </c>
      <c r="Z803" s="560">
        <f>IF(K799&lt;&gt;0,K799-K801,0)</f>
        <v>0</v>
      </c>
      <c r="AA803" s="560">
        <f>IF(K807&lt;&gt;0,K807-K809,0)</f>
        <v>0</v>
      </c>
      <c r="AB803" s="675"/>
      <c r="AC803" s="490"/>
      <c r="AD803" s="490"/>
      <c r="AE803" s="490"/>
      <c r="AF803" s="490"/>
      <c r="AG803" s="490"/>
      <c r="AH803" s="490"/>
      <c r="AI803" s="490"/>
      <c r="AJ803" s="490"/>
      <c r="AK803" s="490"/>
      <c r="AL803" s="490"/>
      <c r="AM803" s="490"/>
      <c r="AN803" s="490"/>
      <c r="AO803" s="490"/>
      <c r="AP803" s="490"/>
      <c r="AQ803" s="490"/>
      <c r="AR803" s="490"/>
      <c r="AS803" s="490"/>
      <c r="AT803" s="490"/>
      <c r="AU803" s="490"/>
      <c r="AV803" s="490"/>
      <c r="AW803" s="490"/>
      <c r="AX803" s="490"/>
      <c r="AY803" s="490"/>
      <c r="AZ803" s="491"/>
      <c r="BA803" s="491"/>
      <c r="BB803" s="491"/>
    </row>
    <row r="804" spans="1:54" hidden="1" outlineLevel="2" x14ac:dyDescent="0.2">
      <c r="A804" s="243"/>
      <c r="B804" s="243"/>
      <c r="C804" s="243"/>
      <c r="D804" s="677"/>
      <c r="E804" s="677"/>
      <c r="F804" s="495">
        <v>2</v>
      </c>
      <c r="G804" s="495">
        <v>3</v>
      </c>
      <c r="H804" s="495">
        <v>4</v>
      </c>
      <c r="I804" s="495">
        <v>5</v>
      </c>
      <c r="J804" s="495">
        <v>6</v>
      </c>
      <c r="K804" s="495">
        <v>7</v>
      </c>
      <c r="L804" s="490"/>
      <c r="M804" s="243"/>
      <c r="N804" s="678"/>
      <c r="O804" s="678"/>
      <c r="P804" s="678"/>
      <c r="Q804" s="673"/>
      <c r="R804" s="673"/>
      <c r="S804" s="673"/>
      <c r="T804" s="673"/>
      <c r="U804" s="673"/>
      <c r="V804" s="673"/>
      <c r="W804" s="490"/>
      <c r="X804" s="676"/>
      <c r="Y804" s="676"/>
      <c r="Z804" s="676"/>
      <c r="AA804" s="676"/>
      <c r="AB804" s="675"/>
      <c r="AC804" s="490"/>
      <c r="AD804" s="490"/>
      <c r="AE804" s="490"/>
      <c r="AF804" s="490"/>
      <c r="AG804" s="490"/>
      <c r="AH804" s="490"/>
      <c r="AI804" s="490"/>
      <c r="AJ804" s="490"/>
      <c r="AK804" s="490"/>
      <c r="AL804" s="490"/>
      <c r="AM804" s="490"/>
      <c r="AN804" s="490"/>
      <c r="AO804" s="490"/>
      <c r="AP804" s="490"/>
      <c r="AQ804" s="490"/>
      <c r="AR804" s="490"/>
      <c r="AS804" s="490"/>
      <c r="AT804" s="490"/>
      <c r="AU804" s="490"/>
      <c r="AV804" s="490"/>
      <c r="AW804" s="490"/>
      <c r="AX804" s="490"/>
      <c r="AY804" s="490"/>
      <c r="AZ804" s="491"/>
      <c r="BA804" s="491"/>
      <c r="BB804" s="491"/>
    </row>
    <row r="805" spans="1:54" ht="15.75" hidden="1" outlineLevel="2" x14ac:dyDescent="0.2">
      <c r="A805" s="243"/>
      <c r="B805" s="243"/>
      <c r="C805" s="243"/>
      <c r="D805" s="663" t="s">
        <v>1</v>
      </c>
      <c r="E805" s="663"/>
      <c r="F805" s="751">
        <f>FirstYear</f>
        <v>2021</v>
      </c>
      <c r="G805" s="751">
        <f>F805+1</f>
        <v>2022</v>
      </c>
      <c r="H805" s="751">
        <f>G805+1</f>
        <v>2023</v>
      </c>
      <c r="I805" s="751">
        <f>H805+1</f>
        <v>2024</v>
      </c>
      <c r="J805" s="751">
        <f>I805+1</f>
        <v>2025</v>
      </c>
      <c r="K805" s="751">
        <f>J805+1</f>
        <v>2026</v>
      </c>
      <c r="L805" s="491"/>
      <c r="M805" s="243"/>
      <c r="N805" s="685"/>
      <c r="O805" s="685"/>
      <c r="P805" s="685"/>
      <c r="Q805" s="673"/>
      <c r="R805" s="673"/>
      <c r="S805" s="673"/>
      <c r="T805" s="673"/>
      <c r="U805" s="673"/>
      <c r="V805" s="673"/>
      <c r="W805" s="491"/>
      <c r="X805" s="676"/>
      <c r="Y805" s="676"/>
      <c r="Z805" s="676"/>
      <c r="AA805" s="676"/>
      <c r="AB805" s="675"/>
      <c r="AC805" s="490"/>
      <c r="AD805" s="490"/>
      <c r="AE805" s="490"/>
      <c r="AF805" s="490"/>
      <c r="AG805" s="490"/>
      <c r="AH805" s="490"/>
      <c r="AI805" s="490"/>
      <c r="AJ805" s="490"/>
      <c r="AK805" s="490"/>
      <c r="AL805" s="490"/>
      <c r="AM805" s="490"/>
      <c r="AN805" s="490"/>
      <c r="AO805" s="490"/>
      <c r="AP805" s="490"/>
      <c r="AQ805" s="490"/>
      <c r="AR805" s="490"/>
      <c r="AS805" s="490"/>
      <c r="AT805" s="490"/>
      <c r="AU805" s="490"/>
      <c r="AV805" s="490"/>
      <c r="AW805" s="490"/>
      <c r="AX805" s="490"/>
      <c r="AY805" s="490"/>
      <c r="AZ805" s="491"/>
      <c r="BA805" s="491"/>
      <c r="BB805" s="491"/>
    </row>
    <row r="806" spans="1:54" hidden="1" outlineLevel="2" x14ac:dyDescent="0.2">
      <c r="A806" s="243"/>
      <c r="B806" s="243"/>
      <c r="C806" s="243"/>
      <c r="D806" s="243"/>
      <c r="E806" s="433" t="s">
        <v>951</v>
      </c>
      <c r="F806" s="283">
        <f t="shared" ref="F806:K806" si="546">F807*INDEX(MBSDecCalc,$C795,3)</f>
        <v>0</v>
      </c>
      <c r="G806" s="283">
        <f t="shared" si="546"/>
        <v>0</v>
      </c>
      <c r="H806" s="283">
        <f t="shared" si="546"/>
        <v>0</v>
      </c>
      <c r="I806" s="283">
        <f t="shared" si="546"/>
        <v>0</v>
      </c>
      <c r="J806" s="283">
        <f t="shared" si="546"/>
        <v>0</v>
      </c>
      <c r="K806" s="283">
        <f t="shared" si="546"/>
        <v>0</v>
      </c>
      <c r="L806" s="490"/>
      <c r="M806" s="615"/>
      <c r="N806" s="615"/>
      <c r="O806" s="678"/>
      <c r="P806" s="678"/>
      <c r="Q806" s="673"/>
      <c r="R806" s="673"/>
      <c r="S806" s="673"/>
      <c r="T806" s="673"/>
      <c r="U806" s="673"/>
      <c r="V806" s="673"/>
      <c r="W806" s="490"/>
      <c r="X806" s="676"/>
      <c r="Y806" s="676"/>
      <c r="Z806" s="676"/>
      <c r="AA806" s="676"/>
      <c r="AB806" s="675"/>
      <c r="AC806" s="490"/>
      <c r="AD806" s="490"/>
      <c r="AE806" s="490"/>
      <c r="AF806" s="490"/>
      <c r="AG806" s="490"/>
      <c r="AH806" s="490"/>
      <c r="AI806" s="490"/>
      <c r="AJ806" s="490"/>
      <c r="AK806" s="490"/>
      <c r="AL806" s="490"/>
      <c r="AM806" s="490"/>
      <c r="AN806" s="490"/>
      <c r="AO806" s="490"/>
      <c r="AP806" s="490"/>
      <c r="AQ806" s="490"/>
      <c r="AR806" s="490"/>
      <c r="AS806" s="490"/>
      <c r="AT806" s="490"/>
      <c r="AU806" s="490"/>
      <c r="AV806" s="490"/>
      <c r="AW806" s="490"/>
      <c r="AX806" s="490"/>
      <c r="AY806" s="490"/>
      <c r="AZ806" s="491"/>
      <c r="BA806" s="491"/>
      <c r="BB806" s="491"/>
    </row>
    <row r="807" spans="1:54" hidden="1" outlineLevel="2" x14ac:dyDescent="0.2">
      <c r="A807" s="243"/>
      <c r="B807" s="672"/>
      <c r="C807" s="242" t="str">
        <f>C799</f>
        <v/>
      </c>
      <c r="D807" s="243"/>
      <c r="E807" s="62" t="s">
        <v>1310</v>
      </c>
      <c r="F807" s="63">
        <f t="shared" ref="F807:K807" si="547">IF(INDEX(MBSDecRate,$C795,2)=2,IFERROR(INDEX(RPBSScriptsChanged,$C807,F804),0),IFERROR(INDEX(MBSRPBSDec,$C795,INDEX(MBSDecRate,$C795,3)*7+F804),0) * IFERROR(INDEX(MBSDecPopSplit,$C795),0)) * INDEX(MBSDecRate,$C795,1) * INDEX(MBSDecRate,$C795,4)</f>
        <v>0</v>
      </c>
      <c r="G807" s="63">
        <f t="shared" si="547"/>
        <v>0</v>
      </c>
      <c r="H807" s="63">
        <f t="shared" si="547"/>
        <v>0</v>
      </c>
      <c r="I807" s="63">
        <f t="shared" si="547"/>
        <v>0</v>
      </c>
      <c r="J807" s="63">
        <f t="shared" si="547"/>
        <v>0</v>
      </c>
      <c r="K807" s="63">
        <f t="shared" si="547"/>
        <v>0</v>
      </c>
      <c r="L807" s="490"/>
      <c r="M807" s="243"/>
      <c r="N807" s="753"/>
      <c r="O807" s="678"/>
      <c r="P807" s="678"/>
      <c r="Q807" s="673"/>
      <c r="R807" s="673"/>
      <c r="S807" s="673"/>
      <c r="T807" s="673"/>
      <c r="U807" s="673"/>
      <c r="V807" s="673"/>
      <c r="W807" s="490"/>
      <c r="X807" s="676"/>
      <c r="Y807" s="676"/>
      <c r="Z807" s="676"/>
      <c r="AA807" s="676"/>
      <c r="AB807" s="675"/>
      <c r="AC807" s="490"/>
      <c r="AD807" s="490"/>
      <c r="AE807" s="490"/>
      <c r="AF807" s="490"/>
      <c r="AG807" s="490"/>
      <c r="AH807" s="490"/>
      <c r="AI807" s="490"/>
      <c r="AJ807" s="490"/>
      <c r="AK807" s="490"/>
      <c r="AL807" s="490"/>
      <c r="AM807" s="490"/>
      <c r="AN807" s="490"/>
      <c r="AO807" s="490"/>
      <c r="AP807" s="490"/>
      <c r="AQ807" s="490"/>
      <c r="AR807" s="490"/>
      <c r="AS807" s="490"/>
      <c r="AT807" s="490"/>
      <c r="AU807" s="490"/>
      <c r="AV807" s="490"/>
      <c r="AW807" s="490"/>
      <c r="AX807" s="490"/>
      <c r="AY807" s="490"/>
      <c r="AZ807" s="491"/>
      <c r="BA807" s="491"/>
      <c r="BB807" s="491"/>
    </row>
    <row r="808" spans="1:54" hidden="1" outlineLevel="2" x14ac:dyDescent="0.2">
      <c r="A808" s="243"/>
      <c r="B808" s="242">
        <v>5</v>
      </c>
      <c r="C808" s="242">
        <v>6</v>
      </c>
      <c r="D808" s="243"/>
      <c r="E808" s="496" t="s">
        <v>1307</v>
      </c>
      <c r="F808" s="63" t="str">
        <f t="shared" ref="F808:K808" si="548">IFERROR(F807*INDEX(MBSDecItems,$C795,$B808)*INDEX(MBSDecItems,$C795,$C808),"")</f>
        <v/>
      </c>
      <c r="G808" s="63" t="str">
        <f t="shared" si="548"/>
        <v/>
      </c>
      <c r="H808" s="63" t="str">
        <f t="shared" si="548"/>
        <v/>
      </c>
      <c r="I808" s="63" t="str">
        <f t="shared" si="548"/>
        <v/>
      </c>
      <c r="J808" s="63" t="str">
        <f t="shared" si="548"/>
        <v/>
      </c>
      <c r="K808" s="63" t="str">
        <f t="shared" si="548"/>
        <v/>
      </c>
      <c r="L808" s="490"/>
      <c r="M808" s="683"/>
      <c r="N808" s="753"/>
      <c r="O808" s="678"/>
      <c r="P808" s="678"/>
      <c r="Q808" s="673"/>
      <c r="R808" s="673"/>
      <c r="S808" s="673"/>
      <c r="T808" s="673"/>
      <c r="U808" s="673"/>
      <c r="V808" s="673"/>
      <c r="W808" s="490"/>
      <c r="X808" s="676"/>
      <c r="Y808" s="676"/>
      <c r="Z808" s="676"/>
      <c r="AA808" s="676"/>
      <c r="AB808" s="676"/>
      <c r="AC808" s="490"/>
      <c r="AD808" s="490"/>
      <c r="AE808" s="490"/>
      <c r="AF808" s="490"/>
      <c r="AG808" s="490"/>
      <c r="AH808" s="490"/>
      <c r="AI808" s="490"/>
      <c r="AJ808" s="490"/>
      <c r="AK808" s="490"/>
      <c r="AL808" s="490"/>
      <c r="AM808" s="490"/>
      <c r="AN808" s="490"/>
      <c r="AO808" s="490"/>
      <c r="AP808" s="490"/>
      <c r="AQ808" s="490"/>
      <c r="AR808" s="490"/>
      <c r="AS808" s="490"/>
      <c r="AT808" s="490"/>
      <c r="AU808" s="490"/>
      <c r="AV808" s="490"/>
      <c r="AW808" s="490"/>
      <c r="AX808" s="490"/>
      <c r="AY808" s="490"/>
      <c r="AZ808" s="491"/>
      <c r="BA808" s="491"/>
      <c r="BB808" s="491"/>
    </row>
    <row r="809" spans="1:54" hidden="1" outlineLevel="2" x14ac:dyDescent="0.2">
      <c r="A809" s="243"/>
      <c r="B809" s="242">
        <v>4</v>
      </c>
      <c r="C809" s="242">
        <v>6</v>
      </c>
      <c r="D809" s="243"/>
      <c r="E809" s="496" t="s">
        <v>1306</v>
      </c>
      <c r="F809" s="63" t="str">
        <f t="shared" ref="F809:K809" si="549">IFERROR(F807*INDEX(MBSDecItems,$C795,$B809)*INDEX(MBSDecItems,$C795,$C809),"")</f>
        <v/>
      </c>
      <c r="G809" s="63" t="str">
        <f t="shared" si="549"/>
        <v/>
      </c>
      <c r="H809" s="63" t="str">
        <f t="shared" si="549"/>
        <v/>
      </c>
      <c r="I809" s="63" t="str">
        <f t="shared" si="549"/>
        <v/>
      </c>
      <c r="J809" s="63" t="str">
        <f t="shared" si="549"/>
        <v/>
      </c>
      <c r="K809" s="63" t="str">
        <f t="shared" si="549"/>
        <v/>
      </c>
      <c r="L809" s="490"/>
      <c r="M809" s="684"/>
      <c r="N809" s="682"/>
      <c r="O809" s="678"/>
      <c r="P809" s="678"/>
      <c r="Q809" s="673"/>
      <c r="R809" s="673"/>
      <c r="S809" s="673"/>
      <c r="T809" s="673"/>
      <c r="U809" s="673"/>
      <c r="V809" s="673"/>
      <c r="W809" s="490"/>
      <c r="X809" s="676"/>
      <c r="Y809" s="676"/>
      <c r="Z809" s="676"/>
      <c r="AA809" s="676"/>
      <c r="AB809" s="676"/>
      <c r="AC809" s="490"/>
      <c r="AD809" s="490"/>
      <c r="AE809" s="490"/>
      <c r="AF809" s="490"/>
      <c r="AG809" s="490"/>
      <c r="AH809" s="490"/>
      <c r="AI809" s="490"/>
      <c r="AJ809" s="490"/>
      <c r="AK809" s="490"/>
      <c r="AL809" s="490"/>
      <c r="AM809" s="490"/>
      <c r="AN809" s="490"/>
      <c r="AO809" s="490"/>
      <c r="AP809" s="490"/>
      <c r="AQ809" s="490"/>
      <c r="AR809" s="490"/>
      <c r="AS809" s="490"/>
      <c r="AT809" s="490"/>
      <c r="AU809" s="490"/>
      <c r="AV809" s="490"/>
      <c r="AW809" s="490"/>
      <c r="AX809" s="490"/>
      <c r="AY809" s="490"/>
      <c r="AZ809" s="491"/>
      <c r="BA809" s="491"/>
      <c r="BB809" s="491"/>
    </row>
    <row r="810" spans="1:54" hidden="1" outlineLevel="2" x14ac:dyDescent="0.2">
      <c r="A810" s="243"/>
      <c r="B810" s="242"/>
      <c r="C810" s="242">
        <v>7</v>
      </c>
      <c r="D810" s="243"/>
      <c r="E810" s="497" t="s">
        <v>1308</v>
      </c>
      <c r="F810" s="63" t="str">
        <f t="shared" ref="F810:K810" si="550">IFERROR(F807*INDEX(MBSDecItems,$C795,$C810),"")</f>
        <v/>
      </c>
      <c r="G810" s="63" t="str">
        <f t="shared" si="550"/>
        <v/>
      </c>
      <c r="H810" s="63" t="str">
        <f t="shared" si="550"/>
        <v/>
      </c>
      <c r="I810" s="63" t="str">
        <f t="shared" si="550"/>
        <v/>
      </c>
      <c r="J810" s="63" t="str">
        <f t="shared" si="550"/>
        <v/>
      </c>
      <c r="K810" s="63" t="str">
        <f t="shared" si="550"/>
        <v/>
      </c>
      <c r="L810" s="490"/>
      <c r="M810" s="684"/>
      <c r="N810" s="682"/>
      <c r="O810" s="678"/>
      <c r="P810" s="678"/>
      <c r="Q810" s="673"/>
      <c r="R810" s="673"/>
      <c r="S810" s="673"/>
      <c r="T810" s="673"/>
      <c r="U810" s="673"/>
      <c r="V810" s="673"/>
      <c r="W810" s="490"/>
      <c r="X810" s="676"/>
      <c r="Y810" s="676"/>
      <c r="Z810" s="676"/>
      <c r="AA810" s="676"/>
      <c r="AB810" s="676"/>
      <c r="AC810" s="490"/>
      <c r="AD810" s="490"/>
      <c r="AE810" s="490"/>
      <c r="AF810" s="490"/>
      <c r="AG810" s="490"/>
      <c r="AH810" s="490"/>
      <c r="AI810" s="490"/>
      <c r="AJ810" s="490"/>
      <c r="AK810" s="490"/>
      <c r="AL810" s="490"/>
      <c r="AM810" s="490"/>
      <c r="AN810" s="490"/>
      <c r="AO810" s="490"/>
      <c r="AP810" s="490"/>
      <c r="AQ810" s="490"/>
      <c r="AR810" s="490"/>
      <c r="AS810" s="490"/>
      <c r="AT810" s="490"/>
      <c r="AU810" s="490"/>
      <c r="AV810" s="490"/>
      <c r="AW810" s="490"/>
      <c r="AX810" s="490"/>
      <c r="AY810" s="490"/>
      <c r="AZ810" s="491"/>
      <c r="BA810" s="491"/>
      <c r="BB810" s="491"/>
    </row>
    <row r="811" spans="1:54" hidden="1" outlineLevel="1" x14ac:dyDescent="0.2">
      <c r="A811" s="243"/>
      <c r="B811" s="243"/>
      <c r="C811" s="243"/>
      <c r="D811" s="677"/>
      <c r="E811" s="677"/>
      <c r="F811" s="243"/>
      <c r="G811" s="243"/>
      <c r="H811" s="243"/>
      <c r="I811" s="243"/>
      <c r="J811" s="243"/>
      <c r="K811" s="243"/>
      <c r="L811" s="243"/>
      <c r="M811" s="243"/>
      <c r="N811" s="678"/>
      <c r="O811" s="678"/>
      <c r="P811" s="678"/>
      <c r="Q811" s="673"/>
      <c r="R811" s="673"/>
      <c r="S811" s="673"/>
      <c r="T811" s="673"/>
      <c r="U811" s="673"/>
      <c r="V811" s="673"/>
      <c r="W811" s="490"/>
      <c r="X811" s="676"/>
      <c r="Y811" s="676"/>
      <c r="Z811" s="676"/>
      <c r="AA811" s="676"/>
      <c r="AB811" s="676"/>
      <c r="AC811" s="490"/>
      <c r="AD811" s="490"/>
      <c r="AE811" s="490"/>
      <c r="AF811" s="490"/>
      <c r="AG811" s="490"/>
      <c r="AH811" s="490"/>
      <c r="AI811" s="490"/>
      <c r="AJ811" s="490"/>
      <c r="AK811" s="490"/>
      <c r="AL811" s="490"/>
      <c r="AM811" s="490"/>
      <c r="AN811" s="490"/>
      <c r="AO811" s="490"/>
      <c r="AP811" s="490"/>
      <c r="AQ811" s="490"/>
      <c r="AR811" s="490"/>
      <c r="AS811" s="490"/>
      <c r="AT811" s="490"/>
      <c r="AU811" s="490"/>
      <c r="AV811" s="490"/>
      <c r="AW811" s="490"/>
      <c r="AX811" s="490"/>
      <c r="AY811" s="490"/>
      <c r="AZ811" s="491"/>
      <c r="BA811" s="491"/>
      <c r="BB811" s="491"/>
    </row>
    <row r="812" spans="1:54" ht="15.75" hidden="1" outlineLevel="1" x14ac:dyDescent="0.2">
      <c r="A812" s="243"/>
      <c r="B812" s="243"/>
      <c r="C812" s="242">
        <v>19</v>
      </c>
      <c r="D812" s="79" t="str">
        <f>INDEX(MBSDecNames,C812)</f>
        <v>** NOT USED **</v>
      </c>
      <c r="E812" s="79"/>
      <c r="F812" s="115"/>
      <c r="G812" s="115"/>
      <c r="H812" s="115"/>
      <c r="I812" s="115"/>
      <c r="J812" s="821" t="str">
        <f>IF(D812&lt;&gt;MsgNotUsed,"Co-payment group " &amp; K641,"")</f>
        <v/>
      </c>
      <c r="K812" s="821"/>
      <c r="L812" s="115"/>
      <c r="M812" s="115"/>
      <c r="N812" s="115"/>
      <c r="O812" s="115"/>
      <c r="P812" s="115"/>
      <c r="Q812" s="115"/>
      <c r="R812" s="115"/>
      <c r="S812" s="115"/>
      <c r="T812" s="115"/>
      <c r="U812" s="115"/>
      <c r="V812" s="115"/>
      <c r="W812" s="491"/>
      <c r="X812" s="490"/>
      <c r="Y812" s="490"/>
      <c r="Z812" s="490"/>
      <c r="AA812" s="490"/>
      <c r="AB812" s="676"/>
      <c r="AC812" s="490"/>
      <c r="AD812" s="490"/>
      <c r="AE812" s="490"/>
      <c r="AF812" s="490"/>
      <c r="AG812" s="490"/>
      <c r="AH812" s="490"/>
      <c r="AI812" s="490"/>
      <c r="AJ812" s="490"/>
      <c r="AK812" s="490"/>
      <c r="AL812" s="490"/>
      <c r="AM812" s="490"/>
      <c r="AN812" s="490"/>
      <c r="AO812" s="490"/>
      <c r="AP812" s="490"/>
      <c r="AQ812" s="490"/>
      <c r="AR812" s="490"/>
      <c r="AS812" s="490"/>
      <c r="AT812" s="490"/>
      <c r="AU812" s="490"/>
      <c r="AV812" s="490"/>
      <c r="AW812" s="490"/>
      <c r="AX812" s="490"/>
      <c r="AY812" s="490"/>
      <c r="AZ812" s="491"/>
      <c r="BA812" s="491"/>
      <c r="BB812" s="491"/>
    </row>
    <row r="813" spans="1:54" hidden="1" outlineLevel="2" x14ac:dyDescent="0.2">
      <c r="A813" s="243"/>
      <c r="B813" s="243"/>
      <c r="C813" s="243"/>
      <c r="D813" s="243"/>
      <c r="E813" s="243"/>
      <c r="F813" s="495">
        <v>2</v>
      </c>
      <c r="G813" s="495">
        <v>3</v>
      </c>
      <c r="H813" s="495">
        <v>4</v>
      </c>
      <c r="I813" s="495">
        <v>5</v>
      </c>
      <c r="J813" s="495">
        <v>6</v>
      </c>
      <c r="K813" s="495">
        <v>7</v>
      </c>
      <c r="L813" s="495"/>
      <c r="M813" s="243"/>
      <c r="N813" s="243"/>
      <c r="O813" s="243"/>
      <c r="P813" s="243"/>
      <c r="Q813" s="243"/>
      <c r="R813" s="243"/>
      <c r="S813" s="243"/>
      <c r="T813" s="243"/>
      <c r="U813" s="243"/>
      <c r="V813" s="243"/>
      <c r="W813" s="490"/>
      <c r="X813" s="490"/>
      <c r="Y813" s="490"/>
      <c r="Z813" s="490"/>
      <c r="AA813" s="490"/>
      <c r="AB813" s="676"/>
      <c r="AC813" s="490"/>
      <c r="AD813" s="490"/>
      <c r="AE813" s="490"/>
      <c r="AF813" s="490"/>
      <c r="AG813" s="490"/>
      <c r="AH813" s="490"/>
      <c r="AI813" s="490"/>
      <c r="AJ813" s="490"/>
      <c r="AK813" s="490"/>
      <c r="AL813" s="490"/>
      <c r="AM813" s="490"/>
      <c r="AN813" s="490"/>
      <c r="AO813" s="490"/>
      <c r="AP813" s="490"/>
      <c r="AQ813" s="490"/>
      <c r="AR813" s="490"/>
      <c r="AS813" s="490"/>
      <c r="AT813" s="490"/>
      <c r="AU813" s="490"/>
      <c r="AV813" s="490"/>
      <c r="AW813" s="490"/>
      <c r="AX813" s="490"/>
      <c r="AY813" s="490"/>
      <c r="AZ813" s="491"/>
      <c r="BA813" s="491"/>
      <c r="BB813" s="491"/>
    </row>
    <row r="814" spans="1:54" ht="15" hidden="1" outlineLevel="2" x14ac:dyDescent="0.2">
      <c r="A814" s="243"/>
      <c r="B814" s="243"/>
      <c r="C814" s="243"/>
      <c r="D814" s="663" t="s">
        <v>0</v>
      </c>
      <c r="E814" s="663"/>
      <c r="F814" s="729">
        <f>FirstYear</f>
        <v>2021</v>
      </c>
      <c r="G814" s="729">
        <f>F814+1</f>
        <v>2022</v>
      </c>
      <c r="H814" s="729">
        <f>G814+1</f>
        <v>2023</v>
      </c>
      <c r="I814" s="729">
        <f>H814+1</f>
        <v>2024</v>
      </c>
      <c r="J814" s="729">
        <f>I814+1</f>
        <v>2025</v>
      </c>
      <c r="K814" s="729">
        <f>J814+1</f>
        <v>2026</v>
      </c>
      <c r="L814" s="491"/>
      <c r="M814" s="113"/>
      <c r="N814" s="679"/>
      <c r="O814" s="679"/>
      <c r="P814" s="679"/>
      <c r="Q814" s="674"/>
      <c r="R814" s="674"/>
      <c r="S814" s="674"/>
      <c r="T814" s="674"/>
      <c r="U814" s="674"/>
      <c r="V814" s="674"/>
      <c r="W814" s="491"/>
      <c r="X814" s="674"/>
      <c r="Y814" s="674"/>
      <c r="Z814" s="674"/>
      <c r="AA814" s="674"/>
      <c r="AB814" s="676"/>
      <c r="AC814" s="490"/>
      <c r="AD814" s="490"/>
      <c r="AE814" s="490"/>
      <c r="AF814" s="490"/>
      <c r="AG814" s="490"/>
      <c r="AH814" s="490"/>
      <c r="AI814" s="490"/>
      <c r="AJ814" s="490"/>
      <c r="AK814" s="490"/>
      <c r="AL814" s="490"/>
      <c r="AM814" s="490"/>
      <c r="AN814" s="490"/>
      <c r="AO814" s="490"/>
      <c r="AP814" s="490"/>
      <c r="AQ814" s="490"/>
      <c r="AR814" s="490"/>
      <c r="AS814" s="490"/>
      <c r="AT814" s="490"/>
      <c r="AU814" s="490"/>
      <c r="AV814" s="490"/>
      <c r="AW814" s="490"/>
      <c r="AX814" s="490"/>
      <c r="AY814" s="490"/>
      <c r="AZ814" s="491"/>
      <c r="BA814" s="491"/>
      <c r="BB814" s="491"/>
    </row>
    <row r="815" spans="1:54" hidden="1" outlineLevel="2" collapsed="1" x14ac:dyDescent="0.2">
      <c r="A815" s="243"/>
      <c r="B815" s="243"/>
      <c r="C815" s="243"/>
      <c r="D815" s="243"/>
      <c r="E815" s="433" t="s">
        <v>951</v>
      </c>
      <c r="F815" s="283">
        <f t="shared" ref="F815:K815" si="551">F816*INDEX(MBSDecCalc,$C812,3)</f>
        <v>0</v>
      </c>
      <c r="G815" s="283">
        <f t="shared" si="551"/>
        <v>0</v>
      </c>
      <c r="H815" s="283">
        <f t="shared" si="551"/>
        <v>0</v>
      </c>
      <c r="I815" s="283">
        <f t="shared" si="551"/>
        <v>0</v>
      </c>
      <c r="J815" s="283">
        <f t="shared" si="551"/>
        <v>0</v>
      </c>
      <c r="K815" s="283">
        <f t="shared" si="551"/>
        <v>0</v>
      </c>
      <c r="L815" s="490"/>
      <c r="M815" s="680"/>
      <c r="N815" s="664"/>
      <c r="O815" s="664"/>
      <c r="P815" s="664"/>
      <c r="Q815" s="681"/>
      <c r="R815" s="681"/>
      <c r="S815" s="681"/>
      <c r="T815" s="681"/>
      <c r="U815" s="681"/>
      <c r="V815" s="681"/>
      <c r="W815" s="493"/>
      <c r="X815" s="561">
        <f>INDEX(MBSDecItems,C812,1)</f>
        <v>0</v>
      </c>
      <c r="Y815" s="561">
        <f>FirstYear</f>
        <v>2021</v>
      </c>
      <c r="Z815" s="560">
        <f>IF(F816&lt;&gt;0,F816-F818,0)</f>
        <v>0</v>
      </c>
      <c r="AA815" s="560">
        <f>IF(F824&lt;&gt;0,F824-F826,0)</f>
        <v>0</v>
      </c>
      <c r="AB815" s="676"/>
      <c r="AC815" s="490"/>
      <c r="AD815" s="490"/>
      <c r="AE815" s="490"/>
      <c r="AF815" s="490"/>
      <c r="AG815" s="490"/>
      <c r="AH815" s="490"/>
      <c r="AI815" s="490"/>
      <c r="AJ815" s="490"/>
      <c r="AK815" s="490"/>
      <c r="AL815" s="490"/>
      <c r="AM815" s="490"/>
      <c r="AN815" s="490"/>
      <c r="AO815" s="490"/>
      <c r="AP815" s="490"/>
      <c r="AQ815" s="490"/>
      <c r="AR815" s="490"/>
      <c r="AS815" s="490"/>
      <c r="AT815" s="490"/>
      <c r="AU815" s="490"/>
      <c r="AV815" s="490"/>
      <c r="AW815" s="490"/>
      <c r="AX815" s="490"/>
      <c r="AY815" s="490"/>
      <c r="AZ815" s="491"/>
      <c r="BA815" s="491"/>
      <c r="BB815" s="491"/>
    </row>
    <row r="816" spans="1:54" hidden="1" outlineLevel="2" x14ac:dyDescent="0.2">
      <c r="A816" s="243"/>
      <c r="B816" s="672"/>
      <c r="C816" s="242" t="str">
        <f>INDEX(MBSDecCalc,C812,2)</f>
        <v/>
      </c>
      <c r="D816" s="243"/>
      <c r="E816" s="62" t="s">
        <v>1310</v>
      </c>
      <c r="F816" s="63">
        <f t="shared" ref="F816:K816" si="552">IF(INDEX(MBSDecRate,$C812,2)=2,IFERROR(INDEX(PBSScriptsChanged,$C816,F813),0),IFERROR(INDEX(MBSPBSDec,$C812,INDEX(MBSDecRate,$C812,3)*7+F813),0) * IFERROR(INDEX(MBSDecPopSplit,$C812),0)) * INDEX(MBSDecRate,$C812,1) * INDEX(MBSDecRate,$C812,4)</f>
        <v>0</v>
      </c>
      <c r="G816" s="63">
        <f t="shared" si="552"/>
        <v>0</v>
      </c>
      <c r="H816" s="63">
        <f t="shared" si="552"/>
        <v>0</v>
      </c>
      <c r="I816" s="63">
        <f t="shared" si="552"/>
        <v>0</v>
      </c>
      <c r="J816" s="63">
        <f t="shared" si="552"/>
        <v>0</v>
      </c>
      <c r="K816" s="63">
        <f t="shared" si="552"/>
        <v>0</v>
      </c>
      <c r="L816" s="490"/>
      <c r="M816" s="493"/>
      <c r="N816" s="493"/>
      <c r="O816" s="664"/>
      <c r="P816" s="664"/>
      <c r="Q816" s="681"/>
      <c r="R816" s="681"/>
      <c r="S816" s="681"/>
      <c r="T816" s="681"/>
      <c r="U816" s="681"/>
      <c r="V816" s="681"/>
      <c r="W816" s="493"/>
      <c r="X816" s="561">
        <f>X815</f>
        <v>0</v>
      </c>
      <c r="Y816" s="561">
        <f>Y815+1</f>
        <v>2022</v>
      </c>
      <c r="Z816" s="560">
        <f>IF(G816&lt;&gt;0,G816-G818,0)</f>
        <v>0</v>
      </c>
      <c r="AA816" s="560">
        <f>IF(G824&lt;&gt;0,G824-G826,0)</f>
        <v>0</v>
      </c>
      <c r="AB816" s="676"/>
      <c r="AC816" s="490"/>
      <c r="AD816" s="490"/>
      <c r="AE816" s="490"/>
      <c r="AF816" s="490"/>
      <c r="AG816" s="490"/>
      <c r="AH816" s="490"/>
      <c r="AI816" s="490"/>
      <c r="AJ816" s="490"/>
      <c r="AK816" s="490"/>
      <c r="AL816" s="490"/>
      <c r="AM816" s="490"/>
      <c r="AN816" s="490"/>
      <c r="AO816" s="490"/>
      <c r="AP816" s="490"/>
      <c r="AQ816" s="490"/>
      <c r="AR816" s="490"/>
      <c r="AS816" s="490"/>
      <c r="AT816" s="490"/>
      <c r="AU816" s="490"/>
      <c r="AV816" s="490"/>
      <c r="AW816" s="490"/>
      <c r="AX816" s="490"/>
      <c r="AY816" s="490"/>
      <c r="AZ816" s="491"/>
      <c r="BA816" s="491"/>
      <c r="BB816" s="491"/>
    </row>
    <row r="817" spans="1:54" hidden="1" outlineLevel="2" x14ac:dyDescent="0.2">
      <c r="A817" s="243"/>
      <c r="B817" s="242">
        <v>5</v>
      </c>
      <c r="C817" s="242">
        <v>6</v>
      </c>
      <c r="D817" s="243"/>
      <c r="E817" s="496" t="s">
        <v>1307</v>
      </c>
      <c r="F817" s="63" t="str">
        <f t="shared" ref="F817:K817" si="553">IFERROR(F816*INDEX(MBSDecItems,$C812,$B817)*INDEX(MBSDecItems,$C812,$C817),"")</f>
        <v/>
      </c>
      <c r="G817" s="63" t="str">
        <f t="shared" si="553"/>
        <v/>
      </c>
      <c r="H817" s="63" t="str">
        <f t="shared" si="553"/>
        <v/>
      </c>
      <c r="I817" s="63" t="str">
        <f t="shared" si="553"/>
        <v/>
      </c>
      <c r="J817" s="63" t="str">
        <f t="shared" si="553"/>
        <v/>
      </c>
      <c r="K817" s="63" t="str">
        <f t="shared" si="553"/>
        <v/>
      </c>
      <c r="L817" s="490"/>
      <c r="M817" s="493"/>
      <c r="N817" s="493"/>
      <c r="O817" s="682"/>
      <c r="P817" s="754"/>
      <c r="Q817" s="681"/>
      <c r="R817" s="681"/>
      <c r="S817" s="681"/>
      <c r="T817" s="681"/>
      <c r="U817" s="681"/>
      <c r="V817" s="681"/>
      <c r="W817" s="493"/>
      <c r="X817" s="561">
        <f t="shared" ref="X817:X820" si="554">X816</f>
        <v>0</v>
      </c>
      <c r="Y817" s="561">
        <f>Y816+1</f>
        <v>2023</v>
      </c>
      <c r="Z817" s="560">
        <f>IF(H816&lt;&gt;0,H816-H818,0)</f>
        <v>0</v>
      </c>
      <c r="AA817" s="560">
        <f>IF(H824&lt;&gt;0,H824-H826,0)</f>
        <v>0</v>
      </c>
      <c r="AB817" s="676"/>
      <c r="AC817" s="490"/>
      <c r="AD817" s="490"/>
      <c r="AE817" s="490"/>
      <c r="AF817" s="490"/>
      <c r="AG817" s="490"/>
      <c r="AH817" s="490"/>
      <c r="AI817" s="490"/>
      <c r="AJ817" s="490"/>
      <c r="AK817" s="490"/>
      <c r="AL817" s="490"/>
      <c r="AM817" s="490"/>
      <c r="AN817" s="490"/>
      <c r="AO817" s="490"/>
      <c r="AP817" s="490"/>
      <c r="AQ817" s="490"/>
      <c r="AR817" s="490"/>
      <c r="AS817" s="490"/>
      <c r="AT817" s="490"/>
      <c r="AU817" s="490"/>
      <c r="AV817" s="490"/>
      <c r="AW817" s="490"/>
      <c r="AX817" s="490"/>
      <c r="AY817" s="490"/>
      <c r="AZ817" s="491"/>
      <c r="BA817" s="491"/>
      <c r="BB817" s="491"/>
    </row>
    <row r="818" spans="1:54" hidden="1" outlineLevel="2" x14ac:dyDescent="0.2">
      <c r="A818" s="416"/>
      <c r="B818" s="242">
        <v>4</v>
      </c>
      <c r="C818" s="242">
        <v>6</v>
      </c>
      <c r="D818" s="243"/>
      <c r="E818" s="496" t="s">
        <v>1306</v>
      </c>
      <c r="F818" s="63" t="str">
        <f t="shared" ref="F818:K818" si="555">IFERROR(F816*INDEX(MBSDecItems,$C812,$B818)*INDEX(MBSDecItems,$C812,$C818),"")</f>
        <v/>
      </c>
      <c r="G818" s="63" t="str">
        <f t="shared" si="555"/>
        <v/>
      </c>
      <c r="H818" s="63" t="str">
        <f t="shared" si="555"/>
        <v/>
      </c>
      <c r="I818" s="63" t="str">
        <f t="shared" si="555"/>
        <v/>
      </c>
      <c r="J818" s="63" t="str">
        <f t="shared" si="555"/>
        <v/>
      </c>
      <c r="K818" s="63" t="str">
        <f t="shared" si="555"/>
        <v/>
      </c>
      <c r="L818" s="416"/>
      <c r="M818" s="416"/>
      <c r="N818" s="416"/>
      <c r="O818" s="416"/>
      <c r="P818" s="416"/>
      <c r="Q818" s="416"/>
      <c r="R818" s="416"/>
      <c r="S818" s="416"/>
      <c r="T818" s="416"/>
      <c r="U818" s="416"/>
      <c r="V818" s="416"/>
      <c r="W818" s="493"/>
      <c r="X818" s="561">
        <f t="shared" si="554"/>
        <v>0</v>
      </c>
      <c r="Y818" s="561">
        <f>Y817+1</f>
        <v>2024</v>
      </c>
      <c r="Z818" s="560">
        <f>IF(I816&lt;&gt;0,I816-I818,0)</f>
        <v>0</v>
      </c>
      <c r="AA818" s="560">
        <f>IF(I824&lt;&gt;0,I824-I826,0)</f>
        <v>0</v>
      </c>
      <c r="AB818" s="674"/>
      <c r="AC818" s="490"/>
      <c r="AD818" s="490"/>
      <c r="AE818" s="490"/>
      <c r="AF818" s="490"/>
      <c r="AG818" s="490"/>
      <c r="AH818" s="490"/>
      <c r="AI818" s="490"/>
      <c r="AJ818" s="490"/>
      <c r="AK818" s="490"/>
      <c r="AL818" s="490"/>
      <c r="AM818" s="490"/>
      <c r="AN818" s="490"/>
      <c r="AO818" s="490"/>
      <c r="AP818" s="490"/>
      <c r="AQ818" s="490"/>
      <c r="AR818" s="490"/>
      <c r="AS818" s="490"/>
      <c r="AT818" s="490"/>
      <c r="AU818" s="490"/>
      <c r="AV818" s="490"/>
      <c r="AW818" s="490"/>
      <c r="AX818" s="490"/>
      <c r="AY818" s="490"/>
      <c r="AZ818" s="491"/>
      <c r="BA818" s="491"/>
      <c r="BB818" s="491"/>
    </row>
    <row r="819" spans="1:54" hidden="1" outlineLevel="2" x14ac:dyDescent="0.2">
      <c r="A819" s="243"/>
      <c r="B819" s="242"/>
      <c r="C819" s="242">
        <v>7</v>
      </c>
      <c r="D819" s="243"/>
      <c r="E819" s="497" t="s">
        <v>1308</v>
      </c>
      <c r="F819" s="63" t="str">
        <f t="shared" ref="F819:K819" si="556">IFERROR(F816*INDEX(MBSDecItems,$C812,$C819),"")</f>
        <v/>
      </c>
      <c r="G819" s="63" t="str">
        <f t="shared" si="556"/>
        <v/>
      </c>
      <c r="H819" s="63" t="str">
        <f t="shared" si="556"/>
        <v/>
      </c>
      <c r="I819" s="63" t="str">
        <f t="shared" si="556"/>
        <v/>
      </c>
      <c r="J819" s="63" t="str">
        <f t="shared" si="556"/>
        <v/>
      </c>
      <c r="K819" s="63" t="str">
        <f t="shared" si="556"/>
        <v/>
      </c>
      <c r="L819" s="490"/>
      <c r="M819" s="493"/>
      <c r="N819" s="493"/>
      <c r="O819" s="682"/>
      <c r="P819" s="754"/>
      <c r="Q819" s="681"/>
      <c r="R819" s="681"/>
      <c r="S819" s="681"/>
      <c r="T819" s="681"/>
      <c r="U819" s="681"/>
      <c r="V819" s="681"/>
      <c r="W819" s="493"/>
      <c r="X819" s="561">
        <f t="shared" si="554"/>
        <v>0</v>
      </c>
      <c r="Y819" s="561">
        <f>Y818+1</f>
        <v>2025</v>
      </c>
      <c r="Z819" s="560">
        <f>IF(J816&lt;&gt;0,J816-J818,0)</f>
        <v>0</v>
      </c>
      <c r="AA819" s="560">
        <f>IF(J824&lt;&gt;0,J824-J826,0)</f>
        <v>0</v>
      </c>
      <c r="AB819" s="674"/>
      <c r="AC819" s="490"/>
      <c r="AD819" s="490"/>
      <c r="AE819" s="490"/>
      <c r="AF819" s="490"/>
      <c r="AG819" s="490"/>
      <c r="AH819" s="490"/>
      <c r="AI819" s="490"/>
      <c r="AJ819" s="490"/>
      <c r="AK819" s="490"/>
      <c r="AL819" s="490"/>
      <c r="AM819" s="490"/>
      <c r="AN819" s="490"/>
      <c r="AO819" s="490"/>
      <c r="AP819" s="490"/>
      <c r="AQ819" s="490"/>
      <c r="AR819" s="490"/>
      <c r="AS819" s="490"/>
      <c r="AT819" s="490"/>
      <c r="AU819" s="490"/>
      <c r="AV819" s="490"/>
      <c r="AW819" s="490"/>
      <c r="AX819" s="490"/>
      <c r="AY819" s="490"/>
      <c r="AZ819" s="491"/>
      <c r="BA819" s="491"/>
      <c r="BB819" s="491"/>
    </row>
    <row r="820" spans="1:54" hidden="1" outlineLevel="2" x14ac:dyDescent="0.2">
      <c r="A820" s="243"/>
      <c r="B820" s="493"/>
      <c r="C820" s="493"/>
      <c r="D820" s="493"/>
      <c r="E820" s="493"/>
      <c r="F820" s="493"/>
      <c r="G820" s="493"/>
      <c r="H820" s="493"/>
      <c r="I820" s="493"/>
      <c r="J820" s="493"/>
      <c r="K820" s="493"/>
      <c r="L820" s="490"/>
      <c r="M820" s="493"/>
      <c r="N820" s="493"/>
      <c r="O820" s="682"/>
      <c r="P820" s="682"/>
      <c r="Q820" s="681"/>
      <c r="R820" s="681"/>
      <c r="S820" s="681"/>
      <c r="T820" s="681"/>
      <c r="U820" s="681"/>
      <c r="V820" s="681"/>
      <c r="W820" s="493"/>
      <c r="X820" s="561">
        <f t="shared" si="554"/>
        <v>0</v>
      </c>
      <c r="Y820" s="561">
        <f>Y819+1</f>
        <v>2026</v>
      </c>
      <c r="Z820" s="560">
        <f>IF(K816&lt;&gt;0,K816-K818,0)</f>
        <v>0</v>
      </c>
      <c r="AA820" s="560">
        <f>IF(K824&lt;&gt;0,K824-K826,0)</f>
        <v>0</v>
      </c>
      <c r="AB820" s="675"/>
      <c r="AC820" s="490"/>
      <c r="AD820" s="490"/>
      <c r="AE820" s="490"/>
      <c r="AF820" s="490"/>
      <c r="AG820" s="490"/>
      <c r="AH820" s="490"/>
      <c r="AI820" s="490"/>
      <c r="AJ820" s="490"/>
      <c r="AK820" s="490"/>
      <c r="AL820" s="490"/>
      <c r="AM820" s="490"/>
      <c r="AN820" s="490"/>
      <c r="AO820" s="490"/>
      <c r="AP820" s="490"/>
      <c r="AQ820" s="490"/>
      <c r="AR820" s="490"/>
      <c r="AS820" s="490"/>
      <c r="AT820" s="490"/>
      <c r="AU820" s="490"/>
      <c r="AV820" s="490"/>
      <c r="AW820" s="490"/>
      <c r="AX820" s="490"/>
      <c r="AY820" s="490"/>
      <c r="AZ820" s="491"/>
      <c r="BA820" s="491"/>
      <c r="BB820" s="491"/>
    </row>
    <row r="821" spans="1:54" hidden="1" outlineLevel="2" x14ac:dyDescent="0.2">
      <c r="A821" s="243"/>
      <c r="B821" s="243"/>
      <c r="C821" s="243"/>
      <c r="D821" s="677"/>
      <c r="E821" s="677"/>
      <c r="F821" s="495">
        <v>2</v>
      </c>
      <c r="G821" s="495">
        <v>3</v>
      </c>
      <c r="H821" s="495">
        <v>4</v>
      </c>
      <c r="I821" s="495">
        <v>5</v>
      </c>
      <c r="J821" s="495">
        <v>6</v>
      </c>
      <c r="K821" s="495">
        <v>7</v>
      </c>
      <c r="L821" s="490"/>
      <c r="M821" s="243"/>
      <c r="N821" s="678"/>
      <c r="O821" s="678"/>
      <c r="P821" s="678"/>
      <c r="Q821" s="673"/>
      <c r="R821" s="673"/>
      <c r="S821" s="673"/>
      <c r="T821" s="673"/>
      <c r="U821" s="673"/>
      <c r="V821" s="673"/>
      <c r="W821" s="490"/>
      <c r="X821" s="676"/>
      <c r="Y821" s="676"/>
      <c r="Z821" s="676"/>
      <c r="AA821" s="676"/>
      <c r="AB821" s="675"/>
      <c r="AC821" s="490"/>
      <c r="AD821" s="490"/>
      <c r="AE821" s="490"/>
      <c r="AF821" s="490"/>
      <c r="AG821" s="490"/>
      <c r="AH821" s="490"/>
      <c r="AI821" s="490"/>
      <c r="AJ821" s="490"/>
      <c r="AK821" s="490"/>
      <c r="AL821" s="490"/>
      <c r="AM821" s="490"/>
      <c r="AN821" s="490"/>
      <c r="AO821" s="490"/>
      <c r="AP821" s="490"/>
      <c r="AQ821" s="490"/>
      <c r="AR821" s="490"/>
      <c r="AS821" s="490"/>
      <c r="AT821" s="490"/>
      <c r="AU821" s="490"/>
      <c r="AV821" s="490"/>
      <c r="AW821" s="490"/>
      <c r="AX821" s="490"/>
      <c r="AY821" s="490"/>
      <c r="AZ821" s="491"/>
      <c r="BA821" s="491"/>
      <c r="BB821" s="491"/>
    </row>
    <row r="822" spans="1:54" ht="15.75" hidden="1" outlineLevel="2" x14ac:dyDescent="0.2">
      <c r="A822" s="243"/>
      <c r="B822" s="243"/>
      <c r="C822" s="243"/>
      <c r="D822" s="663" t="s">
        <v>1</v>
      </c>
      <c r="E822" s="663"/>
      <c r="F822" s="751">
        <f>FirstYear</f>
        <v>2021</v>
      </c>
      <c r="G822" s="751">
        <f>F822+1</f>
        <v>2022</v>
      </c>
      <c r="H822" s="751">
        <f>G822+1</f>
        <v>2023</v>
      </c>
      <c r="I822" s="751">
        <f>H822+1</f>
        <v>2024</v>
      </c>
      <c r="J822" s="751">
        <f>I822+1</f>
        <v>2025</v>
      </c>
      <c r="K822" s="751">
        <f>J822+1</f>
        <v>2026</v>
      </c>
      <c r="L822" s="491"/>
      <c r="M822" s="243"/>
      <c r="N822" s="685"/>
      <c r="O822" s="685"/>
      <c r="P822" s="685"/>
      <c r="Q822" s="673"/>
      <c r="R822" s="673"/>
      <c r="S822" s="673"/>
      <c r="T822" s="673"/>
      <c r="U822" s="673"/>
      <c r="V822" s="673"/>
      <c r="W822" s="491"/>
      <c r="X822" s="676"/>
      <c r="Y822" s="676"/>
      <c r="Z822" s="676"/>
      <c r="AA822" s="676"/>
      <c r="AB822" s="675"/>
      <c r="AC822" s="490"/>
      <c r="AD822" s="490"/>
      <c r="AE822" s="490"/>
      <c r="AF822" s="490"/>
      <c r="AG822" s="490"/>
      <c r="AH822" s="490"/>
      <c r="AI822" s="490"/>
      <c r="AJ822" s="490"/>
      <c r="AK822" s="490"/>
      <c r="AL822" s="490"/>
      <c r="AM822" s="490"/>
      <c r="AN822" s="490"/>
      <c r="AO822" s="490"/>
      <c r="AP822" s="490"/>
      <c r="AQ822" s="490"/>
      <c r="AR822" s="490"/>
      <c r="AS822" s="490"/>
      <c r="AT822" s="490"/>
      <c r="AU822" s="490"/>
      <c r="AV822" s="490"/>
      <c r="AW822" s="490"/>
      <c r="AX822" s="490"/>
      <c r="AY822" s="490"/>
      <c r="AZ822" s="491"/>
      <c r="BA822" s="491"/>
      <c r="BB822" s="491"/>
    </row>
    <row r="823" spans="1:54" hidden="1" outlineLevel="2" x14ac:dyDescent="0.2">
      <c r="A823" s="243"/>
      <c r="B823" s="243"/>
      <c r="C823" s="243"/>
      <c r="D823" s="243"/>
      <c r="E823" s="433" t="s">
        <v>951</v>
      </c>
      <c r="F823" s="283">
        <f t="shared" ref="F823:K823" si="557">F824*INDEX(MBSDecCalc,$C812,3)</f>
        <v>0</v>
      </c>
      <c r="G823" s="283">
        <f t="shared" si="557"/>
        <v>0</v>
      </c>
      <c r="H823" s="283">
        <f t="shared" si="557"/>
        <v>0</v>
      </c>
      <c r="I823" s="283">
        <f t="shared" si="557"/>
        <v>0</v>
      </c>
      <c r="J823" s="283">
        <f t="shared" si="557"/>
        <v>0</v>
      </c>
      <c r="K823" s="283">
        <f t="shared" si="557"/>
        <v>0</v>
      </c>
      <c r="L823" s="490"/>
      <c r="M823" s="615"/>
      <c r="N823" s="615"/>
      <c r="O823" s="678"/>
      <c r="P823" s="678"/>
      <c r="Q823" s="673"/>
      <c r="R823" s="673"/>
      <c r="S823" s="673"/>
      <c r="T823" s="673"/>
      <c r="U823" s="673"/>
      <c r="V823" s="673"/>
      <c r="W823" s="490"/>
      <c r="X823" s="676"/>
      <c r="Y823" s="676"/>
      <c r="Z823" s="676"/>
      <c r="AA823" s="676"/>
      <c r="AB823" s="675"/>
      <c r="AC823" s="490"/>
      <c r="AD823" s="490"/>
      <c r="AE823" s="490"/>
      <c r="AF823" s="490"/>
      <c r="AG823" s="490"/>
      <c r="AH823" s="490"/>
      <c r="AI823" s="490"/>
      <c r="AJ823" s="490"/>
      <c r="AK823" s="490"/>
      <c r="AL823" s="490"/>
      <c r="AM823" s="490"/>
      <c r="AN823" s="490"/>
      <c r="AO823" s="490"/>
      <c r="AP823" s="490"/>
      <c r="AQ823" s="490"/>
      <c r="AR823" s="490"/>
      <c r="AS823" s="490"/>
      <c r="AT823" s="490"/>
      <c r="AU823" s="490"/>
      <c r="AV823" s="490"/>
      <c r="AW823" s="490"/>
      <c r="AX823" s="490"/>
      <c r="AY823" s="490"/>
      <c r="AZ823" s="491"/>
      <c r="BA823" s="491"/>
      <c r="BB823" s="491"/>
    </row>
    <row r="824" spans="1:54" hidden="1" outlineLevel="2" x14ac:dyDescent="0.2">
      <c r="A824" s="243"/>
      <c r="B824" s="672"/>
      <c r="C824" s="242" t="str">
        <f>C816</f>
        <v/>
      </c>
      <c r="D824" s="243"/>
      <c r="E824" s="62" t="s">
        <v>1310</v>
      </c>
      <c r="F824" s="63">
        <f t="shared" ref="F824:K824" si="558">IF(INDEX(MBSDecRate,$C812,2)=2,IFERROR(INDEX(RPBSScriptsChanged,$C824,F821),0),IFERROR(INDEX(MBSRPBSDec,$C812,INDEX(MBSDecRate,$C812,3)*7+F821),0) * IFERROR(INDEX(MBSDecPopSplit,$C812),0)) * INDEX(MBSDecRate,$C812,1) * INDEX(MBSDecRate,$C812,4)</f>
        <v>0</v>
      </c>
      <c r="G824" s="63">
        <f t="shared" si="558"/>
        <v>0</v>
      </c>
      <c r="H824" s="63">
        <f t="shared" si="558"/>
        <v>0</v>
      </c>
      <c r="I824" s="63">
        <f t="shared" si="558"/>
        <v>0</v>
      </c>
      <c r="J824" s="63">
        <f t="shared" si="558"/>
        <v>0</v>
      </c>
      <c r="K824" s="63">
        <f t="shared" si="558"/>
        <v>0</v>
      </c>
      <c r="L824" s="490"/>
      <c r="M824" s="243"/>
      <c r="N824" s="753"/>
      <c r="O824" s="678"/>
      <c r="P824" s="678"/>
      <c r="Q824" s="673"/>
      <c r="R824" s="673"/>
      <c r="S824" s="673"/>
      <c r="T824" s="673"/>
      <c r="U824" s="673"/>
      <c r="V824" s="673"/>
      <c r="W824" s="490"/>
      <c r="X824" s="676"/>
      <c r="Y824" s="676"/>
      <c r="Z824" s="676"/>
      <c r="AA824" s="676"/>
      <c r="AB824" s="675"/>
      <c r="AC824" s="490"/>
      <c r="AD824" s="490"/>
      <c r="AE824" s="490"/>
      <c r="AF824" s="490"/>
      <c r="AG824" s="490"/>
      <c r="AH824" s="490"/>
      <c r="AI824" s="490"/>
      <c r="AJ824" s="490"/>
      <c r="AK824" s="490"/>
      <c r="AL824" s="490"/>
      <c r="AM824" s="490"/>
      <c r="AN824" s="490"/>
      <c r="AO824" s="490"/>
      <c r="AP824" s="490"/>
      <c r="AQ824" s="490"/>
      <c r="AR824" s="490"/>
      <c r="AS824" s="490"/>
      <c r="AT824" s="490"/>
      <c r="AU824" s="490"/>
      <c r="AV824" s="490"/>
      <c r="AW824" s="490"/>
      <c r="AX824" s="490"/>
      <c r="AY824" s="490"/>
      <c r="AZ824" s="491"/>
      <c r="BA824" s="491"/>
      <c r="BB824" s="491"/>
    </row>
    <row r="825" spans="1:54" hidden="1" outlineLevel="2" x14ac:dyDescent="0.2">
      <c r="A825" s="243"/>
      <c r="B825" s="242">
        <v>5</v>
      </c>
      <c r="C825" s="242">
        <v>6</v>
      </c>
      <c r="D825" s="243"/>
      <c r="E825" s="496" t="s">
        <v>1307</v>
      </c>
      <c r="F825" s="63" t="str">
        <f t="shared" ref="F825:K825" si="559">IFERROR(F824*INDEX(MBSDecItems,$C812,$B825)*INDEX(MBSDecItems,$C812,$C825),"")</f>
        <v/>
      </c>
      <c r="G825" s="63" t="str">
        <f t="shared" si="559"/>
        <v/>
      </c>
      <c r="H825" s="63" t="str">
        <f t="shared" si="559"/>
        <v/>
      </c>
      <c r="I825" s="63" t="str">
        <f t="shared" si="559"/>
        <v/>
      </c>
      <c r="J825" s="63" t="str">
        <f t="shared" si="559"/>
        <v/>
      </c>
      <c r="K825" s="63" t="str">
        <f t="shared" si="559"/>
        <v/>
      </c>
      <c r="L825" s="490"/>
      <c r="M825" s="683"/>
      <c r="N825" s="753"/>
      <c r="O825" s="678"/>
      <c r="P825" s="678"/>
      <c r="Q825" s="673"/>
      <c r="R825" s="673"/>
      <c r="S825" s="673"/>
      <c r="T825" s="673"/>
      <c r="U825" s="673"/>
      <c r="V825" s="673"/>
      <c r="W825" s="490"/>
      <c r="X825" s="676"/>
      <c r="Y825" s="676"/>
      <c r="Z825" s="676"/>
      <c r="AA825" s="676"/>
      <c r="AB825" s="676"/>
      <c r="AC825" s="490"/>
      <c r="AD825" s="490"/>
      <c r="AE825" s="490"/>
      <c r="AF825" s="490"/>
      <c r="AG825" s="490"/>
      <c r="AH825" s="490"/>
      <c r="AI825" s="490"/>
      <c r="AJ825" s="490"/>
      <c r="AK825" s="490"/>
      <c r="AL825" s="490"/>
      <c r="AM825" s="490"/>
      <c r="AN825" s="490"/>
      <c r="AO825" s="490"/>
      <c r="AP825" s="490"/>
      <c r="AQ825" s="490"/>
      <c r="AR825" s="490"/>
      <c r="AS825" s="490"/>
      <c r="AT825" s="490"/>
      <c r="AU825" s="490"/>
      <c r="AV825" s="490"/>
      <c r="AW825" s="490"/>
      <c r="AX825" s="490"/>
      <c r="AY825" s="490"/>
      <c r="AZ825" s="491"/>
      <c r="BA825" s="491"/>
      <c r="BB825" s="491"/>
    </row>
    <row r="826" spans="1:54" hidden="1" outlineLevel="2" x14ac:dyDescent="0.2">
      <c r="A826" s="243"/>
      <c r="B826" s="242">
        <v>4</v>
      </c>
      <c r="C826" s="242">
        <v>6</v>
      </c>
      <c r="D826" s="243"/>
      <c r="E826" s="496" t="s">
        <v>1306</v>
      </c>
      <c r="F826" s="63" t="str">
        <f t="shared" ref="F826:K826" si="560">IFERROR(F824*INDEX(MBSDecItems,$C812,$B826)*INDEX(MBSDecItems,$C812,$C826),"")</f>
        <v/>
      </c>
      <c r="G826" s="63" t="str">
        <f t="shared" si="560"/>
        <v/>
      </c>
      <c r="H826" s="63" t="str">
        <f t="shared" si="560"/>
        <v/>
      </c>
      <c r="I826" s="63" t="str">
        <f t="shared" si="560"/>
        <v/>
      </c>
      <c r="J826" s="63" t="str">
        <f t="shared" si="560"/>
        <v/>
      </c>
      <c r="K826" s="63" t="str">
        <f t="shared" si="560"/>
        <v/>
      </c>
      <c r="L826" s="490"/>
      <c r="M826" s="684"/>
      <c r="N826" s="682"/>
      <c r="O826" s="678"/>
      <c r="P826" s="678"/>
      <c r="Q826" s="673"/>
      <c r="R826" s="673"/>
      <c r="S826" s="673"/>
      <c r="T826" s="673"/>
      <c r="U826" s="673"/>
      <c r="V826" s="673"/>
      <c r="W826" s="490"/>
      <c r="X826" s="676"/>
      <c r="Y826" s="676"/>
      <c r="Z826" s="676"/>
      <c r="AA826" s="676"/>
      <c r="AB826" s="676"/>
      <c r="AC826" s="490"/>
      <c r="AD826" s="490"/>
      <c r="AE826" s="490"/>
      <c r="AF826" s="490"/>
      <c r="AG826" s="490"/>
      <c r="AH826" s="490"/>
      <c r="AI826" s="490"/>
      <c r="AJ826" s="490"/>
      <c r="AK826" s="490"/>
      <c r="AL826" s="490"/>
      <c r="AM826" s="490"/>
      <c r="AN826" s="490"/>
      <c r="AO826" s="490"/>
      <c r="AP826" s="490"/>
      <c r="AQ826" s="490"/>
      <c r="AR826" s="490"/>
      <c r="AS826" s="490"/>
      <c r="AT826" s="490"/>
      <c r="AU826" s="490"/>
      <c r="AV826" s="490"/>
      <c r="AW826" s="490"/>
      <c r="AX826" s="490"/>
      <c r="AY826" s="490"/>
      <c r="AZ826" s="491"/>
      <c r="BA826" s="491"/>
      <c r="BB826" s="491"/>
    </row>
    <row r="827" spans="1:54" hidden="1" outlineLevel="2" x14ac:dyDescent="0.2">
      <c r="A827" s="243"/>
      <c r="B827" s="242"/>
      <c r="C827" s="242">
        <v>7</v>
      </c>
      <c r="D827" s="243"/>
      <c r="E827" s="497" t="s">
        <v>1308</v>
      </c>
      <c r="F827" s="63" t="str">
        <f t="shared" ref="F827:K827" si="561">IFERROR(F824*INDEX(MBSDecItems,$C812,$C827),"")</f>
        <v/>
      </c>
      <c r="G827" s="63" t="str">
        <f t="shared" si="561"/>
        <v/>
      </c>
      <c r="H827" s="63" t="str">
        <f t="shared" si="561"/>
        <v/>
      </c>
      <c r="I827" s="63" t="str">
        <f t="shared" si="561"/>
        <v/>
      </c>
      <c r="J827" s="63" t="str">
        <f t="shared" si="561"/>
        <v/>
      </c>
      <c r="K827" s="63" t="str">
        <f t="shared" si="561"/>
        <v/>
      </c>
      <c r="L827" s="490"/>
      <c r="M827" s="684"/>
      <c r="N827" s="682"/>
      <c r="O827" s="678"/>
      <c r="P827" s="678"/>
      <c r="Q827" s="673"/>
      <c r="R827" s="673"/>
      <c r="S827" s="673"/>
      <c r="T827" s="673"/>
      <c r="U827" s="673"/>
      <c r="V827" s="673"/>
      <c r="W827" s="490"/>
      <c r="X827" s="676"/>
      <c r="Y827" s="676"/>
      <c r="Z827" s="676"/>
      <c r="AA827" s="676"/>
      <c r="AB827" s="676"/>
      <c r="AC827" s="490"/>
      <c r="AD827" s="490"/>
      <c r="AE827" s="490"/>
      <c r="AF827" s="490"/>
      <c r="AG827" s="490"/>
      <c r="AH827" s="490"/>
      <c r="AI827" s="490"/>
      <c r="AJ827" s="490"/>
      <c r="AK827" s="490"/>
      <c r="AL827" s="490"/>
      <c r="AM827" s="490"/>
      <c r="AN827" s="490"/>
      <c r="AO827" s="490"/>
      <c r="AP827" s="490"/>
      <c r="AQ827" s="490"/>
      <c r="AR827" s="490"/>
      <c r="AS827" s="490"/>
      <c r="AT827" s="490"/>
      <c r="AU827" s="490"/>
      <c r="AV827" s="490"/>
      <c r="AW827" s="490"/>
      <c r="AX827" s="490"/>
      <c r="AY827" s="490"/>
      <c r="AZ827" s="491"/>
      <c r="BA827" s="491"/>
      <c r="BB827" s="491"/>
    </row>
    <row r="828" spans="1:54" hidden="1" outlineLevel="1" x14ac:dyDescent="0.2">
      <c r="A828" s="243"/>
      <c r="B828" s="243"/>
      <c r="C828" s="243"/>
      <c r="D828" s="677"/>
      <c r="E828" s="677"/>
      <c r="F828" s="243"/>
      <c r="G828" s="243"/>
      <c r="H828" s="243"/>
      <c r="I828" s="243"/>
      <c r="J828" s="243"/>
      <c r="K828" s="243"/>
      <c r="L828" s="243"/>
      <c r="M828" s="243"/>
      <c r="N828" s="678"/>
      <c r="O828" s="678"/>
      <c r="P828" s="678"/>
      <c r="Q828" s="673"/>
      <c r="R828" s="673"/>
      <c r="S828" s="673"/>
      <c r="T828" s="673"/>
      <c r="U828" s="673"/>
      <c r="V828" s="673"/>
      <c r="W828" s="490"/>
      <c r="X828" s="676"/>
      <c r="Y828" s="676"/>
      <c r="Z828" s="676"/>
      <c r="AA828" s="676"/>
      <c r="AB828" s="676"/>
      <c r="AC828" s="490"/>
      <c r="AD828" s="490"/>
      <c r="AE828" s="490"/>
      <c r="AF828" s="490"/>
      <c r="AG828" s="490"/>
      <c r="AH828" s="490"/>
      <c r="AI828" s="490"/>
      <c r="AJ828" s="490"/>
      <c r="AK828" s="490"/>
      <c r="AL828" s="490"/>
      <c r="AM828" s="490"/>
      <c r="AN828" s="490"/>
      <c r="AO828" s="490"/>
      <c r="AP828" s="490"/>
      <c r="AQ828" s="490"/>
      <c r="AR828" s="490"/>
      <c r="AS828" s="490"/>
      <c r="AT828" s="490"/>
      <c r="AU828" s="490"/>
      <c r="AV828" s="490"/>
      <c r="AW828" s="490"/>
      <c r="AX828" s="490"/>
      <c r="AY828" s="490"/>
      <c r="AZ828" s="491"/>
      <c r="BA828" s="491"/>
      <c r="BB828" s="491"/>
    </row>
    <row r="829" spans="1:54" ht="15.75" hidden="1" outlineLevel="1" x14ac:dyDescent="0.2">
      <c r="A829" s="243"/>
      <c r="B829" s="243"/>
      <c r="C829" s="242">
        <v>20</v>
      </c>
      <c r="D829" s="79" t="str">
        <f>INDEX(MBSDecNames,C829)</f>
        <v>** NOT USED **</v>
      </c>
      <c r="E829" s="79"/>
      <c r="F829" s="115"/>
      <c r="G829" s="115"/>
      <c r="H829" s="115"/>
      <c r="I829" s="115"/>
      <c r="J829" s="821" t="str">
        <f>IF(D829&lt;&gt;MsgNotUsed,"Co-payment group " &amp; K658,"")</f>
        <v/>
      </c>
      <c r="K829" s="821"/>
      <c r="L829" s="115"/>
      <c r="M829" s="115"/>
      <c r="N829" s="115"/>
      <c r="O829" s="115"/>
      <c r="P829" s="115"/>
      <c r="Q829" s="115"/>
      <c r="R829" s="115"/>
      <c r="S829" s="115"/>
      <c r="T829" s="115"/>
      <c r="U829" s="115"/>
      <c r="V829" s="115"/>
      <c r="W829" s="491"/>
      <c r="X829" s="490"/>
      <c r="Y829" s="490"/>
      <c r="Z829" s="490"/>
      <c r="AA829" s="490"/>
      <c r="AB829" s="676"/>
      <c r="AC829" s="490"/>
      <c r="AD829" s="490"/>
      <c r="AE829" s="490"/>
      <c r="AF829" s="490"/>
      <c r="AG829" s="490"/>
      <c r="AH829" s="490"/>
      <c r="AI829" s="490"/>
      <c r="AJ829" s="490"/>
      <c r="AK829" s="490"/>
      <c r="AL829" s="490"/>
      <c r="AM829" s="490"/>
      <c r="AN829" s="490"/>
      <c r="AO829" s="490"/>
      <c r="AP829" s="490"/>
      <c r="AQ829" s="490"/>
      <c r="AR829" s="490"/>
      <c r="AS829" s="490"/>
      <c r="AT829" s="490"/>
      <c r="AU829" s="490"/>
      <c r="AV829" s="490"/>
      <c r="AW829" s="490"/>
      <c r="AX829" s="490"/>
      <c r="AY829" s="490"/>
      <c r="AZ829" s="491"/>
      <c r="BA829" s="491"/>
      <c r="BB829" s="491"/>
    </row>
    <row r="830" spans="1:54" hidden="1" outlineLevel="2" x14ac:dyDescent="0.2">
      <c r="A830" s="243"/>
      <c r="B830" s="243"/>
      <c r="C830" s="243"/>
      <c r="D830" s="243"/>
      <c r="E830" s="243"/>
      <c r="F830" s="495">
        <v>2</v>
      </c>
      <c r="G830" s="495">
        <v>3</v>
      </c>
      <c r="H830" s="495">
        <v>4</v>
      </c>
      <c r="I830" s="495">
        <v>5</v>
      </c>
      <c r="J830" s="495">
        <v>6</v>
      </c>
      <c r="K830" s="495">
        <v>7</v>
      </c>
      <c r="L830" s="495"/>
      <c r="M830" s="243"/>
      <c r="N830" s="243"/>
      <c r="O830" s="243"/>
      <c r="P830" s="243"/>
      <c r="Q830" s="243"/>
      <c r="R830" s="243"/>
      <c r="S830" s="243"/>
      <c r="T830" s="243"/>
      <c r="U830" s="243"/>
      <c r="V830" s="243"/>
      <c r="W830" s="490"/>
      <c r="X830" s="490"/>
      <c r="Y830" s="490"/>
      <c r="Z830" s="490"/>
      <c r="AA830" s="490"/>
      <c r="AB830" s="676"/>
      <c r="AC830" s="490"/>
      <c r="AD830" s="490"/>
      <c r="AE830" s="490"/>
      <c r="AF830" s="490"/>
      <c r="AG830" s="490"/>
      <c r="AH830" s="490"/>
      <c r="AI830" s="490"/>
      <c r="AJ830" s="490"/>
      <c r="AK830" s="490"/>
      <c r="AL830" s="490"/>
      <c r="AM830" s="490"/>
      <c r="AN830" s="490"/>
      <c r="AO830" s="490"/>
      <c r="AP830" s="490"/>
      <c r="AQ830" s="490"/>
      <c r="AR830" s="490"/>
      <c r="AS830" s="490"/>
      <c r="AT830" s="490"/>
      <c r="AU830" s="490"/>
      <c r="AV830" s="490"/>
      <c r="AW830" s="490"/>
      <c r="AX830" s="490"/>
      <c r="AY830" s="490"/>
      <c r="AZ830" s="491"/>
      <c r="BA830" s="491"/>
      <c r="BB830" s="491"/>
    </row>
    <row r="831" spans="1:54" ht="15" hidden="1" outlineLevel="2" x14ac:dyDescent="0.2">
      <c r="A831" s="243"/>
      <c r="B831" s="243"/>
      <c r="C831" s="243"/>
      <c r="D831" s="663" t="s">
        <v>0</v>
      </c>
      <c r="E831" s="663"/>
      <c r="F831" s="729">
        <f>FirstYear</f>
        <v>2021</v>
      </c>
      <c r="G831" s="729">
        <f>F831+1</f>
        <v>2022</v>
      </c>
      <c r="H831" s="729">
        <f>G831+1</f>
        <v>2023</v>
      </c>
      <c r="I831" s="729">
        <f>H831+1</f>
        <v>2024</v>
      </c>
      <c r="J831" s="729">
        <f>I831+1</f>
        <v>2025</v>
      </c>
      <c r="K831" s="729">
        <f>J831+1</f>
        <v>2026</v>
      </c>
      <c r="L831" s="491"/>
      <c r="M831" s="113"/>
      <c r="N831" s="679"/>
      <c r="O831" s="679"/>
      <c r="P831" s="679"/>
      <c r="Q831" s="674"/>
      <c r="R831" s="674"/>
      <c r="S831" s="674"/>
      <c r="T831" s="674"/>
      <c r="U831" s="674"/>
      <c r="V831" s="674"/>
      <c r="W831" s="491"/>
      <c r="X831" s="674"/>
      <c r="Y831" s="674"/>
      <c r="Z831" s="674"/>
      <c r="AA831" s="674"/>
      <c r="AB831" s="676"/>
      <c r="AC831" s="490"/>
      <c r="AD831" s="490"/>
      <c r="AE831" s="490"/>
      <c r="AF831" s="490"/>
      <c r="AG831" s="490"/>
      <c r="AH831" s="490"/>
      <c r="AI831" s="490"/>
      <c r="AJ831" s="490"/>
      <c r="AK831" s="490"/>
      <c r="AL831" s="490"/>
      <c r="AM831" s="490"/>
      <c r="AN831" s="490"/>
      <c r="AO831" s="490"/>
      <c r="AP831" s="490"/>
      <c r="AQ831" s="490"/>
      <c r="AR831" s="490"/>
      <c r="AS831" s="490"/>
      <c r="AT831" s="490"/>
      <c r="AU831" s="490"/>
      <c r="AV831" s="490"/>
      <c r="AW831" s="490"/>
      <c r="AX831" s="490"/>
      <c r="AY831" s="490"/>
      <c r="AZ831" s="491"/>
      <c r="BA831" s="491"/>
      <c r="BB831" s="491"/>
    </row>
    <row r="832" spans="1:54" hidden="1" outlineLevel="2" collapsed="1" x14ac:dyDescent="0.2">
      <c r="A832" s="243"/>
      <c r="B832" s="243"/>
      <c r="C832" s="243"/>
      <c r="D832" s="243"/>
      <c r="E832" s="433" t="s">
        <v>951</v>
      </c>
      <c r="F832" s="283">
        <f t="shared" ref="F832:K832" si="562">F833*INDEX(MBSDecCalc,$C829,3)</f>
        <v>0</v>
      </c>
      <c r="G832" s="283">
        <f t="shared" si="562"/>
        <v>0</v>
      </c>
      <c r="H832" s="283">
        <f t="shared" si="562"/>
        <v>0</v>
      </c>
      <c r="I832" s="283">
        <f t="shared" si="562"/>
        <v>0</v>
      </c>
      <c r="J832" s="283">
        <f t="shared" si="562"/>
        <v>0</v>
      </c>
      <c r="K832" s="283">
        <f t="shared" si="562"/>
        <v>0</v>
      </c>
      <c r="L832" s="490"/>
      <c r="M832" s="680"/>
      <c r="N832" s="664"/>
      <c r="O832" s="664"/>
      <c r="P832" s="664"/>
      <c r="Q832" s="681"/>
      <c r="R832" s="681"/>
      <c r="S832" s="681"/>
      <c r="T832" s="681"/>
      <c r="U832" s="681"/>
      <c r="V832" s="681"/>
      <c r="W832" s="493"/>
      <c r="X832" s="561">
        <f>INDEX(MBSDecItems,C829,1)</f>
        <v>0</v>
      </c>
      <c r="Y832" s="561">
        <f>FirstYear</f>
        <v>2021</v>
      </c>
      <c r="Z832" s="560">
        <f>IF(F833&lt;&gt;0,F833-F835,0)</f>
        <v>0</v>
      </c>
      <c r="AA832" s="560">
        <f>IF(F841&lt;&gt;0,F841-F843,0)</f>
        <v>0</v>
      </c>
      <c r="AB832" s="676"/>
      <c r="AC832" s="490"/>
      <c r="AD832" s="490"/>
      <c r="AE832" s="490"/>
      <c r="AF832" s="490"/>
      <c r="AG832" s="490"/>
      <c r="AH832" s="490"/>
      <c r="AI832" s="490"/>
      <c r="AJ832" s="490"/>
      <c r="AK832" s="490"/>
      <c r="AL832" s="490"/>
      <c r="AM832" s="490"/>
      <c r="AN832" s="490"/>
      <c r="AO832" s="490"/>
      <c r="AP832" s="490"/>
      <c r="AQ832" s="490"/>
      <c r="AR832" s="490"/>
      <c r="AS832" s="490"/>
      <c r="AT832" s="490"/>
      <c r="AU832" s="490"/>
      <c r="AV832" s="490"/>
      <c r="AW832" s="490"/>
      <c r="AX832" s="490"/>
      <c r="AY832" s="490"/>
      <c r="AZ832" s="491"/>
      <c r="BA832" s="491"/>
      <c r="BB832" s="491"/>
    </row>
    <row r="833" spans="1:54" hidden="1" outlineLevel="2" x14ac:dyDescent="0.2">
      <c r="A833" s="243"/>
      <c r="B833" s="672"/>
      <c r="C833" s="242" t="str">
        <f>INDEX(MBSDecCalc,C829,2)</f>
        <v/>
      </c>
      <c r="D833" s="243"/>
      <c r="E833" s="62" t="s">
        <v>1310</v>
      </c>
      <c r="F833" s="63">
        <f t="shared" ref="F833:K833" si="563">IF(INDEX(MBSDecRate,$C829,2)=2,IFERROR(INDEX(PBSScriptsChanged,$C833,F830),0),IFERROR(INDEX(MBSPBSDec,$C829,INDEX(MBSDecRate,$C829,3)*7+F830),0) * IFERROR(INDEX(MBSDecPopSplit,$C829),0)) * INDEX(MBSDecRate,$C829,1) * INDEX(MBSDecRate,$C829,4)</f>
        <v>0</v>
      </c>
      <c r="G833" s="63">
        <f t="shared" si="563"/>
        <v>0</v>
      </c>
      <c r="H833" s="63">
        <f t="shared" si="563"/>
        <v>0</v>
      </c>
      <c r="I833" s="63">
        <f t="shared" si="563"/>
        <v>0</v>
      </c>
      <c r="J833" s="63">
        <f t="shared" si="563"/>
        <v>0</v>
      </c>
      <c r="K833" s="63">
        <f t="shared" si="563"/>
        <v>0</v>
      </c>
      <c r="L833" s="490"/>
      <c r="M833" s="493"/>
      <c r="N833" s="493"/>
      <c r="O833" s="664"/>
      <c r="P833" s="664"/>
      <c r="Q833" s="681"/>
      <c r="R833" s="681"/>
      <c r="S833" s="681"/>
      <c r="T833" s="681"/>
      <c r="U833" s="681"/>
      <c r="V833" s="681"/>
      <c r="W833" s="493"/>
      <c r="X833" s="561">
        <f>X832</f>
        <v>0</v>
      </c>
      <c r="Y833" s="561">
        <f>Y832+1</f>
        <v>2022</v>
      </c>
      <c r="Z833" s="560">
        <f>IF(G833&lt;&gt;0,G833-G835,0)</f>
        <v>0</v>
      </c>
      <c r="AA833" s="560">
        <f>IF(G841&lt;&gt;0,G841-G843,0)</f>
        <v>0</v>
      </c>
      <c r="AB833" s="676"/>
      <c r="AC833" s="490"/>
      <c r="AD833" s="490"/>
      <c r="AE833" s="490"/>
      <c r="AF833" s="490"/>
      <c r="AG833" s="490"/>
      <c r="AH833" s="490"/>
      <c r="AI833" s="490"/>
      <c r="AJ833" s="490"/>
      <c r="AK833" s="490"/>
      <c r="AL833" s="490"/>
      <c r="AM833" s="490"/>
      <c r="AN833" s="490"/>
      <c r="AO833" s="490"/>
      <c r="AP833" s="490"/>
      <c r="AQ833" s="490"/>
      <c r="AR833" s="490"/>
      <c r="AS833" s="490"/>
      <c r="AT833" s="490"/>
      <c r="AU833" s="490"/>
      <c r="AV833" s="490"/>
      <c r="AW833" s="490"/>
      <c r="AX833" s="490"/>
      <c r="AY833" s="490"/>
      <c r="AZ833" s="491"/>
      <c r="BA833" s="491"/>
      <c r="BB833" s="491"/>
    </row>
    <row r="834" spans="1:54" hidden="1" outlineLevel="2" x14ac:dyDescent="0.2">
      <c r="A834" s="243"/>
      <c r="B834" s="242">
        <v>5</v>
      </c>
      <c r="C834" s="242">
        <v>6</v>
      </c>
      <c r="D834" s="243"/>
      <c r="E834" s="496" t="s">
        <v>1307</v>
      </c>
      <c r="F834" s="63" t="str">
        <f t="shared" ref="F834:K834" si="564">IFERROR(F833*INDEX(MBSDecItems,$C829,$B834)*INDEX(MBSDecItems,$C829,$C834),"")</f>
        <v/>
      </c>
      <c r="G834" s="63" t="str">
        <f t="shared" si="564"/>
        <v/>
      </c>
      <c r="H834" s="63" t="str">
        <f t="shared" si="564"/>
        <v/>
      </c>
      <c r="I834" s="63" t="str">
        <f t="shared" si="564"/>
        <v/>
      </c>
      <c r="J834" s="63" t="str">
        <f t="shared" si="564"/>
        <v/>
      </c>
      <c r="K834" s="63" t="str">
        <f t="shared" si="564"/>
        <v/>
      </c>
      <c r="L834" s="490"/>
      <c r="M834" s="493"/>
      <c r="N834" s="493"/>
      <c r="O834" s="682"/>
      <c r="P834" s="754"/>
      <c r="Q834" s="681"/>
      <c r="R834" s="681"/>
      <c r="S834" s="681"/>
      <c r="T834" s="681"/>
      <c r="U834" s="681"/>
      <c r="V834" s="681"/>
      <c r="W834" s="493"/>
      <c r="X834" s="561">
        <f t="shared" ref="X834:X837" si="565">X833</f>
        <v>0</v>
      </c>
      <c r="Y834" s="561">
        <f>Y833+1</f>
        <v>2023</v>
      </c>
      <c r="Z834" s="560">
        <f>IF(H833&lt;&gt;0,H833-H835,0)</f>
        <v>0</v>
      </c>
      <c r="AA834" s="560">
        <f>IF(H841&lt;&gt;0,H841-H843,0)</f>
        <v>0</v>
      </c>
      <c r="AB834" s="676"/>
      <c r="AC834" s="490"/>
      <c r="AD834" s="490"/>
      <c r="AE834" s="490"/>
      <c r="AF834" s="490"/>
      <c r="AG834" s="490"/>
      <c r="AH834" s="490"/>
      <c r="AI834" s="490"/>
      <c r="AJ834" s="490"/>
      <c r="AK834" s="490"/>
      <c r="AL834" s="490"/>
      <c r="AM834" s="490"/>
      <c r="AN834" s="490"/>
      <c r="AO834" s="490"/>
      <c r="AP834" s="490"/>
      <c r="AQ834" s="490"/>
      <c r="AR834" s="490"/>
      <c r="AS834" s="490"/>
      <c r="AT834" s="490"/>
      <c r="AU834" s="490"/>
      <c r="AV834" s="490"/>
      <c r="AW834" s="490"/>
      <c r="AX834" s="490"/>
      <c r="AY834" s="490"/>
      <c r="AZ834" s="491"/>
      <c r="BA834" s="491"/>
      <c r="BB834" s="491"/>
    </row>
    <row r="835" spans="1:54" hidden="1" outlineLevel="2" x14ac:dyDescent="0.2">
      <c r="A835" s="416"/>
      <c r="B835" s="242">
        <v>4</v>
      </c>
      <c r="C835" s="242">
        <v>6</v>
      </c>
      <c r="D835" s="243"/>
      <c r="E835" s="496" t="s">
        <v>1306</v>
      </c>
      <c r="F835" s="63" t="str">
        <f t="shared" ref="F835:K835" si="566">IFERROR(F833*INDEX(MBSDecItems,$C829,$B835)*INDEX(MBSDecItems,$C829,$C835),"")</f>
        <v/>
      </c>
      <c r="G835" s="63" t="str">
        <f t="shared" si="566"/>
        <v/>
      </c>
      <c r="H835" s="63" t="str">
        <f t="shared" si="566"/>
        <v/>
      </c>
      <c r="I835" s="63" t="str">
        <f t="shared" si="566"/>
        <v/>
      </c>
      <c r="J835" s="63" t="str">
        <f t="shared" si="566"/>
        <v/>
      </c>
      <c r="K835" s="63" t="str">
        <f t="shared" si="566"/>
        <v/>
      </c>
      <c r="L835" s="416"/>
      <c r="M835" s="416"/>
      <c r="N835" s="416"/>
      <c r="O835" s="416"/>
      <c r="P835" s="416"/>
      <c r="Q835" s="416"/>
      <c r="R835" s="416"/>
      <c r="S835" s="416"/>
      <c r="T835" s="416"/>
      <c r="U835" s="416"/>
      <c r="V835" s="416"/>
      <c r="W835" s="493"/>
      <c r="X835" s="561">
        <f t="shared" si="565"/>
        <v>0</v>
      </c>
      <c r="Y835" s="561">
        <f>Y834+1</f>
        <v>2024</v>
      </c>
      <c r="Z835" s="560">
        <f>IF(I833&lt;&gt;0,I833-I835,0)</f>
        <v>0</v>
      </c>
      <c r="AA835" s="560">
        <f>IF(I841&lt;&gt;0,I841-I843,0)</f>
        <v>0</v>
      </c>
      <c r="AB835" s="674"/>
      <c r="AC835" s="490"/>
      <c r="AD835" s="490"/>
      <c r="AE835" s="490"/>
      <c r="AF835" s="490"/>
      <c r="AG835" s="490"/>
      <c r="AH835" s="490"/>
      <c r="AI835" s="490"/>
      <c r="AJ835" s="490"/>
      <c r="AK835" s="490"/>
      <c r="AL835" s="490"/>
      <c r="AM835" s="490"/>
      <c r="AN835" s="490"/>
      <c r="AO835" s="490"/>
      <c r="AP835" s="490"/>
      <c r="AQ835" s="490"/>
      <c r="AR835" s="490"/>
      <c r="AS835" s="490"/>
      <c r="AT835" s="490"/>
      <c r="AU835" s="490"/>
      <c r="AV835" s="490"/>
      <c r="AW835" s="490"/>
      <c r="AX835" s="490"/>
      <c r="AY835" s="490"/>
      <c r="AZ835" s="491"/>
      <c r="BA835" s="491"/>
      <c r="BB835" s="491"/>
    </row>
    <row r="836" spans="1:54" hidden="1" outlineLevel="2" x14ac:dyDescent="0.2">
      <c r="A836" s="243"/>
      <c r="B836" s="242"/>
      <c r="C836" s="242">
        <v>7</v>
      </c>
      <c r="D836" s="243"/>
      <c r="E836" s="497" t="s">
        <v>1308</v>
      </c>
      <c r="F836" s="63" t="str">
        <f t="shared" ref="F836:K836" si="567">IFERROR(F833*INDEX(MBSDecItems,$C829,$C836),"")</f>
        <v/>
      </c>
      <c r="G836" s="63" t="str">
        <f t="shared" si="567"/>
        <v/>
      </c>
      <c r="H836" s="63" t="str">
        <f t="shared" si="567"/>
        <v/>
      </c>
      <c r="I836" s="63" t="str">
        <f t="shared" si="567"/>
        <v/>
      </c>
      <c r="J836" s="63" t="str">
        <f t="shared" si="567"/>
        <v/>
      </c>
      <c r="K836" s="63" t="str">
        <f t="shared" si="567"/>
        <v/>
      </c>
      <c r="L836" s="490"/>
      <c r="M836" s="493"/>
      <c r="N836" s="493"/>
      <c r="O836" s="682"/>
      <c r="P836" s="754"/>
      <c r="Q836" s="681"/>
      <c r="R836" s="681"/>
      <c r="S836" s="681"/>
      <c r="T836" s="681"/>
      <c r="U836" s="681"/>
      <c r="V836" s="681"/>
      <c r="W836" s="493"/>
      <c r="X836" s="561">
        <f t="shared" si="565"/>
        <v>0</v>
      </c>
      <c r="Y836" s="561">
        <f>Y835+1</f>
        <v>2025</v>
      </c>
      <c r="Z836" s="560">
        <f>IF(J833&lt;&gt;0,J833-J835,0)</f>
        <v>0</v>
      </c>
      <c r="AA836" s="560">
        <f>IF(J841&lt;&gt;0,J841-J843,0)</f>
        <v>0</v>
      </c>
      <c r="AB836" s="674"/>
      <c r="AC836" s="490"/>
      <c r="AD836" s="490"/>
      <c r="AE836" s="490"/>
      <c r="AF836" s="490"/>
      <c r="AG836" s="490"/>
      <c r="AH836" s="490"/>
      <c r="AI836" s="490"/>
      <c r="AJ836" s="490"/>
      <c r="AK836" s="490"/>
      <c r="AL836" s="490"/>
      <c r="AM836" s="490"/>
      <c r="AN836" s="490"/>
      <c r="AO836" s="490"/>
      <c r="AP836" s="490"/>
      <c r="AQ836" s="490"/>
      <c r="AR836" s="490"/>
      <c r="AS836" s="490"/>
      <c r="AT836" s="490"/>
      <c r="AU836" s="490"/>
      <c r="AV836" s="490"/>
      <c r="AW836" s="490"/>
      <c r="AX836" s="490"/>
      <c r="AY836" s="490"/>
      <c r="AZ836" s="491"/>
      <c r="BA836" s="491"/>
      <c r="BB836" s="491"/>
    </row>
    <row r="837" spans="1:54" hidden="1" outlineLevel="2" x14ac:dyDescent="0.2">
      <c r="A837" s="243"/>
      <c r="B837" s="493"/>
      <c r="C837" s="493"/>
      <c r="D837" s="493"/>
      <c r="E837" s="493"/>
      <c r="F837" s="493"/>
      <c r="G837" s="493"/>
      <c r="H837" s="493"/>
      <c r="I837" s="493"/>
      <c r="J837" s="493"/>
      <c r="K837" s="493"/>
      <c r="L837" s="490"/>
      <c r="M837" s="493"/>
      <c r="N837" s="493"/>
      <c r="O837" s="682"/>
      <c r="P837" s="682"/>
      <c r="Q837" s="681"/>
      <c r="R837" s="681"/>
      <c r="S837" s="681"/>
      <c r="T837" s="681"/>
      <c r="U837" s="681"/>
      <c r="V837" s="681"/>
      <c r="W837" s="493"/>
      <c r="X837" s="561">
        <f t="shared" si="565"/>
        <v>0</v>
      </c>
      <c r="Y837" s="561">
        <f>Y836+1</f>
        <v>2026</v>
      </c>
      <c r="Z837" s="560">
        <f>IF(K833&lt;&gt;0,K833-K835,0)</f>
        <v>0</v>
      </c>
      <c r="AA837" s="560">
        <f>IF(K841&lt;&gt;0,K841-K843,0)</f>
        <v>0</v>
      </c>
      <c r="AB837" s="675"/>
      <c r="AC837" s="490"/>
      <c r="AD837" s="490"/>
      <c r="AE837" s="490"/>
      <c r="AF837" s="490"/>
      <c r="AG837" s="490"/>
      <c r="AH837" s="490"/>
      <c r="AI837" s="490"/>
      <c r="AJ837" s="490"/>
      <c r="AK837" s="490"/>
      <c r="AL837" s="490"/>
      <c r="AM837" s="490"/>
      <c r="AN837" s="490"/>
      <c r="AO837" s="490"/>
      <c r="AP837" s="490"/>
      <c r="AQ837" s="490"/>
      <c r="AR837" s="490"/>
      <c r="AS837" s="490"/>
      <c r="AT837" s="490"/>
      <c r="AU837" s="490"/>
      <c r="AV837" s="490"/>
      <c r="AW837" s="490"/>
      <c r="AX837" s="490"/>
      <c r="AY837" s="490"/>
      <c r="AZ837" s="491"/>
      <c r="BA837" s="491"/>
      <c r="BB837" s="491"/>
    </row>
    <row r="838" spans="1:54" hidden="1" outlineLevel="2" x14ac:dyDescent="0.2">
      <c r="A838" s="243"/>
      <c r="B838" s="243"/>
      <c r="C838" s="243"/>
      <c r="D838" s="677"/>
      <c r="E838" s="677"/>
      <c r="F838" s="495">
        <v>2</v>
      </c>
      <c r="G838" s="495">
        <v>3</v>
      </c>
      <c r="H838" s="495">
        <v>4</v>
      </c>
      <c r="I838" s="495">
        <v>5</v>
      </c>
      <c r="J838" s="495">
        <v>6</v>
      </c>
      <c r="K838" s="495">
        <v>7</v>
      </c>
      <c r="L838" s="490"/>
      <c r="M838" s="243"/>
      <c r="N838" s="678"/>
      <c r="O838" s="678"/>
      <c r="P838" s="678"/>
      <c r="Q838" s="673"/>
      <c r="R838" s="673"/>
      <c r="S838" s="673"/>
      <c r="T838" s="673"/>
      <c r="U838" s="673"/>
      <c r="V838" s="673"/>
      <c r="W838" s="490"/>
      <c r="X838" s="676"/>
      <c r="Y838" s="676"/>
      <c r="Z838" s="676"/>
      <c r="AA838" s="676"/>
      <c r="AB838" s="675"/>
      <c r="AC838" s="490"/>
      <c r="AD838" s="490"/>
      <c r="AE838" s="490"/>
      <c r="AF838" s="490"/>
      <c r="AG838" s="490"/>
      <c r="AH838" s="490"/>
      <c r="AI838" s="490"/>
      <c r="AJ838" s="490"/>
      <c r="AK838" s="490"/>
      <c r="AL838" s="490"/>
      <c r="AM838" s="490"/>
      <c r="AN838" s="490"/>
      <c r="AO838" s="490"/>
      <c r="AP838" s="490"/>
      <c r="AQ838" s="490"/>
      <c r="AR838" s="490"/>
      <c r="AS838" s="490"/>
      <c r="AT838" s="490"/>
      <c r="AU838" s="490"/>
      <c r="AV838" s="490"/>
      <c r="AW838" s="490"/>
      <c r="AX838" s="490"/>
      <c r="AY838" s="490"/>
      <c r="AZ838" s="491"/>
      <c r="BA838" s="491"/>
      <c r="BB838" s="491"/>
    </row>
    <row r="839" spans="1:54" ht="15.75" hidden="1" outlineLevel="2" x14ac:dyDescent="0.2">
      <c r="A839" s="243"/>
      <c r="B839" s="243"/>
      <c r="C839" s="243"/>
      <c r="D839" s="663" t="s">
        <v>1</v>
      </c>
      <c r="E839" s="663"/>
      <c r="F839" s="751">
        <f>FirstYear</f>
        <v>2021</v>
      </c>
      <c r="G839" s="751">
        <f>F839+1</f>
        <v>2022</v>
      </c>
      <c r="H839" s="751">
        <f>G839+1</f>
        <v>2023</v>
      </c>
      <c r="I839" s="751">
        <f>H839+1</f>
        <v>2024</v>
      </c>
      <c r="J839" s="751">
        <f>I839+1</f>
        <v>2025</v>
      </c>
      <c r="K839" s="751">
        <f>J839+1</f>
        <v>2026</v>
      </c>
      <c r="L839" s="491"/>
      <c r="M839" s="243"/>
      <c r="N839" s="685"/>
      <c r="O839" s="685"/>
      <c r="P839" s="685"/>
      <c r="Q839" s="673"/>
      <c r="R839" s="673"/>
      <c r="S839" s="673"/>
      <c r="T839" s="673"/>
      <c r="U839" s="673"/>
      <c r="V839" s="673"/>
      <c r="W839" s="491"/>
      <c r="X839" s="676"/>
      <c r="Y839" s="676"/>
      <c r="Z839" s="676"/>
      <c r="AA839" s="676"/>
      <c r="AB839" s="675"/>
      <c r="AC839" s="490"/>
      <c r="AD839" s="490"/>
      <c r="AE839" s="490"/>
      <c r="AF839" s="490"/>
      <c r="AG839" s="490"/>
      <c r="AH839" s="490"/>
      <c r="AI839" s="490"/>
      <c r="AJ839" s="490"/>
      <c r="AK839" s="490"/>
      <c r="AL839" s="490"/>
      <c r="AM839" s="490"/>
      <c r="AN839" s="490"/>
      <c r="AO839" s="490"/>
      <c r="AP839" s="490"/>
      <c r="AQ839" s="490"/>
      <c r="AR839" s="490"/>
      <c r="AS839" s="490"/>
      <c r="AT839" s="490"/>
      <c r="AU839" s="490"/>
      <c r="AV839" s="490"/>
      <c r="AW839" s="490"/>
      <c r="AX839" s="490"/>
      <c r="AY839" s="490"/>
      <c r="AZ839" s="491"/>
      <c r="BA839" s="491"/>
      <c r="BB839" s="491"/>
    </row>
    <row r="840" spans="1:54" hidden="1" outlineLevel="2" x14ac:dyDescent="0.2">
      <c r="A840" s="243"/>
      <c r="B840" s="243"/>
      <c r="C840" s="243"/>
      <c r="D840" s="243"/>
      <c r="E840" s="433" t="s">
        <v>951</v>
      </c>
      <c r="F840" s="283">
        <f t="shared" ref="F840:K840" si="568">F841*INDEX(MBSDecCalc,$C829,3)</f>
        <v>0</v>
      </c>
      <c r="G840" s="283">
        <f t="shared" si="568"/>
        <v>0</v>
      </c>
      <c r="H840" s="283">
        <f t="shared" si="568"/>
        <v>0</v>
      </c>
      <c r="I840" s="283">
        <f t="shared" si="568"/>
        <v>0</v>
      </c>
      <c r="J840" s="283">
        <f t="shared" si="568"/>
        <v>0</v>
      </c>
      <c r="K840" s="283">
        <f t="shared" si="568"/>
        <v>0</v>
      </c>
      <c r="L840" s="490"/>
      <c r="M840" s="615"/>
      <c r="N840" s="615"/>
      <c r="O840" s="678"/>
      <c r="P840" s="678"/>
      <c r="Q840" s="673"/>
      <c r="R840" s="673"/>
      <c r="S840" s="673"/>
      <c r="T840" s="673"/>
      <c r="U840" s="673"/>
      <c r="V840" s="673"/>
      <c r="W840" s="490"/>
      <c r="X840" s="676"/>
      <c r="Y840" s="676"/>
      <c r="Z840" s="676"/>
      <c r="AA840" s="676"/>
      <c r="AB840" s="675"/>
      <c r="AC840" s="490"/>
      <c r="AD840" s="490"/>
      <c r="AE840" s="490"/>
      <c r="AF840" s="490"/>
      <c r="AG840" s="490"/>
      <c r="AH840" s="490"/>
      <c r="AI840" s="490"/>
      <c r="AJ840" s="490"/>
      <c r="AK840" s="490"/>
      <c r="AL840" s="490"/>
      <c r="AM840" s="490"/>
      <c r="AN840" s="490"/>
      <c r="AO840" s="490"/>
      <c r="AP840" s="490"/>
      <c r="AQ840" s="490"/>
      <c r="AR840" s="490"/>
      <c r="AS840" s="490"/>
      <c r="AT840" s="490"/>
      <c r="AU840" s="490"/>
      <c r="AV840" s="490"/>
      <c r="AW840" s="490"/>
      <c r="AX840" s="490"/>
      <c r="AY840" s="490"/>
      <c r="AZ840" s="491"/>
      <c r="BA840" s="491"/>
      <c r="BB840" s="491"/>
    </row>
    <row r="841" spans="1:54" hidden="1" outlineLevel="2" x14ac:dyDescent="0.2">
      <c r="A841" s="243"/>
      <c r="B841" s="672"/>
      <c r="C841" s="242" t="str">
        <f>C833</f>
        <v/>
      </c>
      <c r="D841" s="243"/>
      <c r="E841" s="62" t="s">
        <v>1310</v>
      </c>
      <c r="F841" s="63">
        <f t="shared" ref="F841:K841" si="569">IF(INDEX(MBSDecRate,$C829,2)=2,IFERROR(INDEX(RPBSScriptsChanged,$C841,F838),0),IFERROR(INDEX(MBSRPBSDec,$C829,INDEX(MBSDecRate,$C829,3)*7+F838),0) * IFERROR(INDEX(MBSDecPopSplit,$C829),0)) * INDEX(MBSDecRate,$C829,1) * INDEX(MBSDecRate,$C829,4)</f>
        <v>0</v>
      </c>
      <c r="G841" s="63">
        <f t="shared" si="569"/>
        <v>0</v>
      </c>
      <c r="H841" s="63">
        <f t="shared" si="569"/>
        <v>0</v>
      </c>
      <c r="I841" s="63">
        <f t="shared" si="569"/>
        <v>0</v>
      </c>
      <c r="J841" s="63">
        <f t="shared" si="569"/>
        <v>0</v>
      </c>
      <c r="K841" s="63">
        <f t="shared" si="569"/>
        <v>0</v>
      </c>
      <c r="L841" s="490"/>
      <c r="M841" s="243"/>
      <c r="N841" s="753"/>
      <c r="O841" s="678"/>
      <c r="P841" s="678"/>
      <c r="Q841" s="673"/>
      <c r="R841" s="673"/>
      <c r="S841" s="673"/>
      <c r="T841" s="673"/>
      <c r="U841" s="673"/>
      <c r="V841" s="673"/>
      <c r="W841" s="490"/>
      <c r="X841" s="676"/>
      <c r="Y841" s="676"/>
      <c r="Z841" s="676"/>
      <c r="AA841" s="676"/>
      <c r="AB841" s="675"/>
      <c r="AC841" s="490"/>
      <c r="AD841" s="490"/>
      <c r="AE841" s="490"/>
      <c r="AF841" s="490"/>
      <c r="AG841" s="490"/>
      <c r="AH841" s="490"/>
      <c r="AI841" s="490"/>
      <c r="AJ841" s="490"/>
      <c r="AK841" s="490"/>
      <c r="AL841" s="490"/>
      <c r="AM841" s="490"/>
      <c r="AN841" s="490"/>
      <c r="AO841" s="490"/>
      <c r="AP841" s="490"/>
      <c r="AQ841" s="490"/>
      <c r="AR841" s="490"/>
      <c r="AS841" s="490"/>
      <c r="AT841" s="490"/>
      <c r="AU841" s="490"/>
      <c r="AV841" s="490"/>
      <c r="AW841" s="490"/>
      <c r="AX841" s="490"/>
      <c r="AY841" s="490"/>
      <c r="AZ841" s="491"/>
      <c r="BA841" s="491"/>
      <c r="BB841" s="491"/>
    </row>
    <row r="842" spans="1:54" hidden="1" outlineLevel="2" x14ac:dyDescent="0.2">
      <c r="A842" s="243"/>
      <c r="B842" s="242">
        <v>5</v>
      </c>
      <c r="C842" s="242">
        <v>6</v>
      </c>
      <c r="D842" s="243"/>
      <c r="E842" s="496" t="s">
        <v>1307</v>
      </c>
      <c r="F842" s="63" t="str">
        <f t="shared" ref="F842:K842" si="570">IFERROR(F841*INDEX(MBSDecItems,$C829,$B842)*INDEX(MBSDecItems,$C829,$C842),"")</f>
        <v/>
      </c>
      <c r="G842" s="63" t="str">
        <f t="shared" si="570"/>
        <v/>
      </c>
      <c r="H842" s="63" t="str">
        <f t="shared" si="570"/>
        <v/>
      </c>
      <c r="I842" s="63" t="str">
        <f t="shared" si="570"/>
        <v/>
      </c>
      <c r="J842" s="63" t="str">
        <f t="shared" si="570"/>
        <v/>
      </c>
      <c r="K842" s="63" t="str">
        <f t="shared" si="570"/>
        <v/>
      </c>
      <c r="L842" s="490"/>
      <c r="M842" s="683"/>
      <c r="N842" s="753"/>
      <c r="O842" s="678"/>
      <c r="P842" s="678"/>
      <c r="Q842" s="673"/>
      <c r="R842" s="673"/>
      <c r="S842" s="673"/>
      <c r="T842" s="673"/>
      <c r="U842" s="673"/>
      <c r="V842" s="673"/>
      <c r="W842" s="490"/>
      <c r="X842" s="676"/>
      <c r="Y842" s="676"/>
      <c r="Z842" s="676"/>
      <c r="AA842" s="676"/>
      <c r="AB842" s="676"/>
      <c r="AC842" s="490"/>
      <c r="AD842" s="490"/>
      <c r="AE842" s="490"/>
      <c r="AF842" s="490"/>
      <c r="AG842" s="490"/>
      <c r="AH842" s="490"/>
      <c r="AI842" s="490"/>
      <c r="AJ842" s="490"/>
      <c r="AK842" s="490"/>
      <c r="AL842" s="490"/>
      <c r="AM842" s="490"/>
      <c r="AN842" s="490"/>
      <c r="AO842" s="490"/>
      <c r="AP842" s="490"/>
      <c r="AQ842" s="490"/>
      <c r="AR842" s="490"/>
      <c r="AS842" s="490"/>
      <c r="AT842" s="490"/>
      <c r="AU842" s="490"/>
      <c r="AV842" s="490"/>
      <c r="AW842" s="490"/>
      <c r="AX842" s="490"/>
      <c r="AY842" s="490"/>
      <c r="AZ842" s="491"/>
      <c r="BA842" s="491"/>
      <c r="BB842" s="491"/>
    </row>
    <row r="843" spans="1:54" hidden="1" outlineLevel="2" x14ac:dyDescent="0.2">
      <c r="A843" s="243"/>
      <c r="B843" s="242">
        <v>4</v>
      </c>
      <c r="C843" s="242">
        <v>6</v>
      </c>
      <c r="D843" s="243"/>
      <c r="E843" s="496" t="s">
        <v>1306</v>
      </c>
      <c r="F843" s="63" t="str">
        <f t="shared" ref="F843:K843" si="571">IFERROR(F841*INDEX(MBSDecItems,$C829,$B843)*INDEX(MBSDecItems,$C829,$C843),"")</f>
        <v/>
      </c>
      <c r="G843" s="63" t="str">
        <f t="shared" si="571"/>
        <v/>
      </c>
      <c r="H843" s="63" t="str">
        <f t="shared" si="571"/>
        <v/>
      </c>
      <c r="I843" s="63" t="str">
        <f t="shared" si="571"/>
        <v/>
      </c>
      <c r="J843" s="63" t="str">
        <f t="shared" si="571"/>
        <v/>
      </c>
      <c r="K843" s="63" t="str">
        <f t="shared" si="571"/>
        <v/>
      </c>
      <c r="L843" s="490"/>
      <c r="M843" s="684"/>
      <c r="N843" s="682"/>
      <c r="O843" s="678"/>
      <c r="P843" s="678"/>
      <c r="Q843" s="673"/>
      <c r="R843" s="673"/>
      <c r="S843" s="673"/>
      <c r="T843" s="673"/>
      <c r="U843" s="673"/>
      <c r="V843" s="673"/>
      <c r="W843" s="490"/>
      <c r="X843" s="676"/>
      <c r="Y843" s="676"/>
      <c r="Z843" s="676"/>
      <c r="AA843" s="676"/>
      <c r="AB843" s="676"/>
      <c r="AC843" s="490"/>
      <c r="AD843" s="490"/>
      <c r="AE843" s="490"/>
      <c r="AF843" s="490"/>
      <c r="AG843" s="490"/>
      <c r="AH843" s="490"/>
      <c r="AI843" s="490"/>
      <c r="AJ843" s="490"/>
      <c r="AK843" s="490"/>
      <c r="AL843" s="490"/>
      <c r="AM843" s="490"/>
      <c r="AN843" s="490"/>
      <c r="AO843" s="490"/>
      <c r="AP843" s="490"/>
      <c r="AQ843" s="490"/>
      <c r="AR843" s="490"/>
      <c r="AS843" s="490"/>
      <c r="AT843" s="490"/>
      <c r="AU843" s="490"/>
      <c r="AV843" s="490"/>
      <c r="AW843" s="490"/>
      <c r="AX843" s="490"/>
      <c r="AY843" s="490"/>
      <c r="AZ843" s="491"/>
      <c r="BA843" s="491"/>
      <c r="BB843" s="491"/>
    </row>
    <row r="844" spans="1:54" hidden="1" outlineLevel="2" x14ac:dyDescent="0.2">
      <c r="A844" s="243"/>
      <c r="B844" s="242"/>
      <c r="C844" s="242">
        <v>7</v>
      </c>
      <c r="D844" s="243"/>
      <c r="E844" s="497" t="s">
        <v>1308</v>
      </c>
      <c r="F844" s="63" t="str">
        <f t="shared" ref="F844:K844" si="572">IFERROR(F841*INDEX(MBSDecItems,$C829,$C844),"")</f>
        <v/>
      </c>
      <c r="G844" s="63" t="str">
        <f t="shared" si="572"/>
        <v/>
      </c>
      <c r="H844" s="63" t="str">
        <f t="shared" si="572"/>
        <v/>
      </c>
      <c r="I844" s="63" t="str">
        <f t="shared" si="572"/>
        <v/>
      </c>
      <c r="J844" s="63" t="str">
        <f t="shared" si="572"/>
        <v/>
      </c>
      <c r="K844" s="63" t="str">
        <f t="shared" si="572"/>
        <v/>
      </c>
      <c r="L844" s="490"/>
      <c r="M844" s="684"/>
      <c r="N844" s="682"/>
      <c r="O844" s="678"/>
      <c r="P844" s="678"/>
      <c r="Q844" s="673"/>
      <c r="R844" s="673"/>
      <c r="S844" s="673"/>
      <c r="T844" s="673"/>
      <c r="U844" s="673"/>
      <c r="V844" s="673"/>
      <c r="W844" s="490"/>
      <c r="X844" s="676"/>
      <c r="Y844" s="676"/>
      <c r="Z844" s="676"/>
      <c r="AA844" s="676"/>
      <c r="AB844" s="676"/>
      <c r="AC844" s="490"/>
      <c r="AD844" s="490"/>
      <c r="AE844" s="490"/>
      <c r="AF844" s="490"/>
      <c r="AG844" s="490"/>
      <c r="AH844" s="490"/>
      <c r="AI844" s="490"/>
      <c r="AJ844" s="490"/>
      <c r="AK844" s="490"/>
      <c r="AL844" s="490"/>
      <c r="AM844" s="490"/>
      <c r="AN844" s="490"/>
      <c r="AO844" s="490"/>
      <c r="AP844" s="490"/>
      <c r="AQ844" s="490"/>
      <c r="AR844" s="490"/>
      <c r="AS844" s="490"/>
      <c r="AT844" s="490"/>
      <c r="AU844" s="490"/>
      <c r="AV844" s="490"/>
      <c r="AW844" s="490"/>
      <c r="AX844" s="490"/>
      <c r="AY844" s="490"/>
      <c r="AZ844" s="491"/>
      <c r="BA844" s="491"/>
      <c r="BB844" s="491"/>
    </row>
    <row r="845" spans="1:54" hidden="1" outlineLevel="1" x14ac:dyDescent="0.2">
      <c r="A845" s="243"/>
      <c r="B845" s="243"/>
      <c r="C845" s="243"/>
      <c r="D845" s="677"/>
      <c r="E845" s="677"/>
      <c r="F845" s="243"/>
      <c r="G845" s="243"/>
      <c r="H845" s="243"/>
      <c r="I845" s="243"/>
      <c r="J845" s="243"/>
      <c r="K845" s="243"/>
      <c r="L845" s="243"/>
      <c r="M845" s="243"/>
      <c r="N845" s="678"/>
      <c r="O845" s="678"/>
      <c r="P845" s="678"/>
      <c r="Q845" s="673"/>
      <c r="R845" s="673"/>
      <c r="S845" s="673"/>
      <c r="T845" s="673"/>
      <c r="U845" s="673"/>
      <c r="V845" s="673"/>
      <c r="W845" s="490"/>
      <c r="X845" s="676"/>
      <c r="Y845" s="676"/>
      <c r="Z845" s="676"/>
      <c r="AA845" s="676"/>
      <c r="AB845" s="676"/>
      <c r="AC845" s="490"/>
      <c r="AD845" s="490"/>
      <c r="AE845" s="490"/>
      <c r="AF845" s="490"/>
      <c r="AG845" s="490"/>
      <c r="AH845" s="490"/>
      <c r="AI845" s="490"/>
      <c r="AJ845" s="490"/>
      <c r="AK845" s="490"/>
      <c r="AL845" s="490"/>
      <c r="AM845" s="490"/>
      <c r="AN845" s="490"/>
      <c r="AO845" s="490"/>
      <c r="AP845" s="490"/>
      <c r="AQ845" s="490"/>
      <c r="AR845" s="490"/>
      <c r="AS845" s="490"/>
      <c r="AT845" s="490"/>
      <c r="AU845" s="490"/>
      <c r="AV845" s="490"/>
      <c r="AW845" s="490"/>
      <c r="AX845" s="490"/>
      <c r="AY845" s="490"/>
      <c r="AZ845" s="491"/>
      <c r="BA845" s="491"/>
      <c r="BB845" s="491"/>
    </row>
    <row r="846" spans="1:54" collapsed="1" x14ac:dyDescent="0.2">
      <c r="A846" s="113"/>
      <c r="B846" s="113"/>
      <c r="C846" s="113"/>
      <c r="D846" s="113"/>
      <c r="E846" s="113"/>
      <c r="F846" s="113"/>
      <c r="G846" s="113"/>
      <c r="H846" s="113"/>
      <c r="I846" s="113"/>
      <c r="J846" s="113"/>
      <c r="K846" s="113"/>
      <c r="L846" s="113"/>
      <c r="M846" s="113"/>
      <c r="N846" s="113"/>
      <c r="O846" s="113"/>
      <c r="P846" s="113"/>
      <c r="Q846" s="113"/>
      <c r="R846" s="113"/>
      <c r="S846" s="113"/>
      <c r="T846" s="113"/>
      <c r="U846" s="113"/>
      <c r="V846" s="113"/>
      <c r="W846" s="491"/>
      <c r="X846" s="491"/>
      <c r="Y846" s="491"/>
      <c r="Z846" s="491"/>
      <c r="AA846" s="491"/>
      <c r="AB846" s="676"/>
      <c r="AC846" s="490"/>
      <c r="AD846" s="490"/>
      <c r="AE846" s="490"/>
      <c r="AF846" s="490"/>
      <c r="AG846" s="490"/>
      <c r="AH846" s="490"/>
      <c r="AI846" s="490"/>
      <c r="AJ846" s="490"/>
      <c r="AK846" s="490"/>
      <c r="AL846" s="490"/>
      <c r="AM846" s="490"/>
      <c r="AN846" s="490"/>
      <c r="AO846" s="490"/>
      <c r="AP846" s="490"/>
      <c r="AQ846" s="490"/>
      <c r="AR846" s="490"/>
      <c r="AS846" s="490"/>
      <c r="AT846" s="490"/>
      <c r="AU846" s="490"/>
      <c r="AV846" s="490"/>
      <c r="AW846" s="490"/>
      <c r="AX846" s="490"/>
      <c r="AY846" s="490"/>
      <c r="AZ846" s="491"/>
      <c r="BA846" s="491"/>
      <c r="BB846" s="491"/>
    </row>
    <row r="847" spans="1:54" ht="15.75" x14ac:dyDescent="0.2">
      <c r="A847" s="113"/>
      <c r="B847" s="113"/>
      <c r="C847" s="79"/>
      <c r="D847" s="79" t="s">
        <v>868</v>
      </c>
      <c r="E847" s="115"/>
      <c r="F847" s="115"/>
      <c r="G847" s="115"/>
      <c r="H847" s="115"/>
      <c r="I847" s="115"/>
      <c r="J847" s="115"/>
      <c r="K847" s="115"/>
      <c r="L847" s="115"/>
      <c r="M847" s="115"/>
      <c r="N847" s="115"/>
      <c r="O847" s="115"/>
      <c r="P847" s="115"/>
      <c r="Q847" s="115"/>
      <c r="R847" s="115"/>
      <c r="S847" s="115"/>
      <c r="T847" s="115"/>
      <c r="U847" s="115"/>
      <c r="V847" s="115"/>
      <c r="X847" s="498"/>
      <c r="Y847" s="498"/>
      <c r="Z847" s="498"/>
      <c r="AA847" s="498"/>
      <c r="AB847" s="676"/>
      <c r="AC847" s="490"/>
      <c r="AD847" s="490"/>
      <c r="AE847" s="490"/>
      <c r="AF847" s="490"/>
      <c r="AG847" s="490"/>
      <c r="AH847" s="490"/>
      <c r="AI847" s="490"/>
      <c r="AJ847" s="490"/>
      <c r="AK847" s="490"/>
      <c r="AL847" s="490"/>
      <c r="AM847" s="490"/>
      <c r="AN847" s="490"/>
      <c r="AO847" s="490"/>
      <c r="AP847" s="490"/>
      <c r="AQ847" s="490"/>
      <c r="AR847" s="490"/>
      <c r="AS847" s="490"/>
      <c r="AT847" s="490"/>
      <c r="AU847" s="490"/>
      <c r="AV847" s="490"/>
      <c r="AW847" s="490"/>
      <c r="AX847" s="490"/>
      <c r="AY847" s="490"/>
      <c r="AZ847" s="491"/>
      <c r="BA847" s="491"/>
      <c r="BB847" s="491"/>
    </row>
    <row r="848" spans="1:54" collapsed="1" x14ac:dyDescent="0.2">
      <c r="A848" s="491"/>
      <c r="B848" s="491"/>
      <c r="C848" s="113"/>
      <c r="D848" s="113"/>
      <c r="E848" s="113"/>
      <c r="F848" s="113"/>
      <c r="G848" s="113"/>
      <c r="H848" s="113"/>
      <c r="I848" s="113"/>
      <c r="J848" s="113"/>
      <c r="K848" s="113"/>
      <c r="L848" s="113"/>
      <c r="M848" s="113"/>
      <c r="N848" s="113"/>
      <c r="O848" s="113"/>
      <c r="P848" s="113"/>
      <c r="Q848" s="113"/>
      <c r="R848" s="113"/>
      <c r="S848" s="113"/>
      <c r="T848" s="113"/>
      <c r="U848" s="113"/>
      <c r="V848" s="113"/>
      <c r="W848" s="491"/>
      <c r="X848" s="491"/>
      <c r="Y848" s="491"/>
      <c r="Z848" s="491"/>
      <c r="AA848" s="491"/>
      <c r="AB848" s="676"/>
      <c r="AC848" s="490"/>
      <c r="AD848" s="490"/>
      <c r="AE848" s="490"/>
      <c r="AF848" s="490"/>
      <c r="AG848" s="490"/>
      <c r="AH848" s="490"/>
      <c r="AI848" s="490"/>
      <c r="AJ848" s="490"/>
      <c r="AK848" s="490"/>
      <c r="AL848" s="490"/>
      <c r="AM848" s="490"/>
      <c r="AN848" s="490"/>
      <c r="AO848" s="490"/>
      <c r="AP848" s="490"/>
      <c r="AQ848" s="490"/>
      <c r="AR848" s="490"/>
      <c r="AS848" s="490"/>
      <c r="AT848" s="490"/>
      <c r="AU848" s="490"/>
      <c r="AV848" s="490"/>
      <c r="AW848" s="490"/>
      <c r="AX848" s="490"/>
      <c r="AY848" s="490"/>
      <c r="AZ848" s="491"/>
      <c r="BA848" s="491"/>
      <c r="BB848" s="491"/>
    </row>
    <row r="849" spans="1:54" x14ac:dyDescent="0.2">
      <c r="A849" s="491"/>
      <c r="B849" s="491"/>
      <c r="C849" s="113"/>
      <c r="D849" s="113" t="s">
        <v>313</v>
      </c>
      <c r="E849" s="113"/>
      <c r="F849" s="113"/>
      <c r="G849" s="113"/>
      <c r="H849" s="113"/>
      <c r="I849" s="113"/>
      <c r="J849" s="113"/>
      <c r="K849" s="113"/>
      <c r="L849" s="113"/>
      <c r="M849" s="113"/>
      <c r="N849" s="113"/>
      <c r="O849" s="113"/>
      <c r="P849" s="113"/>
      <c r="Q849" s="113"/>
      <c r="R849" s="113"/>
      <c r="S849" s="113"/>
      <c r="T849" s="113"/>
      <c r="U849" s="113"/>
      <c r="V849" s="113"/>
      <c r="W849" s="491"/>
      <c r="X849" s="491"/>
      <c r="Y849" s="491"/>
      <c r="Z849" s="491"/>
      <c r="AA849" s="491"/>
      <c r="AB849" s="491"/>
      <c r="AC849" s="491"/>
      <c r="AD849" s="491"/>
      <c r="AE849" s="491"/>
      <c r="AF849" s="491"/>
      <c r="AG849" s="491"/>
      <c r="AH849" s="491"/>
      <c r="AI849" s="491"/>
      <c r="AJ849" s="491"/>
      <c r="AK849" s="491"/>
      <c r="AL849" s="491"/>
      <c r="AM849" s="491"/>
      <c r="AN849" s="491"/>
      <c r="AO849" s="491"/>
      <c r="AP849" s="491"/>
      <c r="AQ849" s="491"/>
      <c r="AR849" s="491"/>
      <c r="AS849" s="491"/>
      <c r="AT849" s="491"/>
      <c r="AU849" s="491"/>
      <c r="AV849" s="491"/>
      <c r="AW849" s="491"/>
      <c r="AX849" s="491"/>
      <c r="AY849" s="491"/>
      <c r="AZ849" s="491"/>
      <c r="BA849" s="491"/>
      <c r="BB849" s="491"/>
    </row>
    <row r="850" spans="1:54" x14ac:dyDescent="0.2">
      <c r="AB850" s="491"/>
      <c r="AC850" s="491"/>
      <c r="AD850" s="491"/>
      <c r="AE850" s="491"/>
      <c r="AF850" s="491"/>
      <c r="AG850" s="491"/>
      <c r="AH850" s="491"/>
      <c r="AI850" s="491"/>
      <c r="AJ850" s="491"/>
      <c r="AK850" s="491"/>
      <c r="AL850" s="491"/>
      <c r="AM850" s="491"/>
      <c r="AN850" s="491"/>
      <c r="AO850" s="491"/>
      <c r="AP850" s="491"/>
      <c r="AQ850" s="491"/>
      <c r="AR850" s="491"/>
      <c r="AS850" s="491"/>
      <c r="AT850" s="491"/>
      <c r="AU850" s="491"/>
      <c r="AV850" s="491"/>
      <c r="AW850" s="491"/>
      <c r="AX850" s="491"/>
      <c r="AY850" s="491"/>
      <c r="AZ850" s="491"/>
      <c r="BA850" s="491"/>
      <c r="BB850" s="491"/>
    </row>
    <row r="851" spans="1:54" x14ac:dyDescent="0.2">
      <c r="AB851" s="498"/>
      <c r="AC851" s="491"/>
      <c r="AD851" s="491"/>
      <c r="AE851" s="491"/>
      <c r="AF851" s="491"/>
      <c r="AG851" s="491"/>
      <c r="AH851" s="491"/>
      <c r="AI851" s="491"/>
      <c r="AJ851" s="491"/>
      <c r="AK851" s="491"/>
      <c r="AL851" s="491"/>
      <c r="AM851" s="491"/>
      <c r="AN851" s="491"/>
      <c r="AO851" s="491"/>
      <c r="AP851" s="491"/>
      <c r="AQ851" s="491"/>
      <c r="AR851" s="491"/>
      <c r="AS851" s="491"/>
      <c r="AT851" s="491"/>
      <c r="AU851" s="491"/>
      <c r="AV851" s="491"/>
      <c r="AW851" s="491"/>
      <c r="AX851" s="491"/>
      <c r="AY851" s="491"/>
      <c r="AZ851" s="491"/>
      <c r="BA851" s="491"/>
      <c r="BB851" s="491"/>
    </row>
    <row r="852" spans="1:54" x14ac:dyDescent="0.2">
      <c r="AB852" s="491"/>
      <c r="AC852" s="491"/>
      <c r="AD852" s="491"/>
      <c r="AE852" s="491"/>
      <c r="AF852" s="491"/>
      <c r="AG852" s="491"/>
      <c r="AH852" s="491"/>
      <c r="AI852" s="491"/>
      <c r="AJ852" s="491"/>
      <c r="AK852" s="491"/>
      <c r="AL852" s="491"/>
      <c r="AM852" s="491"/>
      <c r="AN852" s="491"/>
      <c r="AO852" s="491"/>
      <c r="AP852" s="491"/>
      <c r="AQ852" s="491"/>
      <c r="AR852" s="491"/>
      <c r="AS852" s="491"/>
      <c r="AT852" s="491"/>
      <c r="AU852" s="491"/>
      <c r="AV852" s="491"/>
      <c r="AW852" s="491"/>
      <c r="AX852" s="491"/>
      <c r="AY852" s="491"/>
      <c r="AZ852" s="491"/>
      <c r="BA852" s="491"/>
      <c r="BB852" s="491"/>
    </row>
    <row r="853" spans="1:54" x14ac:dyDescent="0.2">
      <c r="AB853" s="491"/>
      <c r="AC853" s="491"/>
      <c r="AD853" s="491"/>
      <c r="AE853" s="491"/>
      <c r="AF853" s="491"/>
      <c r="AG853" s="491"/>
      <c r="AH853" s="491"/>
      <c r="AI853" s="491"/>
      <c r="AJ853" s="491"/>
      <c r="AK853" s="491"/>
      <c r="AL853" s="491"/>
      <c r="AM853" s="491"/>
      <c r="AN853" s="491"/>
      <c r="AO853" s="491"/>
      <c r="AP853" s="491"/>
      <c r="AQ853" s="491"/>
      <c r="AR853" s="491"/>
      <c r="AS853" s="491"/>
      <c r="AT853" s="491"/>
      <c r="AU853" s="491"/>
      <c r="AV853" s="491"/>
      <c r="AW853" s="491"/>
      <c r="AX853" s="491"/>
      <c r="AY853" s="491"/>
      <c r="AZ853" s="491"/>
      <c r="BA853" s="491"/>
      <c r="BB853" s="491"/>
    </row>
    <row r="854" spans="1:54" x14ac:dyDescent="0.2">
      <c r="AB854" s="491"/>
      <c r="AC854" s="491"/>
      <c r="AD854" s="491"/>
      <c r="AE854" s="491"/>
      <c r="AF854" s="491"/>
      <c r="AG854" s="491"/>
      <c r="AH854" s="491"/>
      <c r="AI854" s="491"/>
      <c r="AJ854" s="491"/>
      <c r="AK854" s="491"/>
      <c r="AL854" s="491"/>
      <c r="AM854" s="491"/>
      <c r="AN854" s="491"/>
      <c r="AO854" s="491"/>
      <c r="AP854" s="491"/>
      <c r="AQ854" s="491"/>
      <c r="AR854" s="491"/>
      <c r="AS854" s="491"/>
      <c r="AT854" s="491"/>
      <c r="AU854" s="491"/>
      <c r="AV854" s="491"/>
      <c r="AW854" s="491"/>
      <c r="AX854" s="491"/>
      <c r="AY854" s="491"/>
      <c r="AZ854" s="491"/>
      <c r="BA854" s="491"/>
      <c r="BB854" s="491"/>
    </row>
    <row r="855" spans="1:54" x14ac:dyDescent="0.2">
      <c r="AV855" s="491"/>
      <c r="AW855" s="491"/>
      <c r="AX855" s="491"/>
      <c r="AY855" s="491"/>
      <c r="AZ855" s="491"/>
      <c r="BA855" s="491"/>
      <c r="BB855" s="491"/>
    </row>
    <row r="856" spans="1:54" x14ac:dyDescent="0.2">
      <c r="AV856" s="491"/>
      <c r="AW856" s="491"/>
      <c r="AX856" s="491"/>
      <c r="AY856" s="491"/>
      <c r="AZ856" s="491"/>
      <c r="BA856" s="491"/>
      <c r="BB856" s="491"/>
    </row>
    <row r="857" spans="1:54" x14ac:dyDescent="0.2">
      <c r="AV857" s="491"/>
      <c r="AW857" s="491"/>
      <c r="AX857" s="491"/>
      <c r="AY857" s="491"/>
      <c r="AZ857" s="491"/>
      <c r="BA857" s="491"/>
      <c r="BB857" s="491"/>
    </row>
    <row r="858" spans="1:54" x14ac:dyDescent="0.2">
      <c r="AV858" s="491"/>
      <c r="AW858" s="491"/>
      <c r="AX858" s="491"/>
      <c r="AY858" s="491"/>
      <c r="AZ858" s="491"/>
      <c r="BA858" s="491"/>
      <c r="BB858" s="491"/>
    </row>
    <row r="859" spans="1:54" x14ac:dyDescent="0.2">
      <c r="AV859" s="491"/>
      <c r="AW859" s="491"/>
      <c r="AX859" s="491"/>
      <c r="AY859" s="491"/>
      <c r="AZ859" s="491"/>
      <c r="BA859" s="491"/>
      <c r="BB859" s="491"/>
    </row>
    <row r="860" spans="1:54" x14ac:dyDescent="0.2">
      <c r="AV860" s="491"/>
      <c r="AW860" s="491"/>
      <c r="AX860" s="491"/>
      <c r="AY860" s="491"/>
      <c r="AZ860" s="491"/>
      <c r="BA860" s="491"/>
      <c r="BB860" s="491"/>
    </row>
    <row r="861" spans="1:54" x14ac:dyDescent="0.2">
      <c r="AV861" s="491"/>
      <c r="AW861" s="491"/>
      <c r="AX861" s="491"/>
      <c r="AY861" s="491"/>
      <c r="AZ861" s="491"/>
      <c r="BA861" s="491"/>
      <c r="BB861" s="491"/>
    </row>
    <row r="862" spans="1:54" x14ac:dyDescent="0.2">
      <c r="AV862" s="491"/>
      <c r="AW862" s="491"/>
      <c r="AX862" s="491"/>
      <c r="AY862" s="491"/>
      <c r="AZ862" s="491"/>
      <c r="BA862" s="491"/>
      <c r="BB862" s="491"/>
    </row>
    <row r="863" spans="1:54" x14ac:dyDescent="0.2">
      <c r="AV863" s="491"/>
      <c r="AW863" s="491"/>
      <c r="AX863" s="491"/>
      <c r="AY863" s="491"/>
      <c r="AZ863" s="491"/>
      <c r="BA863" s="491"/>
      <c r="BB863" s="491"/>
    </row>
    <row r="864" spans="1:54" x14ac:dyDescent="0.2">
      <c r="AV864" s="491"/>
      <c r="AW864" s="491"/>
      <c r="AX864" s="491"/>
      <c r="AY864" s="491"/>
      <c r="AZ864" s="491"/>
      <c r="BA864" s="491"/>
      <c r="BB864" s="491"/>
    </row>
    <row r="865" spans="48:54" x14ac:dyDescent="0.2">
      <c r="AV865" s="491"/>
      <c r="AW865" s="491"/>
      <c r="AX865" s="491"/>
      <c r="AY865" s="491"/>
      <c r="AZ865" s="491"/>
      <c r="BA865" s="491"/>
      <c r="BB865" s="491"/>
    </row>
    <row r="866" spans="48:54" x14ac:dyDescent="0.2">
      <c r="AV866" s="491"/>
      <c r="AW866" s="491"/>
      <c r="AX866" s="491"/>
      <c r="AY866" s="491"/>
      <c r="AZ866" s="491"/>
      <c r="BA866" s="491"/>
      <c r="BB866" s="491"/>
    </row>
    <row r="867" spans="48:54" x14ac:dyDescent="0.2">
      <c r="AV867" s="491"/>
      <c r="AW867" s="491"/>
      <c r="AX867" s="491"/>
      <c r="AY867" s="491"/>
      <c r="AZ867" s="491"/>
      <c r="BA867" s="491"/>
      <c r="BB867" s="491"/>
    </row>
    <row r="868" spans="48:54" x14ac:dyDescent="0.2">
      <c r="AV868" s="491"/>
      <c r="AW868" s="491"/>
      <c r="AX868" s="491"/>
      <c r="AY868" s="491"/>
      <c r="AZ868" s="491"/>
      <c r="BA868" s="491"/>
      <c r="BB868" s="491"/>
    </row>
    <row r="869" spans="48:54" x14ac:dyDescent="0.2">
      <c r="AV869" s="491"/>
      <c r="AW869" s="491"/>
      <c r="AX869" s="491"/>
      <c r="AY869" s="491"/>
      <c r="AZ869" s="491"/>
      <c r="BA869" s="491"/>
      <c r="BB869" s="491"/>
    </row>
    <row r="870" spans="48:54" x14ac:dyDescent="0.2">
      <c r="AV870" s="491"/>
      <c r="AW870" s="491"/>
      <c r="AX870" s="491"/>
      <c r="AY870" s="491"/>
      <c r="AZ870" s="491"/>
      <c r="BA870" s="491"/>
      <c r="BB870" s="491"/>
    </row>
    <row r="871" spans="48:54" x14ac:dyDescent="0.2">
      <c r="AV871" s="491"/>
      <c r="AW871" s="491"/>
      <c r="AX871" s="491"/>
      <c r="AY871" s="491"/>
      <c r="AZ871" s="491"/>
      <c r="BA871" s="491"/>
      <c r="BB871" s="491"/>
    </row>
    <row r="872" spans="48:54" x14ac:dyDescent="0.2">
      <c r="AV872" s="491"/>
      <c r="AW872" s="491"/>
      <c r="AX872" s="491"/>
      <c r="AY872" s="491"/>
      <c r="AZ872" s="491"/>
      <c r="BA872" s="491"/>
      <c r="BB872" s="491"/>
    </row>
    <row r="873" spans="48:54" x14ac:dyDescent="0.2">
      <c r="AV873" s="491"/>
      <c r="AW873" s="491"/>
      <c r="AX873" s="491"/>
      <c r="AY873" s="491"/>
      <c r="AZ873" s="491"/>
      <c r="BA873" s="491"/>
      <c r="BB873" s="491"/>
    </row>
    <row r="874" spans="48:54" x14ac:dyDescent="0.2">
      <c r="AV874" s="491"/>
      <c r="AW874" s="491"/>
      <c r="AX874" s="491"/>
      <c r="AY874" s="491"/>
      <c r="AZ874" s="491"/>
      <c r="BA874" s="491"/>
      <c r="BB874" s="491"/>
    </row>
    <row r="875" spans="48:54" x14ac:dyDescent="0.2">
      <c r="AV875" s="491"/>
      <c r="AW875" s="491"/>
      <c r="AX875" s="491"/>
      <c r="AY875" s="491"/>
      <c r="AZ875" s="491"/>
      <c r="BA875" s="491"/>
      <c r="BB875" s="491"/>
    </row>
    <row r="876" spans="48:54" x14ac:dyDescent="0.2">
      <c r="AV876" s="491"/>
      <c r="AW876" s="491"/>
      <c r="AX876" s="491"/>
      <c r="AY876" s="491"/>
      <c r="AZ876" s="491"/>
      <c r="BA876" s="491"/>
      <c r="BB876" s="491"/>
    </row>
    <row r="877" spans="48:54" x14ac:dyDescent="0.2">
      <c r="AV877" s="491"/>
      <c r="AW877" s="491"/>
      <c r="AX877" s="491"/>
      <c r="AY877" s="491"/>
      <c r="AZ877" s="491"/>
      <c r="BA877" s="491"/>
      <c r="BB877" s="491"/>
    </row>
    <row r="878" spans="48:54" x14ac:dyDescent="0.2">
      <c r="AV878" s="491"/>
      <c r="AW878" s="491"/>
      <c r="AX878" s="491"/>
      <c r="AY878" s="491"/>
      <c r="AZ878" s="491"/>
      <c r="BA878" s="491"/>
      <c r="BB878" s="491"/>
    </row>
    <row r="879" spans="48:54" x14ac:dyDescent="0.2">
      <c r="AV879" s="491"/>
      <c r="AW879" s="491"/>
      <c r="AX879" s="491"/>
      <c r="AY879" s="491"/>
      <c r="AZ879" s="491"/>
      <c r="BA879" s="491"/>
      <c r="BB879" s="491"/>
    </row>
    <row r="880" spans="48:54" x14ac:dyDescent="0.2">
      <c r="AV880" s="491"/>
      <c r="AW880" s="491"/>
      <c r="AX880" s="491"/>
      <c r="AY880" s="491"/>
      <c r="AZ880" s="491"/>
      <c r="BA880" s="491"/>
      <c r="BB880" s="491"/>
    </row>
    <row r="881" spans="48:54" x14ac:dyDescent="0.2">
      <c r="AV881" s="491"/>
      <c r="AW881" s="491"/>
      <c r="AX881" s="491"/>
      <c r="AY881" s="491"/>
      <c r="AZ881" s="491"/>
      <c r="BA881" s="491"/>
      <c r="BB881" s="491"/>
    </row>
    <row r="882" spans="48:54" x14ac:dyDescent="0.2">
      <c r="AV882" s="491"/>
      <c r="AW882" s="491"/>
      <c r="AX882" s="491"/>
      <c r="AY882" s="491"/>
      <c r="AZ882" s="491"/>
      <c r="BA882" s="491"/>
      <c r="BB882" s="491"/>
    </row>
    <row r="883" spans="48:54" x14ac:dyDescent="0.2">
      <c r="AV883" s="491"/>
      <c r="AW883" s="491"/>
      <c r="AX883" s="491"/>
      <c r="AY883" s="491"/>
      <c r="AZ883" s="491"/>
      <c r="BA883" s="491"/>
      <c r="BB883" s="491"/>
    </row>
    <row r="884" spans="48:54" x14ac:dyDescent="0.2">
      <c r="AV884" s="491"/>
      <c r="AW884" s="491"/>
      <c r="AX884" s="491"/>
      <c r="AY884" s="491"/>
      <c r="AZ884" s="491"/>
      <c r="BA884" s="491"/>
      <c r="BB884" s="491"/>
    </row>
    <row r="885" spans="48:54" x14ac:dyDescent="0.2">
      <c r="AV885" s="491"/>
      <c r="AW885" s="491"/>
      <c r="AX885" s="491"/>
      <c r="AY885" s="491"/>
      <c r="AZ885" s="491"/>
      <c r="BA885" s="491"/>
      <c r="BB885" s="491"/>
    </row>
    <row r="886" spans="48:54" x14ac:dyDescent="0.2">
      <c r="AV886" s="491"/>
      <c r="AW886" s="491"/>
      <c r="AX886" s="491"/>
      <c r="AY886" s="491"/>
      <c r="AZ886" s="491"/>
      <c r="BA886" s="491"/>
      <c r="BB886" s="491"/>
    </row>
    <row r="887" spans="48:54" x14ac:dyDescent="0.2">
      <c r="AV887" s="491"/>
      <c r="AW887" s="491"/>
      <c r="AX887" s="491"/>
      <c r="AY887" s="491"/>
      <c r="AZ887" s="491"/>
      <c r="BA887" s="491"/>
      <c r="BB887" s="491"/>
    </row>
  </sheetData>
  <sheetProtection selectLockedCells="1"/>
  <dataConsolidate link="1"/>
  <mergeCells count="228">
    <mergeCell ref="J829:K829"/>
    <mergeCell ref="D493:F493"/>
    <mergeCell ref="G493:I493"/>
    <mergeCell ref="D494:F494"/>
    <mergeCell ref="G494:I494"/>
    <mergeCell ref="D495:F495"/>
    <mergeCell ref="G495:I495"/>
    <mergeCell ref="D496:F496"/>
    <mergeCell ref="G496:I496"/>
    <mergeCell ref="D497:F497"/>
    <mergeCell ref="G497:I497"/>
    <mergeCell ref="D498:F498"/>
    <mergeCell ref="G498:I498"/>
    <mergeCell ref="D499:F499"/>
    <mergeCell ref="G499:I499"/>
    <mergeCell ref="D500:F500"/>
    <mergeCell ref="G500:I500"/>
    <mergeCell ref="D501:F501"/>
    <mergeCell ref="G501:I501"/>
    <mergeCell ref="D502:F502"/>
    <mergeCell ref="G502:I502"/>
    <mergeCell ref="J676:K676"/>
    <mergeCell ref="J693:K693"/>
    <mergeCell ref="J710:K710"/>
    <mergeCell ref="J727:K727"/>
    <mergeCell ref="J744:K744"/>
    <mergeCell ref="J761:K761"/>
    <mergeCell ref="J778:K778"/>
    <mergeCell ref="J795:K795"/>
    <mergeCell ref="J812:K812"/>
    <mergeCell ref="AH88:AN88"/>
    <mergeCell ref="AH87:BB87"/>
    <mergeCell ref="AV88:BB88"/>
    <mergeCell ref="AO88:AU88"/>
    <mergeCell ref="J196:K196"/>
    <mergeCell ref="J213:K213"/>
    <mergeCell ref="J230:K230"/>
    <mergeCell ref="J247:K247"/>
    <mergeCell ref="J264:K264"/>
    <mergeCell ref="J111:K111"/>
    <mergeCell ref="J128:K128"/>
    <mergeCell ref="J145:K145"/>
    <mergeCell ref="J162:K162"/>
    <mergeCell ref="J179:K179"/>
    <mergeCell ref="J591:K591"/>
    <mergeCell ref="J608:K608"/>
    <mergeCell ref="J625:K625"/>
    <mergeCell ref="J642:K642"/>
    <mergeCell ref="G492:I492"/>
    <mergeCell ref="D490:F490"/>
    <mergeCell ref="D491:F491"/>
    <mergeCell ref="D492:F492"/>
    <mergeCell ref="AH111:BB111"/>
    <mergeCell ref="AH112:AN112"/>
    <mergeCell ref="AO112:AU112"/>
    <mergeCell ref="AV112:BB112"/>
    <mergeCell ref="AI61:AN61"/>
    <mergeCell ref="AP61:AU61"/>
    <mergeCell ref="G486:I486"/>
    <mergeCell ref="G487:I487"/>
    <mergeCell ref="G488:I488"/>
    <mergeCell ref="G489:I489"/>
    <mergeCell ref="D487:F487"/>
    <mergeCell ref="D488:F488"/>
    <mergeCell ref="R474:V474"/>
    <mergeCell ref="E475:F475"/>
    <mergeCell ref="R475:V475"/>
    <mergeCell ref="E476:F476"/>
    <mergeCell ref="R476:V476"/>
    <mergeCell ref="E477:F477"/>
    <mergeCell ref="R477:V477"/>
    <mergeCell ref="R469:V469"/>
    <mergeCell ref="D489:F489"/>
    <mergeCell ref="G490:I490"/>
    <mergeCell ref="E62:F62"/>
    <mergeCell ref="E63:F63"/>
    <mergeCell ref="E64:F64"/>
    <mergeCell ref="E65:F65"/>
    <mergeCell ref="E66:F66"/>
    <mergeCell ref="G87:I87"/>
    <mergeCell ref="G88:I88"/>
    <mergeCell ref="G89:I89"/>
    <mergeCell ref="G90:I90"/>
    <mergeCell ref="E67:F67"/>
    <mergeCell ref="E68:F68"/>
    <mergeCell ref="E69:F69"/>
    <mergeCell ref="E70:F70"/>
    <mergeCell ref="E71:F71"/>
    <mergeCell ref="E72:F72"/>
    <mergeCell ref="D87:F87"/>
    <mergeCell ref="D88:F88"/>
    <mergeCell ref="D89:F89"/>
    <mergeCell ref="D90:F90"/>
    <mergeCell ref="D484:F484"/>
    <mergeCell ref="D485:F485"/>
    <mergeCell ref="D486:F486"/>
    <mergeCell ref="G491:I491"/>
    <mergeCell ref="G91:I91"/>
    <mergeCell ref="D92:F92"/>
    <mergeCell ref="D91:F91"/>
    <mergeCell ref="G92:I92"/>
    <mergeCell ref="D93:F93"/>
    <mergeCell ref="D94:F94"/>
    <mergeCell ref="D95:F95"/>
    <mergeCell ref="D96:F96"/>
    <mergeCell ref="D97:F97"/>
    <mergeCell ref="G97:I97"/>
    <mergeCell ref="G93:I93"/>
    <mergeCell ref="G94:I94"/>
    <mergeCell ref="G95:I95"/>
    <mergeCell ref="G96:I96"/>
    <mergeCell ref="G484:I484"/>
    <mergeCell ref="G485:I485"/>
    <mergeCell ref="G482:I482"/>
    <mergeCell ref="G483:I483"/>
    <mergeCell ref="E463:F463"/>
    <mergeCell ref="E464:F464"/>
    <mergeCell ref="E465:F465"/>
    <mergeCell ref="E466:F466"/>
    <mergeCell ref="E467:F467"/>
    <mergeCell ref="E457:F457"/>
    <mergeCell ref="E458:F458"/>
    <mergeCell ref="E459:F459"/>
    <mergeCell ref="E460:F460"/>
    <mergeCell ref="D483:F483"/>
    <mergeCell ref="E461:F461"/>
    <mergeCell ref="E462:F462"/>
    <mergeCell ref="D482:F482"/>
    <mergeCell ref="E468:F468"/>
    <mergeCell ref="E469:F469"/>
    <mergeCell ref="E474:F474"/>
    <mergeCell ref="E470:F470"/>
    <mergeCell ref="E471:F471"/>
    <mergeCell ref="E472:F472"/>
    <mergeCell ref="E473:F473"/>
    <mergeCell ref="J659:K659"/>
    <mergeCell ref="J506:K506"/>
    <mergeCell ref="J523:K523"/>
    <mergeCell ref="J540:K540"/>
    <mergeCell ref="J557:K557"/>
    <mergeCell ref="J574:K574"/>
    <mergeCell ref="R457:V457"/>
    <mergeCell ref="R458:V458"/>
    <mergeCell ref="R459:V459"/>
    <mergeCell ref="R460:V460"/>
    <mergeCell ref="R461:V461"/>
    <mergeCell ref="R462:V462"/>
    <mergeCell ref="R463:V463"/>
    <mergeCell ref="R464:V464"/>
    <mergeCell ref="R465:V465"/>
    <mergeCell ref="R466:V466"/>
    <mergeCell ref="R467:V467"/>
    <mergeCell ref="R468:V468"/>
    <mergeCell ref="R470:V470"/>
    <mergeCell ref="R471:V471"/>
    <mergeCell ref="R472:V472"/>
    <mergeCell ref="R473:V473"/>
    <mergeCell ref="R71:V71"/>
    <mergeCell ref="R72:V72"/>
    <mergeCell ref="AI456:AN456"/>
    <mergeCell ref="AP456:AU456"/>
    <mergeCell ref="R62:V62"/>
    <mergeCell ref="R63:V63"/>
    <mergeCell ref="R64:V64"/>
    <mergeCell ref="R65:V65"/>
    <mergeCell ref="R66:V66"/>
    <mergeCell ref="R67:V67"/>
    <mergeCell ref="R68:V68"/>
    <mergeCell ref="R69:V69"/>
    <mergeCell ref="R70:V70"/>
    <mergeCell ref="J332:K332"/>
    <mergeCell ref="J349:K349"/>
    <mergeCell ref="J366:K366"/>
    <mergeCell ref="J383:K383"/>
    <mergeCell ref="J400:K400"/>
    <mergeCell ref="J417:K417"/>
    <mergeCell ref="AH508:BB508"/>
    <mergeCell ref="AH509:AN509"/>
    <mergeCell ref="AO509:AU509"/>
    <mergeCell ref="AV509:BB509"/>
    <mergeCell ref="AH484:BB484"/>
    <mergeCell ref="AH485:AN485"/>
    <mergeCell ref="AO485:AU485"/>
    <mergeCell ref="AV485:BB485"/>
    <mergeCell ref="J434:K434"/>
    <mergeCell ref="E73:F73"/>
    <mergeCell ref="R73:V73"/>
    <mergeCell ref="E74:F74"/>
    <mergeCell ref="R74:V74"/>
    <mergeCell ref="E75:F75"/>
    <mergeCell ref="R75:V75"/>
    <mergeCell ref="E76:F76"/>
    <mergeCell ref="R76:V76"/>
    <mergeCell ref="E77:F77"/>
    <mergeCell ref="R77:V77"/>
    <mergeCell ref="E78:F78"/>
    <mergeCell ref="R78:V78"/>
    <mergeCell ref="E79:F79"/>
    <mergeCell ref="R79:V79"/>
    <mergeCell ref="E80:F80"/>
    <mergeCell ref="R80:V80"/>
    <mergeCell ref="E81:F81"/>
    <mergeCell ref="R81:V81"/>
    <mergeCell ref="E82:F82"/>
    <mergeCell ref="R82:V82"/>
    <mergeCell ref="D98:F98"/>
    <mergeCell ref="G98:I98"/>
    <mergeCell ref="D99:F99"/>
    <mergeCell ref="G99:I99"/>
    <mergeCell ref="D100:F100"/>
    <mergeCell ref="G100:I100"/>
    <mergeCell ref="D101:F101"/>
    <mergeCell ref="G101:I101"/>
    <mergeCell ref="D102:F102"/>
    <mergeCell ref="G102:I102"/>
    <mergeCell ref="J281:K281"/>
    <mergeCell ref="J298:K298"/>
    <mergeCell ref="J315:K315"/>
    <mergeCell ref="D103:F103"/>
    <mergeCell ref="G103:I103"/>
    <mergeCell ref="D104:F104"/>
    <mergeCell ref="G104:I104"/>
    <mergeCell ref="D105:F105"/>
    <mergeCell ref="G105:I105"/>
    <mergeCell ref="D106:F106"/>
    <mergeCell ref="G106:I106"/>
    <mergeCell ref="D107:F107"/>
    <mergeCell ref="G107:I107"/>
  </mergeCells>
  <conditionalFormatting sqref="G63:V82">
    <cfRule type="expression" dxfId="27" priority="10">
      <formula>$D63=""</formula>
    </cfRule>
  </conditionalFormatting>
  <conditionalFormatting sqref="G483:I502">
    <cfRule type="expression" dxfId="26" priority="9">
      <formula>$Y483=0</formula>
    </cfRule>
  </conditionalFormatting>
  <conditionalFormatting sqref="G88:I107">
    <cfRule type="expression" dxfId="25" priority="8">
      <formula>$Y88=0</formula>
    </cfRule>
  </conditionalFormatting>
  <conditionalFormatting sqref="M63:M82 P63:V82 P458:V477">
    <cfRule type="expression" dxfId="24" priority="6">
      <formula>$AD63&lt;&gt;1</formula>
    </cfRule>
  </conditionalFormatting>
  <conditionalFormatting sqref="N63:N82">
    <cfRule type="expression" dxfId="23" priority="5">
      <formula>$AD63&lt;&gt;2</formula>
    </cfRule>
  </conditionalFormatting>
  <conditionalFormatting sqref="G458:V477">
    <cfRule type="expression" dxfId="22" priority="3">
      <formula>$D458=""</formula>
    </cfRule>
  </conditionalFormatting>
  <conditionalFormatting sqref="N458:N477">
    <cfRule type="expression" dxfId="21" priority="2">
      <formula>$AD458&lt;&gt;2</formula>
    </cfRule>
  </conditionalFormatting>
  <conditionalFormatting sqref="M458:M477">
    <cfRule type="expression" dxfId="20" priority="1">
      <formula>$AD458&lt;&gt;1</formula>
    </cfRule>
  </conditionalFormatting>
  <dataValidations count="7">
    <dataValidation allowBlank="1" showErrorMessage="1" sqref="F22:K22 F16:K16"/>
    <dataValidation type="list" allowBlank="1" showInputMessage="1" showErrorMessage="1" sqref="L63:L82 L458:L477">
      <formula1>MBSBasis</formula1>
    </dataValidation>
    <dataValidation type="list" allowBlank="1" showInputMessage="1" showErrorMessage="1" sqref="G88:I107">
      <formula1>NamesNewTx</formula1>
    </dataValidation>
    <dataValidation type="list" allowBlank="1" showInputMessage="1" showErrorMessage="1" sqref="G483:I502">
      <formula1>NamesScriptsChangedTx</formula1>
    </dataValidation>
    <dataValidation type="list" allowBlank="1" showInputMessage="1" showErrorMessage="1" sqref="P458:P477 P63:P82">
      <formula1>TPShort</formula1>
    </dataValidation>
    <dataValidation type="list" allowBlank="1" showInputMessage="1" showErrorMessage="1" sqref="K63:K82 K458:K477">
      <formula1>CoPayBands</formula1>
    </dataValidation>
    <dataValidation type="list" allowBlank="1" showInputMessage="1" showErrorMessage="1" sqref="R63:V82 R458:V477">
      <formula1>DTGPops</formula1>
    </dataValidation>
  </dataValidations>
  <pageMargins left="0.11811023622047245" right="0.11811023622047245" top="0.19685039370078741" bottom="0.15748031496062992" header="0.31496062992125984" footer="0.31496062992125984"/>
  <pageSetup paperSize="9" scale="46" orientation="landscape" horizontalDpi="300" verticalDpi="30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6"/>
  </sheetPr>
  <dimension ref="A1:DD271"/>
  <sheetViews>
    <sheetView showGridLines="0" zoomScaleNormal="100" workbookViewId="0"/>
  </sheetViews>
  <sheetFormatPr defaultColWidth="13" defaultRowHeight="12.75" customHeight="1" outlineLevelRow="1" x14ac:dyDescent="0.2"/>
  <cols>
    <col min="1" max="1" width="3.7109375" customWidth="1"/>
    <col min="2" max="3" width="3.7109375" hidden="1" customWidth="1"/>
    <col min="4" max="4" width="15.7109375" customWidth="1"/>
    <col min="5" max="108" width="10.7109375" customWidth="1"/>
  </cols>
  <sheetData>
    <row r="1" spans="1:108" ht="23.25" x14ac:dyDescent="0.2">
      <c r="A1" s="107">
        <f>IF((SUM(E29:J29)&lt;&gt;0),2,0)</f>
        <v>0</v>
      </c>
      <c r="B1" s="117"/>
      <c r="C1" s="117"/>
      <c r="D1" s="116" t="s">
        <v>933</v>
      </c>
      <c r="E1" s="117"/>
      <c r="F1" s="117"/>
      <c r="G1" s="117"/>
      <c r="H1" s="117"/>
      <c r="I1" s="117"/>
      <c r="J1" s="117"/>
      <c r="K1" s="117"/>
      <c r="L1" s="117"/>
      <c r="M1" s="117"/>
      <c r="N1" s="116" t="s">
        <v>299</v>
      </c>
      <c r="O1" s="117"/>
      <c r="P1" s="117"/>
      <c r="Q1" s="117"/>
      <c r="R1" s="117"/>
      <c r="S1" s="117"/>
      <c r="T1" s="117"/>
      <c r="U1" s="117"/>
      <c r="V1" s="117"/>
      <c r="W1" s="117"/>
      <c r="X1" s="820" t="str">
        <f>IF(A1=0,MsgNotUsed,"")</f>
        <v>** NOT USED **</v>
      </c>
      <c r="Y1" s="820"/>
      <c r="Z1" s="820"/>
      <c r="AA1" s="117"/>
      <c r="AB1" s="117"/>
      <c r="AC1" s="117"/>
      <c r="AD1" s="117"/>
      <c r="AE1" s="117"/>
      <c r="AF1" s="117"/>
      <c r="AG1" s="117"/>
      <c r="AH1" s="117"/>
      <c r="AI1" s="117"/>
      <c r="AJ1" s="117"/>
      <c r="AK1" s="117"/>
      <c r="AL1" s="117"/>
      <c r="AM1" s="117"/>
      <c r="AN1" s="117"/>
      <c r="AO1" s="117"/>
      <c r="AP1" s="117"/>
      <c r="AQ1" s="117"/>
      <c r="AR1" s="117"/>
      <c r="AS1" s="117"/>
      <c r="AT1" s="117"/>
      <c r="AU1" s="117"/>
      <c r="AV1" s="117"/>
      <c r="AW1" s="117"/>
      <c r="AX1" s="117"/>
      <c r="AY1" s="117"/>
      <c r="AZ1" s="117"/>
      <c r="BA1" s="117"/>
      <c r="BB1" s="117"/>
      <c r="BC1" s="117"/>
      <c r="BD1" s="117"/>
      <c r="BE1" s="117"/>
      <c r="BF1" s="117"/>
      <c r="BG1" s="117"/>
      <c r="BH1" s="117"/>
      <c r="BI1" s="117"/>
      <c r="BJ1" s="117"/>
      <c r="BK1" s="117"/>
      <c r="BL1" s="117"/>
      <c r="BM1" s="117"/>
      <c r="BN1" s="117"/>
      <c r="BO1" s="117"/>
      <c r="BP1" s="117"/>
      <c r="BQ1" s="117"/>
      <c r="BR1" s="117"/>
      <c r="BS1" s="117"/>
      <c r="BT1" s="117"/>
      <c r="BU1" s="117"/>
      <c r="BV1" s="117"/>
      <c r="BW1" s="117"/>
      <c r="BX1" s="117"/>
      <c r="BY1" s="117"/>
      <c r="BZ1" s="117"/>
      <c r="CA1" s="117"/>
      <c r="CB1" s="117"/>
      <c r="CC1" s="117"/>
      <c r="CD1" s="117"/>
      <c r="CE1" s="117"/>
      <c r="CF1" s="117"/>
      <c r="CG1" s="117"/>
      <c r="CH1" s="117"/>
      <c r="CI1" s="117"/>
      <c r="CJ1" s="117"/>
      <c r="CK1" s="117"/>
      <c r="CL1" s="117"/>
      <c r="CM1" s="117"/>
      <c r="CN1" s="117"/>
      <c r="CO1" s="117"/>
      <c r="CP1" s="117"/>
      <c r="CQ1" s="117"/>
      <c r="CR1" s="117"/>
      <c r="CS1" s="117"/>
      <c r="CT1" s="117"/>
      <c r="CU1" s="117"/>
      <c r="CV1" s="117"/>
      <c r="CW1" s="117"/>
      <c r="CX1" s="117"/>
      <c r="CY1" s="117"/>
      <c r="CZ1" s="117"/>
      <c r="DA1" s="117"/>
      <c r="DB1" s="117"/>
      <c r="DC1" s="117"/>
      <c r="DD1" s="117"/>
    </row>
    <row r="2" spans="1:108" ht="15.75" x14ac:dyDescent="0.2">
      <c r="A2" s="117"/>
      <c r="B2" s="117"/>
      <c r="C2" s="117"/>
      <c r="D2" s="110" t="str">
        <f>CONCATENATE("Name of medicine: ", MedicineBrand)</f>
        <v xml:space="preserve">Name of medicine: </v>
      </c>
      <c r="E2" s="117"/>
      <c r="F2" s="117"/>
      <c r="G2" s="117"/>
      <c r="H2" s="117"/>
      <c r="I2" s="117"/>
      <c r="J2" s="117"/>
      <c r="K2" s="117"/>
      <c r="L2" s="117"/>
      <c r="M2" s="117"/>
      <c r="N2" s="117"/>
      <c r="O2" s="117"/>
      <c r="P2" s="117"/>
      <c r="Q2" s="117"/>
      <c r="R2" s="117"/>
      <c r="S2" s="117"/>
      <c r="T2" s="117"/>
      <c r="U2" s="117"/>
      <c r="V2" s="117"/>
      <c r="W2" s="117"/>
      <c r="X2" s="117"/>
      <c r="Y2" s="117"/>
      <c r="Z2" s="117"/>
      <c r="AA2" s="117"/>
      <c r="AB2" s="117"/>
      <c r="AC2" s="117"/>
      <c r="AD2" s="117"/>
      <c r="AE2" s="117"/>
      <c r="AF2" s="117"/>
      <c r="AG2" s="117"/>
      <c r="AH2" s="117"/>
      <c r="AI2" s="117"/>
      <c r="AJ2" s="117"/>
      <c r="AK2" s="117"/>
      <c r="AL2" s="117"/>
      <c r="AM2" s="117"/>
      <c r="AN2" s="117"/>
      <c r="AO2" s="117"/>
      <c r="AP2" s="117"/>
      <c r="AQ2" s="117"/>
      <c r="AR2" s="117"/>
      <c r="AS2" s="117"/>
      <c r="AT2" s="117"/>
      <c r="AU2" s="117"/>
      <c r="AV2" s="117"/>
      <c r="AW2" s="117"/>
      <c r="AX2" s="117"/>
      <c r="AY2" s="117"/>
      <c r="AZ2" s="117"/>
      <c r="BA2" s="117"/>
      <c r="BB2" s="117"/>
      <c r="BC2" s="117"/>
      <c r="BD2" s="117"/>
      <c r="BE2" s="117"/>
      <c r="BF2" s="117"/>
      <c r="BG2" s="117"/>
      <c r="BH2" s="117"/>
      <c r="BI2" s="117"/>
      <c r="BJ2" s="117"/>
      <c r="BK2" s="117"/>
      <c r="BL2" s="117"/>
      <c r="BM2" s="117"/>
      <c r="BN2" s="117"/>
      <c r="BO2" s="117"/>
      <c r="BP2" s="117"/>
      <c r="BQ2" s="117"/>
      <c r="BR2" s="117"/>
      <c r="BS2" s="117"/>
      <c r="BT2" s="117"/>
      <c r="BU2" s="117"/>
      <c r="BV2" s="117"/>
      <c r="BW2" s="117"/>
      <c r="BX2" s="117"/>
      <c r="BY2" s="117"/>
      <c r="BZ2" s="117"/>
      <c r="CA2" s="117"/>
      <c r="CB2" s="117"/>
      <c r="CC2" s="117"/>
      <c r="CD2" s="117"/>
      <c r="CE2" s="117"/>
      <c r="CF2" s="117"/>
      <c r="CG2" s="117"/>
      <c r="CH2" s="117"/>
      <c r="CI2" s="117"/>
      <c r="CJ2" s="117"/>
      <c r="CK2" s="117"/>
      <c r="CL2" s="117"/>
      <c r="CM2" s="117"/>
      <c r="CN2" s="117"/>
      <c r="CO2" s="117"/>
      <c r="CP2" s="117"/>
      <c r="CQ2" s="117"/>
      <c r="CR2" s="117"/>
      <c r="CS2" s="117"/>
      <c r="CT2" s="117"/>
      <c r="CU2" s="117"/>
      <c r="CV2" s="117"/>
      <c r="CW2" s="117"/>
      <c r="CX2" s="117"/>
      <c r="CY2" s="117"/>
      <c r="CZ2" s="117"/>
      <c r="DA2" s="117"/>
      <c r="DB2" s="117"/>
      <c r="DC2" s="117"/>
      <c r="DD2" s="117"/>
    </row>
    <row r="3" spans="1:108" ht="15.75" x14ac:dyDescent="0.2">
      <c r="A3" s="117"/>
      <c r="B3" s="117"/>
      <c r="C3" s="117"/>
      <c r="D3" s="110" t="str">
        <f>CONCATENATE("Indication: ",Indication)</f>
        <v xml:space="preserve">Indication: </v>
      </c>
      <c r="E3" s="117"/>
      <c r="F3" s="117"/>
      <c r="G3" s="117"/>
      <c r="H3" s="117"/>
      <c r="I3" s="117"/>
      <c r="J3" s="117"/>
      <c r="K3" s="117"/>
      <c r="L3" s="117"/>
      <c r="M3" s="117"/>
      <c r="N3" s="117"/>
      <c r="O3" s="117"/>
      <c r="P3" s="117"/>
      <c r="Q3" s="117"/>
      <c r="R3" s="117"/>
      <c r="S3" s="117"/>
      <c r="T3" s="117"/>
      <c r="U3" s="117"/>
      <c r="V3" s="117"/>
      <c r="W3" s="117"/>
      <c r="X3" s="117"/>
      <c r="Y3" s="117"/>
      <c r="Z3" s="117"/>
      <c r="AA3" s="117"/>
      <c r="AB3" s="117"/>
      <c r="AC3" s="117"/>
      <c r="AD3" s="117"/>
      <c r="AE3" s="117"/>
      <c r="AF3" s="117"/>
      <c r="AG3" s="117"/>
      <c r="AH3" s="117"/>
      <c r="AI3" s="117"/>
      <c r="AJ3" s="117"/>
      <c r="AK3" s="117"/>
      <c r="AL3" s="117"/>
      <c r="AM3" s="117"/>
      <c r="AN3" s="117"/>
      <c r="AO3" s="117"/>
      <c r="AP3" s="117"/>
      <c r="AQ3" s="117"/>
      <c r="AR3" s="117"/>
      <c r="AS3" s="117"/>
      <c r="AT3" s="117"/>
      <c r="AU3" s="117"/>
      <c r="AV3" s="117"/>
      <c r="AW3" s="117"/>
      <c r="AX3" s="117"/>
      <c r="AY3" s="117"/>
      <c r="AZ3" s="117"/>
      <c r="BA3" s="117"/>
      <c r="BB3" s="117"/>
      <c r="BC3" s="117"/>
      <c r="BD3" s="117"/>
      <c r="BE3" s="117"/>
      <c r="BF3" s="117"/>
      <c r="BG3" s="117"/>
      <c r="BH3" s="117"/>
      <c r="BI3" s="117"/>
      <c r="BJ3" s="117"/>
      <c r="BK3" s="117"/>
      <c r="BL3" s="117"/>
      <c r="BM3" s="117"/>
      <c r="BN3" s="117"/>
      <c r="BO3" s="117"/>
      <c r="BP3" s="117"/>
      <c r="BQ3" s="117"/>
      <c r="BR3" s="117"/>
      <c r="BS3" s="117"/>
      <c r="BT3" s="117"/>
      <c r="BU3" s="117"/>
      <c r="BV3" s="117"/>
      <c r="BW3" s="117"/>
      <c r="BX3" s="117"/>
      <c r="BY3" s="117"/>
      <c r="BZ3" s="117"/>
      <c r="CA3" s="117"/>
      <c r="CB3" s="117"/>
      <c r="CC3" s="117"/>
      <c r="CD3" s="117"/>
      <c r="CE3" s="117"/>
      <c r="CF3" s="117"/>
      <c r="CG3" s="117"/>
      <c r="CH3" s="117"/>
      <c r="CI3" s="117"/>
      <c r="CJ3" s="117"/>
      <c r="CK3" s="117"/>
      <c r="CL3" s="117"/>
      <c r="CM3" s="117"/>
      <c r="CN3" s="117"/>
      <c r="CO3" s="117"/>
      <c r="CP3" s="117"/>
      <c r="CQ3" s="117"/>
      <c r="CR3" s="117"/>
      <c r="CS3" s="117"/>
      <c r="CT3" s="117"/>
      <c r="CU3" s="117"/>
      <c r="CV3" s="117"/>
      <c r="CW3" s="117"/>
      <c r="CX3" s="117"/>
      <c r="CY3" s="117"/>
      <c r="CZ3" s="117"/>
      <c r="DA3" s="117"/>
      <c r="DB3" s="117"/>
      <c r="DC3" s="117"/>
      <c r="DD3" s="117"/>
    </row>
    <row r="4" spans="1:108" x14ac:dyDescent="0.2">
      <c r="A4" s="125"/>
      <c r="B4" s="125"/>
      <c r="C4" s="125"/>
      <c r="D4" s="125"/>
      <c r="E4" s="125"/>
      <c r="F4" s="125"/>
      <c r="G4" s="125"/>
      <c r="H4" s="125"/>
      <c r="I4" s="125"/>
      <c r="J4" s="125"/>
      <c r="K4" s="125"/>
      <c r="L4" s="125"/>
      <c r="M4" s="125"/>
      <c r="N4" s="125"/>
      <c r="O4" s="125"/>
      <c r="P4" s="125"/>
      <c r="Q4" s="125"/>
      <c r="R4" s="125"/>
      <c r="S4" s="125"/>
      <c r="T4" s="125"/>
      <c r="U4" s="125"/>
      <c r="V4" s="125"/>
      <c r="W4" s="125"/>
      <c r="X4" s="125"/>
      <c r="Y4" s="125"/>
      <c r="Z4" s="125"/>
      <c r="AA4" s="125"/>
      <c r="AB4" s="125"/>
      <c r="AC4" s="125"/>
      <c r="AD4" s="125"/>
      <c r="AE4" s="125"/>
      <c r="AF4" s="125"/>
      <c r="AG4" s="125"/>
      <c r="AH4" s="125"/>
      <c r="AI4" s="125"/>
      <c r="AJ4" s="125"/>
      <c r="AK4" s="125"/>
      <c r="AL4" s="125"/>
      <c r="AM4" s="125"/>
      <c r="AN4" s="125"/>
      <c r="AO4" s="125"/>
      <c r="AP4" s="125"/>
      <c r="AQ4" s="125"/>
      <c r="AR4" s="125"/>
      <c r="AS4" s="125"/>
      <c r="AT4" s="125"/>
      <c r="AU4" s="125"/>
      <c r="AV4" s="125"/>
      <c r="AW4" s="125"/>
      <c r="AX4" s="125"/>
      <c r="AY4" s="125"/>
      <c r="AZ4" s="125"/>
      <c r="BA4" s="125"/>
      <c r="BB4" s="125"/>
      <c r="BC4" s="125"/>
      <c r="BD4" s="125"/>
      <c r="BE4" s="125"/>
      <c r="BF4" s="125"/>
      <c r="BG4" s="125"/>
      <c r="BH4" s="125"/>
      <c r="BI4" s="125"/>
      <c r="BJ4" s="125"/>
      <c r="BK4" s="125"/>
      <c r="BL4" s="125"/>
      <c r="BM4" s="125"/>
      <c r="BN4" s="125"/>
      <c r="BO4" s="125"/>
      <c r="BP4" s="125"/>
      <c r="BQ4" s="125"/>
      <c r="BR4" s="125"/>
      <c r="BS4" s="125"/>
      <c r="BT4" s="125"/>
      <c r="BU4" s="125"/>
      <c r="BV4" s="125"/>
      <c r="BW4" s="125"/>
      <c r="BX4" s="125"/>
      <c r="BY4" s="125"/>
      <c r="BZ4" s="125"/>
      <c r="CA4" s="125"/>
      <c r="CB4" s="125"/>
      <c r="CC4" s="125"/>
      <c r="CD4" s="125"/>
      <c r="CE4" s="125"/>
      <c r="CF4" s="125"/>
      <c r="CG4" s="125"/>
      <c r="CH4" s="125"/>
      <c r="CI4" s="125"/>
      <c r="CJ4" s="125"/>
      <c r="CK4" s="125"/>
      <c r="CL4" s="125"/>
      <c r="CM4" s="125"/>
      <c r="CN4" s="125"/>
      <c r="CO4" s="125"/>
      <c r="CP4" s="125"/>
      <c r="CQ4" s="125"/>
      <c r="CR4" s="125"/>
      <c r="CS4" s="125"/>
      <c r="CT4" s="125"/>
      <c r="CU4" s="125"/>
      <c r="CV4" s="125"/>
      <c r="CW4" s="125"/>
      <c r="CX4" s="125"/>
      <c r="CY4" s="125"/>
      <c r="CZ4" s="125"/>
      <c r="DA4" s="125"/>
      <c r="DB4" s="125"/>
      <c r="DC4" s="125"/>
      <c r="DD4" s="125"/>
    </row>
    <row r="5" spans="1:108" ht="15.75" x14ac:dyDescent="0.2">
      <c r="A5" s="162"/>
      <c r="B5" s="162"/>
      <c r="C5" s="162"/>
      <c r="D5" s="123" t="s">
        <v>879</v>
      </c>
      <c r="E5" s="127"/>
      <c r="F5" s="127"/>
      <c r="G5" s="127"/>
      <c r="H5" s="127"/>
      <c r="I5" s="127"/>
      <c r="J5" s="127"/>
      <c r="K5" s="127"/>
      <c r="L5" s="127"/>
      <c r="M5" s="127"/>
      <c r="N5" s="127"/>
      <c r="O5" s="127"/>
      <c r="P5" s="127"/>
      <c r="Q5" s="127"/>
      <c r="R5" s="127"/>
      <c r="S5" s="127"/>
      <c r="T5" s="127"/>
      <c r="U5" s="127"/>
      <c r="V5" s="127"/>
      <c r="W5" s="127"/>
      <c r="X5" s="127"/>
      <c r="Y5" s="127"/>
      <c r="Z5" s="127"/>
      <c r="AA5" s="127"/>
      <c r="AB5" s="127"/>
      <c r="AC5" s="127"/>
      <c r="AD5" s="127"/>
      <c r="AE5" s="127"/>
      <c r="AF5" s="127"/>
      <c r="AG5" s="127"/>
      <c r="AH5" s="127"/>
      <c r="AI5" s="127"/>
      <c r="AJ5" s="127"/>
      <c r="AK5" s="127"/>
      <c r="AL5" s="127"/>
      <c r="AM5" s="127"/>
      <c r="AN5" s="127"/>
      <c r="AO5" s="127"/>
      <c r="AP5" s="127"/>
      <c r="AQ5" s="127"/>
      <c r="AR5" s="127"/>
      <c r="AS5" s="127"/>
      <c r="AT5" s="127"/>
      <c r="AU5" s="127"/>
      <c r="AV5" s="127"/>
      <c r="AW5" s="127"/>
      <c r="AX5" s="127"/>
      <c r="AY5" s="127"/>
      <c r="AZ5" s="127"/>
      <c r="BA5" s="127"/>
      <c r="BB5" s="127"/>
      <c r="BC5" s="127"/>
      <c r="BD5" s="127"/>
      <c r="BE5" s="127"/>
      <c r="BF5" s="127"/>
      <c r="BG5" s="127"/>
      <c r="BH5" s="127"/>
      <c r="BI5" s="127"/>
      <c r="BJ5" s="127"/>
      <c r="BK5" s="127"/>
      <c r="BL5" s="127"/>
      <c r="BM5" s="127"/>
      <c r="BN5" s="127"/>
      <c r="BO5" s="127"/>
      <c r="BP5" s="127"/>
      <c r="BQ5" s="127"/>
      <c r="BR5" s="127"/>
      <c r="BS5" s="127"/>
      <c r="BT5" s="127"/>
      <c r="BU5" s="127"/>
      <c r="BV5" s="127"/>
      <c r="BW5" s="127"/>
      <c r="BX5" s="127"/>
      <c r="BY5" s="127"/>
      <c r="BZ5" s="127"/>
      <c r="CA5" s="127"/>
      <c r="CB5" s="127"/>
      <c r="CC5" s="127"/>
      <c r="CD5" s="127"/>
      <c r="CE5" s="127"/>
      <c r="CF5" s="127"/>
      <c r="CG5" s="127"/>
      <c r="CH5" s="127"/>
      <c r="CI5" s="127"/>
      <c r="CJ5" s="127"/>
      <c r="CK5" s="127"/>
      <c r="CL5" s="127"/>
      <c r="CM5" s="127"/>
      <c r="CN5" s="127"/>
      <c r="CO5" s="127"/>
      <c r="CP5" s="127"/>
      <c r="CQ5" s="127"/>
      <c r="CR5" s="127"/>
      <c r="CS5" s="127"/>
      <c r="CT5" s="127"/>
      <c r="CU5" s="127"/>
      <c r="CV5" s="127"/>
      <c r="CW5" s="127"/>
      <c r="CX5" s="127"/>
      <c r="CY5" s="127"/>
      <c r="CZ5" s="127"/>
      <c r="DA5" s="127"/>
      <c r="DB5" s="127"/>
      <c r="DC5" s="127"/>
      <c r="DD5" s="127"/>
    </row>
    <row r="6" spans="1:108" hidden="1" x14ac:dyDescent="0.2">
      <c r="A6" s="162"/>
      <c r="B6" s="162"/>
      <c r="C6" s="162"/>
      <c r="D6" s="648"/>
      <c r="E6" s="162"/>
      <c r="F6" s="162"/>
      <c r="G6" s="162"/>
      <c r="H6" s="162"/>
      <c r="I6" s="162"/>
      <c r="J6" s="162"/>
      <c r="K6" s="162"/>
      <c r="L6" s="162"/>
      <c r="M6" s="162"/>
      <c r="N6" s="162"/>
      <c r="O6" s="162"/>
      <c r="P6" s="162"/>
      <c r="Q6" s="162"/>
      <c r="R6" s="162"/>
      <c r="S6" s="162"/>
      <c r="T6" s="162"/>
      <c r="U6" s="162"/>
      <c r="V6" s="162"/>
      <c r="W6" s="162"/>
      <c r="X6" s="162"/>
      <c r="Y6" s="162"/>
      <c r="Z6" s="162"/>
      <c r="AA6" s="162"/>
      <c r="AB6" s="162"/>
      <c r="AC6" s="162"/>
      <c r="AD6" s="162"/>
      <c r="AE6" s="162"/>
      <c r="AF6" s="162"/>
      <c r="AG6" s="162"/>
      <c r="AH6" s="162"/>
      <c r="AI6" s="162"/>
      <c r="AJ6" s="162"/>
      <c r="AK6" s="162"/>
      <c r="AL6" s="162"/>
      <c r="AM6" s="162"/>
      <c r="AN6" s="162"/>
      <c r="AO6" s="162"/>
      <c r="AP6" s="162"/>
      <c r="AQ6" s="162"/>
      <c r="AR6" s="162"/>
      <c r="AS6" s="162"/>
      <c r="AT6" s="162"/>
      <c r="AU6" s="162"/>
      <c r="AV6" s="162"/>
      <c r="AW6" s="162"/>
      <c r="AX6" s="162"/>
      <c r="AY6" s="162"/>
      <c r="AZ6" s="162"/>
      <c r="BA6" s="162"/>
      <c r="BB6" s="162"/>
      <c r="BC6" s="162"/>
      <c r="BD6" s="162"/>
      <c r="BE6" s="162"/>
      <c r="BF6" s="162"/>
      <c r="BG6" s="162"/>
      <c r="BH6" s="162"/>
      <c r="BI6" s="162"/>
      <c r="BJ6" s="162"/>
      <c r="BK6" s="162"/>
      <c r="BL6" s="162"/>
      <c r="BM6" s="162"/>
      <c r="BN6" s="162"/>
      <c r="BO6" s="162"/>
      <c r="BP6" s="162"/>
      <c r="BQ6" s="162"/>
      <c r="BR6" s="162"/>
      <c r="BS6" s="162"/>
      <c r="BT6" s="162"/>
      <c r="BU6" s="162"/>
      <c r="BV6" s="162"/>
      <c r="BW6" s="162"/>
      <c r="BX6" s="162"/>
      <c r="BY6" s="162"/>
      <c r="BZ6" s="162"/>
      <c r="CA6" s="162"/>
      <c r="CB6" s="162"/>
      <c r="CC6" s="162"/>
      <c r="CD6" s="162"/>
      <c r="CE6" s="162"/>
      <c r="CF6" s="162"/>
      <c r="CG6" s="162"/>
      <c r="CH6" s="162"/>
      <c r="CI6" s="162"/>
      <c r="CJ6" s="162"/>
      <c r="CK6" s="162"/>
      <c r="CL6" s="162"/>
      <c r="CM6" s="162"/>
      <c r="CN6" s="162"/>
      <c r="CO6" s="162"/>
      <c r="CP6" s="162"/>
      <c r="CQ6" s="162"/>
      <c r="CR6" s="162"/>
      <c r="CS6" s="162"/>
      <c r="CT6" s="162"/>
      <c r="CU6" s="162"/>
      <c r="CV6" s="162"/>
      <c r="CW6" s="162"/>
      <c r="CX6" s="162"/>
      <c r="CY6" s="162"/>
      <c r="CZ6" s="162"/>
      <c r="DA6" s="162"/>
      <c r="DB6" s="162"/>
      <c r="DC6" s="162"/>
      <c r="DD6" s="162"/>
    </row>
    <row r="7" spans="1:108" hidden="1" x14ac:dyDescent="0.2">
      <c r="A7" s="162"/>
      <c r="B7" s="162"/>
      <c r="C7" s="162"/>
      <c r="D7" s="648"/>
      <c r="E7" s="78">
        <f>FirstYear</f>
        <v>2021</v>
      </c>
      <c r="F7" s="81">
        <f>E7+1</f>
        <v>2022</v>
      </c>
      <c r="G7" s="81">
        <f>F7+1</f>
        <v>2023</v>
      </c>
      <c r="H7" s="81">
        <f>G7+1</f>
        <v>2024</v>
      </c>
      <c r="I7" s="81">
        <f>H7+1</f>
        <v>2025</v>
      </c>
      <c r="J7" s="81">
        <f>I7+1</f>
        <v>2026</v>
      </c>
      <c r="K7" s="162"/>
      <c r="L7" s="162"/>
      <c r="M7" s="162"/>
      <c r="N7" s="162"/>
      <c r="O7" s="162"/>
      <c r="P7" s="162"/>
      <c r="Q7" s="162"/>
      <c r="R7" s="162"/>
      <c r="S7" s="162"/>
      <c r="T7" s="162"/>
      <c r="U7" s="162"/>
      <c r="V7" s="162"/>
      <c r="W7" s="162"/>
      <c r="X7" s="162"/>
      <c r="Y7" s="162"/>
      <c r="Z7" s="162"/>
      <c r="AA7" s="162"/>
      <c r="AB7" s="162"/>
      <c r="AC7" s="162"/>
      <c r="AD7" s="162"/>
      <c r="AE7" s="162"/>
      <c r="AF7" s="162"/>
      <c r="AG7" s="162"/>
      <c r="AH7" s="162"/>
      <c r="AI7" s="162"/>
      <c r="AJ7" s="162"/>
      <c r="AK7" s="162"/>
      <c r="AL7" s="162"/>
      <c r="AM7" s="162"/>
      <c r="AN7" s="162"/>
      <c r="AO7" s="162"/>
      <c r="AP7" s="162"/>
      <c r="AQ7" s="162"/>
      <c r="AR7" s="162"/>
      <c r="AS7" s="162"/>
      <c r="AT7" s="162"/>
      <c r="AU7" s="162"/>
      <c r="AV7" s="162"/>
      <c r="AW7" s="162"/>
      <c r="AX7" s="162"/>
      <c r="AY7" s="162"/>
      <c r="AZ7" s="162"/>
      <c r="BA7" s="162"/>
      <c r="BB7" s="162"/>
      <c r="BC7" s="162"/>
      <c r="BD7" s="162"/>
      <c r="BE7" s="162"/>
      <c r="BF7" s="162"/>
      <c r="BG7" s="162"/>
      <c r="BH7" s="162"/>
      <c r="BI7" s="162"/>
      <c r="BJ7" s="162"/>
      <c r="BK7" s="162"/>
      <c r="BL7" s="162"/>
      <c r="BM7" s="162"/>
      <c r="BN7" s="162"/>
      <c r="BO7" s="162"/>
      <c r="BP7" s="162"/>
      <c r="BQ7" s="162"/>
      <c r="BR7" s="162"/>
      <c r="BS7" s="162"/>
      <c r="BT7" s="162"/>
      <c r="BU7" s="162"/>
      <c r="BV7" s="162"/>
      <c r="BW7" s="162"/>
      <c r="BX7" s="162"/>
      <c r="BY7" s="162"/>
      <c r="BZ7" s="162"/>
      <c r="CA7" s="162"/>
      <c r="CB7" s="162"/>
      <c r="CC7" s="162"/>
      <c r="CD7" s="162"/>
      <c r="CE7" s="162"/>
      <c r="CF7" s="162"/>
      <c r="CG7" s="162"/>
      <c r="CH7" s="162"/>
      <c r="CI7" s="162"/>
      <c r="CJ7" s="162"/>
      <c r="CK7" s="162"/>
      <c r="CL7" s="162"/>
      <c r="CM7" s="162"/>
      <c r="CN7" s="162"/>
      <c r="CO7" s="162"/>
      <c r="CP7" s="162"/>
      <c r="CQ7" s="162"/>
      <c r="CR7" s="162"/>
      <c r="CS7" s="162"/>
      <c r="CT7" s="162"/>
      <c r="CU7" s="162"/>
      <c r="CV7" s="162"/>
      <c r="CW7" s="162"/>
      <c r="CX7" s="162"/>
      <c r="CY7" s="162"/>
      <c r="CZ7" s="162"/>
      <c r="DA7" s="162"/>
      <c r="DB7" s="162"/>
      <c r="DC7" s="162"/>
      <c r="DD7" s="162"/>
    </row>
    <row r="8" spans="1:108" hidden="1" x14ac:dyDescent="0.2">
      <c r="A8" s="162"/>
      <c r="B8" s="162"/>
      <c r="C8" s="162"/>
      <c r="D8" s="649">
        <v>1</v>
      </c>
      <c r="E8" s="174">
        <f t="shared" ref="E8:J8" si="0">E29</f>
        <v>0</v>
      </c>
      <c r="F8" s="174">
        <f t="shared" si="0"/>
        <v>0</v>
      </c>
      <c r="G8" s="174">
        <f t="shared" si="0"/>
        <v>0</v>
      </c>
      <c r="H8" s="174">
        <f t="shared" si="0"/>
        <v>0</v>
      </c>
      <c r="I8" s="174">
        <f t="shared" si="0"/>
        <v>0</v>
      </c>
      <c r="J8" s="174">
        <f t="shared" si="0"/>
        <v>0</v>
      </c>
      <c r="K8" s="162"/>
      <c r="L8" s="162"/>
      <c r="M8" s="162"/>
      <c r="N8" s="162"/>
      <c r="O8" s="162"/>
      <c r="P8" s="162"/>
      <c r="Q8" s="162"/>
      <c r="R8" s="162"/>
      <c r="S8" s="162"/>
      <c r="T8" s="162"/>
      <c r="U8" s="162"/>
      <c r="V8" s="162"/>
      <c r="W8" s="162"/>
      <c r="X8" s="162"/>
      <c r="Y8" s="162"/>
      <c r="Z8" s="162"/>
      <c r="AA8" s="162"/>
      <c r="AB8" s="162"/>
      <c r="AC8" s="162"/>
      <c r="AD8" s="162"/>
      <c r="AE8" s="162"/>
      <c r="AF8" s="162"/>
      <c r="AG8" s="162"/>
      <c r="AH8" s="162"/>
      <c r="AI8" s="162"/>
      <c r="AJ8" s="162"/>
      <c r="AK8" s="162"/>
      <c r="AL8" s="162"/>
      <c r="AM8" s="162"/>
      <c r="AN8" s="162"/>
      <c r="AO8" s="162"/>
      <c r="AP8" s="162"/>
      <c r="AQ8" s="162"/>
      <c r="AR8" s="162"/>
      <c r="AS8" s="162"/>
      <c r="AT8" s="162"/>
      <c r="AU8" s="162"/>
      <c r="AV8" s="162"/>
      <c r="AW8" s="162"/>
      <c r="AX8" s="162"/>
      <c r="AY8" s="162"/>
      <c r="AZ8" s="162"/>
      <c r="BA8" s="162"/>
      <c r="BB8" s="162"/>
      <c r="BC8" s="162"/>
      <c r="BD8" s="162"/>
      <c r="BE8" s="162"/>
      <c r="BF8" s="162"/>
      <c r="BG8" s="162"/>
      <c r="BH8" s="162"/>
      <c r="BI8" s="162"/>
      <c r="BJ8" s="162"/>
      <c r="BK8" s="162"/>
      <c r="BL8" s="162"/>
      <c r="BM8" s="162"/>
      <c r="BN8" s="162"/>
      <c r="BO8" s="162"/>
      <c r="BP8" s="162"/>
      <c r="BQ8" s="162"/>
      <c r="BR8" s="162"/>
      <c r="BS8" s="162"/>
      <c r="BT8" s="162"/>
      <c r="BU8" s="162"/>
      <c r="BV8" s="162"/>
      <c r="BW8" s="162"/>
      <c r="BX8" s="162"/>
      <c r="BY8" s="162"/>
      <c r="BZ8" s="162"/>
      <c r="CA8" s="162"/>
      <c r="CB8" s="162"/>
      <c r="CC8" s="162"/>
      <c r="CD8" s="162"/>
      <c r="CE8" s="162"/>
      <c r="CF8" s="162"/>
      <c r="CG8" s="162"/>
      <c r="CH8" s="162"/>
      <c r="CI8" s="162"/>
      <c r="CJ8" s="162"/>
      <c r="CK8" s="162"/>
      <c r="CL8" s="162"/>
      <c r="CM8" s="162"/>
      <c r="CN8" s="162"/>
      <c r="CO8" s="162"/>
      <c r="CP8" s="162"/>
      <c r="CQ8" s="162"/>
      <c r="CR8" s="162"/>
      <c r="CS8" s="162"/>
      <c r="CT8" s="162"/>
      <c r="CU8" s="162"/>
      <c r="CV8" s="162"/>
      <c r="CW8" s="162"/>
      <c r="CX8" s="162"/>
      <c r="CY8" s="162"/>
      <c r="CZ8" s="162"/>
      <c r="DA8" s="162"/>
      <c r="DB8" s="162"/>
      <c r="DC8" s="162"/>
      <c r="DD8" s="162"/>
    </row>
    <row r="9" spans="1:108" hidden="1" x14ac:dyDescent="0.2">
      <c r="A9" s="162"/>
      <c r="B9" s="162"/>
      <c r="C9" s="162"/>
      <c r="D9" s="649">
        <v>2</v>
      </c>
      <c r="E9" s="174">
        <f t="shared" ref="E9:J9" si="1">E47</f>
        <v>0</v>
      </c>
      <c r="F9" s="174">
        <f t="shared" si="1"/>
        <v>0</v>
      </c>
      <c r="G9" s="174">
        <f t="shared" si="1"/>
        <v>0</v>
      </c>
      <c r="H9" s="174">
        <f t="shared" si="1"/>
        <v>0</v>
      </c>
      <c r="I9" s="174">
        <f t="shared" si="1"/>
        <v>0</v>
      </c>
      <c r="J9" s="174">
        <f t="shared" si="1"/>
        <v>0</v>
      </c>
      <c r="K9" s="162"/>
      <c r="L9" s="162"/>
      <c r="M9" s="162"/>
      <c r="N9" s="162"/>
      <c r="O9" s="162"/>
      <c r="P9" s="162"/>
      <c r="Q9" s="162"/>
      <c r="R9" s="162"/>
      <c r="S9" s="162"/>
      <c r="T9" s="162"/>
      <c r="U9" s="162"/>
      <c r="V9" s="162"/>
      <c r="W9" s="162"/>
      <c r="X9" s="162"/>
      <c r="Y9" s="162"/>
      <c r="Z9" s="162"/>
      <c r="AA9" s="162"/>
      <c r="AB9" s="162"/>
      <c r="AC9" s="162"/>
      <c r="AD9" s="162"/>
      <c r="AE9" s="162"/>
      <c r="AF9" s="162"/>
      <c r="AG9" s="162"/>
      <c r="AH9" s="162"/>
      <c r="AI9" s="162"/>
      <c r="AJ9" s="162"/>
      <c r="AK9" s="162"/>
      <c r="AL9" s="162"/>
      <c r="AM9" s="162"/>
      <c r="AN9" s="162"/>
      <c r="AO9" s="162"/>
      <c r="AP9" s="162"/>
      <c r="AQ9" s="162"/>
      <c r="AR9" s="162"/>
      <c r="AS9" s="162"/>
      <c r="AT9" s="162"/>
      <c r="AU9" s="162"/>
      <c r="AV9" s="162"/>
      <c r="AW9" s="162"/>
      <c r="AX9" s="162"/>
      <c r="AY9" s="162"/>
      <c r="AZ9" s="162"/>
      <c r="BA9" s="162"/>
      <c r="BB9" s="162"/>
      <c r="BC9" s="162"/>
      <c r="BD9" s="162"/>
      <c r="BE9" s="162"/>
      <c r="BF9" s="162"/>
      <c r="BG9" s="162"/>
      <c r="BH9" s="162"/>
      <c r="BI9" s="162"/>
      <c r="BJ9" s="162"/>
      <c r="BK9" s="162"/>
      <c r="BL9" s="162"/>
      <c r="BM9" s="162"/>
      <c r="BN9" s="162"/>
      <c r="BO9" s="162"/>
      <c r="BP9" s="162"/>
      <c r="BQ9" s="162"/>
      <c r="BR9" s="162"/>
      <c r="BS9" s="162"/>
      <c r="BT9" s="162"/>
      <c r="BU9" s="162"/>
      <c r="BV9" s="162"/>
      <c r="BW9" s="162"/>
      <c r="BX9" s="162"/>
      <c r="BY9" s="162"/>
      <c r="BZ9" s="162"/>
      <c r="CA9" s="162"/>
      <c r="CB9" s="162"/>
      <c r="CC9" s="162"/>
      <c r="CD9" s="162"/>
      <c r="CE9" s="162"/>
      <c r="CF9" s="162"/>
      <c r="CG9" s="162"/>
      <c r="CH9" s="162"/>
      <c r="CI9" s="162"/>
      <c r="CJ9" s="162"/>
      <c r="CK9" s="162"/>
      <c r="CL9" s="162"/>
      <c r="CM9" s="162"/>
      <c r="CN9" s="162"/>
      <c r="CO9" s="162"/>
      <c r="CP9" s="162"/>
      <c r="CQ9" s="162"/>
      <c r="CR9" s="162"/>
      <c r="CS9" s="162"/>
      <c r="CT9" s="162"/>
      <c r="CU9" s="162"/>
      <c r="CV9" s="162"/>
      <c r="CW9" s="162"/>
      <c r="CX9" s="162"/>
      <c r="CY9" s="162"/>
      <c r="CZ9" s="162"/>
      <c r="DA9" s="162"/>
      <c r="DB9" s="162"/>
      <c r="DC9" s="162"/>
      <c r="DD9" s="162"/>
    </row>
    <row r="10" spans="1:108" hidden="1" x14ac:dyDescent="0.2">
      <c r="A10" s="162"/>
      <c r="B10" s="162"/>
      <c r="C10" s="162"/>
      <c r="D10" s="649">
        <v>3</v>
      </c>
      <c r="E10" s="174">
        <f t="shared" ref="E10:J10" si="2">E65</f>
        <v>0</v>
      </c>
      <c r="F10" s="174">
        <f t="shared" si="2"/>
        <v>0</v>
      </c>
      <c r="G10" s="174">
        <f t="shared" si="2"/>
        <v>0</v>
      </c>
      <c r="H10" s="174">
        <f t="shared" si="2"/>
        <v>0</v>
      </c>
      <c r="I10" s="174">
        <f t="shared" si="2"/>
        <v>0</v>
      </c>
      <c r="J10" s="174">
        <f t="shared" si="2"/>
        <v>0</v>
      </c>
      <c r="K10" s="162"/>
      <c r="L10" s="162"/>
      <c r="M10" s="162"/>
      <c r="N10" s="162"/>
      <c r="O10" s="162"/>
      <c r="P10" s="162"/>
      <c r="Q10" s="162"/>
      <c r="R10" s="162"/>
      <c r="S10" s="162"/>
      <c r="T10" s="162"/>
      <c r="U10" s="162"/>
      <c r="V10" s="162"/>
      <c r="W10" s="162"/>
      <c r="X10" s="162"/>
      <c r="Y10" s="162"/>
      <c r="Z10" s="162"/>
      <c r="AA10" s="162"/>
      <c r="AB10" s="162"/>
      <c r="AC10" s="162"/>
      <c r="AD10" s="162"/>
      <c r="AE10" s="162"/>
      <c r="AF10" s="162"/>
      <c r="AG10" s="162"/>
      <c r="AH10" s="162"/>
      <c r="AI10" s="162"/>
      <c r="AJ10" s="162"/>
      <c r="AK10" s="162"/>
      <c r="AL10" s="162"/>
      <c r="AM10" s="162"/>
      <c r="AN10" s="162"/>
      <c r="AO10" s="162"/>
      <c r="AP10" s="162"/>
      <c r="AQ10" s="162"/>
      <c r="AR10" s="162"/>
      <c r="AS10" s="162"/>
      <c r="AT10" s="162"/>
      <c r="AU10" s="162"/>
      <c r="AV10" s="162"/>
      <c r="AW10" s="162"/>
      <c r="AX10" s="162"/>
      <c r="AY10" s="162"/>
      <c r="AZ10" s="162"/>
      <c r="BA10" s="162"/>
      <c r="BB10" s="162"/>
      <c r="BC10" s="162"/>
      <c r="BD10" s="162"/>
      <c r="BE10" s="162"/>
      <c r="BF10" s="162"/>
      <c r="BG10" s="162"/>
      <c r="BH10" s="162"/>
      <c r="BI10" s="162"/>
      <c r="BJ10" s="162"/>
      <c r="BK10" s="162"/>
      <c r="BL10" s="162"/>
      <c r="BM10" s="162"/>
      <c r="BN10" s="162"/>
      <c r="BO10" s="162"/>
      <c r="BP10" s="162"/>
      <c r="BQ10" s="162"/>
      <c r="BR10" s="162"/>
      <c r="BS10" s="162"/>
      <c r="BT10" s="162"/>
      <c r="BU10" s="162"/>
      <c r="BV10" s="162"/>
      <c r="BW10" s="162"/>
      <c r="BX10" s="162"/>
      <c r="BY10" s="162"/>
      <c r="BZ10" s="162"/>
      <c r="CA10" s="162"/>
      <c r="CB10" s="162"/>
      <c r="CC10" s="162"/>
      <c r="CD10" s="162"/>
      <c r="CE10" s="162"/>
      <c r="CF10" s="162"/>
      <c r="CG10" s="162"/>
      <c r="CH10" s="162"/>
      <c r="CI10" s="162"/>
      <c r="CJ10" s="162"/>
      <c r="CK10" s="162"/>
      <c r="CL10" s="162"/>
      <c r="CM10" s="162"/>
      <c r="CN10" s="162"/>
      <c r="CO10" s="162"/>
      <c r="CP10" s="162"/>
      <c r="CQ10" s="162"/>
      <c r="CR10" s="162"/>
      <c r="CS10" s="162"/>
      <c r="CT10" s="162"/>
      <c r="CU10" s="162"/>
      <c r="CV10" s="162"/>
      <c r="CW10" s="162"/>
      <c r="CX10" s="162"/>
      <c r="CY10" s="162"/>
      <c r="CZ10" s="162"/>
      <c r="DA10" s="162"/>
      <c r="DB10" s="162"/>
      <c r="DC10" s="162"/>
      <c r="DD10" s="162"/>
    </row>
    <row r="11" spans="1:108" hidden="1" x14ac:dyDescent="0.2">
      <c r="A11" s="162"/>
      <c r="B11" s="162"/>
      <c r="C11" s="162"/>
      <c r="D11" s="649">
        <v>4</v>
      </c>
      <c r="E11" s="174">
        <f t="shared" ref="E11:J11" si="3">E83</f>
        <v>0</v>
      </c>
      <c r="F11" s="174">
        <f t="shared" si="3"/>
        <v>0</v>
      </c>
      <c r="G11" s="174">
        <f t="shared" si="3"/>
        <v>0</v>
      </c>
      <c r="H11" s="174">
        <f t="shared" si="3"/>
        <v>0</v>
      </c>
      <c r="I11" s="174">
        <f t="shared" si="3"/>
        <v>0</v>
      </c>
      <c r="J11" s="174">
        <f t="shared" si="3"/>
        <v>0</v>
      </c>
      <c r="K11" s="162"/>
      <c r="L11" s="162"/>
      <c r="M11" s="162"/>
      <c r="N11" s="162"/>
      <c r="O11" s="162"/>
      <c r="P11" s="162"/>
      <c r="Q11" s="162"/>
      <c r="R11" s="162"/>
      <c r="S11" s="162"/>
      <c r="T11" s="162"/>
      <c r="U11" s="162"/>
      <c r="V11" s="162"/>
      <c r="W11" s="162"/>
      <c r="X11" s="162"/>
      <c r="Y11" s="162"/>
      <c r="Z11" s="162"/>
      <c r="AA11" s="162"/>
      <c r="AB11" s="162"/>
      <c r="AC11" s="162"/>
      <c r="AD11" s="162"/>
      <c r="AE11" s="162"/>
      <c r="AF11" s="162"/>
      <c r="AG11" s="162"/>
      <c r="AH11" s="162"/>
      <c r="AI11" s="162"/>
      <c r="AJ11" s="162"/>
      <c r="AK11" s="162"/>
      <c r="AL11" s="162"/>
      <c r="AM11" s="162"/>
      <c r="AN11" s="162"/>
      <c r="AO11" s="162"/>
      <c r="AP11" s="162"/>
      <c r="AQ11" s="162"/>
      <c r="AR11" s="162"/>
      <c r="AS11" s="162"/>
      <c r="AT11" s="162"/>
      <c r="AU11" s="162"/>
      <c r="AV11" s="162"/>
      <c r="AW11" s="162"/>
      <c r="AX11" s="162"/>
      <c r="AY11" s="162"/>
      <c r="AZ11" s="162"/>
      <c r="BA11" s="162"/>
      <c r="BB11" s="162"/>
      <c r="BC11" s="162"/>
      <c r="BD11" s="162"/>
      <c r="BE11" s="162"/>
      <c r="BF11" s="162"/>
      <c r="BG11" s="162"/>
      <c r="BH11" s="162"/>
      <c r="BI11" s="162"/>
      <c r="BJ11" s="162"/>
      <c r="BK11" s="162"/>
      <c r="BL11" s="162"/>
      <c r="BM11" s="162"/>
      <c r="BN11" s="162"/>
      <c r="BO11" s="162"/>
      <c r="BP11" s="162"/>
      <c r="BQ11" s="162"/>
      <c r="BR11" s="162"/>
      <c r="BS11" s="162"/>
      <c r="BT11" s="162"/>
      <c r="BU11" s="162"/>
      <c r="BV11" s="162"/>
      <c r="BW11" s="162"/>
      <c r="BX11" s="162"/>
      <c r="BY11" s="162"/>
      <c r="BZ11" s="162"/>
      <c r="CA11" s="162"/>
      <c r="CB11" s="162"/>
      <c r="CC11" s="162"/>
      <c r="CD11" s="162"/>
      <c r="CE11" s="162"/>
      <c r="CF11" s="162"/>
      <c r="CG11" s="162"/>
      <c r="CH11" s="162"/>
      <c r="CI11" s="162"/>
      <c r="CJ11" s="162"/>
      <c r="CK11" s="162"/>
      <c r="CL11" s="162"/>
      <c r="CM11" s="162"/>
      <c r="CN11" s="162"/>
      <c r="CO11" s="162"/>
      <c r="CP11" s="162"/>
      <c r="CQ11" s="162"/>
      <c r="CR11" s="162"/>
      <c r="CS11" s="162"/>
      <c r="CT11" s="162"/>
      <c r="CU11" s="162"/>
      <c r="CV11" s="162"/>
      <c r="CW11" s="162"/>
      <c r="CX11" s="162"/>
      <c r="CY11" s="162"/>
      <c r="CZ11" s="162"/>
      <c r="DA11" s="162"/>
      <c r="DB11" s="162"/>
      <c r="DC11" s="162"/>
      <c r="DD11" s="162"/>
    </row>
    <row r="12" spans="1:108" hidden="1" x14ac:dyDescent="0.2">
      <c r="A12" s="162"/>
      <c r="B12" s="162"/>
      <c r="C12" s="162"/>
      <c r="D12" s="649">
        <v>5</v>
      </c>
      <c r="E12" s="174">
        <f t="shared" ref="E12:J12" si="4">E101</f>
        <v>0</v>
      </c>
      <c r="F12" s="174">
        <f t="shared" si="4"/>
        <v>0</v>
      </c>
      <c r="G12" s="174">
        <f t="shared" si="4"/>
        <v>0</v>
      </c>
      <c r="H12" s="174">
        <f t="shared" si="4"/>
        <v>0</v>
      </c>
      <c r="I12" s="174">
        <f t="shared" si="4"/>
        <v>0</v>
      </c>
      <c r="J12" s="174">
        <f t="shared" si="4"/>
        <v>0</v>
      </c>
      <c r="K12" s="162"/>
      <c r="L12" s="162"/>
      <c r="M12" s="162"/>
      <c r="N12" s="162"/>
      <c r="O12" s="162"/>
      <c r="P12" s="162"/>
      <c r="Q12" s="162"/>
      <c r="R12" s="162"/>
      <c r="S12" s="162"/>
      <c r="T12" s="162"/>
      <c r="U12" s="162"/>
      <c r="V12" s="162"/>
      <c r="W12" s="162"/>
      <c r="X12" s="162"/>
      <c r="Y12" s="162"/>
      <c r="Z12" s="162"/>
      <c r="AA12" s="162"/>
      <c r="AB12" s="162"/>
      <c r="AC12" s="162"/>
      <c r="AD12" s="162"/>
      <c r="AE12" s="162"/>
      <c r="AF12" s="162"/>
      <c r="AG12" s="162"/>
      <c r="AH12" s="162"/>
      <c r="AI12" s="162"/>
      <c r="AJ12" s="162"/>
      <c r="AK12" s="162"/>
      <c r="AL12" s="162"/>
      <c r="AM12" s="162"/>
      <c r="AN12" s="162"/>
      <c r="AO12" s="162"/>
      <c r="AP12" s="162"/>
      <c r="AQ12" s="162"/>
      <c r="AR12" s="162"/>
      <c r="AS12" s="162"/>
      <c r="AT12" s="162"/>
      <c r="AU12" s="162"/>
      <c r="AV12" s="162"/>
      <c r="AW12" s="162"/>
      <c r="AX12" s="162"/>
      <c r="AY12" s="162"/>
      <c r="AZ12" s="162"/>
      <c r="BA12" s="162"/>
      <c r="BB12" s="162"/>
      <c r="BC12" s="162"/>
      <c r="BD12" s="162"/>
      <c r="BE12" s="162"/>
      <c r="BF12" s="162"/>
      <c r="BG12" s="162"/>
      <c r="BH12" s="162"/>
      <c r="BI12" s="162"/>
      <c r="BJ12" s="162"/>
      <c r="BK12" s="162"/>
      <c r="BL12" s="162"/>
      <c r="BM12" s="162"/>
      <c r="BN12" s="162"/>
      <c r="BO12" s="162"/>
      <c r="BP12" s="162"/>
      <c r="BQ12" s="162"/>
      <c r="BR12" s="162"/>
      <c r="BS12" s="162"/>
      <c r="BT12" s="162"/>
      <c r="BU12" s="162"/>
      <c r="BV12" s="162"/>
      <c r="BW12" s="162"/>
      <c r="BX12" s="162"/>
      <c r="BY12" s="162"/>
      <c r="BZ12" s="162"/>
      <c r="CA12" s="162"/>
      <c r="CB12" s="162"/>
      <c r="CC12" s="162"/>
      <c r="CD12" s="162"/>
      <c r="CE12" s="162"/>
      <c r="CF12" s="162"/>
      <c r="CG12" s="162"/>
      <c r="CH12" s="162"/>
      <c r="CI12" s="162"/>
      <c r="CJ12" s="162"/>
      <c r="CK12" s="162"/>
      <c r="CL12" s="162"/>
      <c r="CM12" s="162"/>
      <c r="CN12" s="162"/>
      <c r="CO12" s="162"/>
      <c r="CP12" s="162"/>
      <c r="CQ12" s="162"/>
      <c r="CR12" s="162"/>
      <c r="CS12" s="162"/>
      <c r="CT12" s="162"/>
      <c r="CU12" s="162"/>
      <c r="CV12" s="162"/>
      <c r="CW12" s="162"/>
      <c r="CX12" s="162"/>
      <c r="CY12" s="162"/>
      <c r="CZ12" s="162"/>
      <c r="DA12" s="162"/>
      <c r="DB12" s="162"/>
      <c r="DC12" s="162"/>
      <c r="DD12" s="162"/>
    </row>
    <row r="13" spans="1:108" hidden="1" x14ac:dyDescent="0.2">
      <c r="A13" s="162"/>
      <c r="B13" s="162"/>
      <c r="C13" s="162"/>
      <c r="D13" s="649">
        <v>6</v>
      </c>
      <c r="E13" s="174">
        <f t="shared" ref="E13:J13" si="5">E119</f>
        <v>0</v>
      </c>
      <c r="F13" s="174">
        <f t="shared" si="5"/>
        <v>0</v>
      </c>
      <c r="G13" s="174">
        <f t="shared" si="5"/>
        <v>0</v>
      </c>
      <c r="H13" s="174">
        <f t="shared" si="5"/>
        <v>0</v>
      </c>
      <c r="I13" s="174">
        <f t="shared" si="5"/>
        <v>0</v>
      </c>
      <c r="J13" s="174">
        <f t="shared" si="5"/>
        <v>0</v>
      </c>
      <c r="K13" s="162"/>
      <c r="L13" s="162"/>
      <c r="M13" s="162"/>
      <c r="N13" s="162"/>
      <c r="O13" s="162"/>
      <c r="P13" s="162"/>
      <c r="Q13" s="162"/>
      <c r="R13" s="162"/>
      <c r="S13" s="162"/>
      <c r="T13" s="162"/>
      <c r="U13" s="162"/>
      <c r="V13" s="162"/>
      <c r="W13" s="162"/>
      <c r="X13" s="162"/>
      <c r="Y13" s="162"/>
      <c r="Z13" s="162"/>
      <c r="AA13" s="162"/>
      <c r="AB13" s="162"/>
      <c r="AC13" s="162"/>
      <c r="AD13" s="162"/>
      <c r="AE13" s="162"/>
      <c r="AF13" s="162"/>
      <c r="AG13" s="162"/>
      <c r="AH13" s="162"/>
      <c r="AI13" s="162"/>
      <c r="AJ13" s="162"/>
      <c r="AK13" s="162"/>
      <c r="AL13" s="162"/>
      <c r="AM13" s="162"/>
      <c r="AN13" s="162"/>
      <c r="AO13" s="162"/>
      <c r="AP13" s="162"/>
      <c r="AQ13" s="162"/>
      <c r="AR13" s="162"/>
      <c r="AS13" s="162"/>
      <c r="AT13" s="162"/>
      <c r="AU13" s="162"/>
      <c r="AV13" s="162"/>
      <c r="AW13" s="162"/>
      <c r="AX13" s="162"/>
      <c r="AY13" s="162"/>
      <c r="AZ13" s="162"/>
      <c r="BA13" s="162"/>
      <c r="BB13" s="162"/>
      <c r="BC13" s="162"/>
      <c r="BD13" s="162"/>
      <c r="BE13" s="162"/>
      <c r="BF13" s="162"/>
      <c r="BG13" s="162"/>
      <c r="BH13" s="162"/>
      <c r="BI13" s="162"/>
      <c r="BJ13" s="162"/>
      <c r="BK13" s="162"/>
      <c r="BL13" s="162"/>
      <c r="BM13" s="162"/>
      <c r="BN13" s="162"/>
      <c r="BO13" s="162"/>
      <c r="BP13" s="162"/>
      <c r="BQ13" s="162"/>
      <c r="BR13" s="162"/>
      <c r="BS13" s="162"/>
      <c r="BT13" s="162"/>
      <c r="BU13" s="162"/>
      <c r="BV13" s="162"/>
      <c r="BW13" s="162"/>
      <c r="BX13" s="162"/>
      <c r="BY13" s="162"/>
      <c r="BZ13" s="162"/>
      <c r="CA13" s="162"/>
      <c r="CB13" s="162"/>
      <c r="CC13" s="162"/>
      <c r="CD13" s="162"/>
      <c r="CE13" s="162"/>
      <c r="CF13" s="162"/>
      <c r="CG13" s="162"/>
      <c r="CH13" s="162"/>
      <c r="CI13" s="162"/>
      <c r="CJ13" s="162"/>
      <c r="CK13" s="162"/>
      <c r="CL13" s="162"/>
      <c r="CM13" s="162"/>
      <c r="CN13" s="162"/>
      <c r="CO13" s="162"/>
      <c r="CP13" s="162"/>
      <c r="CQ13" s="162"/>
      <c r="CR13" s="162"/>
      <c r="CS13" s="162"/>
      <c r="CT13" s="162"/>
      <c r="CU13" s="162"/>
      <c r="CV13" s="162"/>
      <c r="CW13" s="162"/>
      <c r="CX13" s="162"/>
      <c r="CY13" s="162"/>
      <c r="CZ13" s="162"/>
      <c r="DA13" s="162"/>
      <c r="DB13" s="162"/>
      <c r="DC13" s="162"/>
      <c r="DD13" s="162"/>
    </row>
    <row r="14" spans="1:108" hidden="1" x14ac:dyDescent="0.2">
      <c r="A14" s="162"/>
      <c r="B14" s="162"/>
      <c r="C14" s="162"/>
      <c r="D14" s="649">
        <v>7</v>
      </c>
      <c r="E14" s="174">
        <f t="shared" ref="E14:J14" si="6">E137</f>
        <v>0</v>
      </c>
      <c r="F14" s="174">
        <f t="shared" si="6"/>
        <v>0</v>
      </c>
      <c r="G14" s="174">
        <f t="shared" si="6"/>
        <v>0</v>
      </c>
      <c r="H14" s="174">
        <f t="shared" si="6"/>
        <v>0</v>
      </c>
      <c r="I14" s="174">
        <f t="shared" si="6"/>
        <v>0</v>
      </c>
      <c r="J14" s="174">
        <f t="shared" si="6"/>
        <v>0</v>
      </c>
      <c r="K14" s="162"/>
      <c r="L14" s="162"/>
      <c r="M14" s="162"/>
      <c r="N14" s="162"/>
      <c r="O14" s="162"/>
      <c r="P14" s="162"/>
      <c r="Q14" s="162"/>
      <c r="R14" s="162"/>
      <c r="S14" s="162"/>
      <c r="T14" s="162"/>
      <c r="U14" s="162"/>
      <c r="V14" s="162"/>
      <c r="W14" s="162"/>
      <c r="X14" s="162"/>
      <c r="Y14" s="162"/>
      <c r="Z14" s="162"/>
      <c r="AA14" s="162"/>
      <c r="AB14" s="162"/>
      <c r="AC14" s="162"/>
      <c r="AD14" s="162"/>
      <c r="AE14" s="162"/>
      <c r="AF14" s="162"/>
      <c r="AG14" s="162"/>
      <c r="AH14" s="162"/>
      <c r="AI14" s="162"/>
      <c r="AJ14" s="162"/>
      <c r="AK14" s="162"/>
      <c r="AL14" s="162"/>
      <c r="AM14" s="162"/>
      <c r="AN14" s="162"/>
      <c r="AO14" s="162"/>
      <c r="AP14" s="162"/>
      <c r="AQ14" s="162"/>
      <c r="AR14" s="162"/>
      <c r="AS14" s="162"/>
      <c r="AT14" s="162"/>
      <c r="AU14" s="162"/>
      <c r="AV14" s="162"/>
      <c r="AW14" s="162"/>
      <c r="AX14" s="162"/>
      <c r="AY14" s="162"/>
      <c r="AZ14" s="162"/>
      <c r="BA14" s="162"/>
      <c r="BB14" s="162"/>
      <c r="BC14" s="162"/>
      <c r="BD14" s="162"/>
      <c r="BE14" s="162"/>
      <c r="BF14" s="162"/>
      <c r="BG14" s="162"/>
      <c r="BH14" s="162"/>
      <c r="BI14" s="162"/>
      <c r="BJ14" s="162"/>
      <c r="BK14" s="162"/>
      <c r="BL14" s="162"/>
      <c r="BM14" s="162"/>
      <c r="BN14" s="162"/>
      <c r="BO14" s="162"/>
      <c r="BP14" s="162"/>
      <c r="BQ14" s="162"/>
      <c r="BR14" s="162"/>
      <c r="BS14" s="162"/>
      <c r="BT14" s="162"/>
      <c r="BU14" s="162"/>
      <c r="BV14" s="162"/>
      <c r="BW14" s="162"/>
      <c r="BX14" s="162"/>
      <c r="BY14" s="162"/>
      <c r="BZ14" s="162"/>
      <c r="CA14" s="162"/>
      <c r="CB14" s="162"/>
      <c r="CC14" s="162"/>
      <c r="CD14" s="162"/>
      <c r="CE14" s="162"/>
      <c r="CF14" s="162"/>
      <c r="CG14" s="162"/>
      <c r="CH14" s="162"/>
      <c r="CI14" s="162"/>
      <c r="CJ14" s="162"/>
      <c r="CK14" s="162"/>
      <c r="CL14" s="162"/>
      <c r="CM14" s="162"/>
      <c r="CN14" s="162"/>
      <c r="CO14" s="162"/>
      <c r="CP14" s="162"/>
      <c r="CQ14" s="162"/>
      <c r="CR14" s="162"/>
      <c r="CS14" s="162"/>
      <c r="CT14" s="162"/>
      <c r="CU14" s="162"/>
      <c r="CV14" s="162"/>
      <c r="CW14" s="162"/>
      <c r="CX14" s="162"/>
      <c r="CY14" s="162"/>
      <c r="CZ14" s="162"/>
      <c r="DA14" s="162"/>
      <c r="DB14" s="162"/>
      <c r="DC14" s="162"/>
      <c r="DD14" s="162"/>
    </row>
    <row r="15" spans="1:108" hidden="1" x14ac:dyDescent="0.2">
      <c r="A15" s="162"/>
      <c r="B15" s="162"/>
      <c r="C15" s="162"/>
      <c r="D15" s="649">
        <v>8</v>
      </c>
      <c r="E15" s="174">
        <f t="shared" ref="E15:J15" si="7">E155</f>
        <v>0</v>
      </c>
      <c r="F15" s="174">
        <f t="shared" si="7"/>
        <v>0</v>
      </c>
      <c r="G15" s="174">
        <f t="shared" si="7"/>
        <v>0</v>
      </c>
      <c r="H15" s="174">
        <f t="shared" si="7"/>
        <v>0</v>
      </c>
      <c r="I15" s="174">
        <f t="shared" si="7"/>
        <v>0</v>
      </c>
      <c r="J15" s="174">
        <f t="shared" si="7"/>
        <v>0</v>
      </c>
      <c r="K15" s="162"/>
      <c r="L15" s="162"/>
      <c r="M15" s="162"/>
      <c r="N15" s="162"/>
      <c r="O15" s="162"/>
      <c r="P15" s="162"/>
      <c r="Q15" s="162"/>
      <c r="R15" s="162"/>
      <c r="S15" s="162"/>
      <c r="T15" s="162"/>
      <c r="U15" s="162"/>
      <c r="V15" s="162"/>
      <c r="W15" s="162"/>
      <c r="X15" s="162"/>
      <c r="Y15" s="162"/>
      <c r="Z15" s="162"/>
      <c r="AA15" s="162"/>
      <c r="AB15" s="162"/>
      <c r="AC15" s="162"/>
      <c r="AD15" s="162"/>
      <c r="AE15" s="162"/>
      <c r="AF15" s="162"/>
      <c r="AG15" s="162"/>
      <c r="AH15" s="162"/>
      <c r="AI15" s="162"/>
      <c r="AJ15" s="162"/>
      <c r="AK15" s="162"/>
      <c r="AL15" s="162"/>
      <c r="AM15" s="162"/>
      <c r="AN15" s="162"/>
      <c r="AO15" s="162"/>
      <c r="AP15" s="162"/>
      <c r="AQ15" s="162"/>
      <c r="AR15" s="162"/>
      <c r="AS15" s="162"/>
      <c r="AT15" s="162"/>
      <c r="AU15" s="162"/>
      <c r="AV15" s="162"/>
      <c r="AW15" s="162"/>
      <c r="AX15" s="162"/>
      <c r="AY15" s="162"/>
      <c r="AZ15" s="162"/>
      <c r="BA15" s="162"/>
      <c r="BB15" s="162"/>
      <c r="BC15" s="162"/>
      <c r="BD15" s="162"/>
      <c r="BE15" s="162"/>
      <c r="BF15" s="162"/>
      <c r="BG15" s="162"/>
      <c r="BH15" s="162"/>
      <c r="BI15" s="162"/>
      <c r="BJ15" s="162"/>
      <c r="BK15" s="162"/>
      <c r="BL15" s="162"/>
      <c r="BM15" s="162"/>
      <c r="BN15" s="162"/>
      <c r="BO15" s="162"/>
      <c r="BP15" s="162"/>
      <c r="BQ15" s="162"/>
      <c r="BR15" s="162"/>
      <c r="BS15" s="162"/>
      <c r="BT15" s="162"/>
      <c r="BU15" s="162"/>
      <c r="BV15" s="162"/>
      <c r="BW15" s="162"/>
      <c r="BX15" s="162"/>
      <c r="BY15" s="162"/>
      <c r="BZ15" s="162"/>
      <c r="CA15" s="162"/>
      <c r="CB15" s="162"/>
      <c r="CC15" s="162"/>
      <c r="CD15" s="162"/>
      <c r="CE15" s="162"/>
      <c r="CF15" s="162"/>
      <c r="CG15" s="162"/>
      <c r="CH15" s="162"/>
      <c r="CI15" s="162"/>
      <c r="CJ15" s="162"/>
      <c r="CK15" s="162"/>
      <c r="CL15" s="162"/>
      <c r="CM15" s="162"/>
      <c r="CN15" s="162"/>
      <c r="CO15" s="162"/>
      <c r="CP15" s="162"/>
      <c r="CQ15" s="162"/>
      <c r="CR15" s="162"/>
      <c r="CS15" s="162"/>
      <c r="CT15" s="162"/>
      <c r="CU15" s="162"/>
      <c r="CV15" s="162"/>
      <c r="CW15" s="162"/>
      <c r="CX15" s="162"/>
      <c r="CY15" s="162"/>
      <c r="CZ15" s="162"/>
      <c r="DA15" s="162"/>
      <c r="DB15" s="162"/>
      <c r="DC15" s="162"/>
      <c r="DD15" s="162"/>
    </row>
    <row r="16" spans="1:108" hidden="1" x14ac:dyDescent="0.2">
      <c r="A16" s="162"/>
      <c r="B16" s="162"/>
      <c r="C16" s="162"/>
      <c r="D16" s="649">
        <v>9</v>
      </c>
      <c r="E16" s="174">
        <f t="shared" ref="E16:J16" si="8">E173</f>
        <v>0</v>
      </c>
      <c r="F16" s="174">
        <f t="shared" si="8"/>
        <v>0</v>
      </c>
      <c r="G16" s="174">
        <f t="shared" si="8"/>
        <v>0</v>
      </c>
      <c r="H16" s="174">
        <f t="shared" si="8"/>
        <v>0</v>
      </c>
      <c r="I16" s="174">
        <f t="shared" si="8"/>
        <v>0</v>
      </c>
      <c r="J16" s="174">
        <f t="shared" si="8"/>
        <v>0</v>
      </c>
      <c r="K16" s="162"/>
      <c r="L16" s="162"/>
      <c r="M16" s="162"/>
      <c r="N16" s="162"/>
      <c r="O16" s="162"/>
      <c r="P16" s="162"/>
      <c r="Q16" s="162"/>
      <c r="R16" s="162"/>
      <c r="S16" s="162"/>
      <c r="T16" s="162"/>
      <c r="U16" s="162"/>
      <c r="V16" s="162"/>
      <c r="W16" s="162"/>
      <c r="X16" s="162"/>
      <c r="Y16" s="162"/>
      <c r="Z16" s="162"/>
      <c r="AA16" s="162"/>
      <c r="AB16" s="162"/>
      <c r="AC16" s="162"/>
      <c r="AD16" s="162"/>
      <c r="AE16" s="162"/>
      <c r="AF16" s="162"/>
      <c r="AG16" s="162"/>
      <c r="AH16" s="162"/>
      <c r="AI16" s="162"/>
      <c r="AJ16" s="162"/>
      <c r="AK16" s="162"/>
      <c r="AL16" s="162"/>
      <c r="AM16" s="162"/>
      <c r="AN16" s="162"/>
      <c r="AO16" s="162"/>
      <c r="AP16" s="162"/>
      <c r="AQ16" s="162"/>
      <c r="AR16" s="162"/>
      <c r="AS16" s="162"/>
      <c r="AT16" s="162"/>
      <c r="AU16" s="162"/>
      <c r="AV16" s="162"/>
      <c r="AW16" s="162"/>
      <c r="AX16" s="162"/>
      <c r="AY16" s="162"/>
      <c r="AZ16" s="162"/>
      <c r="BA16" s="162"/>
      <c r="BB16" s="162"/>
      <c r="BC16" s="162"/>
      <c r="BD16" s="162"/>
      <c r="BE16" s="162"/>
      <c r="BF16" s="162"/>
      <c r="BG16" s="162"/>
      <c r="BH16" s="162"/>
      <c r="BI16" s="162"/>
      <c r="BJ16" s="162"/>
      <c r="BK16" s="162"/>
      <c r="BL16" s="162"/>
      <c r="BM16" s="162"/>
      <c r="BN16" s="162"/>
      <c r="BO16" s="162"/>
      <c r="BP16" s="162"/>
      <c r="BQ16" s="162"/>
      <c r="BR16" s="162"/>
      <c r="BS16" s="162"/>
      <c r="BT16" s="162"/>
      <c r="BU16" s="162"/>
      <c r="BV16" s="162"/>
      <c r="BW16" s="162"/>
      <c r="BX16" s="162"/>
      <c r="BY16" s="162"/>
      <c r="BZ16" s="162"/>
      <c r="CA16" s="162"/>
      <c r="CB16" s="162"/>
      <c r="CC16" s="162"/>
      <c r="CD16" s="162"/>
      <c r="CE16" s="162"/>
      <c r="CF16" s="162"/>
      <c r="CG16" s="162"/>
      <c r="CH16" s="162"/>
      <c r="CI16" s="162"/>
      <c r="CJ16" s="162"/>
      <c r="CK16" s="162"/>
      <c r="CL16" s="162"/>
      <c r="CM16" s="162"/>
      <c r="CN16" s="162"/>
      <c r="CO16" s="162"/>
      <c r="CP16" s="162"/>
      <c r="CQ16" s="162"/>
      <c r="CR16" s="162"/>
      <c r="CS16" s="162"/>
      <c r="CT16" s="162"/>
      <c r="CU16" s="162"/>
      <c r="CV16" s="162"/>
      <c r="CW16" s="162"/>
      <c r="CX16" s="162"/>
      <c r="CY16" s="162"/>
      <c r="CZ16" s="162"/>
      <c r="DA16" s="162"/>
      <c r="DB16" s="162"/>
      <c r="DC16" s="162"/>
      <c r="DD16" s="162"/>
    </row>
    <row r="17" spans="1:108" hidden="1" x14ac:dyDescent="0.2">
      <c r="A17" s="162"/>
      <c r="B17" s="162"/>
      <c r="C17" s="162"/>
      <c r="D17" s="649">
        <v>10</v>
      </c>
      <c r="E17" s="174">
        <f t="shared" ref="E17:J17" si="9">E191</f>
        <v>0</v>
      </c>
      <c r="F17" s="174">
        <f t="shared" si="9"/>
        <v>0</v>
      </c>
      <c r="G17" s="174">
        <f t="shared" si="9"/>
        <v>0</v>
      </c>
      <c r="H17" s="174">
        <f t="shared" si="9"/>
        <v>0</v>
      </c>
      <c r="I17" s="174">
        <f t="shared" si="9"/>
        <v>0</v>
      </c>
      <c r="J17" s="174">
        <f t="shared" si="9"/>
        <v>0</v>
      </c>
      <c r="K17" s="162"/>
      <c r="L17" s="162"/>
      <c r="M17" s="162"/>
      <c r="N17" s="162"/>
      <c r="O17" s="162"/>
      <c r="P17" s="162"/>
      <c r="Q17" s="162"/>
      <c r="R17" s="162"/>
      <c r="S17" s="162"/>
      <c r="T17" s="162"/>
      <c r="U17" s="162"/>
      <c r="V17" s="162"/>
      <c r="W17" s="162"/>
      <c r="X17" s="162"/>
      <c r="Y17" s="162"/>
      <c r="Z17" s="162"/>
      <c r="AA17" s="162"/>
      <c r="AB17" s="162"/>
      <c r="AC17" s="162"/>
      <c r="AD17" s="162"/>
      <c r="AE17" s="162"/>
      <c r="AF17" s="162"/>
      <c r="AG17" s="162"/>
      <c r="AH17" s="162"/>
      <c r="AI17" s="162"/>
      <c r="AJ17" s="162"/>
      <c r="AK17" s="162"/>
      <c r="AL17" s="162"/>
      <c r="AM17" s="162"/>
      <c r="AN17" s="162"/>
      <c r="AO17" s="162"/>
      <c r="AP17" s="162"/>
      <c r="AQ17" s="162"/>
      <c r="AR17" s="162"/>
      <c r="AS17" s="162"/>
      <c r="AT17" s="162"/>
      <c r="AU17" s="162"/>
      <c r="AV17" s="162"/>
      <c r="AW17" s="162"/>
      <c r="AX17" s="162"/>
      <c r="AY17" s="162"/>
      <c r="AZ17" s="162"/>
      <c r="BA17" s="162"/>
      <c r="BB17" s="162"/>
      <c r="BC17" s="162"/>
      <c r="BD17" s="162"/>
      <c r="BE17" s="162"/>
      <c r="BF17" s="162"/>
      <c r="BG17" s="162"/>
      <c r="BH17" s="162"/>
      <c r="BI17" s="162"/>
      <c r="BJ17" s="162"/>
      <c r="BK17" s="162"/>
      <c r="BL17" s="162"/>
      <c r="BM17" s="162"/>
      <c r="BN17" s="162"/>
      <c r="BO17" s="162"/>
      <c r="BP17" s="162"/>
      <c r="BQ17" s="162"/>
      <c r="BR17" s="162"/>
      <c r="BS17" s="162"/>
      <c r="BT17" s="162"/>
      <c r="BU17" s="162"/>
      <c r="BV17" s="162"/>
      <c r="BW17" s="162"/>
      <c r="BX17" s="162"/>
      <c r="BY17" s="162"/>
      <c r="BZ17" s="162"/>
      <c r="CA17" s="162"/>
      <c r="CB17" s="162"/>
      <c r="CC17" s="162"/>
      <c r="CD17" s="162"/>
      <c r="CE17" s="162"/>
      <c r="CF17" s="162"/>
      <c r="CG17" s="162"/>
      <c r="CH17" s="162"/>
      <c r="CI17" s="162"/>
      <c r="CJ17" s="162"/>
      <c r="CK17" s="162"/>
      <c r="CL17" s="162"/>
      <c r="CM17" s="162"/>
      <c r="CN17" s="162"/>
      <c r="CO17" s="162"/>
      <c r="CP17" s="162"/>
      <c r="CQ17" s="162"/>
      <c r="CR17" s="162"/>
      <c r="CS17" s="162"/>
      <c r="CT17" s="162"/>
      <c r="CU17" s="162"/>
      <c r="CV17" s="162"/>
      <c r="CW17" s="162"/>
      <c r="CX17" s="162"/>
      <c r="CY17" s="162"/>
      <c r="CZ17" s="162"/>
      <c r="DA17" s="162"/>
      <c r="DB17" s="162"/>
      <c r="DC17" s="162"/>
      <c r="DD17" s="162"/>
    </row>
    <row r="18" spans="1:108" x14ac:dyDescent="0.2">
      <c r="A18" s="162"/>
      <c r="B18" s="162"/>
      <c r="C18" s="162"/>
      <c r="D18" s="648"/>
      <c r="E18" s="162"/>
      <c r="F18" s="162"/>
      <c r="G18" s="162"/>
      <c r="H18" s="162"/>
      <c r="I18" s="162"/>
      <c r="J18" s="162"/>
      <c r="K18" s="162"/>
      <c r="L18" s="162"/>
      <c r="M18" s="162"/>
      <c r="N18" s="162"/>
      <c r="O18" s="162"/>
      <c r="P18" s="162"/>
      <c r="Q18" s="162"/>
      <c r="R18" s="162"/>
      <c r="S18" s="162"/>
      <c r="T18" s="162"/>
      <c r="U18" s="162"/>
      <c r="V18" s="162"/>
      <c r="W18" s="162"/>
      <c r="X18" s="162"/>
      <c r="Y18" s="162"/>
      <c r="Z18" s="162"/>
      <c r="AA18" s="162"/>
      <c r="AB18" s="162"/>
      <c r="AC18" s="162"/>
      <c r="AD18" s="162"/>
      <c r="AE18" s="162"/>
      <c r="AF18" s="162"/>
      <c r="AG18" s="162"/>
      <c r="AH18" s="162"/>
      <c r="AI18" s="162"/>
      <c r="AJ18" s="162"/>
      <c r="AK18" s="162"/>
      <c r="AL18" s="162"/>
      <c r="AM18" s="162"/>
      <c r="AN18" s="162"/>
      <c r="AO18" s="162"/>
      <c r="AP18" s="162"/>
      <c r="AQ18" s="162"/>
      <c r="AR18" s="162"/>
      <c r="AS18" s="162"/>
      <c r="AT18" s="162"/>
      <c r="AU18" s="162"/>
      <c r="AV18" s="162"/>
      <c r="AW18" s="162"/>
      <c r="AX18" s="162"/>
      <c r="AY18" s="162"/>
      <c r="AZ18" s="162"/>
      <c r="BA18" s="162"/>
      <c r="BB18" s="162"/>
      <c r="BC18" s="162"/>
      <c r="BD18" s="162"/>
      <c r="BE18" s="162"/>
      <c r="BF18" s="162"/>
      <c r="BG18" s="162"/>
      <c r="BH18" s="162"/>
      <c r="BI18" s="162"/>
      <c r="BJ18" s="162"/>
      <c r="BK18" s="162"/>
      <c r="BL18" s="162"/>
      <c r="BM18" s="162"/>
      <c r="BN18" s="162"/>
      <c r="BO18" s="162"/>
      <c r="BP18" s="162"/>
      <c r="BQ18" s="162"/>
      <c r="BR18" s="162"/>
      <c r="BS18" s="162"/>
      <c r="BT18" s="162"/>
      <c r="BU18" s="162"/>
      <c r="BV18" s="162"/>
      <c r="BW18" s="162"/>
      <c r="BX18" s="162"/>
      <c r="BY18" s="162"/>
      <c r="BZ18" s="162"/>
      <c r="CA18" s="162"/>
      <c r="CB18" s="162"/>
      <c r="CC18" s="162"/>
      <c r="CD18" s="162"/>
      <c r="CE18" s="162"/>
      <c r="CF18" s="162"/>
      <c r="CG18" s="162"/>
      <c r="CH18" s="162"/>
      <c r="CI18" s="162"/>
      <c r="CJ18" s="162"/>
      <c r="CK18" s="162"/>
      <c r="CL18" s="162"/>
      <c r="CM18" s="162"/>
      <c r="CN18" s="162"/>
      <c r="CO18" s="162"/>
      <c r="CP18" s="162"/>
      <c r="CQ18" s="162"/>
      <c r="CR18" s="162"/>
      <c r="CS18" s="162"/>
      <c r="CT18" s="162"/>
      <c r="CU18" s="162"/>
      <c r="CV18" s="162"/>
      <c r="CW18" s="162"/>
      <c r="CX18" s="162"/>
      <c r="CY18" s="162"/>
      <c r="CZ18" s="162"/>
      <c r="DA18" s="162"/>
      <c r="DB18" s="162"/>
      <c r="DC18" s="162"/>
      <c r="DD18" s="162"/>
    </row>
    <row r="19" spans="1:108" ht="15.75" x14ac:dyDescent="0.2">
      <c r="A19" s="162"/>
      <c r="B19" s="242">
        <f>IF(H22&lt;&gt;"",VLOOKUP(H22,GenderCode,2,FALSE),0)</f>
        <v>0</v>
      </c>
      <c r="C19" s="58">
        <v>1</v>
      </c>
      <c r="D19" s="79" t="str">
        <f>IF(B19=0,MsgNotUsed, CONCATENATE("ABS ", C19, ": ", H22, " ", E23, " - ", F23, " yrs inclusive (", E28, "-", J28, ")") &amp; IF(E25&lt;&gt;"",CONCATENATE(" - (",D25,")"),""))</f>
        <v>** NOT USED **</v>
      </c>
      <c r="E19" s="127"/>
      <c r="F19" s="127"/>
      <c r="G19" s="127"/>
      <c r="H19" s="127"/>
      <c r="I19" s="175"/>
      <c r="J19" s="127"/>
      <c r="K19" s="127"/>
      <c r="L19" s="127"/>
      <c r="M19" s="127"/>
      <c r="N19" s="127"/>
      <c r="O19" s="127"/>
      <c r="P19" s="162"/>
      <c r="Q19" s="162"/>
      <c r="R19" s="162"/>
      <c r="S19" s="162"/>
      <c r="T19" s="162"/>
      <c r="U19" s="162"/>
      <c r="V19" s="162"/>
      <c r="W19" s="162"/>
      <c r="X19" s="162"/>
      <c r="Y19" s="162"/>
      <c r="Z19" s="162"/>
      <c r="AA19" s="162"/>
      <c r="AB19" s="162"/>
      <c r="AC19" s="162"/>
      <c r="AD19" s="162"/>
      <c r="AE19" s="162"/>
      <c r="AF19" s="162"/>
      <c r="AG19" s="162"/>
      <c r="AH19" s="162"/>
      <c r="AI19" s="162"/>
      <c r="AJ19" s="162"/>
      <c r="AK19" s="162"/>
      <c r="AL19" s="162"/>
      <c r="AM19" s="162"/>
      <c r="AN19" s="162"/>
      <c r="AO19" s="162"/>
      <c r="AP19" s="162"/>
      <c r="AQ19" s="162"/>
      <c r="AR19" s="162"/>
      <c r="AS19" s="162"/>
      <c r="AT19" s="162"/>
      <c r="AU19" s="162"/>
      <c r="AV19" s="162"/>
      <c r="AW19" s="162"/>
      <c r="AX19" s="162"/>
      <c r="AY19" s="162"/>
      <c r="AZ19" s="162"/>
      <c r="BA19" s="162"/>
      <c r="BB19" s="162"/>
      <c r="BC19" s="162"/>
      <c r="BD19" s="162"/>
      <c r="BE19" s="162"/>
      <c r="BF19" s="162"/>
      <c r="BG19" s="162"/>
      <c r="BH19" s="162"/>
      <c r="BI19" s="162"/>
      <c r="BJ19" s="162"/>
      <c r="BK19" s="162"/>
      <c r="BL19" s="162"/>
      <c r="BM19" s="162"/>
      <c r="BN19" s="162"/>
      <c r="BO19" s="162"/>
      <c r="BP19" s="162"/>
      <c r="BQ19" s="162"/>
      <c r="BR19" s="162"/>
      <c r="BS19" s="162"/>
      <c r="BT19" s="162"/>
      <c r="BU19" s="162"/>
      <c r="BV19" s="162"/>
      <c r="BW19" s="162"/>
      <c r="BX19" s="162"/>
      <c r="BY19" s="162"/>
      <c r="BZ19" s="162"/>
      <c r="CA19" s="162"/>
      <c r="CB19" s="162"/>
      <c r="CC19" s="162"/>
      <c r="CD19" s="162"/>
      <c r="CE19" s="162"/>
      <c r="CF19" s="162"/>
      <c r="CG19" s="162"/>
      <c r="CH19" s="162"/>
      <c r="CI19" s="162"/>
      <c r="CJ19" s="162"/>
      <c r="CK19" s="162"/>
      <c r="CL19" s="162"/>
      <c r="CM19" s="162"/>
      <c r="CN19" s="162"/>
      <c r="CO19" s="162"/>
      <c r="CP19" s="162"/>
      <c r="CQ19" s="162"/>
      <c r="CR19" s="162"/>
      <c r="CS19" s="162"/>
      <c r="CT19" s="162"/>
      <c r="CU19" s="162"/>
      <c r="CV19" s="162"/>
      <c r="CW19" s="162"/>
      <c r="CX19" s="162"/>
      <c r="CY19" s="162"/>
      <c r="CZ19" s="162"/>
      <c r="DA19" s="162"/>
      <c r="DB19" s="162"/>
      <c r="DC19" s="162"/>
      <c r="DD19" s="162"/>
    </row>
    <row r="20" spans="1:108" ht="14.25" hidden="1" outlineLevel="1" x14ac:dyDescent="0.2">
      <c r="A20" s="162"/>
      <c r="B20" s="162"/>
      <c r="C20" s="162"/>
      <c r="D20" s="647"/>
      <c r="E20" s="162"/>
      <c r="F20" s="162"/>
      <c r="G20" s="162"/>
      <c r="H20" s="162"/>
      <c r="I20" s="162"/>
      <c r="J20" s="162"/>
      <c r="K20" s="162"/>
      <c r="L20" s="162"/>
      <c r="M20" s="162"/>
      <c r="N20" s="162"/>
      <c r="O20" s="162"/>
      <c r="P20" s="162"/>
      <c r="Q20" s="162"/>
      <c r="R20" s="162"/>
      <c r="S20" s="162"/>
      <c r="T20" s="162"/>
      <c r="U20" s="162"/>
      <c r="V20" s="162"/>
      <c r="W20" s="162"/>
      <c r="X20" s="162"/>
      <c r="Y20" s="162"/>
      <c r="Z20" s="162"/>
      <c r="AA20" s="162"/>
      <c r="AB20" s="162"/>
      <c r="AC20" s="162"/>
      <c r="AD20" s="162"/>
      <c r="AE20" s="162"/>
      <c r="AF20" s="162"/>
      <c r="AG20" s="162"/>
      <c r="AH20" s="162"/>
      <c r="AI20" s="162"/>
      <c r="AJ20" s="162"/>
      <c r="AK20" s="162"/>
      <c r="AL20" s="162"/>
      <c r="AM20" s="162"/>
      <c r="AN20" s="162"/>
      <c r="AO20" s="162"/>
      <c r="AP20" s="162"/>
      <c r="AQ20" s="162"/>
      <c r="AR20" s="162"/>
      <c r="AS20" s="162"/>
      <c r="AT20" s="162"/>
      <c r="AU20" s="162"/>
      <c r="AV20" s="162"/>
      <c r="AW20" s="162"/>
      <c r="AX20" s="162"/>
      <c r="AY20" s="162"/>
      <c r="AZ20" s="162"/>
      <c r="BA20" s="162"/>
      <c r="BB20" s="162"/>
      <c r="BC20" s="162"/>
      <c r="BD20" s="162"/>
      <c r="BE20" s="162"/>
      <c r="BF20" s="162"/>
      <c r="BG20" s="162"/>
      <c r="BH20" s="162"/>
      <c r="BI20" s="162"/>
      <c r="BJ20" s="162"/>
      <c r="BK20" s="162"/>
      <c r="BL20" s="162"/>
      <c r="BM20" s="162"/>
      <c r="BN20" s="162"/>
      <c r="BO20" s="162"/>
      <c r="BP20" s="162"/>
      <c r="BQ20" s="162"/>
      <c r="BR20" s="162"/>
      <c r="BS20" s="162"/>
      <c r="BT20" s="162"/>
      <c r="BU20" s="162"/>
      <c r="BV20" s="162"/>
      <c r="BW20" s="162"/>
      <c r="BX20" s="162"/>
      <c r="BY20" s="162"/>
      <c r="BZ20" s="162"/>
      <c r="CA20" s="162"/>
      <c r="CB20" s="162"/>
      <c r="CC20" s="162"/>
      <c r="CD20" s="162"/>
      <c r="CE20" s="162"/>
      <c r="CF20" s="162"/>
      <c r="CG20" s="162"/>
      <c r="CH20" s="162"/>
      <c r="CI20" s="162"/>
      <c r="CJ20" s="162"/>
      <c r="CK20" s="162"/>
      <c r="CL20" s="162"/>
      <c r="CM20" s="162"/>
      <c r="CN20" s="162"/>
      <c r="CO20" s="162"/>
      <c r="CP20" s="162"/>
      <c r="CQ20" s="162"/>
      <c r="CR20" s="162"/>
      <c r="CS20" s="162"/>
      <c r="CT20" s="162"/>
      <c r="CU20" s="162"/>
      <c r="CV20" s="162"/>
      <c r="CW20" s="162"/>
      <c r="CX20" s="162"/>
      <c r="CY20" s="162"/>
      <c r="CZ20" s="162"/>
      <c r="DA20" s="162"/>
      <c r="DB20" s="162"/>
      <c r="DC20" s="162"/>
      <c r="DD20" s="162"/>
    </row>
    <row r="21" spans="1:108" hidden="1" outlineLevel="1" x14ac:dyDescent="0.2">
      <c r="A21" s="162"/>
      <c r="B21" s="162"/>
      <c r="C21" s="162"/>
      <c r="D21" s="162"/>
      <c r="E21" s="83" t="s">
        <v>245</v>
      </c>
      <c r="F21" s="83" t="s">
        <v>246</v>
      </c>
      <c r="G21" s="162"/>
      <c r="H21" s="83" t="s">
        <v>51</v>
      </c>
      <c r="I21" s="162"/>
      <c r="J21" s="83" t="s">
        <v>365</v>
      </c>
      <c r="K21" s="162"/>
      <c r="L21" s="162"/>
      <c r="M21" s="162"/>
      <c r="N21" s="162"/>
      <c r="O21" s="162"/>
      <c r="P21" s="162"/>
      <c r="Q21" s="162"/>
      <c r="R21" s="162"/>
      <c r="S21" s="162"/>
      <c r="T21" s="162"/>
      <c r="U21" s="162"/>
      <c r="V21" s="162"/>
      <c r="W21" s="162"/>
      <c r="X21" s="162"/>
      <c r="Y21" s="162"/>
      <c r="Z21" s="162"/>
      <c r="AA21" s="162"/>
      <c r="AB21" s="162"/>
      <c r="AC21" s="162"/>
      <c r="AD21" s="162"/>
      <c r="AE21" s="162"/>
      <c r="AF21" s="162"/>
      <c r="AG21" s="162"/>
      <c r="AH21" s="162"/>
      <c r="AI21" s="162"/>
      <c r="AJ21" s="162"/>
      <c r="AK21" s="162"/>
      <c r="AL21" s="162"/>
      <c r="AM21" s="162"/>
      <c r="AN21" s="162"/>
      <c r="AO21" s="162"/>
      <c r="AP21" s="162"/>
      <c r="AQ21" s="162"/>
      <c r="AR21" s="162"/>
      <c r="AS21" s="162"/>
      <c r="AT21" s="162"/>
      <c r="AU21" s="162"/>
      <c r="AV21" s="162"/>
      <c r="AW21" s="162"/>
      <c r="AX21" s="162"/>
      <c r="AY21" s="162"/>
      <c r="AZ21" s="162"/>
      <c r="BA21" s="162"/>
      <c r="BB21" s="162"/>
      <c r="BC21" s="162"/>
      <c r="BD21" s="162"/>
      <c r="BE21" s="162"/>
      <c r="BF21" s="162"/>
      <c r="BG21" s="162"/>
      <c r="BH21" s="162"/>
      <c r="BI21" s="162"/>
      <c r="BJ21" s="162"/>
      <c r="BK21" s="162"/>
      <c r="BL21" s="162"/>
      <c r="BM21" s="162"/>
      <c r="BN21" s="162"/>
      <c r="BO21" s="162"/>
      <c r="BP21" s="162"/>
      <c r="BQ21" s="162"/>
      <c r="BR21" s="162"/>
      <c r="BS21" s="162"/>
      <c r="BT21" s="162"/>
      <c r="BU21" s="162"/>
      <c r="BV21" s="162"/>
      <c r="BW21" s="162"/>
      <c r="BX21" s="162"/>
      <c r="BY21" s="162"/>
      <c r="BZ21" s="162"/>
      <c r="CA21" s="162"/>
      <c r="CB21" s="162"/>
      <c r="CC21" s="162"/>
      <c r="CD21" s="162"/>
      <c r="CE21" s="162"/>
      <c r="CF21" s="162"/>
      <c r="CG21" s="162"/>
      <c r="CH21" s="162"/>
      <c r="CI21" s="162"/>
      <c r="CJ21" s="162"/>
      <c r="CK21" s="162"/>
      <c r="CL21" s="162"/>
      <c r="CM21" s="162"/>
      <c r="CN21" s="162"/>
      <c r="CO21" s="162"/>
      <c r="CP21" s="162"/>
      <c r="CQ21" s="162"/>
      <c r="CR21" s="162"/>
      <c r="CS21" s="162"/>
      <c r="CT21" s="162"/>
      <c r="CU21" s="162"/>
      <c r="CV21" s="162"/>
      <c r="CW21" s="162"/>
      <c r="CX21" s="162"/>
      <c r="CY21" s="162"/>
      <c r="CZ21" s="162"/>
      <c r="DA21" s="162"/>
      <c r="DB21" s="162"/>
      <c r="DC21" s="162"/>
      <c r="DD21" s="162"/>
    </row>
    <row r="22" spans="1:108" hidden="1" outlineLevel="1" x14ac:dyDescent="0.2">
      <c r="A22" s="162"/>
      <c r="B22" s="162"/>
      <c r="C22" s="162"/>
      <c r="D22" s="42" t="s">
        <v>242</v>
      </c>
      <c r="E22" s="47"/>
      <c r="F22" s="47"/>
      <c r="G22" s="162"/>
      <c r="H22" s="77"/>
      <c r="I22" s="162"/>
      <c r="J22" s="77"/>
      <c r="K22" s="162"/>
      <c r="L22" s="162"/>
      <c r="M22" s="162"/>
      <c r="N22" s="162"/>
      <c r="O22" s="162"/>
      <c r="P22" s="162"/>
      <c r="Q22" s="162"/>
      <c r="R22" s="162"/>
      <c r="S22" s="162"/>
      <c r="T22" s="162"/>
      <c r="U22" s="162"/>
      <c r="V22" s="162"/>
      <c r="W22" s="162"/>
      <c r="X22" s="162"/>
      <c r="Y22" s="162"/>
      <c r="Z22" s="162"/>
      <c r="AA22" s="162"/>
      <c r="AB22" s="162"/>
      <c r="AC22" s="162"/>
      <c r="AD22" s="162"/>
      <c r="AE22" s="162"/>
      <c r="AF22" s="162"/>
      <c r="AG22" s="162"/>
      <c r="AH22" s="162"/>
      <c r="AI22" s="162"/>
      <c r="AJ22" s="162"/>
      <c r="AK22" s="162"/>
      <c r="AL22" s="162"/>
      <c r="AM22" s="162"/>
      <c r="AN22" s="162"/>
      <c r="AO22" s="162"/>
      <c r="AP22" s="162"/>
      <c r="AQ22" s="162"/>
      <c r="AR22" s="162"/>
      <c r="AS22" s="162"/>
      <c r="AT22" s="162"/>
      <c r="AU22" s="162"/>
      <c r="AV22" s="162"/>
      <c r="AW22" s="162"/>
      <c r="AX22" s="162"/>
      <c r="AY22" s="162"/>
      <c r="AZ22" s="162"/>
      <c r="BA22" s="162"/>
      <c r="BB22" s="162"/>
      <c r="BC22" s="162"/>
      <c r="BD22" s="162"/>
      <c r="BE22" s="162"/>
      <c r="BF22" s="162"/>
      <c r="BG22" s="162"/>
      <c r="BH22" s="162"/>
      <c r="BI22" s="162"/>
      <c r="BJ22" s="162"/>
      <c r="BK22" s="162"/>
      <c r="BL22" s="162"/>
      <c r="BM22" s="162"/>
      <c r="BN22" s="162"/>
      <c r="BO22" s="162"/>
      <c r="BP22" s="162"/>
      <c r="BQ22" s="162"/>
      <c r="BR22" s="162"/>
      <c r="BS22" s="162"/>
      <c r="BT22" s="162"/>
      <c r="BU22" s="162"/>
      <c r="BV22" s="162"/>
      <c r="BW22" s="162"/>
      <c r="BX22" s="162"/>
      <c r="BY22" s="162"/>
      <c r="BZ22" s="162"/>
      <c r="CA22" s="162"/>
      <c r="CB22" s="162"/>
      <c r="CC22" s="162"/>
      <c r="CD22" s="162"/>
      <c r="CE22" s="162"/>
      <c r="CF22" s="162"/>
      <c r="CG22" s="162"/>
      <c r="CH22" s="162"/>
      <c r="CI22" s="162"/>
      <c r="CJ22" s="162"/>
      <c r="CK22" s="162"/>
      <c r="CL22" s="162"/>
      <c r="CM22" s="162"/>
      <c r="CN22" s="162"/>
      <c r="CO22" s="162"/>
      <c r="CP22" s="162"/>
      <c r="CQ22" s="162"/>
      <c r="CR22" s="162"/>
      <c r="CS22" s="162"/>
      <c r="CT22" s="162"/>
      <c r="CU22" s="162"/>
      <c r="CV22" s="162"/>
      <c r="CW22" s="162"/>
      <c r="CX22" s="162"/>
      <c r="CY22" s="162"/>
      <c r="CZ22" s="162"/>
      <c r="DA22" s="162"/>
      <c r="DB22" s="162"/>
      <c r="DC22" s="162"/>
      <c r="DD22" s="162"/>
    </row>
    <row r="23" spans="1:108" hidden="1" outlineLevel="1" x14ac:dyDescent="0.2">
      <c r="A23" s="162"/>
      <c r="B23" s="162"/>
      <c r="C23" s="162"/>
      <c r="D23" s="162"/>
      <c r="E23" s="495">
        <f>IF(E22="",0,E22)</f>
        <v>0</v>
      </c>
      <c r="F23" s="495">
        <f>IF(F22="",100,F22)</f>
        <v>100</v>
      </c>
      <c r="G23" s="162"/>
      <c r="H23" s="162"/>
      <c r="I23" s="162"/>
      <c r="J23" s="162"/>
      <c r="K23" s="162"/>
      <c r="L23" s="162"/>
      <c r="M23" s="162"/>
      <c r="N23" s="162"/>
      <c r="O23" s="162"/>
      <c r="P23" s="162"/>
      <c r="Q23" s="162"/>
      <c r="R23" s="162"/>
      <c r="S23" s="162"/>
      <c r="T23" s="162"/>
      <c r="U23" s="162"/>
      <c r="V23" s="162"/>
      <c r="W23" s="162"/>
      <c r="X23" s="162"/>
      <c r="Y23" s="162"/>
      <c r="Z23" s="162"/>
      <c r="AA23" s="162"/>
      <c r="AB23" s="162"/>
      <c r="AC23" s="162"/>
      <c r="AD23" s="162"/>
      <c r="AE23" s="162"/>
      <c r="AF23" s="162"/>
      <c r="AG23" s="162"/>
      <c r="AH23" s="162"/>
      <c r="AI23" s="162"/>
      <c r="AJ23" s="162"/>
      <c r="AK23" s="162"/>
      <c r="AL23" s="162"/>
      <c r="AM23" s="162"/>
      <c r="AN23" s="162"/>
      <c r="AO23" s="162"/>
      <c r="AP23" s="162"/>
      <c r="AQ23" s="162"/>
      <c r="AR23" s="162"/>
      <c r="AS23" s="162"/>
      <c r="AT23" s="162"/>
      <c r="AU23" s="162"/>
      <c r="AV23" s="162"/>
      <c r="AW23" s="162"/>
      <c r="AX23" s="162"/>
      <c r="AY23" s="162"/>
      <c r="AZ23" s="162"/>
      <c r="BA23" s="162"/>
      <c r="BB23" s="162"/>
      <c r="BC23" s="162"/>
      <c r="BD23" s="162"/>
      <c r="BE23" s="162"/>
      <c r="BF23" s="162"/>
      <c r="BG23" s="162"/>
      <c r="BH23" s="162"/>
      <c r="BI23" s="162"/>
      <c r="BJ23" s="162"/>
      <c r="BK23" s="162"/>
      <c r="BL23" s="162"/>
      <c r="BM23" s="162"/>
      <c r="BN23" s="162"/>
      <c r="BO23" s="162"/>
      <c r="BP23" s="162"/>
      <c r="BQ23" s="162"/>
      <c r="BR23" s="162"/>
      <c r="BS23" s="162"/>
      <c r="BT23" s="162"/>
      <c r="BU23" s="162"/>
      <c r="BV23" s="162"/>
      <c r="BW23" s="162"/>
      <c r="BX23" s="162"/>
      <c r="BY23" s="162"/>
      <c r="BZ23" s="162"/>
      <c r="CA23" s="162"/>
      <c r="CB23" s="162"/>
      <c r="CC23" s="162"/>
      <c r="CD23" s="162"/>
      <c r="CE23" s="162"/>
      <c r="CF23" s="162"/>
      <c r="CG23" s="162"/>
      <c r="CH23" s="162"/>
      <c r="CI23" s="162"/>
      <c r="CJ23" s="162"/>
      <c r="CK23" s="162"/>
      <c r="CL23" s="162"/>
      <c r="CM23" s="162"/>
      <c r="CN23" s="162"/>
      <c r="CO23" s="162"/>
      <c r="CP23" s="162"/>
      <c r="CQ23" s="162"/>
      <c r="CR23" s="162"/>
      <c r="CS23" s="162"/>
      <c r="CT23" s="162"/>
      <c r="CU23" s="162"/>
      <c r="CV23" s="162"/>
      <c r="CW23" s="162"/>
      <c r="CX23" s="162"/>
      <c r="CY23" s="162"/>
      <c r="CZ23" s="162"/>
      <c r="DA23" s="162"/>
      <c r="DB23" s="162"/>
      <c r="DC23" s="162"/>
      <c r="DD23" s="162"/>
    </row>
    <row r="24" spans="1:108" hidden="1" outlineLevel="1" x14ac:dyDescent="0.2">
      <c r="A24" s="162"/>
      <c r="B24" s="162"/>
      <c r="C24" s="162"/>
      <c r="D24" s="162"/>
      <c r="E24" s="303" t="s">
        <v>464</v>
      </c>
      <c r="F24" s="303" t="s">
        <v>465</v>
      </c>
      <c r="G24" s="162"/>
      <c r="H24" s="162"/>
      <c r="I24" s="162"/>
      <c r="J24" s="162"/>
      <c r="K24" s="162"/>
      <c r="L24" s="162"/>
      <c r="M24" s="162"/>
      <c r="N24" s="162"/>
      <c r="O24" s="162"/>
      <c r="P24" s="162"/>
      <c r="Q24" s="162"/>
      <c r="R24" s="162"/>
      <c r="S24" s="162"/>
      <c r="T24" s="162"/>
      <c r="U24" s="162"/>
      <c r="V24" s="162"/>
      <c r="W24" s="162"/>
      <c r="X24" s="162"/>
      <c r="Y24" s="162"/>
      <c r="Z24" s="162"/>
      <c r="AA24" s="162"/>
      <c r="AB24" s="162"/>
      <c r="AC24" s="162"/>
      <c r="AD24" s="162"/>
      <c r="AE24" s="162"/>
      <c r="AF24" s="162"/>
      <c r="AG24" s="162"/>
      <c r="AH24" s="162"/>
      <c r="AI24" s="162"/>
      <c r="AJ24" s="162"/>
      <c r="AK24" s="162"/>
      <c r="AL24" s="162"/>
      <c r="AM24" s="162"/>
      <c r="AN24" s="162"/>
      <c r="AO24" s="162"/>
      <c r="AP24" s="162"/>
      <c r="AQ24" s="162"/>
      <c r="AR24" s="162"/>
      <c r="AS24" s="162"/>
      <c r="AT24" s="162"/>
      <c r="AU24" s="162"/>
      <c r="AV24" s="162"/>
      <c r="AW24" s="162"/>
      <c r="AX24" s="162"/>
      <c r="AY24" s="162"/>
      <c r="AZ24" s="162"/>
      <c r="BA24" s="162"/>
      <c r="BB24" s="162"/>
      <c r="BC24" s="162"/>
      <c r="BD24" s="162"/>
      <c r="BE24" s="162"/>
      <c r="BF24" s="162"/>
      <c r="BG24" s="162"/>
      <c r="BH24" s="162"/>
      <c r="BI24" s="162"/>
      <c r="BJ24" s="162"/>
      <c r="BK24" s="162"/>
      <c r="BL24" s="162"/>
      <c r="BM24" s="162"/>
      <c r="BN24" s="162"/>
      <c r="BO24" s="162"/>
      <c r="BP24" s="162"/>
      <c r="BQ24" s="162"/>
      <c r="BR24" s="162"/>
      <c r="BS24" s="162"/>
      <c r="BT24" s="162"/>
      <c r="BU24" s="162"/>
      <c r="BV24" s="162"/>
      <c r="BW24" s="162"/>
      <c r="BX24" s="162"/>
      <c r="BY24" s="162"/>
      <c r="BZ24" s="162"/>
      <c r="CA24" s="162"/>
      <c r="CB24" s="162"/>
      <c r="CC24" s="162"/>
      <c r="CD24" s="162"/>
      <c r="CE24" s="162"/>
      <c r="CF24" s="162"/>
      <c r="CG24" s="162"/>
      <c r="CH24" s="162"/>
      <c r="CI24" s="162"/>
      <c r="CJ24" s="162"/>
      <c r="CK24" s="162"/>
      <c r="CL24" s="162"/>
      <c r="CM24" s="162"/>
      <c r="CN24" s="162"/>
      <c r="CO24" s="162"/>
      <c r="CP24" s="162"/>
      <c r="CQ24" s="162"/>
      <c r="CR24" s="162"/>
      <c r="CS24" s="162"/>
      <c r="CT24" s="162"/>
      <c r="CU24" s="162"/>
      <c r="CV24" s="162"/>
      <c r="CW24" s="162"/>
      <c r="CX24" s="162"/>
      <c r="CY24" s="162"/>
      <c r="CZ24" s="162"/>
      <c r="DA24" s="162"/>
      <c r="DB24" s="162"/>
      <c r="DC24" s="162"/>
      <c r="DD24" s="162"/>
    </row>
    <row r="25" spans="1:108" hidden="1" outlineLevel="1" x14ac:dyDescent="0.2">
      <c r="A25" s="162"/>
      <c r="B25" s="162"/>
      <c r="C25" s="162"/>
      <c r="D25" s="574" t="s">
        <v>463</v>
      </c>
      <c r="E25" s="499"/>
      <c r="F25" s="47"/>
      <c r="G25" s="315">
        <f>IF(AND(E25&lt;&gt;"",F25&lt;&gt;""),E25/F25,1)</f>
        <v>1</v>
      </c>
      <c r="H25" s="162"/>
      <c r="I25" s="42" t="s">
        <v>258</v>
      </c>
      <c r="J25" s="911"/>
      <c r="K25" s="912"/>
      <c r="L25" s="912"/>
      <c r="M25" s="912"/>
      <c r="N25" s="912"/>
      <c r="O25" s="912"/>
      <c r="P25" s="162"/>
      <c r="Q25" s="162"/>
      <c r="R25" s="162"/>
      <c r="S25" s="162"/>
      <c r="T25" s="162"/>
      <c r="U25" s="162"/>
      <c r="V25" s="162"/>
      <c r="W25" s="162"/>
      <c r="X25" s="162"/>
      <c r="Y25" s="162"/>
      <c r="Z25" s="162"/>
      <c r="AA25" s="162"/>
      <c r="AB25" s="162"/>
      <c r="AC25" s="162"/>
      <c r="AD25" s="162"/>
      <c r="AE25" s="162"/>
      <c r="AF25" s="162"/>
      <c r="AG25" s="162"/>
      <c r="AH25" s="162"/>
      <c r="AI25" s="162"/>
      <c r="AJ25" s="162"/>
      <c r="AK25" s="162"/>
      <c r="AL25" s="162"/>
      <c r="AM25" s="162"/>
      <c r="AN25" s="162"/>
      <c r="AO25" s="162"/>
      <c r="AP25" s="162"/>
      <c r="AQ25" s="162"/>
      <c r="AR25" s="162"/>
      <c r="AS25" s="162"/>
      <c r="AT25" s="162"/>
      <c r="AU25" s="162"/>
      <c r="AV25" s="162"/>
      <c r="AW25" s="162"/>
      <c r="AX25" s="162"/>
      <c r="AY25" s="162"/>
      <c r="AZ25" s="162"/>
      <c r="BA25" s="162"/>
      <c r="BB25" s="162"/>
      <c r="BC25" s="162"/>
      <c r="BD25" s="162"/>
      <c r="BE25" s="162"/>
      <c r="BF25" s="162"/>
      <c r="BG25" s="162"/>
      <c r="BH25" s="162"/>
      <c r="BI25" s="162"/>
      <c r="BJ25" s="162"/>
      <c r="BK25" s="162"/>
      <c r="BL25" s="162"/>
      <c r="BM25" s="162"/>
      <c r="BN25" s="162"/>
      <c r="BO25" s="162"/>
      <c r="BP25" s="162"/>
      <c r="BQ25" s="162"/>
      <c r="BR25" s="162"/>
      <c r="BS25" s="162"/>
      <c r="BT25" s="162"/>
      <c r="BU25" s="162"/>
      <c r="BV25" s="162"/>
      <c r="BW25" s="162"/>
      <c r="BX25" s="162"/>
      <c r="BY25" s="162"/>
      <c r="BZ25" s="162"/>
      <c r="CA25" s="162"/>
      <c r="CB25" s="162"/>
      <c r="CC25" s="162"/>
      <c r="CD25" s="162"/>
      <c r="CE25" s="162"/>
      <c r="CF25" s="162"/>
      <c r="CG25" s="162"/>
      <c r="CH25" s="162"/>
      <c r="CI25" s="162"/>
      <c r="CJ25" s="162"/>
      <c r="CK25" s="162"/>
      <c r="CL25" s="162"/>
      <c r="CM25" s="162"/>
      <c r="CN25" s="162"/>
      <c r="CO25" s="162"/>
      <c r="CP25" s="162"/>
      <c r="CQ25" s="162"/>
      <c r="CR25" s="162"/>
      <c r="CS25" s="162"/>
      <c r="CT25" s="162"/>
      <c r="CU25" s="162"/>
      <c r="CV25" s="162"/>
      <c r="CW25" s="162"/>
      <c r="CX25" s="162"/>
      <c r="CY25" s="162"/>
      <c r="CZ25" s="162"/>
      <c r="DA25" s="162"/>
      <c r="DB25" s="162"/>
      <c r="DC25" s="162"/>
      <c r="DD25" s="162"/>
    </row>
    <row r="26" spans="1:108" hidden="1" outlineLevel="1" x14ac:dyDescent="0.2">
      <c r="A26" s="162"/>
      <c r="B26" s="162"/>
      <c r="C26" s="162"/>
      <c r="D26" s="162"/>
      <c r="E26" s="162"/>
      <c r="F26" s="162"/>
      <c r="G26" s="162"/>
      <c r="H26" s="162"/>
      <c r="I26" s="162"/>
      <c r="J26" s="162"/>
      <c r="K26" s="162"/>
      <c r="L26" s="162"/>
      <c r="M26" s="162"/>
      <c r="N26" s="162"/>
      <c r="O26" s="162"/>
      <c r="P26" s="162"/>
      <c r="Q26" s="162"/>
      <c r="R26" s="162"/>
      <c r="S26" s="162"/>
      <c r="T26" s="162"/>
      <c r="U26" s="162"/>
      <c r="V26" s="162"/>
      <c r="W26" s="162"/>
      <c r="X26" s="162"/>
      <c r="Y26" s="162"/>
      <c r="Z26" s="162"/>
      <c r="AA26" s="162"/>
      <c r="AB26" s="162"/>
      <c r="AC26" s="162"/>
      <c r="AD26" s="162"/>
      <c r="AE26" s="162"/>
      <c r="AF26" s="162"/>
      <c r="AG26" s="162"/>
      <c r="AH26" s="162"/>
      <c r="AI26" s="162"/>
      <c r="AJ26" s="162"/>
      <c r="AK26" s="162"/>
      <c r="AL26" s="162"/>
      <c r="AM26" s="162"/>
      <c r="AN26" s="162"/>
      <c r="AO26" s="162"/>
      <c r="AP26" s="162"/>
      <c r="AQ26" s="162"/>
      <c r="AR26" s="162"/>
      <c r="AS26" s="162"/>
      <c r="AT26" s="162"/>
      <c r="AU26" s="162"/>
      <c r="AV26" s="162"/>
      <c r="AW26" s="162"/>
      <c r="AX26" s="162"/>
      <c r="AY26" s="162"/>
      <c r="AZ26" s="162"/>
      <c r="BA26" s="162"/>
      <c r="BB26" s="162"/>
      <c r="BC26" s="162"/>
      <c r="BD26" s="162"/>
      <c r="BE26" s="162"/>
      <c r="BF26" s="162"/>
      <c r="BG26" s="162"/>
      <c r="BH26" s="162"/>
      <c r="BI26" s="162"/>
      <c r="BJ26" s="162"/>
      <c r="BK26" s="162"/>
      <c r="BL26" s="162"/>
      <c r="BM26" s="162"/>
      <c r="BN26" s="162"/>
      <c r="BO26" s="162"/>
      <c r="BP26" s="162"/>
      <c r="BQ26" s="162"/>
      <c r="BR26" s="162"/>
      <c r="BS26" s="162"/>
      <c r="BT26" s="162"/>
      <c r="BU26" s="162"/>
      <c r="BV26" s="162"/>
      <c r="BW26" s="162"/>
      <c r="BX26" s="162"/>
      <c r="BY26" s="162"/>
      <c r="BZ26" s="162"/>
      <c r="CA26" s="162"/>
      <c r="CB26" s="162"/>
      <c r="CC26" s="162"/>
      <c r="CD26" s="162"/>
      <c r="CE26" s="162"/>
      <c r="CF26" s="162"/>
      <c r="CG26" s="162"/>
      <c r="CH26" s="162"/>
      <c r="CI26" s="162"/>
      <c r="CJ26" s="162"/>
      <c r="CK26" s="162"/>
      <c r="CL26" s="162"/>
      <c r="CM26" s="162"/>
      <c r="CN26" s="162"/>
      <c r="CO26" s="162"/>
      <c r="CP26" s="162"/>
      <c r="CQ26" s="162"/>
      <c r="CR26" s="162"/>
      <c r="CS26" s="162"/>
      <c r="CT26" s="162"/>
      <c r="CU26" s="162"/>
      <c r="CV26" s="162"/>
      <c r="CW26" s="162"/>
      <c r="CX26" s="162"/>
      <c r="CY26" s="162"/>
      <c r="CZ26" s="162"/>
      <c r="DA26" s="162"/>
      <c r="DB26" s="162"/>
      <c r="DC26" s="162"/>
      <c r="DD26" s="162"/>
    </row>
    <row r="27" spans="1:108" hidden="1" outlineLevel="1" x14ac:dyDescent="0.2">
      <c r="A27" s="162"/>
      <c r="B27" s="162"/>
      <c r="C27" s="162"/>
      <c r="D27" s="162"/>
      <c r="E27" s="616" t="s">
        <v>255</v>
      </c>
      <c r="F27" s="162"/>
      <c r="G27" s="162"/>
      <c r="H27" s="162"/>
      <c r="I27" s="162"/>
      <c r="J27" s="162"/>
      <c r="K27" s="162"/>
      <c r="L27" s="162"/>
      <c r="M27" s="162"/>
      <c r="N27" s="162"/>
      <c r="O27" s="162"/>
      <c r="P27" s="162"/>
      <c r="Q27" s="162"/>
      <c r="R27" s="162"/>
      <c r="S27" s="162"/>
      <c r="T27" s="162"/>
      <c r="U27" s="162"/>
      <c r="V27" s="162"/>
      <c r="W27" s="162"/>
      <c r="X27" s="162"/>
      <c r="Y27" s="162"/>
      <c r="Z27" s="162"/>
      <c r="AA27" s="162"/>
      <c r="AB27" s="162"/>
      <c r="AC27" s="162"/>
      <c r="AD27" s="162"/>
      <c r="AE27" s="162"/>
      <c r="AF27" s="162"/>
      <c r="AG27" s="162"/>
      <c r="AH27" s="162"/>
      <c r="AI27" s="162"/>
      <c r="AJ27" s="162"/>
      <c r="AK27" s="162"/>
      <c r="AL27" s="162"/>
      <c r="AM27" s="162"/>
      <c r="AN27" s="162"/>
      <c r="AO27" s="162"/>
      <c r="AP27" s="162"/>
      <c r="AQ27" s="162"/>
      <c r="AR27" s="162"/>
      <c r="AS27" s="162"/>
      <c r="AT27" s="162"/>
      <c r="AU27" s="162"/>
      <c r="AV27" s="162"/>
      <c r="AW27" s="162"/>
      <c r="AX27" s="162"/>
      <c r="AY27" s="162"/>
      <c r="AZ27" s="162"/>
      <c r="BA27" s="162"/>
      <c r="BB27" s="162"/>
      <c r="BC27" s="162"/>
      <c r="BD27" s="162"/>
      <c r="BE27" s="162"/>
      <c r="BF27" s="162"/>
      <c r="BG27" s="162"/>
      <c r="BH27" s="162"/>
      <c r="BI27" s="162"/>
      <c r="BJ27" s="162"/>
      <c r="BK27" s="162"/>
      <c r="BL27" s="162"/>
      <c r="BM27" s="162"/>
      <c r="BN27" s="162"/>
      <c r="BO27" s="162"/>
      <c r="BP27" s="162"/>
      <c r="BQ27" s="162"/>
      <c r="BR27" s="162"/>
      <c r="BS27" s="162"/>
      <c r="BT27" s="162"/>
      <c r="BU27" s="162"/>
      <c r="BV27" s="162"/>
      <c r="BW27" s="162"/>
      <c r="BX27" s="162"/>
      <c r="BY27" s="162"/>
      <c r="BZ27" s="162"/>
      <c r="CA27" s="162"/>
      <c r="CB27" s="162"/>
      <c r="CC27" s="162"/>
      <c r="CD27" s="162"/>
      <c r="CE27" s="162"/>
      <c r="CF27" s="162"/>
      <c r="CG27" s="162"/>
      <c r="CH27" s="162"/>
      <c r="CI27" s="162"/>
      <c r="CJ27" s="162"/>
      <c r="CK27" s="162"/>
      <c r="CL27" s="162"/>
      <c r="CM27" s="162"/>
      <c r="CN27" s="162"/>
      <c r="CO27" s="162"/>
      <c r="CP27" s="162"/>
      <c r="CQ27" s="162"/>
      <c r="CR27" s="162"/>
      <c r="CS27" s="162"/>
      <c r="CT27" s="162"/>
      <c r="CU27" s="162"/>
      <c r="CV27" s="162"/>
      <c r="CW27" s="162"/>
      <c r="CX27" s="162"/>
      <c r="CY27" s="162"/>
      <c r="CZ27" s="162"/>
      <c r="DA27" s="162"/>
      <c r="DB27" s="162"/>
      <c r="DC27" s="162"/>
      <c r="DD27" s="162"/>
    </row>
    <row r="28" spans="1:108" hidden="1" outlineLevel="1" x14ac:dyDescent="0.2">
      <c r="A28" s="162"/>
      <c r="B28" s="162"/>
      <c r="C28" s="162"/>
      <c r="D28" s="162"/>
      <c r="E28" s="78">
        <f>IF(J22&lt;&gt;"",J22,FirstYear)</f>
        <v>2021</v>
      </c>
      <c r="F28" s="81">
        <f>E28+1</f>
        <v>2022</v>
      </c>
      <c r="G28" s="81">
        <f>F28+1</f>
        <v>2023</v>
      </c>
      <c r="H28" s="81">
        <f>G28+1</f>
        <v>2024</v>
      </c>
      <c r="I28" s="81">
        <f>H28+1</f>
        <v>2025</v>
      </c>
      <c r="J28" s="81">
        <f>I28+1</f>
        <v>2026</v>
      </c>
      <c r="K28" s="162"/>
      <c r="L28" s="162"/>
      <c r="M28" s="162"/>
      <c r="N28" s="162"/>
      <c r="O28" s="162"/>
      <c r="P28" s="162"/>
      <c r="Q28" s="162"/>
      <c r="R28" s="162"/>
      <c r="S28" s="162"/>
      <c r="T28" s="162"/>
      <c r="U28" s="162"/>
      <c r="V28" s="162"/>
      <c r="W28" s="162"/>
      <c r="X28" s="162"/>
      <c r="Y28" s="162"/>
      <c r="Z28" s="162"/>
      <c r="AA28" s="162"/>
      <c r="AB28" s="162"/>
      <c r="AC28" s="162"/>
      <c r="AD28" s="162"/>
      <c r="AE28" s="162"/>
      <c r="AF28" s="162"/>
      <c r="AG28" s="162"/>
      <c r="AH28" s="162"/>
      <c r="AI28" s="162"/>
      <c r="AJ28" s="162"/>
      <c r="AK28" s="162"/>
      <c r="AL28" s="162"/>
      <c r="AM28" s="162"/>
      <c r="AN28" s="162"/>
      <c r="AO28" s="162"/>
      <c r="AP28" s="162"/>
      <c r="AQ28" s="162"/>
      <c r="AR28" s="162"/>
      <c r="AS28" s="162"/>
      <c r="AT28" s="162"/>
      <c r="AU28" s="162"/>
      <c r="AV28" s="162"/>
      <c r="AW28" s="162"/>
      <c r="AX28" s="162"/>
      <c r="AY28" s="162"/>
      <c r="AZ28" s="162"/>
      <c r="BA28" s="162"/>
      <c r="BB28" s="162"/>
      <c r="BC28" s="162"/>
      <c r="BD28" s="162"/>
      <c r="BE28" s="162"/>
      <c r="BF28" s="162"/>
      <c r="BG28" s="162"/>
      <c r="BH28" s="162"/>
      <c r="BI28" s="162"/>
      <c r="BJ28" s="162"/>
      <c r="BK28" s="162"/>
      <c r="BL28" s="162"/>
      <c r="BM28" s="162"/>
      <c r="BN28" s="162"/>
      <c r="BO28" s="162"/>
      <c r="BP28" s="162"/>
      <c r="BQ28" s="162"/>
      <c r="BR28" s="162"/>
      <c r="BS28" s="162"/>
      <c r="BT28" s="162"/>
      <c r="BU28" s="162"/>
      <c r="BV28" s="162"/>
      <c r="BW28" s="162"/>
      <c r="BX28" s="162"/>
      <c r="BY28" s="162"/>
      <c r="BZ28" s="162"/>
      <c r="CA28" s="162"/>
      <c r="CB28" s="162"/>
      <c r="CC28" s="162"/>
      <c r="CD28" s="162"/>
      <c r="CE28" s="162"/>
      <c r="CF28" s="162"/>
      <c r="CG28" s="162"/>
      <c r="CH28" s="162"/>
      <c r="CI28" s="162"/>
      <c r="CJ28" s="162"/>
      <c r="CK28" s="162"/>
      <c r="CL28" s="162"/>
      <c r="CM28" s="162"/>
      <c r="CN28" s="162"/>
      <c r="CO28" s="162"/>
      <c r="CP28" s="162"/>
      <c r="CQ28" s="162"/>
      <c r="CR28" s="162"/>
      <c r="CS28" s="162"/>
      <c r="CT28" s="162"/>
      <c r="CU28" s="162"/>
      <c r="CV28" s="162"/>
      <c r="CW28" s="162"/>
      <c r="CX28" s="162"/>
      <c r="CY28" s="162"/>
      <c r="CZ28" s="162"/>
      <c r="DA28" s="162"/>
      <c r="DB28" s="162"/>
      <c r="DC28" s="162"/>
      <c r="DD28" s="162"/>
    </row>
    <row r="29" spans="1:108" hidden="1" outlineLevel="1" x14ac:dyDescent="0.2">
      <c r="A29" s="162"/>
      <c r="B29" s="162"/>
      <c r="C29" s="162"/>
      <c r="D29" s="162"/>
      <c r="E29" s="63">
        <f t="shared" ref="E29:J29" si="10">IF($B$19&lt;&gt;0,VLOOKUP($B$19,$C$32:$J$34,E30)*$G25,0)</f>
        <v>0</v>
      </c>
      <c r="F29" s="63">
        <f t="shared" si="10"/>
        <v>0</v>
      </c>
      <c r="G29" s="63">
        <f t="shared" si="10"/>
        <v>0</v>
      </c>
      <c r="H29" s="63">
        <f t="shared" si="10"/>
        <v>0</v>
      </c>
      <c r="I29" s="63">
        <f t="shared" si="10"/>
        <v>0</v>
      </c>
      <c r="J29" s="63">
        <f t="shared" si="10"/>
        <v>0</v>
      </c>
      <c r="K29" s="162"/>
      <c r="L29" s="162"/>
      <c r="M29" s="162"/>
      <c r="N29" s="162"/>
      <c r="O29" s="162"/>
      <c r="P29" s="162"/>
      <c r="Q29" s="162"/>
      <c r="R29" s="162"/>
      <c r="S29" s="162"/>
      <c r="T29" s="162"/>
      <c r="U29" s="162"/>
      <c r="V29" s="162"/>
      <c r="W29" s="162"/>
      <c r="X29" s="162"/>
      <c r="Y29" s="162"/>
      <c r="Z29" s="162"/>
      <c r="AA29" s="162"/>
      <c r="AB29" s="162"/>
      <c r="AC29" s="162"/>
      <c r="AD29" s="162"/>
      <c r="AE29" s="162"/>
      <c r="AF29" s="162"/>
      <c r="AG29" s="162"/>
      <c r="AH29" s="162"/>
      <c r="AI29" s="162"/>
      <c r="AJ29" s="162"/>
      <c r="AK29" s="162"/>
      <c r="AL29" s="162"/>
      <c r="AM29" s="162"/>
      <c r="AN29" s="162"/>
      <c r="AO29" s="162"/>
      <c r="AP29" s="162"/>
      <c r="AQ29" s="162"/>
      <c r="AR29" s="162"/>
      <c r="AS29" s="162"/>
      <c r="AT29" s="162"/>
      <c r="AU29" s="162"/>
      <c r="AV29" s="162"/>
      <c r="AW29" s="162"/>
      <c r="AX29" s="162"/>
      <c r="AY29" s="162"/>
      <c r="AZ29" s="162"/>
      <c r="BA29" s="162"/>
      <c r="BB29" s="162"/>
      <c r="BC29" s="162"/>
      <c r="BD29" s="162"/>
      <c r="BE29" s="162"/>
      <c r="BF29" s="162"/>
      <c r="BG29" s="162"/>
      <c r="BH29" s="162"/>
      <c r="BI29" s="162"/>
      <c r="BJ29" s="162"/>
      <c r="BK29" s="162"/>
      <c r="BL29" s="162"/>
      <c r="BM29" s="162"/>
      <c r="BN29" s="162"/>
      <c r="BO29" s="162"/>
      <c r="BP29" s="162"/>
      <c r="BQ29" s="162"/>
      <c r="BR29" s="162"/>
      <c r="BS29" s="162"/>
      <c r="BT29" s="162"/>
      <c r="BU29" s="162"/>
      <c r="BV29" s="162"/>
      <c r="BW29" s="162"/>
      <c r="BX29" s="162"/>
      <c r="BY29" s="162"/>
      <c r="BZ29" s="162"/>
      <c r="CA29" s="162"/>
      <c r="CB29" s="162"/>
      <c r="CC29" s="162"/>
      <c r="CD29" s="162"/>
      <c r="CE29" s="162"/>
      <c r="CF29" s="162"/>
      <c r="CG29" s="162"/>
      <c r="CH29" s="162"/>
      <c r="CI29" s="162"/>
      <c r="CJ29" s="162"/>
      <c r="CK29" s="162"/>
      <c r="CL29" s="162"/>
      <c r="CM29" s="162"/>
      <c r="CN29" s="162"/>
      <c r="CO29" s="162"/>
      <c r="CP29" s="162"/>
      <c r="CQ29" s="162"/>
      <c r="CR29" s="162"/>
      <c r="CS29" s="162"/>
      <c r="CT29" s="162"/>
      <c r="CU29" s="162"/>
      <c r="CV29" s="162"/>
      <c r="CW29" s="162"/>
      <c r="CX29" s="162"/>
      <c r="CY29" s="162"/>
      <c r="CZ29" s="162"/>
      <c r="DA29" s="162"/>
      <c r="DB29" s="162"/>
      <c r="DC29" s="162"/>
      <c r="DD29" s="162"/>
    </row>
    <row r="30" spans="1:108" hidden="1" outlineLevel="1" x14ac:dyDescent="0.2">
      <c r="A30" s="162"/>
      <c r="B30" s="162"/>
      <c r="C30" s="162"/>
      <c r="D30" s="162"/>
      <c r="E30" s="650">
        <v>3</v>
      </c>
      <c r="F30" s="650">
        <v>4</v>
      </c>
      <c r="G30" s="650">
        <v>5</v>
      </c>
      <c r="H30" s="650">
        <v>6</v>
      </c>
      <c r="I30" s="650">
        <v>7</v>
      </c>
      <c r="J30" s="650">
        <v>8</v>
      </c>
      <c r="K30" s="162"/>
      <c r="L30" s="162"/>
      <c r="M30" s="162"/>
      <c r="N30" s="162"/>
      <c r="O30" s="162"/>
      <c r="P30" s="162"/>
      <c r="Q30" s="162"/>
      <c r="R30" s="162"/>
      <c r="S30" s="162"/>
      <c r="T30" s="162"/>
      <c r="U30" s="162"/>
      <c r="V30" s="162"/>
      <c r="W30" s="162"/>
      <c r="X30" s="162"/>
      <c r="Y30" s="162"/>
      <c r="Z30" s="162"/>
      <c r="AA30" s="162"/>
      <c r="AB30" s="162"/>
      <c r="AC30" s="162"/>
      <c r="AD30" s="162"/>
      <c r="AE30" s="162"/>
      <c r="AF30" s="162"/>
      <c r="AG30" s="162"/>
      <c r="AH30" s="162"/>
      <c r="AI30" s="162"/>
      <c r="AJ30" s="162"/>
      <c r="AK30" s="162"/>
      <c r="AL30" s="162"/>
      <c r="AM30" s="162"/>
      <c r="AN30" s="162"/>
      <c r="AO30" s="162"/>
      <c r="AP30" s="162"/>
      <c r="AQ30" s="162"/>
      <c r="AR30" s="162"/>
      <c r="AS30" s="162"/>
      <c r="AT30" s="162"/>
      <c r="AU30" s="162"/>
      <c r="AV30" s="162"/>
      <c r="AW30" s="162"/>
      <c r="AX30" s="162"/>
      <c r="AY30" s="162"/>
      <c r="AZ30" s="162"/>
      <c r="BA30" s="162"/>
      <c r="BB30" s="162"/>
      <c r="BC30" s="162"/>
      <c r="BD30" s="162"/>
      <c r="BE30" s="162"/>
      <c r="BF30" s="162"/>
      <c r="BG30" s="162"/>
      <c r="BH30" s="162"/>
      <c r="BI30" s="162"/>
      <c r="BJ30" s="162"/>
      <c r="BK30" s="162"/>
      <c r="BL30" s="162"/>
      <c r="BM30" s="162"/>
      <c r="BN30" s="162"/>
      <c r="BO30" s="162"/>
      <c r="BP30" s="162"/>
      <c r="BQ30" s="162"/>
      <c r="BR30" s="162"/>
      <c r="BS30" s="162"/>
      <c r="BT30" s="162"/>
      <c r="BU30" s="162"/>
      <c r="BV30" s="162"/>
      <c r="BW30" s="162"/>
      <c r="BX30" s="162"/>
      <c r="BY30" s="162"/>
      <c r="BZ30" s="162"/>
      <c r="CA30" s="162"/>
      <c r="CB30" s="162"/>
      <c r="CC30" s="162"/>
      <c r="CD30" s="162"/>
      <c r="CE30" s="162"/>
      <c r="CF30" s="162"/>
      <c r="CG30" s="162"/>
      <c r="CH30" s="162"/>
      <c r="CI30" s="162"/>
      <c r="CJ30" s="162"/>
      <c r="CK30" s="162"/>
      <c r="CL30" s="162"/>
      <c r="CM30" s="162"/>
      <c r="CN30" s="162"/>
      <c r="CO30" s="162"/>
      <c r="CP30" s="162"/>
      <c r="CQ30" s="162"/>
      <c r="CR30" s="162"/>
      <c r="CS30" s="162"/>
      <c r="CT30" s="162"/>
      <c r="CU30" s="162"/>
      <c r="CV30" s="162"/>
      <c r="CW30" s="162"/>
      <c r="CX30" s="162"/>
      <c r="CY30" s="162"/>
      <c r="CZ30" s="162"/>
      <c r="DA30" s="162"/>
      <c r="DB30" s="162"/>
      <c r="DC30" s="162"/>
      <c r="DD30" s="162"/>
    </row>
    <row r="31" spans="1:108" hidden="1" outlineLevel="1" x14ac:dyDescent="0.2">
      <c r="A31" s="162"/>
      <c r="B31" s="162"/>
      <c r="C31" s="162"/>
      <c r="D31" s="31" t="s">
        <v>324</v>
      </c>
      <c r="E31" s="78">
        <f t="shared" ref="E31:J31" si="11">E28</f>
        <v>2021</v>
      </c>
      <c r="F31" s="78">
        <f t="shared" si="11"/>
        <v>2022</v>
      </c>
      <c r="G31" s="78">
        <f t="shared" si="11"/>
        <v>2023</v>
      </c>
      <c r="H31" s="78">
        <f t="shared" si="11"/>
        <v>2024</v>
      </c>
      <c r="I31" s="78">
        <f t="shared" si="11"/>
        <v>2025</v>
      </c>
      <c r="J31" s="78">
        <f t="shared" si="11"/>
        <v>2026</v>
      </c>
      <c r="K31" s="162"/>
      <c r="L31" s="162"/>
      <c r="M31" s="162"/>
      <c r="N31" s="162"/>
      <c r="O31" s="162"/>
      <c r="P31" s="162"/>
      <c r="Q31" s="162"/>
      <c r="R31" s="162"/>
      <c r="S31" s="162"/>
      <c r="T31" s="162"/>
      <c r="U31" s="162"/>
      <c r="V31" s="162"/>
      <c r="W31" s="162"/>
      <c r="X31" s="162"/>
      <c r="Y31" s="162"/>
      <c r="Z31" s="162"/>
      <c r="AA31" s="162"/>
      <c r="AB31" s="162"/>
      <c r="AC31" s="162"/>
      <c r="AD31" s="162"/>
      <c r="AE31" s="162"/>
      <c r="AF31" s="162"/>
      <c r="AG31" s="162"/>
      <c r="AH31" s="162"/>
      <c r="AI31" s="162"/>
      <c r="AJ31" s="162"/>
      <c r="AK31" s="162"/>
      <c r="AL31" s="162"/>
      <c r="AM31" s="162"/>
      <c r="AN31" s="162"/>
      <c r="AO31" s="162"/>
      <c r="AP31" s="162"/>
      <c r="AQ31" s="162"/>
      <c r="AR31" s="162"/>
      <c r="AS31" s="162"/>
      <c r="AT31" s="162"/>
      <c r="AU31" s="162"/>
      <c r="AV31" s="162"/>
      <c r="AW31" s="162"/>
      <c r="AX31" s="162"/>
      <c r="AY31" s="162"/>
      <c r="AZ31" s="162"/>
      <c r="BA31" s="162"/>
      <c r="BB31" s="162"/>
      <c r="BC31" s="162"/>
      <c r="BD31" s="162"/>
      <c r="BE31" s="162"/>
      <c r="BF31" s="162"/>
      <c r="BG31" s="162"/>
      <c r="BH31" s="162"/>
      <c r="BI31" s="162"/>
      <c r="BJ31" s="162"/>
      <c r="BK31" s="162"/>
      <c r="BL31" s="162"/>
      <c r="BM31" s="162"/>
      <c r="BN31" s="162"/>
      <c r="BO31" s="162"/>
      <c r="BP31" s="162"/>
      <c r="BQ31" s="162"/>
      <c r="BR31" s="162"/>
      <c r="BS31" s="162"/>
      <c r="BT31" s="162"/>
      <c r="BU31" s="162"/>
      <c r="BV31" s="162"/>
      <c r="BW31" s="162"/>
      <c r="BX31" s="162"/>
      <c r="BY31" s="162"/>
      <c r="BZ31" s="162"/>
      <c r="CA31" s="162"/>
      <c r="CB31" s="162"/>
      <c r="CC31" s="162"/>
      <c r="CD31" s="162"/>
      <c r="CE31" s="162"/>
      <c r="CF31" s="162"/>
      <c r="CG31" s="162"/>
      <c r="CH31" s="162"/>
      <c r="CI31" s="162"/>
      <c r="CJ31" s="162"/>
      <c r="CK31" s="162"/>
      <c r="CL31" s="162"/>
      <c r="CM31" s="162"/>
      <c r="CN31" s="162"/>
      <c r="CO31" s="162"/>
      <c r="CP31" s="162"/>
      <c r="CQ31" s="162"/>
      <c r="CR31" s="162"/>
      <c r="CS31" s="162"/>
      <c r="CT31" s="162"/>
      <c r="CU31" s="162"/>
      <c r="CV31" s="162"/>
      <c r="CW31" s="162"/>
      <c r="CX31" s="162"/>
      <c r="CY31" s="162"/>
      <c r="CZ31" s="162"/>
      <c r="DA31" s="162"/>
      <c r="DB31" s="162"/>
      <c r="DC31" s="162"/>
      <c r="DD31" s="162"/>
    </row>
    <row r="32" spans="1:108" hidden="1" outlineLevel="1" x14ac:dyDescent="0.2">
      <c r="A32" s="162"/>
      <c r="B32" s="162"/>
      <c r="C32" s="58">
        <v>1</v>
      </c>
      <c r="D32" s="177" t="s">
        <v>240</v>
      </c>
      <c r="E32" s="63">
        <f t="shared" ref="E32:J32" si="12">SUMPRODUCT(($D$203:$D$221=E31)*($E$202:$DA$202&gt;=$E$23)*($E$202:$DA$202&lt;=$F$23)*($E$203:$DA$221))</f>
        <v>26301274</v>
      </c>
      <c r="F32" s="63">
        <f t="shared" si="12"/>
        <v>26727025</v>
      </c>
      <c r="G32" s="63">
        <f t="shared" si="12"/>
        <v>27147199</v>
      </c>
      <c r="H32" s="63">
        <f t="shared" si="12"/>
        <v>27562195</v>
      </c>
      <c r="I32" s="63">
        <f t="shared" si="12"/>
        <v>27970435</v>
      </c>
      <c r="J32" s="63">
        <f t="shared" si="12"/>
        <v>28372315</v>
      </c>
      <c r="K32" s="162"/>
      <c r="L32" s="162"/>
      <c r="M32" s="162"/>
      <c r="N32" s="162"/>
      <c r="O32" s="162"/>
      <c r="P32" s="162"/>
      <c r="Q32" s="162"/>
      <c r="R32" s="162"/>
      <c r="S32" s="162"/>
      <c r="T32" s="162"/>
      <c r="U32" s="162"/>
      <c r="V32" s="162"/>
      <c r="W32" s="162"/>
      <c r="X32" s="162"/>
      <c r="Y32" s="162"/>
      <c r="Z32" s="162"/>
      <c r="AA32" s="162"/>
      <c r="AB32" s="162"/>
      <c r="AC32" s="162"/>
      <c r="AD32" s="162"/>
      <c r="AE32" s="162"/>
      <c r="AF32" s="162"/>
      <c r="AG32" s="162"/>
      <c r="AH32" s="162"/>
      <c r="AI32" s="162"/>
      <c r="AJ32" s="162"/>
      <c r="AK32" s="162"/>
      <c r="AL32" s="162"/>
      <c r="AM32" s="162"/>
      <c r="AN32" s="162"/>
      <c r="AO32" s="162"/>
      <c r="AP32" s="162"/>
      <c r="AQ32" s="162"/>
      <c r="AR32" s="162"/>
      <c r="AS32" s="162"/>
      <c r="AT32" s="162"/>
      <c r="AU32" s="162"/>
      <c r="AV32" s="162"/>
      <c r="AW32" s="162"/>
      <c r="AX32" s="162"/>
      <c r="AY32" s="162"/>
      <c r="AZ32" s="162"/>
      <c r="BA32" s="162"/>
      <c r="BB32" s="162"/>
      <c r="BC32" s="162"/>
      <c r="BD32" s="162"/>
      <c r="BE32" s="162"/>
      <c r="BF32" s="162"/>
      <c r="BG32" s="162"/>
      <c r="BH32" s="162"/>
      <c r="BI32" s="162"/>
      <c r="BJ32" s="162"/>
      <c r="BK32" s="162"/>
      <c r="BL32" s="162"/>
      <c r="BM32" s="162"/>
      <c r="BN32" s="162"/>
      <c r="BO32" s="162"/>
      <c r="BP32" s="162"/>
      <c r="BQ32" s="162"/>
      <c r="BR32" s="162"/>
      <c r="BS32" s="162"/>
      <c r="BT32" s="162"/>
      <c r="BU32" s="162"/>
      <c r="BV32" s="162"/>
      <c r="BW32" s="162"/>
      <c r="BX32" s="162"/>
      <c r="BY32" s="162"/>
      <c r="BZ32" s="162"/>
      <c r="CA32" s="162"/>
      <c r="CB32" s="162"/>
      <c r="CC32" s="162"/>
      <c r="CD32" s="162"/>
      <c r="CE32" s="162"/>
      <c r="CF32" s="162"/>
      <c r="CG32" s="162"/>
      <c r="CH32" s="162"/>
      <c r="CI32" s="162"/>
      <c r="CJ32" s="162"/>
      <c r="CK32" s="162"/>
      <c r="CL32" s="162"/>
      <c r="CM32" s="162"/>
      <c r="CN32" s="162"/>
      <c r="CO32" s="162"/>
      <c r="CP32" s="162"/>
      <c r="CQ32" s="162"/>
      <c r="CR32" s="162"/>
      <c r="CS32" s="162"/>
      <c r="CT32" s="162"/>
      <c r="CU32" s="162"/>
      <c r="CV32" s="162"/>
      <c r="CW32" s="162"/>
      <c r="CX32" s="162"/>
      <c r="CY32" s="162"/>
      <c r="CZ32" s="162"/>
      <c r="DA32" s="162"/>
      <c r="DB32" s="162"/>
      <c r="DC32" s="162"/>
      <c r="DD32" s="162"/>
    </row>
    <row r="33" spans="1:108" hidden="1" outlineLevel="1" x14ac:dyDescent="0.2">
      <c r="A33" s="162"/>
      <c r="B33" s="162"/>
      <c r="C33" s="58">
        <v>2</v>
      </c>
      <c r="D33" s="177" t="s">
        <v>243</v>
      </c>
      <c r="E33" s="63">
        <f t="shared" ref="E33:J33" si="13">SUMPRODUCT(($D$228:$D$246=E31)*($E$227:$DA$227&gt;=$E$23)*($E$227:$DA$227&lt;=$F$23)*($E$228:$DA$246))</f>
        <v>13039532</v>
      </c>
      <c r="F33" s="63">
        <f t="shared" si="13"/>
        <v>13248872</v>
      </c>
      <c r="G33" s="63">
        <f t="shared" si="13"/>
        <v>13455403</v>
      </c>
      <c r="H33" s="63">
        <f t="shared" si="13"/>
        <v>13659298</v>
      </c>
      <c r="I33" s="63">
        <f t="shared" si="13"/>
        <v>13859813</v>
      </c>
      <c r="J33" s="63">
        <f t="shared" si="13"/>
        <v>14057138</v>
      </c>
      <c r="K33" s="162"/>
      <c r="L33" s="162"/>
      <c r="M33" s="162"/>
      <c r="N33" s="162"/>
      <c r="O33" s="162"/>
      <c r="P33" s="162"/>
      <c r="Q33" s="162"/>
      <c r="R33" s="162"/>
      <c r="S33" s="162"/>
      <c r="T33" s="162"/>
      <c r="U33" s="162"/>
      <c r="V33" s="162"/>
      <c r="W33" s="162"/>
      <c r="X33" s="162"/>
      <c r="Y33" s="162"/>
      <c r="Z33" s="162"/>
      <c r="AA33" s="162"/>
      <c r="AB33" s="162"/>
      <c r="AC33" s="162"/>
      <c r="AD33" s="162"/>
      <c r="AE33" s="162"/>
      <c r="AF33" s="162"/>
      <c r="AG33" s="162"/>
      <c r="AH33" s="162"/>
      <c r="AI33" s="162"/>
      <c r="AJ33" s="162"/>
      <c r="AK33" s="162"/>
      <c r="AL33" s="162"/>
      <c r="AM33" s="162"/>
      <c r="AN33" s="162"/>
      <c r="AO33" s="162"/>
      <c r="AP33" s="162"/>
      <c r="AQ33" s="162"/>
      <c r="AR33" s="162"/>
      <c r="AS33" s="162"/>
      <c r="AT33" s="162"/>
      <c r="AU33" s="162"/>
      <c r="AV33" s="162"/>
      <c r="AW33" s="162"/>
      <c r="AX33" s="162"/>
      <c r="AY33" s="162"/>
      <c r="AZ33" s="162"/>
      <c r="BA33" s="162"/>
      <c r="BB33" s="162"/>
      <c r="BC33" s="162"/>
      <c r="BD33" s="162"/>
      <c r="BE33" s="162"/>
      <c r="BF33" s="162"/>
      <c r="BG33" s="162"/>
      <c r="BH33" s="162"/>
      <c r="BI33" s="162"/>
      <c r="BJ33" s="162"/>
      <c r="BK33" s="162"/>
      <c r="BL33" s="162"/>
      <c r="BM33" s="162"/>
      <c r="BN33" s="162"/>
      <c r="BO33" s="162"/>
      <c r="BP33" s="162"/>
      <c r="BQ33" s="162"/>
      <c r="BR33" s="162"/>
      <c r="BS33" s="162"/>
      <c r="BT33" s="162"/>
      <c r="BU33" s="162"/>
      <c r="BV33" s="162"/>
      <c r="BW33" s="162"/>
      <c r="BX33" s="162"/>
      <c r="BY33" s="162"/>
      <c r="BZ33" s="162"/>
      <c r="CA33" s="162"/>
      <c r="CB33" s="162"/>
      <c r="CC33" s="162"/>
      <c r="CD33" s="162"/>
      <c r="CE33" s="162"/>
      <c r="CF33" s="162"/>
      <c r="CG33" s="162"/>
      <c r="CH33" s="162"/>
      <c r="CI33" s="162"/>
      <c r="CJ33" s="162"/>
      <c r="CK33" s="162"/>
      <c r="CL33" s="162"/>
      <c r="CM33" s="162"/>
      <c r="CN33" s="162"/>
      <c r="CO33" s="162"/>
      <c r="CP33" s="162"/>
      <c r="CQ33" s="162"/>
      <c r="CR33" s="162"/>
      <c r="CS33" s="162"/>
      <c r="CT33" s="162"/>
      <c r="CU33" s="162"/>
      <c r="CV33" s="162"/>
      <c r="CW33" s="162"/>
      <c r="CX33" s="162"/>
      <c r="CY33" s="162"/>
      <c r="CZ33" s="162"/>
      <c r="DA33" s="162"/>
      <c r="DB33" s="162"/>
      <c r="DC33" s="162"/>
      <c r="DD33" s="162"/>
    </row>
    <row r="34" spans="1:108" hidden="1" outlineLevel="1" x14ac:dyDescent="0.2">
      <c r="A34" s="162"/>
      <c r="B34" s="162"/>
      <c r="C34" s="58">
        <v>3</v>
      </c>
      <c r="D34" s="177" t="s">
        <v>244</v>
      </c>
      <c r="E34" s="63">
        <f t="shared" ref="E34:J34" si="14">SUMPRODUCT(($D$253:$D$271=E31)*($E$252:$DA$252&gt;=$E$23)*($E$252:$DA$252&lt;=$F$23)*($E$253:$DA$271))</f>
        <v>13261742</v>
      </c>
      <c r="F34" s="63">
        <f t="shared" si="14"/>
        <v>13478153</v>
      </c>
      <c r="G34" s="63">
        <f t="shared" si="14"/>
        <v>13691796</v>
      </c>
      <c r="H34" s="63">
        <f t="shared" si="14"/>
        <v>13902897</v>
      </c>
      <c r="I34" s="63">
        <f t="shared" si="14"/>
        <v>14110622</v>
      </c>
      <c r="J34" s="63">
        <f t="shared" si="14"/>
        <v>14315177</v>
      </c>
      <c r="K34" s="162"/>
      <c r="L34" s="162"/>
      <c r="M34" s="162"/>
      <c r="N34" s="162"/>
      <c r="O34" s="162"/>
      <c r="P34" s="162"/>
      <c r="Q34" s="162"/>
      <c r="R34" s="162"/>
      <c r="S34" s="162"/>
      <c r="T34" s="162"/>
      <c r="U34" s="162"/>
      <c r="V34" s="162"/>
      <c r="W34" s="162"/>
      <c r="X34" s="162"/>
      <c r="Y34" s="162"/>
      <c r="Z34" s="162"/>
      <c r="AA34" s="162"/>
      <c r="AB34" s="162"/>
      <c r="AC34" s="162"/>
      <c r="AD34" s="162"/>
      <c r="AE34" s="162"/>
      <c r="AF34" s="162"/>
      <c r="AG34" s="162"/>
      <c r="AH34" s="162"/>
      <c r="AI34" s="162"/>
      <c r="AJ34" s="162"/>
      <c r="AK34" s="162"/>
      <c r="AL34" s="162"/>
      <c r="AM34" s="162"/>
      <c r="AN34" s="162"/>
      <c r="AO34" s="162"/>
      <c r="AP34" s="162"/>
      <c r="AQ34" s="162"/>
      <c r="AR34" s="162"/>
      <c r="AS34" s="162"/>
      <c r="AT34" s="162"/>
      <c r="AU34" s="162"/>
      <c r="AV34" s="162"/>
      <c r="AW34" s="162"/>
      <c r="AX34" s="162"/>
      <c r="AY34" s="162"/>
      <c r="AZ34" s="162"/>
      <c r="BA34" s="162"/>
      <c r="BB34" s="162"/>
      <c r="BC34" s="162"/>
      <c r="BD34" s="162"/>
      <c r="BE34" s="162"/>
      <c r="BF34" s="162"/>
      <c r="BG34" s="162"/>
      <c r="BH34" s="162"/>
      <c r="BI34" s="162"/>
      <c r="BJ34" s="162"/>
      <c r="BK34" s="162"/>
      <c r="BL34" s="162"/>
      <c r="BM34" s="162"/>
      <c r="BN34" s="162"/>
      <c r="BO34" s="162"/>
      <c r="BP34" s="162"/>
      <c r="BQ34" s="162"/>
      <c r="BR34" s="162"/>
      <c r="BS34" s="162"/>
      <c r="BT34" s="162"/>
      <c r="BU34" s="162"/>
      <c r="BV34" s="162"/>
      <c r="BW34" s="162"/>
      <c r="BX34" s="162"/>
      <c r="BY34" s="162"/>
      <c r="BZ34" s="162"/>
      <c r="CA34" s="162"/>
      <c r="CB34" s="162"/>
      <c r="CC34" s="162"/>
      <c r="CD34" s="162"/>
      <c r="CE34" s="162"/>
      <c r="CF34" s="162"/>
      <c r="CG34" s="162"/>
      <c r="CH34" s="162"/>
      <c r="CI34" s="162"/>
      <c r="CJ34" s="162"/>
      <c r="CK34" s="162"/>
      <c r="CL34" s="162"/>
      <c r="CM34" s="162"/>
      <c r="CN34" s="162"/>
      <c r="CO34" s="162"/>
      <c r="CP34" s="162"/>
      <c r="CQ34" s="162"/>
      <c r="CR34" s="162"/>
      <c r="CS34" s="162"/>
      <c r="CT34" s="162"/>
      <c r="CU34" s="162"/>
      <c r="CV34" s="162"/>
      <c r="CW34" s="162"/>
      <c r="CX34" s="162"/>
      <c r="CY34" s="162"/>
      <c r="CZ34" s="162"/>
      <c r="DA34" s="162"/>
      <c r="DB34" s="162"/>
      <c r="DC34" s="162"/>
      <c r="DD34" s="162"/>
    </row>
    <row r="35" spans="1:108" hidden="1" outlineLevel="1" x14ac:dyDescent="0.2">
      <c r="A35" s="162"/>
      <c r="B35" s="162"/>
      <c r="C35" s="162"/>
      <c r="D35" s="162"/>
      <c r="E35" s="162"/>
      <c r="F35" s="162"/>
      <c r="G35" s="162"/>
      <c r="H35" s="162"/>
      <c r="I35" s="162"/>
      <c r="J35" s="162"/>
      <c r="K35" s="162"/>
      <c r="L35" s="162"/>
      <c r="M35" s="162"/>
      <c r="N35" s="162"/>
      <c r="O35" s="162"/>
      <c r="P35" s="162"/>
      <c r="Q35" s="162"/>
      <c r="R35" s="162"/>
      <c r="S35" s="162"/>
      <c r="T35" s="162"/>
      <c r="U35" s="162"/>
      <c r="V35" s="162"/>
      <c r="W35" s="162"/>
      <c r="X35" s="162"/>
      <c r="Y35" s="162"/>
      <c r="Z35" s="162"/>
      <c r="AA35" s="162"/>
      <c r="AB35" s="162"/>
      <c r="AC35" s="162"/>
      <c r="AD35" s="162"/>
      <c r="AE35" s="162"/>
      <c r="AF35" s="162"/>
      <c r="AG35" s="162"/>
      <c r="AH35" s="162"/>
      <c r="AI35" s="162"/>
      <c r="AJ35" s="162"/>
      <c r="AK35" s="162"/>
      <c r="AL35" s="162"/>
      <c r="AM35" s="162"/>
      <c r="AN35" s="162"/>
      <c r="AO35" s="162"/>
      <c r="AP35" s="162"/>
      <c r="AQ35" s="162"/>
      <c r="AR35" s="162"/>
      <c r="AS35" s="162"/>
      <c r="AT35" s="162"/>
      <c r="AU35" s="162"/>
      <c r="AV35" s="162"/>
      <c r="AW35" s="162"/>
      <c r="AX35" s="162"/>
      <c r="AY35" s="162"/>
      <c r="AZ35" s="162"/>
      <c r="BA35" s="162"/>
      <c r="BB35" s="162"/>
      <c r="BC35" s="162"/>
      <c r="BD35" s="162"/>
      <c r="BE35" s="162"/>
      <c r="BF35" s="162"/>
      <c r="BG35" s="162"/>
      <c r="BH35" s="162"/>
      <c r="BI35" s="162"/>
      <c r="BJ35" s="162"/>
      <c r="BK35" s="162"/>
      <c r="BL35" s="162"/>
      <c r="BM35" s="162"/>
      <c r="BN35" s="162"/>
      <c r="BO35" s="162"/>
      <c r="BP35" s="162"/>
      <c r="BQ35" s="162"/>
      <c r="BR35" s="162"/>
      <c r="BS35" s="162"/>
      <c r="BT35" s="162"/>
      <c r="BU35" s="162"/>
      <c r="BV35" s="162"/>
      <c r="BW35" s="162"/>
      <c r="BX35" s="162"/>
      <c r="BY35" s="162"/>
      <c r="BZ35" s="162"/>
      <c r="CA35" s="162"/>
      <c r="CB35" s="162"/>
      <c r="CC35" s="162"/>
      <c r="CD35" s="162"/>
      <c r="CE35" s="162"/>
      <c r="CF35" s="162"/>
      <c r="CG35" s="162"/>
      <c r="CH35" s="162"/>
      <c r="CI35" s="162"/>
      <c r="CJ35" s="162"/>
      <c r="CK35" s="162"/>
      <c r="CL35" s="162"/>
      <c r="CM35" s="162"/>
      <c r="CN35" s="162"/>
      <c r="CO35" s="162"/>
      <c r="CP35" s="162"/>
      <c r="CQ35" s="162"/>
      <c r="CR35" s="162"/>
      <c r="CS35" s="162"/>
      <c r="CT35" s="162"/>
      <c r="CU35" s="162"/>
      <c r="CV35" s="162"/>
      <c r="CW35" s="162"/>
      <c r="CX35" s="162"/>
      <c r="CY35" s="162"/>
      <c r="CZ35" s="162"/>
      <c r="DA35" s="162"/>
      <c r="DB35" s="162"/>
      <c r="DC35" s="162"/>
      <c r="DD35" s="162"/>
    </row>
    <row r="36" spans="1:108" collapsed="1" x14ac:dyDescent="0.2">
      <c r="A36" s="162"/>
      <c r="B36" s="162"/>
      <c r="C36" s="162"/>
      <c r="D36" s="162"/>
      <c r="E36" s="162"/>
      <c r="F36" s="162"/>
      <c r="G36" s="162"/>
      <c r="H36" s="162"/>
      <c r="I36" s="162"/>
      <c r="J36" s="162"/>
      <c r="K36" s="162"/>
      <c r="L36" s="162"/>
      <c r="M36" s="162"/>
      <c r="N36" s="162"/>
      <c r="O36" s="162"/>
      <c r="P36" s="162"/>
      <c r="Q36" s="162"/>
      <c r="R36" s="162"/>
      <c r="S36" s="162"/>
      <c r="T36" s="162"/>
      <c r="U36" s="162"/>
      <c r="V36" s="162"/>
      <c r="W36" s="162"/>
      <c r="X36" s="162"/>
      <c r="Y36" s="162"/>
      <c r="Z36" s="162"/>
      <c r="AA36" s="162"/>
      <c r="AB36" s="162"/>
      <c r="AC36" s="162"/>
      <c r="AD36" s="162"/>
      <c r="AE36" s="162"/>
      <c r="AF36" s="162"/>
      <c r="AG36" s="162"/>
      <c r="AH36" s="162"/>
      <c r="AI36" s="162"/>
      <c r="AJ36" s="162"/>
      <c r="AK36" s="162"/>
      <c r="AL36" s="162"/>
      <c r="AM36" s="162"/>
      <c r="AN36" s="162"/>
      <c r="AO36" s="162"/>
      <c r="AP36" s="162"/>
      <c r="AQ36" s="162"/>
      <c r="AR36" s="162"/>
      <c r="AS36" s="162"/>
      <c r="AT36" s="162"/>
      <c r="AU36" s="162"/>
      <c r="AV36" s="162"/>
      <c r="AW36" s="162"/>
      <c r="AX36" s="162"/>
      <c r="AY36" s="162"/>
      <c r="AZ36" s="162"/>
      <c r="BA36" s="162"/>
      <c r="BB36" s="162"/>
      <c r="BC36" s="162"/>
      <c r="BD36" s="162"/>
      <c r="BE36" s="162"/>
      <c r="BF36" s="162"/>
      <c r="BG36" s="162"/>
      <c r="BH36" s="162"/>
      <c r="BI36" s="162"/>
      <c r="BJ36" s="162"/>
      <c r="BK36" s="162"/>
      <c r="BL36" s="162"/>
      <c r="BM36" s="162"/>
      <c r="BN36" s="162"/>
      <c r="BO36" s="162"/>
      <c r="BP36" s="162"/>
      <c r="BQ36" s="162"/>
      <c r="BR36" s="162"/>
      <c r="BS36" s="162"/>
      <c r="BT36" s="162"/>
      <c r="BU36" s="162"/>
      <c r="BV36" s="162"/>
      <c r="BW36" s="162"/>
      <c r="BX36" s="162"/>
      <c r="BY36" s="162"/>
      <c r="BZ36" s="162"/>
      <c r="CA36" s="162"/>
      <c r="CB36" s="162"/>
      <c r="CC36" s="162"/>
      <c r="CD36" s="162"/>
      <c r="CE36" s="162"/>
      <c r="CF36" s="162"/>
      <c r="CG36" s="162"/>
      <c r="CH36" s="162"/>
      <c r="CI36" s="162"/>
      <c r="CJ36" s="162"/>
      <c r="CK36" s="162"/>
      <c r="CL36" s="162"/>
      <c r="CM36" s="162"/>
      <c r="CN36" s="162"/>
      <c r="CO36" s="162"/>
      <c r="CP36" s="162"/>
      <c r="CQ36" s="162"/>
      <c r="CR36" s="162"/>
      <c r="CS36" s="162"/>
      <c r="CT36" s="162"/>
      <c r="CU36" s="162"/>
      <c r="CV36" s="162"/>
      <c r="CW36" s="162"/>
      <c r="CX36" s="162"/>
      <c r="CY36" s="162"/>
      <c r="CZ36" s="162"/>
      <c r="DA36" s="162"/>
      <c r="DB36" s="162"/>
      <c r="DC36" s="162"/>
      <c r="DD36" s="162"/>
    </row>
    <row r="37" spans="1:108" ht="15.75" x14ac:dyDescent="0.2">
      <c r="A37" s="162"/>
      <c r="B37" s="242">
        <f>IF(H40&lt;&gt;"",VLOOKUP(H40,GenderCode,2,FALSE),0)</f>
        <v>0</v>
      </c>
      <c r="C37" s="58">
        <v>2</v>
      </c>
      <c r="D37" s="79" t="str">
        <f>IF(B37=0,MsgNotUsed, CONCATENATE("ABS ", C37, ": ", H40, " ", E41, " - ", F41, " yrs inclusive (", E46, "-", J46, ")") &amp; IF(E43&lt;&gt;"",CONCATENATE(" - (",D43,")"),""))</f>
        <v>** NOT USED **</v>
      </c>
      <c r="E37" s="127"/>
      <c r="F37" s="127"/>
      <c r="G37" s="127"/>
      <c r="H37" s="127"/>
      <c r="I37" s="175"/>
      <c r="J37" s="127"/>
      <c r="K37" s="127"/>
      <c r="L37" s="127"/>
      <c r="M37" s="127"/>
      <c r="N37" s="127"/>
      <c r="O37" s="127"/>
      <c r="P37" s="162"/>
      <c r="Q37" s="162"/>
      <c r="R37" s="162"/>
      <c r="S37" s="162"/>
      <c r="T37" s="162"/>
      <c r="U37" s="162"/>
      <c r="V37" s="162"/>
      <c r="W37" s="162"/>
      <c r="X37" s="162"/>
      <c r="Y37" s="162"/>
      <c r="Z37" s="162"/>
      <c r="AA37" s="162"/>
      <c r="AB37" s="162"/>
      <c r="AC37" s="162"/>
      <c r="AD37" s="162"/>
      <c r="AE37" s="162"/>
      <c r="AF37" s="162"/>
      <c r="AG37" s="162"/>
      <c r="AH37" s="162"/>
      <c r="AI37" s="162"/>
      <c r="AJ37" s="162"/>
      <c r="AK37" s="162"/>
      <c r="AL37" s="162"/>
      <c r="AM37" s="162"/>
      <c r="AN37" s="162"/>
      <c r="AO37" s="162"/>
      <c r="AP37" s="162"/>
      <c r="AQ37" s="162"/>
      <c r="AR37" s="162"/>
      <c r="AS37" s="162"/>
      <c r="AT37" s="162"/>
      <c r="AU37" s="162"/>
      <c r="AV37" s="162"/>
      <c r="AW37" s="162"/>
      <c r="AX37" s="162"/>
      <c r="AY37" s="162"/>
      <c r="AZ37" s="162"/>
      <c r="BA37" s="162"/>
      <c r="BB37" s="162"/>
      <c r="BC37" s="162"/>
      <c r="BD37" s="162"/>
      <c r="BE37" s="162"/>
      <c r="BF37" s="162"/>
      <c r="BG37" s="162"/>
      <c r="BH37" s="162"/>
      <c r="BI37" s="162"/>
      <c r="BJ37" s="162"/>
      <c r="BK37" s="162"/>
      <c r="BL37" s="162"/>
      <c r="BM37" s="162"/>
      <c r="BN37" s="162"/>
      <c r="BO37" s="162"/>
      <c r="BP37" s="162"/>
      <c r="BQ37" s="162"/>
      <c r="BR37" s="162"/>
      <c r="BS37" s="162"/>
      <c r="BT37" s="162"/>
      <c r="BU37" s="162"/>
      <c r="BV37" s="162"/>
      <c r="BW37" s="162"/>
      <c r="BX37" s="162"/>
      <c r="BY37" s="162"/>
      <c r="BZ37" s="162"/>
      <c r="CA37" s="162"/>
      <c r="CB37" s="162"/>
      <c r="CC37" s="162"/>
      <c r="CD37" s="162"/>
      <c r="CE37" s="162"/>
      <c r="CF37" s="162"/>
      <c r="CG37" s="162"/>
      <c r="CH37" s="162"/>
      <c r="CI37" s="162"/>
      <c r="CJ37" s="162"/>
      <c r="CK37" s="162"/>
      <c r="CL37" s="162"/>
      <c r="CM37" s="162"/>
      <c r="CN37" s="162"/>
      <c r="CO37" s="162"/>
      <c r="CP37" s="162"/>
      <c r="CQ37" s="162"/>
      <c r="CR37" s="162"/>
      <c r="CS37" s="162"/>
      <c r="CT37" s="162"/>
      <c r="CU37" s="162"/>
      <c r="CV37" s="162"/>
      <c r="CW37" s="162"/>
      <c r="CX37" s="162"/>
      <c r="CY37" s="162"/>
      <c r="CZ37" s="162"/>
      <c r="DA37" s="162"/>
      <c r="DB37" s="162"/>
      <c r="DC37" s="162"/>
      <c r="DD37" s="162"/>
    </row>
    <row r="38" spans="1:108" ht="14.25" hidden="1" outlineLevel="1" x14ac:dyDescent="0.2">
      <c r="A38" s="162"/>
      <c r="B38" s="162"/>
      <c r="C38" s="162"/>
      <c r="D38" s="647"/>
      <c r="E38" s="162"/>
      <c r="F38" s="162"/>
      <c r="G38" s="162"/>
      <c r="H38" s="162"/>
      <c r="I38" s="162"/>
      <c r="J38" s="162"/>
      <c r="K38" s="162"/>
      <c r="L38" s="162"/>
      <c r="M38" s="162"/>
      <c r="N38" s="162"/>
      <c r="O38" s="162"/>
      <c r="P38" s="162"/>
      <c r="Q38" s="162"/>
      <c r="R38" s="162"/>
      <c r="S38" s="162"/>
      <c r="T38" s="162"/>
      <c r="U38" s="162"/>
      <c r="V38" s="162"/>
      <c r="W38" s="162"/>
      <c r="X38" s="162"/>
      <c r="Y38" s="162"/>
      <c r="Z38" s="162"/>
      <c r="AA38" s="162"/>
      <c r="AB38" s="162"/>
      <c r="AC38" s="162"/>
      <c r="AD38" s="162"/>
      <c r="AE38" s="162"/>
      <c r="AF38" s="162"/>
      <c r="AG38" s="162"/>
      <c r="AH38" s="162"/>
      <c r="AI38" s="162"/>
      <c r="AJ38" s="162"/>
      <c r="AK38" s="162"/>
      <c r="AL38" s="162"/>
      <c r="AM38" s="162"/>
      <c r="AN38" s="162"/>
      <c r="AO38" s="162"/>
      <c r="AP38" s="162"/>
      <c r="AQ38" s="162"/>
      <c r="AR38" s="162"/>
      <c r="AS38" s="162"/>
      <c r="AT38" s="162"/>
      <c r="AU38" s="162"/>
      <c r="AV38" s="162"/>
      <c r="AW38" s="162"/>
      <c r="AX38" s="162"/>
      <c r="AY38" s="162"/>
      <c r="AZ38" s="162"/>
      <c r="BA38" s="162"/>
      <c r="BB38" s="162"/>
      <c r="BC38" s="162"/>
      <c r="BD38" s="162"/>
      <c r="BE38" s="162"/>
      <c r="BF38" s="162"/>
      <c r="BG38" s="162"/>
      <c r="BH38" s="162"/>
      <c r="BI38" s="162"/>
      <c r="BJ38" s="162"/>
      <c r="BK38" s="162"/>
      <c r="BL38" s="162"/>
      <c r="BM38" s="162"/>
      <c r="BN38" s="162"/>
      <c r="BO38" s="162"/>
      <c r="BP38" s="162"/>
      <c r="BQ38" s="162"/>
      <c r="BR38" s="162"/>
      <c r="BS38" s="162"/>
      <c r="BT38" s="162"/>
      <c r="BU38" s="162"/>
      <c r="BV38" s="162"/>
      <c r="BW38" s="162"/>
      <c r="BX38" s="162"/>
      <c r="BY38" s="162"/>
      <c r="BZ38" s="162"/>
      <c r="CA38" s="162"/>
      <c r="CB38" s="162"/>
      <c r="CC38" s="162"/>
      <c r="CD38" s="162"/>
      <c r="CE38" s="162"/>
      <c r="CF38" s="162"/>
      <c r="CG38" s="162"/>
      <c r="CH38" s="162"/>
      <c r="CI38" s="162"/>
      <c r="CJ38" s="162"/>
      <c r="CK38" s="162"/>
      <c r="CL38" s="162"/>
      <c r="CM38" s="162"/>
      <c r="CN38" s="162"/>
      <c r="CO38" s="162"/>
      <c r="CP38" s="162"/>
      <c r="CQ38" s="162"/>
      <c r="CR38" s="162"/>
      <c r="CS38" s="162"/>
      <c r="CT38" s="162"/>
      <c r="CU38" s="162"/>
      <c r="CV38" s="162"/>
      <c r="CW38" s="162"/>
      <c r="CX38" s="162"/>
      <c r="CY38" s="162"/>
      <c r="CZ38" s="162"/>
      <c r="DA38" s="162"/>
      <c r="DB38" s="162"/>
      <c r="DC38" s="162"/>
      <c r="DD38" s="162"/>
    </row>
    <row r="39" spans="1:108" hidden="1" outlineLevel="1" x14ac:dyDescent="0.2">
      <c r="A39" s="162"/>
      <c r="B39" s="162"/>
      <c r="C39" s="162"/>
      <c r="D39" s="162"/>
      <c r="E39" s="632" t="s">
        <v>245</v>
      </c>
      <c r="F39" s="632" t="s">
        <v>246</v>
      </c>
      <c r="G39" s="162"/>
      <c r="H39" s="632" t="s">
        <v>51</v>
      </c>
      <c r="I39" s="162"/>
      <c r="J39" s="632" t="s">
        <v>365</v>
      </c>
      <c r="K39" s="162"/>
      <c r="L39" s="162"/>
      <c r="M39" s="162"/>
      <c r="N39" s="162"/>
      <c r="O39" s="162"/>
      <c r="P39" s="162"/>
      <c r="Q39" s="162"/>
      <c r="R39" s="162"/>
      <c r="S39" s="162"/>
      <c r="T39" s="162"/>
      <c r="U39" s="162"/>
      <c r="V39" s="162"/>
      <c r="W39" s="162"/>
      <c r="X39" s="162"/>
      <c r="Y39" s="162"/>
      <c r="Z39" s="162"/>
      <c r="AA39" s="162"/>
      <c r="AB39" s="162"/>
      <c r="AC39" s="162"/>
      <c r="AD39" s="162"/>
      <c r="AE39" s="162"/>
      <c r="AF39" s="162"/>
      <c r="AG39" s="162"/>
      <c r="AH39" s="162"/>
      <c r="AI39" s="162"/>
      <c r="AJ39" s="162"/>
      <c r="AK39" s="162"/>
      <c r="AL39" s="162"/>
      <c r="AM39" s="162"/>
      <c r="AN39" s="162"/>
      <c r="AO39" s="162"/>
      <c r="AP39" s="162"/>
      <c r="AQ39" s="162"/>
      <c r="AR39" s="162"/>
      <c r="AS39" s="162"/>
      <c r="AT39" s="162"/>
      <c r="AU39" s="162"/>
      <c r="AV39" s="162"/>
      <c r="AW39" s="162"/>
      <c r="AX39" s="162"/>
      <c r="AY39" s="162"/>
      <c r="AZ39" s="162"/>
      <c r="BA39" s="162"/>
      <c r="BB39" s="162"/>
      <c r="BC39" s="162"/>
      <c r="BD39" s="162"/>
      <c r="BE39" s="162"/>
      <c r="BF39" s="162"/>
      <c r="BG39" s="162"/>
      <c r="BH39" s="162"/>
      <c r="BI39" s="162"/>
      <c r="BJ39" s="162"/>
      <c r="BK39" s="162"/>
      <c r="BL39" s="162"/>
      <c r="BM39" s="162"/>
      <c r="BN39" s="162"/>
      <c r="BO39" s="162"/>
      <c r="BP39" s="162"/>
      <c r="BQ39" s="162"/>
      <c r="BR39" s="162"/>
      <c r="BS39" s="162"/>
      <c r="BT39" s="162"/>
      <c r="BU39" s="162"/>
      <c r="BV39" s="162"/>
      <c r="BW39" s="162"/>
      <c r="BX39" s="162"/>
      <c r="BY39" s="162"/>
      <c r="BZ39" s="162"/>
      <c r="CA39" s="162"/>
      <c r="CB39" s="162"/>
      <c r="CC39" s="162"/>
      <c r="CD39" s="162"/>
      <c r="CE39" s="162"/>
      <c r="CF39" s="162"/>
      <c r="CG39" s="162"/>
      <c r="CH39" s="162"/>
      <c r="CI39" s="162"/>
      <c r="CJ39" s="162"/>
      <c r="CK39" s="162"/>
      <c r="CL39" s="162"/>
      <c r="CM39" s="162"/>
      <c r="CN39" s="162"/>
      <c r="CO39" s="162"/>
      <c r="CP39" s="162"/>
      <c r="CQ39" s="162"/>
      <c r="CR39" s="162"/>
      <c r="CS39" s="162"/>
      <c r="CT39" s="162"/>
      <c r="CU39" s="162"/>
      <c r="CV39" s="162"/>
      <c r="CW39" s="162"/>
      <c r="CX39" s="162"/>
      <c r="CY39" s="162"/>
      <c r="CZ39" s="162"/>
      <c r="DA39" s="162"/>
      <c r="DB39" s="162"/>
      <c r="DC39" s="162"/>
      <c r="DD39" s="162"/>
    </row>
    <row r="40" spans="1:108" hidden="1" outlineLevel="1" x14ac:dyDescent="0.2">
      <c r="A40" s="162"/>
      <c r="B40" s="162"/>
      <c r="C40" s="162"/>
      <c r="D40" s="42" t="s">
        <v>242</v>
      </c>
      <c r="E40" s="427"/>
      <c r="F40" s="427"/>
      <c r="G40" s="162"/>
      <c r="H40" s="360"/>
      <c r="I40" s="162"/>
      <c r="J40" s="360"/>
      <c r="K40" s="162"/>
      <c r="L40" s="162"/>
      <c r="M40" s="162"/>
      <c r="N40" s="162"/>
      <c r="O40" s="162"/>
      <c r="P40" s="162"/>
      <c r="Q40" s="162"/>
      <c r="R40" s="162"/>
      <c r="S40" s="162"/>
      <c r="T40" s="162"/>
      <c r="U40" s="162"/>
      <c r="V40" s="162"/>
      <c r="W40" s="162"/>
      <c r="X40" s="162"/>
      <c r="Y40" s="162"/>
      <c r="Z40" s="162"/>
      <c r="AA40" s="162"/>
      <c r="AB40" s="162"/>
      <c r="AC40" s="162"/>
      <c r="AD40" s="162"/>
      <c r="AE40" s="162"/>
      <c r="AF40" s="162"/>
      <c r="AG40" s="162"/>
      <c r="AH40" s="162"/>
      <c r="AI40" s="162"/>
      <c r="AJ40" s="162"/>
      <c r="AK40" s="162"/>
      <c r="AL40" s="162"/>
      <c r="AM40" s="162"/>
      <c r="AN40" s="162"/>
      <c r="AO40" s="162"/>
      <c r="AP40" s="162"/>
      <c r="AQ40" s="162"/>
      <c r="AR40" s="162"/>
      <c r="AS40" s="162"/>
      <c r="AT40" s="162"/>
      <c r="AU40" s="162"/>
      <c r="AV40" s="162"/>
      <c r="AW40" s="162"/>
      <c r="AX40" s="162"/>
      <c r="AY40" s="162"/>
      <c r="AZ40" s="162"/>
      <c r="BA40" s="162"/>
      <c r="BB40" s="162"/>
      <c r="BC40" s="162"/>
      <c r="BD40" s="162"/>
      <c r="BE40" s="162"/>
      <c r="BF40" s="162"/>
      <c r="BG40" s="162"/>
      <c r="BH40" s="162"/>
      <c r="BI40" s="162"/>
      <c r="BJ40" s="162"/>
      <c r="BK40" s="162"/>
      <c r="BL40" s="162"/>
      <c r="BM40" s="162"/>
      <c r="BN40" s="162"/>
      <c r="BO40" s="162"/>
      <c r="BP40" s="162"/>
      <c r="BQ40" s="162"/>
      <c r="BR40" s="162"/>
      <c r="BS40" s="162"/>
      <c r="BT40" s="162"/>
      <c r="BU40" s="162"/>
      <c r="BV40" s="162"/>
      <c r="BW40" s="162"/>
      <c r="BX40" s="162"/>
      <c r="BY40" s="162"/>
      <c r="BZ40" s="162"/>
      <c r="CA40" s="162"/>
      <c r="CB40" s="162"/>
      <c r="CC40" s="162"/>
      <c r="CD40" s="162"/>
      <c r="CE40" s="162"/>
      <c r="CF40" s="162"/>
      <c r="CG40" s="162"/>
      <c r="CH40" s="162"/>
      <c r="CI40" s="162"/>
      <c r="CJ40" s="162"/>
      <c r="CK40" s="162"/>
      <c r="CL40" s="162"/>
      <c r="CM40" s="162"/>
      <c r="CN40" s="162"/>
      <c r="CO40" s="162"/>
      <c r="CP40" s="162"/>
      <c r="CQ40" s="162"/>
      <c r="CR40" s="162"/>
      <c r="CS40" s="162"/>
      <c r="CT40" s="162"/>
      <c r="CU40" s="162"/>
      <c r="CV40" s="162"/>
      <c r="CW40" s="162"/>
      <c r="CX40" s="162"/>
      <c r="CY40" s="162"/>
      <c r="CZ40" s="162"/>
      <c r="DA40" s="162"/>
      <c r="DB40" s="162"/>
      <c r="DC40" s="162"/>
      <c r="DD40" s="162"/>
    </row>
    <row r="41" spans="1:108" hidden="1" outlineLevel="1" x14ac:dyDescent="0.2">
      <c r="A41" s="162"/>
      <c r="B41" s="162"/>
      <c r="C41" s="162"/>
      <c r="D41" s="162"/>
      <c r="E41" s="495">
        <f>IF(E40="",0,E40)</f>
        <v>0</v>
      </c>
      <c r="F41" s="495">
        <f>IF(F40="",100,F40)</f>
        <v>100</v>
      </c>
      <c r="G41" s="162"/>
      <c r="H41" s="162"/>
      <c r="I41" s="162"/>
      <c r="J41" s="162"/>
      <c r="K41" s="162"/>
      <c r="L41" s="162"/>
      <c r="M41" s="162"/>
      <c r="N41" s="162"/>
      <c r="O41" s="162"/>
      <c r="P41" s="162"/>
      <c r="Q41" s="162"/>
      <c r="R41" s="162"/>
      <c r="S41" s="162"/>
      <c r="T41" s="162"/>
      <c r="U41" s="162"/>
      <c r="V41" s="162"/>
      <c r="W41" s="162"/>
      <c r="X41" s="162"/>
      <c r="Y41" s="162"/>
      <c r="Z41" s="162"/>
      <c r="AA41" s="162"/>
      <c r="AB41" s="162"/>
      <c r="AC41" s="162"/>
      <c r="AD41" s="162"/>
      <c r="AE41" s="162"/>
      <c r="AF41" s="162"/>
      <c r="AG41" s="162"/>
      <c r="AH41" s="162"/>
      <c r="AI41" s="162"/>
      <c r="AJ41" s="162"/>
      <c r="AK41" s="162"/>
      <c r="AL41" s="162"/>
      <c r="AM41" s="162"/>
      <c r="AN41" s="162"/>
      <c r="AO41" s="162"/>
      <c r="AP41" s="162"/>
      <c r="AQ41" s="162"/>
      <c r="AR41" s="162"/>
      <c r="AS41" s="162"/>
      <c r="AT41" s="162"/>
      <c r="AU41" s="162"/>
      <c r="AV41" s="162"/>
      <c r="AW41" s="162"/>
      <c r="AX41" s="162"/>
      <c r="AY41" s="162"/>
      <c r="AZ41" s="162"/>
      <c r="BA41" s="162"/>
      <c r="BB41" s="162"/>
      <c r="BC41" s="162"/>
      <c r="BD41" s="162"/>
      <c r="BE41" s="162"/>
      <c r="BF41" s="162"/>
      <c r="BG41" s="162"/>
      <c r="BH41" s="162"/>
      <c r="BI41" s="162"/>
      <c r="BJ41" s="162"/>
      <c r="BK41" s="162"/>
      <c r="BL41" s="162"/>
      <c r="BM41" s="162"/>
      <c r="BN41" s="162"/>
      <c r="BO41" s="162"/>
      <c r="BP41" s="162"/>
      <c r="BQ41" s="162"/>
      <c r="BR41" s="162"/>
      <c r="BS41" s="162"/>
      <c r="BT41" s="162"/>
      <c r="BU41" s="162"/>
      <c r="BV41" s="162"/>
      <c r="BW41" s="162"/>
      <c r="BX41" s="162"/>
      <c r="BY41" s="162"/>
      <c r="BZ41" s="162"/>
      <c r="CA41" s="162"/>
      <c r="CB41" s="162"/>
      <c r="CC41" s="162"/>
      <c r="CD41" s="162"/>
      <c r="CE41" s="162"/>
      <c r="CF41" s="162"/>
      <c r="CG41" s="162"/>
      <c r="CH41" s="162"/>
      <c r="CI41" s="162"/>
      <c r="CJ41" s="162"/>
      <c r="CK41" s="162"/>
      <c r="CL41" s="162"/>
      <c r="CM41" s="162"/>
      <c r="CN41" s="162"/>
      <c r="CO41" s="162"/>
      <c r="CP41" s="162"/>
      <c r="CQ41" s="162"/>
      <c r="CR41" s="162"/>
      <c r="CS41" s="162"/>
      <c r="CT41" s="162"/>
      <c r="CU41" s="162"/>
      <c r="CV41" s="162"/>
      <c r="CW41" s="162"/>
      <c r="CX41" s="162"/>
      <c r="CY41" s="162"/>
      <c r="CZ41" s="162"/>
      <c r="DA41" s="162"/>
      <c r="DB41" s="162"/>
      <c r="DC41" s="162"/>
      <c r="DD41" s="162"/>
    </row>
    <row r="42" spans="1:108" hidden="1" outlineLevel="1" x14ac:dyDescent="0.2">
      <c r="A42" s="162"/>
      <c r="B42" s="162"/>
      <c r="C42" s="162"/>
      <c r="D42" s="162"/>
      <c r="E42" s="632" t="s">
        <v>464</v>
      </c>
      <c r="F42" s="632" t="s">
        <v>465</v>
      </c>
      <c r="G42" s="162"/>
      <c r="H42" s="162"/>
      <c r="I42" s="162"/>
      <c r="J42" s="162"/>
      <c r="K42" s="162"/>
      <c r="L42" s="162"/>
      <c r="M42" s="162"/>
      <c r="N42" s="162"/>
      <c r="O42" s="162"/>
      <c r="P42" s="162"/>
      <c r="Q42" s="162"/>
      <c r="R42" s="162"/>
      <c r="S42" s="162"/>
      <c r="T42" s="162"/>
      <c r="U42" s="162"/>
      <c r="V42" s="162"/>
      <c r="W42" s="162"/>
      <c r="X42" s="162"/>
      <c r="Y42" s="162"/>
      <c r="Z42" s="162"/>
      <c r="AA42" s="162"/>
      <c r="AB42" s="162"/>
      <c r="AC42" s="162"/>
      <c r="AD42" s="162"/>
      <c r="AE42" s="162"/>
      <c r="AF42" s="162"/>
      <c r="AG42" s="162"/>
      <c r="AH42" s="162"/>
      <c r="AI42" s="162"/>
      <c r="AJ42" s="162"/>
      <c r="AK42" s="162"/>
      <c r="AL42" s="162"/>
      <c r="AM42" s="162"/>
      <c r="AN42" s="162"/>
      <c r="AO42" s="162"/>
      <c r="AP42" s="162"/>
      <c r="AQ42" s="162"/>
      <c r="AR42" s="162"/>
      <c r="AS42" s="162"/>
      <c r="AT42" s="162"/>
      <c r="AU42" s="162"/>
      <c r="AV42" s="162"/>
      <c r="AW42" s="162"/>
      <c r="AX42" s="162"/>
      <c r="AY42" s="162"/>
      <c r="AZ42" s="162"/>
      <c r="BA42" s="162"/>
      <c r="BB42" s="162"/>
      <c r="BC42" s="162"/>
      <c r="BD42" s="162"/>
      <c r="BE42" s="162"/>
      <c r="BF42" s="162"/>
      <c r="BG42" s="162"/>
      <c r="BH42" s="162"/>
      <c r="BI42" s="162"/>
      <c r="BJ42" s="162"/>
      <c r="BK42" s="162"/>
      <c r="BL42" s="162"/>
      <c r="BM42" s="162"/>
      <c r="BN42" s="162"/>
      <c r="BO42" s="162"/>
      <c r="BP42" s="162"/>
      <c r="BQ42" s="162"/>
      <c r="BR42" s="162"/>
      <c r="BS42" s="162"/>
      <c r="BT42" s="162"/>
      <c r="BU42" s="162"/>
      <c r="BV42" s="162"/>
      <c r="BW42" s="162"/>
      <c r="BX42" s="162"/>
      <c r="BY42" s="162"/>
      <c r="BZ42" s="162"/>
      <c r="CA42" s="162"/>
      <c r="CB42" s="162"/>
      <c r="CC42" s="162"/>
      <c r="CD42" s="162"/>
      <c r="CE42" s="162"/>
      <c r="CF42" s="162"/>
      <c r="CG42" s="162"/>
      <c r="CH42" s="162"/>
      <c r="CI42" s="162"/>
      <c r="CJ42" s="162"/>
      <c r="CK42" s="162"/>
      <c r="CL42" s="162"/>
      <c r="CM42" s="162"/>
      <c r="CN42" s="162"/>
      <c r="CO42" s="162"/>
      <c r="CP42" s="162"/>
      <c r="CQ42" s="162"/>
      <c r="CR42" s="162"/>
      <c r="CS42" s="162"/>
      <c r="CT42" s="162"/>
      <c r="CU42" s="162"/>
      <c r="CV42" s="162"/>
      <c r="CW42" s="162"/>
      <c r="CX42" s="162"/>
      <c r="CY42" s="162"/>
      <c r="CZ42" s="162"/>
      <c r="DA42" s="162"/>
      <c r="DB42" s="162"/>
      <c r="DC42" s="162"/>
      <c r="DD42" s="162"/>
    </row>
    <row r="43" spans="1:108" hidden="1" outlineLevel="1" x14ac:dyDescent="0.2">
      <c r="A43" s="162"/>
      <c r="B43" s="162"/>
      <c r="C43" s="162"/>
      <c r="D43" s="631" t="s">
        <v>463</v>
      </c>
      <c r="E43" s="521"/>
      <c r="F43" s="427"/>
      <c r="G43" s="315">
        <f>IF(AND(E43&lt;&gt;"",F43&lt;&gt;""),E43/F43,1)</f>
        <v>1</v>
      </c>
      <c r="H43" s="162"/>
      <c r="I43" s="42" t="s">
        <v>258</v>
      </c>
      <c r="J43" s="911"/>
      <c r="K43" s="912"/>
      <c r="L43" s="912"/>
      <c r="M43" s="912"/>
      <c r="N43" s="912"/>
      <c r="O43" s="912"/>
      <c r="P43" s="162"/>
      <c r="Q43" s="162"/>
      <c r="R43" s="162"/>
      <c r="S43" s="162"/>
      <c r="T43" s="162"/>
      <c r="U43" s="162"/>
      <c r="V43" s="162"/>
      <c r="W43" s="162"/>
      <c r="X43" s="162"/>
      <c r="Y43" s="162"/>
      <c r="Z43" s="162"/>
      <c r="AA43" s="162"/>
      <c r="AB43" s="162"/>
      <c r="AC43" s="162"/>
      <c r="AD43" s="162"/>
      <c r="AE43" s="162"/>
      <c r="AF43" s="162"/>
      <c r="AG43" s="162"/>
      <c r="AH43" s="162"/>
      <c r="AI43" s="162"/>
      <c r="AJ43" s="162"/>
      <c r="AK43" s="162"/>
      <c r="AL43" s="162"/>
      <c r="AM43" s="162"/>
      <c r="AN43" s="162"/>
      <c r="AO43" s="162"/>
      <c r="AP43" s="162"/>
      <c r="AQ43" s="162"/>
      <c r="AR43" s="162"/>
      <c r="AS43" s="162"/>
      <c r="AT43" s="162"/>
      <c r="AU43" s="162"/>
      <c r="AV43" s="162"/>
      <c r="AW43" s="162"/>
      <c r="AX43" s="162"/>
      <c r="AY43" s="162"/>
      <c r="AZ43" s="162"/>
      <c r="BA43" s="162"/>
      <c r="BB43" s="162"/>
      <c r="BC43" s="162"/>
      <c r="BD43" s="162"/>
      <c r="BE43" s="162"/>
      <c r="BF43" s="162"/>
      <c r="BG43" s="162"/>
      <c r="BH43" s="162"/>
      <c r="BI43" s="162"/>
      <c r="BJ43" s="162"/>
      <c r="BK43" s="162"/>
      <c r="BL43" s="162"/>
      <c r="BM43" s="162"/>
      <c r="BN43" s="162"/>
      <c r="BO43" s="162"/>
      <c r="BP43" s="162"/>
      <c r="BQ43" s="162"/>
      <c r="BR43" s="162"/>
      <c r="BS43" s="162"/>
      <c r="BT43" s="162"/>
      <c r="BU43" s="162"/>
      <c r="BV43" s="162"/>
      <c r="BW43" s="162"/>
      <c r="BX43" s="162"/>
      <c r="BY43" s="162"/>
      <c r="BZ43" s="162"/>
      <c r="CA43" s="162"/>
      <c r="CB43" s="162"/>
      <c r="CC43" s="162"/>
      <c r="CD43" s="162"/>
      <c r="CE43" s="162"/>
      <c r="CF43" s="162"/>
      <c r="CG43" s="162"/>
      <c r="CH43" s="162"/>
      <c r="CI43" s="162"/>
      <c r="CJ43" s="162"/>
      <c r="CK43" s="162"/>
      <c r="CL43" s="162"/>
      <c r="CM43" s="162"/>
      <c r="CN43" s="162"/>
      <c r="CO43" s="162"/>
      <c r="CP43" s="162"/>
      <c r="CQ43" s="162"/>
      <c r="CR43" s="162"/>
      <c r="CS43" s="162"/>
      <c r="CT43" s="162"/>
      <c r="CU43" s="162"/>
      <c r="CV43" s="162"/>
      <c r="CW43" s="162"/>
      <c r="CX43" s="162"/>
      <c r="CY43" s="162"/>
      <c r="CZ43" s="162"/>
      <c r="DA43" s="162"/>
      <c r="DB43" s="162"/>
      <c r="DC43" s="162"/>
      <c r="DD43" s="162"/>
    </row>
    <row r="44" spans="1:108" hidden="1" outlineLevel="1" x14ac:dyDescent="0.2">
      <c r="A44" s="162"/>
      <c r="B44" s="162"/>
      <c r="C44" s="162"/>
      <c r="D44" s="162"/>
      <c r="E44" s="162"/>
      <c r="F44" s="162"/>
      <c r="G44" s="162"/>
      <c r="H44" s="162"/>
      <c r="I44" s="162"/>
      <c r="J44" s="162"/>
      <c r="K44" s="162"/>
      <c r="L44" s="162"/>
      <c r="M44" s="162"/>
      <c r="N44" s="162"/>
      <c r="O44" s="162"/>
      <c r="P44" s="162"/>
      <c r="Q44" s="162"/>
      <c r="R44" s="162"/>
      <c r="S44" s="162"/>
      <c r="T44" s="162"/>
      <c r="U44" s="162"/>
      <c r="V44" s="162"/>
      <c r="W44" s="162"/>
      <c r="X44" s="162"/>
      <c r="Y44" s="162"/>
      <c r="Z44" s="162"/>
      <c r="AA44" s="162"/>
      <c r="AB44" s="162"/>
      <c r="AC44" s="162"/>
      <c r="AD44" s="162"/>
      <c r="AE44" s="162"/>
      <c r="AF44" s="162"/>
      <c r="AG44" s="162"/>
      <c r="AH44" s="162"/>
      <c r="AI44" s="162"/>
      <c r="AJ44" s="162"/>
      <c r="AK44" s="162"/>
      <c r="AL44" s="162"/>
      <c r="AM44" s="162"/>
      <c r="AN44" s="162"/>
      <c r="AO44" s="162"/>
      <c r="AP44" s="162"/>
      <c r="AQ44" s="162"/>
      <c r="AR44" s="162"/>
      <c r="AS44" s="162"/>
      <c r="AT44" s="162"/>
      <c r="AU44" s="162"/>
      <c r="AV44" s="162"/>
      <c r="AW44" s="162"/>
      <c r="AX44" s="162"/>
      <c r="AY44" s="162"/>
      <c r="AZ44" s="162"/>
      <c r="BA44" s="162"/>
      <c r="BB44" s="162"/>
      <c r="BC44" s="162"/>
      <c r="BD44" s="162"/>
      <c r="BE44" s="162"/>
      <c r="BF44" s="162"/>
      <c r="BG44" s="162"/>
      <c r="BH44" s="162"/>
      <c r="BI44" s="162"/>
      <c r="BJ44" s="162"/>
      <c r="BK44" s="162"/>
      <c r="BL44" s="162"/>
      <c r="BM44" s="162"/>
      <c r="BN44" s="162"/>
      <c r="BO44" s="162"/>
      <c r="BP44" s="162"/>
      <c r="BQ44" s="162"/>
      <c r="BR44" s="162"/>
      <c r="BS44" s="162"/>
      <c r="BT44" s="162"/>
      <c r="BU44" s="162"/>
      <c r="BV44" s="162"/>
      <c r="BW44" s="162"/>
      <c r="BX44" s="162"/>
      <c r="BY44" s="162"/>
      <c r="BZ44" s="162"/>
      <c r="CA44" s="162"/>
      <c r="CB44" s="162"/>
      <c r="CC44" s="162"/>
      <c r="CD44" s="162"/>
      <c r="CE44" s="162"/>
      <c r="CF44" s="162"/>
      <c r="CG44" s="162"/>
      <c r="CH44" s="162"/>
      <c r="CI44" s="162"/>
      <c r="CJ44" s="162"/>
      <c r="CK44" s="162"/>
      <c r="CL44" s="162"/>
      <c r="CM44" s="162"/>
      <c r="CN44" s="162"/>
      <c r="CO44" s="162"/>
      <c r="CP44" s="162"/>
      <c r="CQ44" s="162"/>
      <c r="CR44" s="162"/>
      <c r="CS44" s="162"/>
      <c r="CT44" s="162"/>
      <c r="CU44" s="162"/>
      <c r="CV44" s="162"/>
      <c r="CW44" s="162"/>
      <c r="CX44" s="162"/>
      <c r="CY44" s="162"/>
      <c r="CZ44" s="162"/>
      <c r="DA44" s="162"/>
      <c r="DB44" s="162"/>
      <c r="DC44" s="162"/>
      <c r="DD44" s="162"/>
    </row>
    <row r="45" spans="1:108" hidden="1" outlineLevel="1" x14ac:dyDescent="0.2">
      <c r="A45" s="162"/>
      <c r="B45" s="162"/>
      <c r="C45" s="162"/>
      <c r="D45" s="162"/>
      <c r="E45" s="616" t="s">
        <v>255</v>
      </c>
      <c r="F45" s="162"/>
      <c r="G45" s="162"/>
      <c r="H45" s="162"/>
      <c r="I45" s="162"/>
      <c r="J45" s="162"/>
      <c r="K45" s="162"/>
      <c r="L45" s="162"/>
      <c r="M45" s="162"/>
      <c r="N45" s="162"/>
      <c r="O45" s="162"/>
      <c r="P45" s="162"/>
      <c r="Q45" s="162"/>
      <c r="R45" s="162"/>
      <c r="S45" s="162"/>
      <c r="T45" s="162"/>
      <c r="U45" s="162"/>
      <c r="V45" s="162"/>
      <c r="W45" s="162"/>
      <c r="X45" s="162"/>
      <c r="Y45" s="162"/>
      <c r="Z45" s="162"/>
      <c r="AA45" s="162"/>
      <c r="AB45" s="162"/>
      <c r="AC45" s="162"/>
      <c r="AD45" s="162"/>
      <c r="AE45" s="162"/>
      <c r="AF45" s="162"/>
      <c r="AG45" s="162"/>
      <c r="AH45" s="162"/>
      <c r="AI45" s="162"/>
      <c r="AJ45" s="162"/>
      <c r="AK45" s="162"/>
      <c r="AL45" s="162"/>
      <c r="AM45" s="162"/>
      <c r="AN45" s="162"/>
      <c r="AO45" s="162"/>
      <c r="AP45" s="162"/>
      <c r="AQ45" s="162"/>
      <c r="AR45" s="162"/>
      <c r="AS45" s="162"/>
      <c r="AT45" s="162"/>
      <c r="AU45" s="162"/>
      <c r="AV45" s="162"/>
      <c r="AW45" s="162"/>
      <c r="AX45" s="162"/>
      <c r="AY45" s="162"/>
      <c r="AZ45" s="162"/>
      <c r="BA45" s="162"/>
      <c r="BB45" s="162"/>
      <c r="BC45" s="162"/>
      <c r="BD45" s="162"/>
      <c r="BE45" s="162"/>
      <c r="BF45" s="162"/>
      <c r="BG45" s="162"/>
      <c r="BH45" s="162"/>
      <c r="BI45" s="162"/>
      <c r="BJ45" s="162"/>
      <c r="BK45" s="162"/>
      <c r="BL45" s="162"/>
      <c r="BM45" s="162"/>
      <c r="BN45" s="162"/>
      <c r="BO45" s="162"/>
      <c r="BP45" s="162"/>
      <c r="BQ45" s="162"/>
      <c r="BR45" s="162"/>
      <c r="BS45" s="162"/>
      <c r="BT45" s="162"/>
      <c r="BU45" s="162"/>
      <c r="BV45" s="162"/>
      <c r="BW45" s="162"/>
      <c r="BX45" s="162"/>
      <c r="BY45" s="162"/>
      <c r="BZ45" s="162"/>
      <c r="CA45" s="162"/>
      <c r="CB45" s="162"/>
      <c r="CC45" s="162"/>
      <c r="CD45" s="162"/>
      <c r="CE45" s="162"/>
      <c r="CF45" s="162"/>
      <c r="CG45" s="162"/>
      <c r="CH45" s="162"/>
      <c r="CI45" s="162"/>
      <c r="CJ45" s="162"/>
      <c r="CK45" s="162"/>
      <c r="CL45" s="162"/>
      <c r="CM45" s="162"/>
      <c r="CN45" s="162"/>
      <c r="CO45" s="162"/>
      <c r="CP45" s="162"/>
      <c r="CQ45" s="162"/>
      <c r="CR45" s="162"/>
      <c r="CS45" s="162"/>
      <c r="CT45" s="162"/>
      <c r="CU45" s="162"/>
      <c r="CV45" s="162"/>
      <c r="CW45" s="162"/>
      <c r="CX45" s="162"/>
      <c r="CY45" s="162"/>
      <c r="CZ45" s="162"/>
      <c r="DA45" s="162"/>
      <c r="DB45" s="162"/>
      <c r="DC45" s="162"/>
      <c r="DD45" s="162"/>
    </row>
    <row r="46" spans="1:108" hidden="1" outlineLevel="1" x14ac:dyDescent="0.2">
      <c r="A46" s="162"/>
      <c r="B46" s="162"/>
      <c r="C46" s="162"/>
      <c r="D46" s="162"/>
      <c r="E46" s="78">
        <f>IF(J40&lt;&gt;"",J40,FirstYear)</f>
        <v>2021</v>
      </c>
      <c r="F46" s="630">
        <f>E46+1</f>
        <v>2022</v>
      </c>
      <c r="G46" s="630">
        <f>F46+1</f>
        <v>2023</v>
      </c>
      <c r="H46" s="630">
        <f>G46+1</f>
        <v>2024</v>
      </c>
      <c r="I46" s="630">
        <f>H46+1</f>
        <v>2025</v>
      </c>
      <c r="J46" s="630">
        <f>I46+1</f>
        <v>2026</v>
      </c>
      <c r="K46" s="162"/>
      <c r="L46" s="162"/>
      <c r="M46" s="162"/>
      <c r="N46" s="162"/>
      <c r="O46" s="162"/>
      <c r="P46" s="162"/>
      <c r="Q46" s="162"/>
      <c r="R46" s="162"/>
      <c r="S46" s="162"/>
      <c r="T46" s="162"/>
      <c r="U46" s="162"/>
      <c r="V46" s="162"/>
      <c r="W46" s="162"/>
      <c r="X46" s="162"/>
      <c r="Y46" s="162"/>
      <c r="Z46" s="162"/>
      <c r="AA46" s="162"/>
      <c r="AB46" s="162"/>
      <c r="AC46" s="162"/>
      <c r="AD46" s="162"/>
      <c r="AE46" s="162"/>
      <c r="AF46" s="162"/>
      <c r="AG46" s="162"/>
      <c r="AH46" s="162"/>
      <c r="AI46" s="162"/>
      <c r="AJ46" s="162"/>
      <c r="AK46" s="162"/>
      <c r="AL46" s="162"/>
      <c r="AM46" s="162"/>
      <c r="AN46" s="162"/>
      <c r="AO46" s="162"/>
      <c r="AP46" s="162"/>
      <c r="AQ46" s="162"/>
      <c r="AR46" s="162"/>
      <c r="AS46" s="162"/>
      <c r="AT46" s="162"/>
      <c r="AU46" s="162"/>
      <c r="AV46" s="162"/>
      <c r="AW46" s="162"/>
      <c r="AX46" s="162"/>
      <c r="AY46" s="162"/>
      <c r="AZ46" s="162"/>
      <c r="BA46" s="162"/>
      <c r="BB46" s="162"/>
      <c r="BC46" s="162"/>
      <c r="BD46" s="162"/>
      <c r="BE46" s="162"/>
      <c r="BF46" s="162"/>
      <c r="BG46" s="162"/>
      <c r="BH46" s="162"/>
      <c r="BI46" s="162"/>
      <c r="BJ46" s="162"/>
      <c r="BK46" s="162"/>
      <c r="BL46" s="162"/>
      <c r="BM46" s="162"/>
      <c r="BN46" s="162"/>
      <c r="BO46" s="162"/>
      <c r="BP46" s="162"/>
      <c r="BQ46" s="162"/>
      <c r="BR46" s="162"/>
      <c r="BS46" s="162"/>
      <c r="BT46" s="162"/>
      <c r="BU46" s="162"/>
      <c r="BV46" s="162"/>
      <c r="BW46" s="162"/>
      <c r="BX46" s="162"/>
      <c r="BY46" s="162"/>
      <c r="BZ46" s="162"/>
      <c r="CA46" s="162"/>
      <c r="CB46" s="162"/>
      <c r="CC46" s="162"/>
      <c r="CD46" s="162"/>
      <c r="CE46" s="162"/>
      <c r="CF46" s="162"/>
      <c r="CG46" s="162"/>
      <c r="CH46" s="162"/>
      <c r="CI46" s="162"/>
      <c r="CJ46" s="162"/>
      <c r="CK46" s="162"/>
      <c r="CL46" s="162"/>
      <c r="CM46" s="162"/>
      <c r="CN46" s="162"/>
      <c r="CO46" s="162"/>
      <c r="CP46" s="162"/>
      <c r="CQ46" s="162"/>
      <c r="CR46" s="162"/>
      <c r="CS46" s="162"/>
      <c r="CT46" s="162"/>
      <c r="CU46" s="162"/>
      <c r="CV46" s="162"/>
      <c r="CW46" s="162"/>
      <c r="CX46" s="162"/>
      <c r="CY46" s="162"/>
      <c r="CZ46" s="162"/>
      <c r="DA46" s="162"/>
      <c r="DB46" s="162"/>
      <c r="DC46" s="162"/>
      <c r="DD46" s="162"/>
    </row>
    <row r="47" spans="1:108" hidden="1" outlineLevel="1" x14ac:dyDescent="0.2">
      <c r="A47" s="162"/>
      <c r="B47" s="162"/>
      <c r="C47" s="162"/>
      <c r="D47" s="162"/>
      <c r="E47" s="63">
        <f t="shared" ref="E47:J47" si="15">IF($B$37&lt;&gt;0,VLOOKUP($B$37,$C$50:$J$52,E48)*$G43,0)</f>
        <v>0</v>
      </c>
      <c r="F47" s="63">
        <f t="shared" si="15"/>
        <v>0</v>
      </c>
      <c r="G47" s="63">
        <f t="shared" si="15"/>
        <v>0</v>
      </c>
      <c r="H47" s="63">
        <f t="shared" si="15"/>
        <v>0</v>
      </c>
      <c r="I47" s="63">
        <f t="shared" si="15"/>
        <v>0</v>
      </c>
      <c r="J47" s="63">
        <f t="shared" si="15"/>
        <v>0</v>
      </c>
      <c r="K47" s="162"/>
      <c r="L47" s="162"/>
      <c r="M47" s="162"/>
      <c r="N47" s="162"/>
      <c r="O47" s="162"/>
      <c r="P47" s="162"/>
      <c r="Q47" s="162"/>
      <c r="R47" s="162"/>
      <c r="S47" s="162"/>
      <c r="T47" s="162"/>
      <c r="U47" s="162"/>
      <c r="V47" s="162"/>
      <c r="W47" s="162"/>
      <c r="X47" s="162"/>
      <c r="Y47" s="162"/>
      <c r="Z47" s="162"/>
      <c r="AA47" s="162"/>
      <c r="AB47" s="162"/>
      <c r="AC47" s="162"/>
      <c r="AD47" s="162"/>
      <c r="AE47" s="162"/>
      <c r="AF47" s="162"/>
      <c r="AG47" s="162"/>
      <c r="AH47" s="162"/>
      <c r="AI47" s="162"/>
      <c r="AJ47" s="162"/>
      <c r="AK47" s="162"/>
      <c r="AL47" s="162"/>
      <c r="AM47" s="162"/>
      <c r="AN47" s="162"/>
      <c r="AO47" s="162"/>
      <c r="AP47" s="162"/>
      <c r="AQ47" s="162"/>
      <c r="AR47" s="162"/>
      <c r="AS47" s="162"/>
      <c r="AT47" s="162"/>
      <c r="AU47" s="162"/>
      <c r="AV47" s="162"/>
      <c r="AW47" s="162"/>
      <c r="AX47" s="162"/>
      <c r="AY47" s="162"/>
      <c r="AZ47" s="162"/>
      <c r="BA47" s="162"/>
      <c r="BB47" s="162"/>
      <c r="BC47" s="162"/>
      <c r="BD47" s="162"/>
      <c r="BE47" s="162"/>
      <c r="BF47" s="162"/>
      <c r="BG47" s="162"/>
      <c r="BH47" s="162"/>
      <c r="BI47" s="162"/>
      <c r="BJ47" s="162"/>
      <c r="BK47" s="162"/>
      <c r="BL47" s="162"/>
      <c r="BM47" s="162"/>
      <c r="BN47" s="162"/>
      <c r="BO47" s="162"/>
      <c r="BP47" s="162"/>
      <c r="BQ47" s="162"/>
      <c r="BR47" s="162"/>
      <c r="BS47" s="162"/>
      <c r="BT47" s="162"/>
      <c r="BU47" s="162"/>
      <c r="BV47" s="162"/>
      <c r="BW47" s="162"/>
      <c r="BX47" s="162"/>
      <c r="BY47" s="162"/>
      <c r="BZ47" s="162"/>
      <c r="CA47" s="162"/>
      <c r="CB47" s="162"/>
      <c r="CC47" s="162"/>
      <c r="CD47" s="162"/>
      <c r="CE47" s="162"/>
      <c r="CF47" s="162"/>
      <c r="CG47" s="162"/>
      <c r="CH47" s="162"/>
      <c r="CI47" s="162"/>
      <c r="CJ47" s="162"/>
      <c r="CK47" s="162"/>
      <c r="CL47" s="162"/>
      <c r="CM47" s="162"/>
      <c r="CN47" s="162"/>
      <c r="CO47" s="162"/>
      <c r="CP47" s="162"/>
      <c r="CQ47" s="162"/>
      <c r="CR47" s="162"/>
      <c r="CS47" s="162"/>
      <c r="CT47" s="162"/>
      <c r="CU47" s="162"/>
      <c r="CV47" s="162"/>
      <c r="CW47" s="162"/>
      <c r="CX47" s="162"/>
      <c r="CY47" s="162"/>
      <c r="CZ47" s="162"/>
      <c r="DA47" s="162"/>
      <c r="DB47" s="162"/>
      <c r="DC47" s="162"/>
      <c r="DD47" s="162"/>
    </row>
    <row r="48" spans="1:108" hidden="1" outlineLevel="1" x14ac:dyDescent="0.2">
      <c r="A48" s="162"/>
      <c r="B48" s="162"/>
      <c r="C48" s="162"/>
      <c r="D48" s="162"/>
      <c r="E48" s="650">
        <v>3</v>
      </c>
      <c r="F48" s="650">
        <v>4</v>
      </c>
      <c r="G48" s="650">
        <v>5</v>
      </c>
      <c r="H48" s="650">
        <v>6</v>
      </c>
      <c r="I48" s="650">
        <v>7</v>
      </c>
      <c r="J48" s="650">
        <v>8</v>
      </c>
      <c r="K48" s="162"/>
      <c r="L48" s="162"/>
      <c r="M48" s="162"/>
      <c r="N48" s="162"/>
      <c r="O48" s="162"/>
      <c r="P48" s="162"/>
      <c r="Q48" s="162"/>
      <c r="R48" s="162"/>
      <c r="S48" s="162"/>
      <c r="T48" s="162"/>
      <c r="U48" s="162"/>
      <c r="V48" s="162"/>
      <c r="W48" s="162"/>
      <c r="X48" s="162"/>
      <c r="Y48" s="162"/>
      <c r="Z48" s="162"/>
      <c r="AA48" s="162"/>
      <c r="AB48" s="162"/>
      <c r="AC48" s="162"/>
      <c r="AD48" s="162"/>
      <c r="AE48" s="162"/>
      <c r="AF48" s="162"/>
      <c r="AG48" s="162"/>
      <c r="AH48" s="162"/>
      <c r="AI48" s="162"/>
      <c r="AJ48" s="162"/>
      <c r="AK48" s="162"/>
      <c r="AL48" s="162"/>
      <c r="AM48" s="162"/>
      <c r="AN48" s="162"/>
      <c r="AO48" s="162"/>
      <c r="AP48" s="162"/>
      <c r="AQ48" s="162"/>
      <c r="AR48" s="162"/>
      <c r="AS48" s="162"/>
      <c r="AT48" s="162"/>
      <c r="AU48" s="162"/>
      <c r="AV48" s="162"/>
      <c r="AW48" s="162"/>
      <c r="AX48" s="162"/>
      <c r="AY48" s="162"/>
      <c r="AZ48" s="162"/>
      <c r="BA48" s="162"/>
      <c r="BB48" s="162"/>
      <c r="BC48" s="162"/>
      <c r="BD48" s="162"/>
      <c r="BE48" s="162"/>
      <c r="BF48" s="162"/>
      <c r="BG48" s="162"/>
      <c r="BH48" s="162"/>
      <c r="BI48" s="162"/>
      <c r="BJ48" s="162"/>
      <c r="BK48" s="162"/>
      <c r="BL48" s="162"/>
      <c r="BM48" s="162"/>
      <c r="BN48" s="162"/>
      <c r="BO48" s="162"/>
      <c r="BP48" s="162"/>
      <c r="BQ48" s="162"/>
      <c r="BR48" s="162"/>
      <c r="BS48" s="162"/>
      <c r="BT48" s="162"/>
      <c r="BU48" s="162"/>
      <c r="BV48" s="162"/>
      <c r="BW48" s="162"/>
      <c r="BX48" s="162"/>
      <c r="BY48" s="162"/>
      <c r="BZ48" s="162"/>
      <c r="CA48" s="162"/>
      <c r="CB48" s="162"/>
      <c r="CC48" s="162"/>
      <c r="CD48" s="162"/>
      <c r="CE48" s="162"/>
      <c r="CF48" s="162"/>
      <c r="CG48" s="162"/>
      <c r="CH48" s="162"/>
      <c r="CI48" s="162"/>
      <c r="CJ48" s="162"/>
      <c r="CK48" s="162"/>
      <c r="CL48" s="162"/>
      <c r="CM48" s="162"/>
      <c r="CN48" s="162"/>
      <c r="CO48" s="162"/>
      <c r="CP48" s="162"/>
      <c r="CQ48" s="162"/>
      <c r="CR48" s="162"/>
      <c r="CS48" s="162"/>
      <c r="CT48" s="162"/>
      <c r="CU48" s="162"/>
      <c r="CV48" s="162"/>
      <c r="CW48" s="162"/>
      <c r="CX48" s="162"/>
      <c r="CY48" s="162"/>
      <c r="CZ48" s="162"/>
      <c r="DA48" s="162"/>
      <c r="DB48" s="162"/>
      <c r="DC48" s="162"/>
      <c r="DD48" s="162"/>
    </row>
    <row r="49" spans="1:108" hidden="1" outlineLevel="1" x14ac:dyDescent="0.2">
      <c r="A49" s="162"/>
      <c r="B49" s="162"/>
      <c r="C49" s="162"/>
      <c r="D49" s="31" t="s">
        <v>324</v>
      </c>
      <c r="E49" s="78">
        <f t="shared" ref="E49:J49" si="16">E46</f>
        <v>2021</v>
      </c>
      <c r="F49" s="78">
        <f t="shared" si="16"/>
        <v>2022</v>
      </c>
      <c r="G49" s="78">
        <f t="shared" si="16"/>
        <v>2023</v>
      </c>
      <c r="H49" s="78">
        <f t="shared" si="16"/>
        <v>2024</v>
      </c>
      <c r="I49" s="78">
        <f t="shared" si="16"/>
        <v>2025</v>
      </c>
      <c r="J49" s="78">
        <f t="shared" si="16"/>
        <v>2026</v>
      </c>
      <c r="K49" s="162"/>
      <c r="L49" s="162"/>
      <c r="M49" s="162"/>
      <c r="N49" s="162"/>
      <c r="O49" s="162"/>
      <c r="P49" s="162"/>
      <c r="Q49" s="162"/>
      <c r="R49" s="162"/>
      <c r="S49" s="162"/>
      <c r="T49" s="162"/>
      <c r="U49" s="162"/>
      <c r="V49" s="162"/>
      <c r="W49" s="162"/>
      <c r="X49" s="162"/>
      <c r="Y49" s="162"/>
      <c r="Z49" s="162"/>
      <c r="AA49" s="162"/>
      <c r="AB49" s="162"/>
      <c r="AC49" s="162"/>
      <c r="AD49" s="162"/>
      <c r="AE49" s="162"/>
      <c r="AF49" s="162"/>
      <c r="AG49" s="162"/>
      <c r="AH49" s="162"/>
      <c r="AI49" s="162"/>
      <c r="AJ49" s="162"/>
      <c r="AK49" s="162"/>
      <c r="AL49" s="162"/>
      <c r="AM49" s="162"/>
      <c r="AN49" s="162"/>
      <c r="AO49" s="162"/>
      <c r="AP49" s="162"/>
      <c r="AQ49" s="162"/>
      <c r="AR49" s="162"/>
      <c r="AS49" s="162"/>
      <c r="AT49" s="162"/>
      <c r="AU49" s="162"/>
      <c r="AV49" s="162"/>
      <c r="AW49" s="162"/>
      <c r="AX49" s="162"/>
      <c r="AY49" s="162"/>
      <c r="AZ49" s="162"/>
      <c r="BA49" s="162"/>
      <c r="BB49" s="162"/>
      <c r="BC49" s="162"/>
      <c r="BD49" s="162"/>
      <c r="BE49" s="162"/>
      <c r="BF49" s="162"/>
      <c r="BG49" s="162"/>
      <c r="BH49" s="162"/>
      <c r="BI49" s="162"/>
      <c r="BJ49" s="162"/>
      <c r="BK49" s="162"/>
      <c r="BL49" s="162"/>
      <c r="BM49" s="162"/>
      <c r="BN49" s="162"/>
      <c r="BO49" s="162"/>
      <c r="BP49" s="162"/>
      <c r="BQ49" s="162"/>
      <c r="BR49" s="162"/>
      <c r="BS49" s="162"/>
      <c r="BT49" s="162"/>
      <c r="BU49" s="162"/>
      <c r="BV49" s="162"/>
      <c r="BW49" s="162"/>
      <c r="BX49" s="162"/>
      <c r="BY49" s="162"/>
      <c r="BZ49" s="162"/>
      <c r="CA49" s="162"/>
      <c r="CB49" s="162"/>
      <c r="CC49" s="162"/>
      <c r="CD49" s="162"/>
      <c r="CE49" s="162"/>
      <c r="CF49" s="162"/>
      <c r="CG49" s="162"/>
      <c r="CH49" s="162"/>
      <c r="CI49" s="162"/>
      <c r="CJ49" s="162"/>
      <c r="CK49" s="162"/>
      <c r="CL49" s="162"/>
      <c r="CM49" s="162"/>
      <c r="CN49" s="162"/>
      <c r="CO49" s="162"/>
      <c r="CP49" s="162"/>
      <c r="CQ49" s="162"/>
      <c r="CR49" s="162"/>
      <c r="CS49" s="162"/>
      <c r="CT49" s="162"/>
      <c r="CU49" s="162"/>
      <c r="CV49" s="162"/>
      <c r="CW49" s="162"/>
      <c r="CX49" s="162"/>
      <c r="CY49" s="162"/>
      <c r="CZ49" s="162"/>
      <c r="DA49" s="162"/>
      <c r="DB49" s="162"/>
      <c r="DC49" s="162"/>
      <c r="DD49" s="162"/>
    </row>
    <row r="50" spans="1:108" hidden="1" outlineLevel="1" x14ac:dyDescent="0.2">
      <c r="A50" s="162"/>
      <c r="B50" s="162"/>
      <c r="C50" s="58">
        <v>1</v>
      </c>
      <c r="D50" s="177" t="s">
        <v>240</v>
      </c>
      <c r="E50" s="63">
        <f t="shared" ref="E50:J50" si="17">SUMPRODUCT(($D$203:$D$221=E49)*($E$202:$DA$202&gt;=$E$41)*($E$202:$DA$202&lt;=$F$41)*($E$203:$DA$221))</f>
        <v>26301274</v>
      </c>
      <c r="F50" s="63">
        <f t="shared" si="17"/>
        <v>26727025</v>
      </c>
      <c r="G50" s="63">
        <f t="shared" si="17"/>
        <v>27147199</v>
      </c>
      <c r="H50" s="63">
        <f t="shared" si="17"/>
        <v>27562195</v>
      </c>
      <c r="I50" s="63">
        <f t="shared" si="17"/>
        <v>27970435</v>
      </c>
      <c r="J50" s="63">
        <f t="shared" si="17"/>
        <v>28372315</v>
      </c>
      <c r="K50" s="162"/>
      <c r="L50" s="162"/>
      <c r="M50" s="162"/>
      <c r="N50" s="162"/>
      <c r="O50" s="162"/>
      <c r="P50" s="162"/>
      <c r="Q50" s="162"/>
      <c r="R50" s="162"/>
      <c r="S50" s="162"/>
      <c r="T50" s="162"/>
      <c r="U50" s="162"/>
      <c r="V50" s="162"/>
      <c r="W50" s="162"/>
      <c r="X50" s="162"/>
      <c r="Y50" s="162"/>
      <c r="Z50" s="162"/>
      <c r="AA50" s="162"/>
      <c r="AB50" s="162"/>
      <c r="AC50" s="162"/>
      <c r="AD50" s="162"/>
      <c r="AE50" s="162"/>
      <c r="AF50" s="162"/>
      <c r="AG50" s="162"/>
      <c r="AH50" s="162"/>
      <c r="AI50" s="162"/>
      <c r="AJ50" s="162"/>
      <c r="AK50" s="162"/>
      <c r="AL50" s="162"/>
      <c r="AM50" s="162"/>
      <c r="AN50" s="162"/>
      <c r="AO50" s="162"/>
      <c r="AP50" s="162"/>
      <c r="AQ50" s="162"/>
      <c r="AR50" s="162"/>
      <c r="AS50" s="162"/>
      <c r="AT50" s="162"/>
      <c r="AU50" s="162"/>
      <c r="AV50" s="162"/>
      <c r="AW50" s="162"/>
      <c r="AX50" s="162"/>
      <c r="AY50" s="162"/>
      <c r="AZ50" s="162"/>
      <c r="BA50" s="162"/>
      <c r="BB50" s="162"/>
      <c r="BC50" s="162"/>
      <c r="BD50" s="162"/>
      <c r="BE50" s="162"/>
      <c r="BF50" s="162"/>
      <c r="BG50" s="162"/>
      <c r="BH50" s="162"/>
      <c r="BI50" s="162"/>
      <c r="BJ50" s="162"/>
      <c r="BK50" s="162"/>
      <c r="BL50" s="162"/>
      <c r="BM50" s="162"/>
      <c r="BN50" s="162"/>
      <c r="BO50" s="162"/>
      <c r="BP50" s="162"/>
      <c r="BQ50" s="162"/>
      <c r="BR50" s="162"/>
      <c r="BS50" s="162"/>
      <c r="BT50" s="162"/>
      <c r="BU50" s="162"/>
      <c r="BV50" s="162"/>
      <c r="BW50" s="162"/>
      <c r="BX50" s="162"/>
      <c r="BY50" s="162"/>
      <c r="BZ50" s="162"/>
      <c r="CA50" s="162"/>
      <c r="CB50" s="162"/>
      <c r="CC50" s="162"/>
      <c r="CD50" s="162"/>
      <c r="CE50" s="162"/>
      <c r="CF50" s="162"/>
      <c r="CG50" s="162"/>
      <c r="CH50" s="162"/>
      <c r="CI50" s="162"/>
      <c r="CJ50" s="162"/>
      <c r="CK50" s="162"/>
      <c r="CL50" s="162"/>
      <c r="CM50" s="162"/>
      <c r="CN50" s="162"/>
      <c r="CO50" s="162"/>
      <c r="CP50" s="162"/>
      <c r="CQ50" s="162"/>
      <c r="CR50" s="162"/>
      <c r="CS50" s="162"/>
      <c r="CT50" s="162"/>
      <c r="CU50" s="162"/>
      <c r="CV50" s="162"/>
      <c r="CW50" s="162"/>
      <c r="CX50" s="162"/>
      <c r="CY50" s="162"/>
      <c r="CZ50" s="162"/>
      <c r="DA50" s="162"/>
      <c r="DB50" s="162"/>
      <c r="DC50" s="162"/>
      <c r="DD50" s="162"/>
    </row>
    <row r="51" spans="1:108" hidden="1" outlineLevel="1" x14ac:dyDescent="0.2">
      <c r="A51" s="162"/>
      <c r="B51" s="162"/>
      <c r="C51" s="58">
        <v>2</v>
      </c>
      <c r="D51" s="177" t="s">
        <v>243</v>
      </c>
      <c r="E51" s="63">
        <f t="shared" ref="E51:J51" si="18">SUMPRODUCT(($D$228:$D$246=E49)*($E$227:$DA$227&gt;=$E$41)*($E$227:$DA$227&lt;=$F$41)*($E$228:$DA$246))</f>
        <v>13039532</v>
      </c>
      <c r="F51" s="63">
        <f t="shared" si="18"/>
        <v>13248872</v>
      </c>
      <c r="G51" s="63">
        <f t="shared" si="18"/>
        <v>13455403</v>
      </c>
      <c r="H51" s="63">
        <f t="shared" si="18"/>
        <v>13659298</v>
      </c>
      <c r="I51" s="63">
        <f t="shared" si="18"/>
        <v>13859813</v>
      </c>
      <c r="J51" s="63">
        <f t="shared" si="18"/>
        <v>14057138</v>
      </c>
      <c r="K51" s="162"/>
      <c r="L51" s="162"/>
      <c r="M51" s="162"/>
      <c r="N51" s="162"/>
      <c r="O51" s="162"/>
      <c r="P51" s="162"/>
      <c r="Q51" s="162"/>
      <c r="R51" s="162"/>
      <c r="S51" s="162"/>
      <c r="T51" s="162"/>
      <c r="U51" s="162"/>
      <c r="V51" s="162"/>
      <c r="W51" s="162"/>
      <c r="X51" s="162"/>
      <c r="Y51" s="162"/>
      <c r="Z51" s="162"/>
      <c r="AA51" s="162"/>
      <c r="AB51" s="162"/>
      <c r="AC51" s="162"/>
      <c r="AD51" s="162"/>
      <c r="AE51" s="162"/>
      <c r="AF51" s="162"/>
      <c r="AG51" s="162"/>
      <c r="AH51" s="162"/>
      <c r="AI51" s="162"/>
      <c r="AJ51" s="162"/>
      <c r="AK51" s="162"/>
      <c r="AL51" s="162"/>
      <c r="AM51" s="162"/>
      <c r="AN51" s="162"/>
      <c r="AO51" s="162"/>
      <c r="AP51" s="162"/>
      <c r="AQ51" s="162"/>
      <c r="AR51" s="162"/>
      <c r="AS51" s="162"/>
      <c r="AT51" s="162"/>
      <c r="AU51" s="162"/>
      <c r="AV51" s="162"/>
      <c r="AW51" s="162"/>
      <c r="AX51" s="162"/>
      <c r="AY51" s="162"/>
      <c r="AZ51" s="162"/>
      <c r="BA51" s="162"/>
      <c r="BB51" s="162"/>
      <c r="BC51" s="162"/>
      <c r="BD51" s="162"/>
      <c r="BE51" s="162"/>
      <c r="BF51" s="162"/>
      <c r="BG51" s="162"/>
      <c r="BH51" s="162"/>
      <c r="BI51" s="162"/>
      <c r="BJ51" s="162"/>
      <c r="BK51" s="162"/>
      <c r="BL51" s="162"/>
      <c r="BM51" s="162"/>
      <c r="BN51" s="162"/>
      <c r="BO51" s="162"/>
      <c r="BP51" s="162"/>
      <c r="BQ51" s="162"/>
      <c r="BR51" s="162"/>
      <c r="BS51" s="162"/>
      <c r="BT51" s="162"/>
      <c r="BU51" s="162"/>
      <c r="BV51" s="162"/>
      <c r="BW51" s="162"/>
      <c r="BX51" s="162"/>
      <c r="BY51" s="162"/>
      <c r="BZ51" s="162"/>
      <c r="CA51" s="162"/>
      <c r="CB51" s="162"/>
      <c r="CC51" s="162"/>
      <c r="CD51" s="162"/>
      <c r="CE51" s="162"/>
      <c r="CF51" s="162"/>
      <c r="CG51" s="162"/>
      <c r="CH51" s="162"/>
      <c r="CI51" s="162"/>
      <c r="CJ51" s="162"/>
      <c r="CK51" s="162"/>
      <c r="CL51" s="162"/>
      <c r="CM51" s="162"/>
      <c r="CN51" s="162"/>
      <c r="CO51" s="162"/>
      <c r="CP51" s="162"/>
      <c r="CQ51" s="162"/>
      <c r="CR51" s="162"/>
      <c r="CS51" s="162"/>
      <c r="CT51" s="162"/>
      <c r="CU51" s="162"/>
      <c r="CV51" s="162"/>
      <c r="CW51" s="162"/>
      <c r="CX51" s="162"/>
      <c r="CY51" s="162"/>
      <c r="CZ51" s="162"/>
      <c r="DA51" s="162"/>
      <c r="DB51" s="162"/>
      <c r="DC51" s="162"/>
      <c r="DD51" s="162"/>
    </row>
    <row r="52" spans="1:108" hidden="1" outlineLevel="1" x14ac:dyDescent="0.2">
      <c r="A52" s="162"/>
      <c r="B52" s="162"/>
      <c r="C52" s="58">
        <v>3</v>
      </c>
      <c r="D52" s="177" t="s">
        <v>244</v>
      </c>
      <c r="E52" s="63">
        <f t="shared" ref="E52:J52" si="19">SUMPRODUCT(($D$253:$D$271=E49)*($E$252:$DA$252&gt;=$E$41)*($E$252:$DA$252&lt;=$F$41)*($E$253:$DA$271))</f>
        <v>13261742</v>
      </c>
      <c r="F52" s="63">
        <f t="shared" si="19"/>
        <v>13478153</v>
      </c>
      <c r="G52" s="63">
        <f t="shared" si="19"/>
        <v>13691796</v>
      </c>
      <c r="H52" s="63">
        <f t="shared" si="19"/>
        <v>13902897</v>
      </c>
      <c r="I52" s="63">
        <f t="shared" si="19"/>
        <v>14110622</v>
      </c>
      <c r="J52" s="63">
        <f t="shared" si="19"/>
        <v>14315177</v>
      </c>
      <c r="K52" s="162"/>
      <c r="L52" s="162"/>
      <c r="M52" s="162"/>
      <c r="N52" s="162"/>
      <c r="O52" s="162"/>
      <c r="P52" s="162"/>
      <c r="Q52" s="162"/>
      <c r="R52" s="162"/>
      <c r="S52" s="162"/>
      <c r="T52" s="162"/>
      <c r="U52" s="162"/>
      <c r="V52" s="162"/>
      <c r="W52" s="162"/>
      <c r="X52" s="162"/>
      <c r="Y52" s="162"/>
      <c r="Z52" s="162"/>
      <c r="AA52" s="162"/>
      <c r="AB52" s="162"/>
      <c r="AC52" s="162"/>
      <c r="AD52" s="162"/>
      <c r="AE52" s="162"/>
      <c r="AF52" s="162"/>
      <c r="AG52" s="162"/>
      <c r="AH52" s="162"/>
      <c r="AI52" s="162"/>
      <c r="AJ52" s="162"/>
      <c r="AK52" s="162"/>
      <c r="AL52" s="162"/>
      <c r="AM52" s="162"/>
      <c r="AN52" s="162"/>
      <c r="AO52" s="162"/>
      <c r="AP52" s="162"/>
      <c r="AQ52" s="162"/>
      <c r="AR52" s="162"/>
      <c r="AS52" s="162"/>
      <c r="AT52" s="162"/>
      <c r="AU52" s="162"/>
      <c r="AV52" s="162"/>
      <c r="AW52" s="162"/>
      <c r="AX52" s="162"/>
      <c r="AY52" s="162"/>
      <c r="AZ52" s="162"/>
      <c r="BA52" s="162"/>
      <c r="BB52" s="162"/>
      <c r="BC52" s="162"/>
      <c r="BD52" s="162"/>
      <c r="BE52" s="162"/>
      <c r="BF52" s="162"/>
      <c r="BG52" s="162"/>
      <c r="BH52" s="162"/>
      <c r="BI52" s="162"/>
      <c r="BJ52" s="162"/>
      <c r="BK52" s="162"/>
      <c r="BL52" s="162"/>
      <c r="BM52" s="162"/>
      <c r="BN52" s="162"/>
      <c r="BO52" s="162"/>
      <c r="BP52" s="162"/>
      <c r="BQ52" s="162"/>
      <c r="BR52" s="162"/>
      <c r="BS52" s="162"/>
      <c r="BT52" s="162"/>
      <c r="BU52" s="162"/>
      <c r="BV52" s="162"/>
      <c r="BW52" s="162"/>
      <c r="BX52" s="162"/>
      <c r="BY52" s="162"/>
      <c r="BZ52" s="162"/>
      <c r="CA52" s="162"/>
      <c r="CB52" s="162"/>
      <c r="CC52" s="162"/>
      <c r="CD52" s="162"/>
      <c r="CE52" s="162"/>
      <c r="CF52" s="162"/>
      <c r="CG52" s="162"/>
      <c r="CH52" s="162"/>
      <c r="CI52" s="162"/>
      <c r="CJ52" s="162"/>
      <c r="CK52" s="162"/>
      <c r="CL52" s="162"/>
      <c r="CM52" s="162"/>
      <c r="CN52" s="162"/>
      <c r="CO52" s="162"/>
      <c r="CP52" s="162"/>
      <c r="CQ52" s="162"/>
      <c r="CR52" s="162"/>
      <c r="CS52" s="162"/>
      <c r="CT52" s="162"/>
      <c r="CU52" s="162"/>
      <c r="CV52" s="162"/>
      <c r="CW52" s="162"/>
      <c r="CX52" s="162"/>
      <c r="CY52" s="162"/>
      <c r="CZ52" s="162"/>
      <c r="DA52" s="162"/>
      <c r="DB52" s="162"/>
      <c r="DC52" s="162"/>
      <c r="DD52" s="162"/>
    </row>
    <row r="53" spans="1:108" hidden="1" outlineLevel="1" x14ac:dyDescent="0.2">
      <c r="A53" s="162"/>
      <c r="B53" s="162"/>
      <c r="C53" s="162"/>
      <c r="D53" s="162"/>
      <c r="E53" s="162"/>
      <c r="F53" s="162"/>
      <c r="G53" s="162"/>
      <c r="H53" s="162"/>
      <c r="I53" s="162"/>
      <c r="J53" s="162"/>
      <c r="K53" s="162"/>
      <c r="L53" s="162"/>
      <c r="M53" s="162"/>
      <c r="N53" s="162"/>
      <c r="O53" s="162"/>
      <c r="P53" s="162"/>
      <c r="Q53" s="162"/>
      <c r="R53" s="162"/>
      <c r="S53" s="162"/>
      <c r="T53" s="162"/>
      <c r="U53" s="162"/>
      <c r="V53" s="162"/>
      <c r="W53" s="162"/>
      <c r="X53" s="162"/>
      <c r="Y53" s="162"/>
      <c r="Z53" s="162"/>
      <c r="AA53" s="162"/>
      <c r="AB53" s="162"/>
      <c r="AC53" s="162"/>
      <c r="AD53" s="162"/>
      <c r="AE53" s="162"/>
      <c r="AF53" s="162"/>
      <c r="AG53" s="162"/>
      <c r="AH53" s="162"/>
      <c r="AI53" s="162"/>
      <c r="AJ53" s="162"/>
      <c r="AK53" s="162"/>
      <c r="AL53" s="162"/>
      <c r="AM53" s="162"/>
      <c r="AN53" s="162"/>
      <c r="AO53" s="162"/>
      <c r="AP53" s="162"/>
      <c r="AQ53" s="162"/>
      <c r="AR53" s="162"/>
      <c r="AS53" s="162"/>
      <c r="AT53" s="162"/>
      <c r="AU53" s="162"/>
      <c r="AV53" s="162"/>
      <c r="AW53" s="162"/>
      <c r="AX53" s="162"/>
      <c r="AY53" s="162"/>
      <c r="AZ53" s="162"/>
      <c r="BA53" s="162"/>
      <c r="BB53" s="162"/>
      <c r="BC53" s="162"/>
      <c r="BD53" s="162"/>
      <c r="BE53" s="162"/>
      <c r="BF53" s="162"/>
      <c r="BG53" s="162"/>
      <c r="BH53" s="162"/>
      <c r="BI53" s="162"/>
      <c r="BJ53" s="162"/>
      <c r="BK53" s="162"/>
      <c r="BL53" s="162"/>
      <c r="BM53" s="162"/>
      <c r="BN53" s="162"/>
      <c r="BO53" s="162"/>
      <c r="BP53" s="162"/>
      <c r="BQ53" s="162"/>
      <c r="BR53" s="162"/>
      <c r="BS53" s="162"/>
      <c r="BT53" s="162"/>
      <c r="BU53" s="162"/>
      <c r="BV53" s="162"/>
      <c r="BW53" s="162"/>
      <c r="BX53" s="162"/>
      <c r="BY53" s="162"/>
      <c r="BZ53" s="162"/>
      <c r="CA53" s="162"/>
      <c r="CB53" s="162"/>
      <c r="CC53" s="162"/>
      <c r="CD53" s="162"/>
      <c r="CE53" s="162"/>
      <c r="CF53" s="162"/>
      <c r="CG53" s="162"/>
      <c r="CH53" s="162"/>
      <c r="CI53" s="162"/>
      <c r="CJ53" s="162"/>
      <c r="CK53" s="162"/>
      <c r="CL53" s="162"/>
      <c r="CM53" s="162"/>
      <c r="CN53" s="162"/>
      <c r="CO53" s="162"/>
      <c r="CP53" s="162"/>
      <c r="CQ53" s="162"/>
      <c r="CR53" s="162"/>
      <c r="CS53" s="162"/>
      <c r="CT53" s="162"/>
      <c r="CU53" s="162"/>
      <c r="CV53" s="162"/>
      <c r="CW53" s="162"/>
      <c r="CX53" s="162"/>
      <c r="CY53" s="162"/>
      <c r="CZ53" s="162"/>
      <c r="DA53" s="162"/>
      <c r="DB53" s="162"/>
      <c r="DC53" s="162"/>
      <c r="DD53" s="162"/>
    </row>
    <row r="54" spans="1:108" collapsed="1" x14ac:dyDescent="0.2">
      <c r="A54" s="162"/>
      <c r="B54" s="162"/>
      <c r="C54" s="162"/>
      <c r="D54" s="162"/>
      <c r="E54" s="162"/>
      <c r="F54" s="162"/>
      <c r="G54" s="162"/>
      <c r="H54" s="162"/>
      <c r="I54" s="162"/>
      <c r="J54" s="162"/>
      <c r="K54" s="162"/>
      <c r="L54" s="162"/>
      <c r="M54" s="162"/>
      <c r="N54" s="162"/>
      <c r="O54" s="162"/>
      <c r="P54" s="162"/>
      <c r="Q54" s="162"/>
      <c r="R54" s="162"/>
      <c r="S54" s="162"/>
      <c r="T54" s="162"/>
      <c r="U54" s="162"/>
      <c r="V54" s="162"/>
      <c r="W54" s="162"/>
      <c r="X54" s="162"/>
      <c r="Y54" s="162"/>
      <c r="Z54" s="162"/>
      <c r="AA54" s="162"/>
      <c r="AB54" s="162"/>
      <c r="AC54" s="162"/>
      <c r="AD54" s="162"/>
      <c r="AE54" s="162"/>
      <c r="AF54" s="162"/>
      <c r="AG54" s="162"/>
      <c r="AH54" s="162"/>
      <c r="AI54" s="162"/>
      <c r="AJ54" s="162"/>
      <c r="AK54" s="162"/>
      <c r="AL54" s="162"/>
      <c r="AM54" s="162"/>
      <c r="AN54" s="162"/>
      <c r="AO54" s="162"/>
      <c r="AP54" s="162"/>
      <c r="AQ54" s="162"/>
      <c r="AR54" s="162"/>
      <c r="AS54" s="162"/>
      <c r="AT54" s="162"/>
      <c r="AU54" s="162"/>
      <c r="AV54" s="162"/>
      <c r="AW54" s="162"/>
      <c r="AX54" s="162"/>
      <c r="AY54" s="162"/>
      <c r="AZ54" s="162"/>
      <c r="BA54" s="162"/>
      <c r="BB54" s="162"/>
      <c r="BC54" s="162"/>
      <c r="BD54" s="162"/>
      <c r="BE54" s="162"/>
      <c r="BF54" s="162"/>
      <c r="BG54" s="162"/>
      <c r="BH54" s="162"/>
      <c r="BI54" s="162"/>
      <c r="BJ54" s="162"/>
      <c r="BK54" s="162"/>
      <c r="BL54" s="162"/>
      <c r="BM54" s="162"/>
      <c r="BN54" s="162"/>
      <c r="BO54" s="162"/>
      <c r="BP54" s="162"/>
      <c r="BQ54" s="162"/>
      <c r="BR54" s="162"/>
      <c r="BS54" s="162"/>
      <c r="BT54" s="162"/>
      <c r="BU54" s="162"/>
      <c r="BV54" s="162"/>
      <c r="BW54" s="162"/>
      <c r="BX54" s="162"/>
      <c r="BY54" s="162"/>
      <c r="BZ54" s="162"/>
      <c r="CA54" s="162"/>
      <c r="CB54" s="162"/>
      <c r="CC54" s="162"/>
      <c r="CD54" s="162"/>
      <c r="CE54" s="162"/>
      <c r="CF54" s="162"/>
      <c r="CG54" s="162"/>
      <c r="CH54" s="162"/>
      <c r="CI54" s="162"/>
      <c r="CJ54" s="162"/>
      <c r="CK54" s="162"/>
      <c r="CL54" s="162"/>
      <c r="CM54" s="162"/>
      <c r="CN54" s="162"/>
      <c r="CO54" s="162"/>
      <c r="CP54" s="162"/>
      <c r="CQ54" s="162"/>
      <c r="CR54" s="162"/>
      <c r="CS54" s="162"/>
      <c r="CT54" s="162"/>
      <c r="CU54" s="162"/>
      <c r="CV54" s="162"/>
      <c r="CW54" s="162"/>
      <c r="CX54" s="162"/>
      <c r="CY54" s="162"/>
      <c r="CZ54" s="162"/>
      <c r="DA54" s="162"/>
      <c r="DB54" s="162"/>
      <c r="DC54" s="162"/>
      <c r="DD54" s="162"/>
    </row>
    <row r="55" spans="1:108" ht="15.75" x14ac:dyDescent="0.2">
      <c r="A55" s="162"/>
      <c r="B55" s="242">
        <f>IF(H58&lt;&gt;"",VLOOKUP(H58,GenderCode,2,FALSE),0)</f>
        <v>0</v>
      </c>
      <c r="C55" s="58">
        <v>3</v>
      </c>
      <c r="D55" s="79" t="str">
        <f>IF(B55=0,MsgNotUsed, CONCATENATE("ABS ", C55, ": ", H58, " ", E59, " - ", F59, " yrs inclusive (", E64, "-", J64, ")") &amp; IF(E61&lt;&gt;"",CONCATENATE(" - (",D61,")"),""))</f>
        <v>** NOT USED **</v>
      </c>
      <c r="E55" s="127"/>
      <c r="F55" s="127"/>
      <c r="G55" s="127"/>
      <c r="H55" s="127"/>
      <c r="I55" s="175"/>
      <c r="J55" s="127"/>
      <c r="K55" s="127"/>
      <c r="L55" s="127"/>
      <c r="M55" s="127"/>
      <c r="N55" s="127"/>
      <c r="O55" s="127"/>
      <c r="P55" s="162"/>
      <c r="Q55" s="162"/>
      <c r="R55" s="162"/>
      <c r="S55" s="162"/>
      <c r="T55" s="162"/>
      <c r="U55" s="162"/>
      <c r="V55" s="162"/>
      <c r="W55" s="162"/>
      <c r="X55" s="162"/>
      <c r="Y55" s="162"/>
      <c r="Z55" s="162"/>
      <c r="AA55" s="162"/>
      <c r="AB55" s="162"/>
      <c r="AC55" s="162"/>
      <c r="AD55" s="162"/>
      <c r="AE55" s="162"/>
      <c r="AF55" s="162"/>
      <c r="AG55" s="162"/>
      <c r="AH55" s="162"/>
      <c r="AI55" s="162"/>
      <c r="AJ55" s="162"/>
      <c r="AK55" s="162"/>
      <c r="AL55" s="162"/>
      <c r="AM55" s="162"/>
      <c r="AN55" s="162"/>
      <c r="AO55" s="162"/>
      <c r="AP55" s="162"/>
      <c r="AQ55" s="162"/>
      <c r="AR55" s="162"/>
      <c r="AS55" s="162"/>
      <c r="AT55" s="162"/>
      <c r="AU55" s="162"/>
      <c r="AV55" s="162"/>
      <c r="AW55" s="162"/>
      <c r="AX55" s="162"/>
      <c r="AY55" s="162"/>
      <c r="AZ55" s="162"/>
      <c r="BA55" s="162"/>
      <c r="BB55" s="162"/>
      <c r="BC55" s="162"/>
      <c r="BD55" s="162"/>
      <c r="BE55" s="162"/>
      <c r="BF55" s="162"/>
      <c r="BG55" s="162"/>
      <c r="BH55" s="162"/>
      <c r="BI55" s="162"/>
      <c r="BJ55" s="162"/>
      <c r="BK55" s="162"/>
      <c r="BL55" s="162"/>
      <c r="BM55" s="162"/>
      <c r="BN55" s="162"/>
      <c r="BO55" s="162"/>
      <c r="BP55" s="162"/>
      <c r="BQ55" s="162"/>
      <c r="BR55" s="162"/>
      <c r="BS55" s="162"/>
      <c r="BT55" s="162"/>
      <c r="BU55" s="162"/>
      <c r="BV55" s="162"/>
      <c r="BW55" s="162"/>
      <c r="BX55" s="162"/>
      <c r="BY55" s="162"/>
      <c r="BZ55" s="162"/>
      <c r="CA55" s="162"/>
      <c r="CB55" s="162"/>
      <c r="CC55" s="162"/>
      <c r="CD55" s="162"/>
      <c r="CE55" s="162"/>
      <c r="CF55" s="162"/>
      <c r="CG55" s="162"/>
      <c r="CH55" s="162"/>
      <c r="CI55" s="162"/>
      <c r="CJ55" s="162"/>
      <c r="CK55" s="162"/>
      <c r="CL55" s="162"/>
      <c r="CM55" s="162"/>
      <c r="CN55" s="162"/>
      <c r="CO55" s="162"/>
      <c r="CP55" s="162"/>
      <c r="CQ55" s="162"/>
      <c r="CR55" s="162"/>
      <c r="CS55" s="162"/>
      <c r="CT55" s="162"/>
      <c r="CU55" s="162"/>
      <c r="CV55" s="162"/>
      <c r="CW55" s="162"/>
      <c r="CX55" s="162"/>
      <c r="CY55" s="162"/>
      <c r="CZ55" s="162"/>
      <c r="DA55" s="162"/>
      <c r="DB55" s="162"/>
      <c r="DC55" s="162"/>
      <c r="DD55" s="162"/>
    </row>
    <row r="56" spans="1:108" ht="14.25" hidden="1" outlineLevel="1" x14ac:dyDescent="0.2">
      <c r="A56" s="162"/>
      <c r="B56" s="162"/>
      <c r="C56" s="162"/>
      <c r="D56" s="647"/>
      <c r="E56" s="162"/>
      <c r="F56" s="162"/>
      <c r="G56" s="162"/>
      <c r="H56" s="162"/>
      <c r="I56" s="162"/>
      <c r="J56" s="162"/>
      <c r="K56" s="162"/>
      <c r="L56" s="162"/>
      <c r="M56" s="162"/>
      <c r="N56" s="162"/>
      <c r="O56" s="162"/>
      <c r="P56" s="162"/>
      <c r="Q56" s="162"/>
      <c r="R56" s="162"/>
      <c r="S56" s="162"/>
      <c r="T56" s="162"/>
      <c r="U56" s="162"/>
      <c r="V56" s="162"/>
      <c r="W56" s="162"/>
      <c r="X56" s="162"/>
      <c r="Y56" s="162"/>
      <c r="Z56" s="162"/>
      <c r="AA56" s="162"/>
      <c r="AB56" s="162"/>
      <c r="AC56" s="162"/>
      <c r="AD56" s="162"/>
      <c r="AE56" s="162"/>
      <c r="AF56" s="162"/>
      <c r="AG56" s="162"/>
      <c r="AH56" s="162"/>
      <c r="AI56" s="162"/>
      <c r="AJ56" s="162"/>
      <c r="AK56" s="162"/>
      <c r="AL56" s="162"/>
      <c r="AM56" s="162"/>
      <c r="AN56" s="162"/>
      <c r="AO56" s="162"/>
      <c r="AP56" s="162"/>
      <c r="AQ56" s="162"/>
      <c r="AR56" s="162"/>
      <c r="AS56" s="162"/>
      <c r="AT56" s="162"/>
      <c r="AU56" s="162"/>
      <c r="AV56" s="162"/>
      <c r="AW56" s="162"/>
      <c r="AX56" s="162"/>
      <c r="AY56" s="162"/>
      <c r="AZ56" s="162"/>
      <c r="BA56" s="162"/>
      <c r="BB56" s="162"/>
      <c r="BC56" s="162"/>
      <c r="BD56" s="162"/>
      <c r="BE56" s="162"/>
      <c r="BF56" s="162"/>
      <c r="BG56" s="162"/>
      <c r="BH56" s="162"/>
      <c r="BI56" s="162"/>
      <c r="BJ56" s="162"/>
      <c r="BK56" s="162"/>
      <c r="BL56" s="162"/>
      <c r="BM56" s="162"/>
      <c r="BN56" s="162"/>
      <c r="BO56" s="162"/>
      <c r="BP56" s="162"/>
      <c r="BQ56" s="162"/>
      <c r="BR56" s="162"/>
      <c r="BS56" s="162"/>
      <c r="BT56" s="162"/>
      <c r="BU56" s="162"/>
      <c r="BV56" s="162"/>
      <c r="BW56" s="162"/>
      <c r="BX56" s="162"/>
      <c r="BY56" s="162"/>
      <c r="BZ56" s="162"/>
      <c r="CA56" s="162"/>
      <c r="CB56" s="162"/>
      <c r="CC56" s="162"/>
      <c r="CD56" s="162"/>
      <c r="CE56" s="162"/>
      <c r="CF56" s="162"/>
      <c r="CG56" s="162"/>
      <c r="CH56" s="162"/>
      <c r="CI56" s="162"/>
      <c r="CJ56" s="162"/>
      <c r="CK56" s="162"/>
      <c r="CL56" s="162"/>
      <c r="CM56" s="162"/>
      <c r="CN56" s="162"/>
      <c r="CO56" s="162"/>
      <c r="CP56" s="162"/>
      <c r="CQ56" s="162"/>
      <c r="CR56" s="162"/>
      <c r="CS56" s="162"/>
      <c r="CT56" s="162"/>
      <c r="CU56" s="162"/>
      <c r="CV56" s="162"/>
      <c r="CW56" s="162"/>
      <c r="CX56" s="162"/>
      <c r="CY56" s="162"/>
      <c r="CZ56" s="162"/>
      <c r="DA56" s="162"/>
      <c r="DB56" s="162"/>
      <c r="DC56" s="162"/>
      <c r="DD56" s="162"/>
    </row>
    <row r="57" spans="1:108" hidden="1" outlineLevel="1" x14ac:dyDescent="0.2">
      <c r="A57" s="162"/>
      <c r="B57" s="162"/>
      <c r="C57" s="162"/>
      <c r="D57" s="162"/>
      <c r="E57" s="632" t="s">
        <v>245</v>
      </c>
      <c r="F57" s="632" t="s">
        <v>246</v>
      </c>
      <c r="G57" s="162"/>
      <c r="H57" s="632" t="s">
        <v>51</v>
      </c>
      <c r="I57" s="162"/>
      <c r="J57" s="632" t="s">
        <v>365</v>
      </c>
      <c r="K57" s="162"/>
      <c r="L57" s="162"/>
      <c r="M57" s="162"/>
      <c r="N57" s="162"/>
      <c r="O57" s="162"/>
      <c r="P57" s="162"/>
      <c r="Q57" s="162"/>
      <c r="R57" s="162"/>
      <c r="S57" s="162"/>
      <c r="T57" s="162"/>
      <c r="U57" s="162"/>
      <c r="V57" s="162"/>
      <c r="W57" s="162"/>
      <c r="X57" s="162"/>
      <c r="Y57" s="162"/>
      <c r="Z57" s="162"/>
      <c r="AA57" s="162"/>
      <c r="AB57" s="162"/>
      <c r="AC57" s="162"/>
      <c r="AD57" s="162"/>
      <c r="AE57" s="162"/>
      <c r="AF57" s="162"/>
      <c r="AG57" s="162"/>
      <c r="AH57" s="162"/>
      <c r="AI57" s="162"/>
      <c r="AJ57" s="162"/>
      <c r="AK57" s="162"/>
      <c r="AL57" s="162"/>
      <c r="AM57" s="162"/>
      <c r="AN57" s="162"/>
      <c r="AO57" s="162"/>
      <c r="AP57" s="162"/>
      <c r="AQ57" s="162"/>
      <c r="AR57" s="162"/>
      <c r="AS57" s="162"/>
      <c r="AT57" s="162"/>
      <c r="AU57" s="162"/>
      <c r="AV57" s="162"/>
      <c r="AW57" s="162"/>
      <c r="AX57" s="162"/>
      <c r="AY57" s="162"/>
      <c r="AZ57" s="162"/>
      <c r="BA57" s="162"/>
      <c r="BB57" s="162"/>
      <c r="BC57" s="162"/>
      <c r="BD57" s="162"/>
      <c r="BE57" s="162"/>
      <c r="BF57" s="162"/>
      <c r="BG57" s="162"/>
      <c r="BH57" s="162"/>
      <c r="BI57" s="162"/>
      <c r="BJ57" s="162"/>
      <c r="BK57" s="162"/>
      <c r="BL57" s="162"/>
      <c r="BM57" s="162"/>
      <c r="BN57" s="162"/>
      <c r="BO57" s="162"/>
      <c r="BP57" s="162"/>
      <c r="BQ57" s="162"/>
      <c r="BR57" s="162"/>
      <c r="BS57" s="162"/>
      <c r="BT57" s="162"/>
      <c r="BU57" s="162"/>
      <c r="BV57" s="162"/>
      <c r="BW57" s="162"/>
      <c r="BX57" s="162"/>
      <c r="BY57" s="162"/>
      <c r="BZ57" s="162"/>
      <c r="CA57" s="162"/>
      <c r="CB57" s="162"/>
      <c r="CC57" s="162"/>
      <c r="CD57" s="162"/>
      <c r="CE57" s="162"/>
      <c r="CF57" s="162"/>
      <c r="CG57" s="162"/>
      <c r="CH57" s="162"/>
      <c r="CI57" s="162"/>
      <c r="CJ57" s="162"/>
      <c r="CK57" s="162"/>
      <c r="CL57" s="162"/>
      <c r="CM57" s="162"/>
      <c r="CN57" s="162"/>
      <c r="CO57" s="162"/>
      <c r="CP57" s="162"/>
      <c r="CQ57" s="162"/>
      <c r="CR57" s="162"/>
      <c r="CS57" s="162"/>
      <c r="CT57" s="162"/>
      <c r="CU57" s="162"/>
      <c r="CV57" s="162"/>
      <c r="CW57" s="162"/>
      <c r="CX57" s="162"/>
      <c r="CY57" s="162"/>
      <c r="CZ57" s="162"/>
      <c r="DA57" s="162"/>
      <c r="DB57" s="162"/>
      <c r="DC57" s="162"/>
      <c r="DD57" s="162"/>
    </row>
    <row r="58" spans="1:108" hidden="1" outlineLevel="1" x14ac:dyDescent="0.2">
      <c r="A58" s="162"/>
      <c r="B58" s="162"/>
      <c r="C58" s="162"/>
      <c r="D58" s="42" t="s">
        <v>242</v>
      </c>
      <c r="E58" s="427"/>
      <c r="F58" s="427"/>
      <c r="G58" s="162"/>
      <c r="H58" s="360"/>
      <c r="I58" s="162"/>
      <c r="J58" s="360"/>
      <c r="K58" s="162"/>
      <c r="L58" s="162"/>
      <c r="M58" s="162"/>
      <c r="N58" s="162"/>
      <c r="O58" s="162"/>
      <c r="P58" s="162"/>
      <c r="Q58" s="162"/>
      <c r="R58" s="162"/>
      <c r="S58" s="162"/>
      <c r="T58" s="162"/>
      <c r="U58" s="162"/>
      <c r="V58" s="162"/>
      <c r="W58" s="162"/>
      <c r="X58" s="162"/>
      <c r="Y58" s="162"/>
      <c r="Z58" s="162"/>
      <c r="AA58" s="162"/>
      <c r="AB58" s="162"/>
      <c r="AC58" s="162"/>
      <c r="AD58" s="162"/>
      <c r="AE58" s="162"/>
      <c r="AF58" s="162"/>
      <c r="AG58" s="162"/>
      <c r="AH58" s="162"/>
      <c r="AI58" s="162"/>
      <c r="AJ58" s="162"/>
      <c r="AK58" s="162"/>
      <c r="AL58" s="162"/>
      <c r="AM58" s="162"/>
      <c r="AN58" s="162"/>
      <c r="AO58" s="162"/>
      <c r="AP58" s="162"/>
      <c r="AQ58" s="162"/>
      <c r="AR58" s="162"/>
      <c r="AS58" s="162"/>
      <c r="AT58" s="162"/>
      <c r="AU58" s="162"/>
      <c r="AV58" s="162"/>
      <c r="AW58" s="162"/>
      <c r="AX58" s="162"/>
      <c r="AY58" s="162"/>
      <c r="AZ58" s="162"/>
      <c r="BA58" s="162"/>
      <c r="BB58" s="162"/>
      <c r="BC58" s="162"/>
      <c r="BD58" s="162"/>
      <c r="BE58" s="162"/>
      <c r="BF58" s="162"/>
      <c r="BG58" s="162"/>
      <c r="BH58" s="162"/>
      <c r="BI58" s="162"/>
      <c r="BJ58" s="162"/>
      <c r="BK58" s="162"/>
      <c r="BL58" s="162"/>
      <c r="BM58" s="162"/>
      <c r="BN58" s="162"/>
      <c r="BO58" s="162"/>
      <c r="BP58" s="162"/>
      <c r="BQ58" s="162"/>
      <c r="BR58" s="162"/>
      <c r="BS58" s="162"/>
      <c r="BT58" s="162"/>
      <c r="BU58" s="162"/>
      <c r="BV58" s="162"/>
      <c r="BW58" s="162"/>
      <c r="BX58" s="162"/>
      <c r="BY58" s="162"/>
      <c r="BZ58" s="162"/>
      <c r="CA58" s="162"/>
      <c r="CB58" s="162"/>
      <c r="CC58" s="162"/>
      <c r="CD58" s="162"/>
      <c r="CE58" s="162"/>
      <c r="CF58" s="162"/>
      <c r="CG58" s="162"/>
      <c r="CH58" s="162"/>
      <c r="CI58" s="162"/>
      <c r="CJ58" s="162"/>
      <c r="CK58" s="162"/>
      <c r="CL58" s="162"/>
      <c r="CM58" s="162"/>
      <c r="CN58" s="162"/>
      <c r="CO58" s="162"/>
      <c r="CP58" s="162"/>
      <c r="CQ58" s="162"/>
      <c r="CR58" s="162"/>
      <c r="CS58" s="162"/>
      <c r="CT58" s="162"/>
      <c r="CU58" s="162"/>
      <c r="CV58" s="162"/>
      <c r="CW58" s="162"/>
      <c r="CX58" s="162"/>
      <c r="CY58" s="162"/>
      <c r="CZ58" s="162"/>
      <c r="DA58" s="162"/>
      <c r="DB58" s="162"/>
      <c r="DC58" s="162"/>
      <c r="DD58" s="162"/>
    </row>
    <row r="59" spans="1:108" hidden="1" outlineLevel="1" x14ac:dyDescent="0.2">
      <c r="A59" s="162"/>
      <c r="B59" s="162"/>
      <c r="C59" s="162"/>
      <c r="D59" s="162"/>
      <c r="E59" s="495">
        <f>IF(E58="",0,E58)</f>
        <v>0</v>
      </c>
      <c r="F59" s="495">
        <f>IF(F58="",100,F58)</f>
        <v>100</v>
      </c>
      <c r="G59" s="162"/>
      <c r="H59" s="162"/>
      <c r="I59" s="162"/>
      <c r="J59" s="162"/>
      <c r="K59" s="162"/>
      <c r="L59" s="162"/>
      <c r="M59" s="162"/>
      <c r="N59" s="162"/>
      <c r="O59" s="162"/>
      <c r="P59" s="162"/>
      <c r="Q59" s="162"/>
      <c r="R59" s="162"/>
      <c r="S59" s="162"/>
      <c r="T59" s="162"/>
      <c r="U59" s="162"/>
      <c r="V59" s="162"/>
      <c r="W59" s="162"/>
      <c r="X59" s="162"/>
      <c r="Y59" s="162"/>
      <c r="Z59" s="162"/>
      <c r="AA59" s="162"/>
      <c r="AB59" s="162"/>
      <c r="AC59" s="162"/>
      <c r="AD59" s="162"/>
      <c r="AE59" s="162"/>
      <c r="AF59" s="162"/>
      <c r="AG59" s="162"/>
      <c r="AH59" s="162"/>
      <c r="AI59" s="162"/>
      <c r="AJ59" s="162"/>
      <c r="AK59" s="162"/>
      <c r="AL59" s="162"/>
      <c r="AM59" s="162"/>
      <c r="AN59" s="162"/>
      <c r="AO59" s="162"/>
      <c r="AP59" s="162"/>
      <c r="AQ59" s="162"/>
      <c r="AR59" s="162"/>
      <c r="AS59" s="162"/>
      <c r="AT59" s="162"/>
      <c r="AU59" s="162"/>
      <c r="AV59" s="162"/>
      <c r="AW59" s="162"/>
      <c r="AX59" s="162"/>
      <c r="AY59" s="162"/>
      <c r="AZ59" s="162"/>
      <c r="BA59" s="162"/>
      <c r="BB59" s="162"/>
      <c r="BC59" s="162"/>
      <c r="BD59" s="162"/>
      <c r="BE59" s="162"/>
      <c r="BF59" s="162"/>
      <c r="BG59" s="162"/>
      <c r="BH59" s="162"/>
      <c r="BI59" s="162"/>
      <c r="BJ59" s="162"/>
      <c r="BK59" s="162"/>
      <c r="BL59" s="162"/>
      <c r="BM59" s="162"/>
      <c r="BN59" s="162"/>
      <c r="BO59" s="162"/>
      <c r="BP59" s="162"/>
      <c r="BQ59" s="162"/>
      <c r="BR59" s="162"/>
      <c r="BS59" s="162"/>
      <c r="BT59" s="162"/>
      <c r="BU59" s="162"/>
      <c r="BV59" s="162"/>
      <c r="BW59" s="162"/>
      <c r="BX59" s="162"/>
      <c r="BY59" s="162"/>
      <c r="BZ59" s="162"/>
      <c r="CA59" s="162"/>
      <c r="CB59" s="162"/>
      <c r="CC59" s="162"/>
      <c r="CD59" s="162"/>
      <c r="CE59" s="162"/>
      <c r="CF59" s="162"/>
      <c r="CG59" s="162"/>
      <c r="CH59" s="162"/>
      <c r="CI59" s="162"/>
      <c r="CJ59" s="162"/>
      <c r="CK59" s="162"/>
      <c r="CL59" s="162"/>
      <c r="CM59" s="162"/>
      <c r="CN59" s="162"/>
      <c r="CO59" s="162"/>
      <c r="CP59" s="162"/>
      <c r="CQ59" s="162"/>
      <c r="CR59" s="162"/>
      <c r="CS59" s="162"/>
      <c r="CT59" s="162"/>
      <c r="CU59" s="162"/>
      <c r="CV59" s="162"/>
      <c r="CW59" s="162"/>
      <c r="CX59" s="162"/>
      <c r="CY59" s="162"/>
      <c r="CZ59" s="162"/>
      <c r="DA59" s="162"/>
      <c r="DB59" s="162"/>
      <c r="DC59" s="162"/>
      <c r="DD59" s="162"/>
    </row>
    <row r="60" spans="1:108" hidden="1" outlineLevel="1" x14ac:dyDescent="0.2">
      <c r="A60" s="162"/>
      <c r="B60" s="162"/>
      <c r="C60" s="162"/>
      <c r="D60" s="162"/>
      <c r="E60" s="632" t="s">
        <v>464</v>
      </c>
      <c r="F60" s="632" t="s">
        <v>465</v>
      </c>
      <c r="G60" s="162"/>
      <c r="H60" s="162"/>
      <c r="I60" s="162"/>
      <c r="J60" s="162"/>
      <c r="K60" s="162"/>
      <c r="L60" s="162"/>
      <c r="M60" s="162"/>
      <c r="N60" s="162"/>
      <c r="O60" s="162"/>
      <c r="P60" s="162"/>
      <c r="Q60" s="162"/>
      <c r="R60" s="162"/>
      <c r="S60" s="162"/>
      <c r="T60" s="162"/>
      <c r="U60" s="162"/>
      <c r="V60" s="162"/>
      <c r="W60" s="162"/>
      <c r="X60" s="162"/>
      <c r="Y60" s="162"/>
      <c r="Z60" s="162"/>
      <c r="AA60" s="162"/>
      <c r="AB60" s="162"/>
      <c r="AC60" s="162"/>
      <c r="AD60" s="162"/>
      <c r="AE60" s="162"/>
      <c r="AF60" s="162"/>
      <c r="AG60" s="162"/>
      <c r="AH60" s="162"/>
      <c r="AI60" s="162"/>
      <c r="AJ60" s="162"/>
      <c r="AK60" s="162"/>
      <c r="AL60" s="162"/>
      <c r="AM60" s="162"/>
      <c r="AN60" s="162"/>
      <c r="AO60" s="162"/>
      <c r="AP60" s="162"/>
      <c r="AQ60" s="162"/>
      <c r="AR60" s="162"/>
      <c r="AS60" s="162"/>
      <c r="AT60" s="162"/>
      <c r="AU60" s="162"/>
      <c r="AV60" s="162"/>
      <c r="AW60" s="162"/>
      <c r="AX60" s="162"/>
      <c r="AY60" s="162"/>
      <c r="AZ60" s="162"/>
      <c r="BA60" s="162"/>
      <c r="BB60" s="162"/>
      <c r="BC60" s="162"/>
      <c r="BD60" s="162"/>
      <c r="BE60" s="162"/>
      <c r="BF60" s="162"/>
      <c r="BG60" s="162"/>
      <c r="BH60" s="162"/>
      <c r="BI60" s="162"/>
      <c r="BJ60" s="162"/>
      <c r="BK60" s="162"/>
      <c r="BL60" s="162"/>
      <c r="BM60" s="162"/>
      <c r="BN60" s="162"/>
      <c r="BO60" s="162"/>
      <c r="BP60" s="162"/>
      <c r="BQ60" s="162"/>
      <c r="BR60" s="162"/>
      <c r="BS60" s="162"/>
      <c r="BT60" s="162"/>
      <c r="BU60" s="162"/>
      <c r="BV60" s="162"/>
      <c r="BW60" s="162"/>
      <c r="BX60" s="162"/>
      <c r="BY60" s="162"/>
      <c r="BZ60" s="162"/>
      <c r="CA60" s="162"/>
      <c r="CB60" s="162"/>
      <c r="CC60" s="162"/>
      <c r="CD60" s="162"/>
      <c r="CE60" s="162"/>
      <c r="CF60" s="162"/>
      <c r="CG60" s="162"/>
      <c r="CH60" s="162"/>
      <c r="CI60" s="162"/>
      <c r="CJ60" s="162"/>
      <c r="CK60" s="162"/>
      <c r="CL60" s="162"/>
      <c r="CM60" s="162"/>
      <c r="CN60" s="162"/>
      <c r="CO60" s="162"/>
      <c r="CP60" s="162"/>
      <c r="CQ60" s="162"/>
      <c r="CR60" s="162"/>
      <c r="CS60" s="162"/>
      <c r="CT60" s="162"/>
      <c r="CU60" s="162"/>
      <c r="CV60" s="162"/>
      <c r="CW60" s="162"/>
      <c r="CX60" s="162"/>
      <c r="CY60" s="162"/>
      <c r="CZ60" s="162"/>
      <c r="DA60" s="162"/>
      <c r="DB60" s="162"/>
      <c r="DC60" s="162"/>
      <c r="DD60" s="162"/>
    </row>
    <row r="61" spans="1:108" hidden="1" outlineLevel="1" x14ac:dyDescent="0.2">
      <c r="A61" s="162"/>
      <c r="B61" s="162"/>
      <c r="C61" s="162"/>
      <c r="D61" s="631"/>
      <c r="E61" s="521"/>
      <c r="F61" s="427"/>
      <c r="G61" s="315">
        <f>IF(AND(E61&lt;&gt;"",F61&lt;&gt;""),E61/F61,1)</f>
        <v>1</v>
      </c>
      <c r="H61" s="162"/>
      <c r="I61" s="42" t="s">
        <v>258</v>
      </c>
      <c r="J61" s="911"/>
      <c r="K61" s="912"/>
      <c r="L61" s="912"/>
      <c r="M61" s="912"/>
      <c r="N61" s="912"/>
      <c r="O61" s="912"/>
      <c r="P61" s="162"/>
      <c r="Q61" s="162"/>
      <c r="R61" s="162"/>
      <c r="S61" s="162"/>
      <c r="T61" s="162"/>
      <c r="U61" s="162"/>
      <c r="V61" s="162"/>
      <c r="W61" s="162"/>
      <c r="X61" s="162"/>
      <c r="Y61" s="162"/>
      <c r="Z61" s="162"/>
      <c r="AA61" s="162"/>
      <c r="AB61" s="162"/>
      <c r="AC61" s="162"/>
      <c r="AD61" s="162"/>
      <c r="AE61" s="162"/>
      <c r="AF61" s="162"/>
      <c r="AG61" s="162"/>
      <c r="AH61" s="162"/>
      <c r="AI61" s="162"/>
      <c r="AJ61" s="162"/>
      <c r="AK61" s="162"/>
      <c r="AL61" s="162"/>
      <c r="AM61" s="162"/>
      <c r="AN61" s="162"/>
      <c r="AO61" s="162"/>
      <c r="AP61" s="162"/>
      <c r="AQ61" s="162"/>
      <c r="AR61" s="162"/>
      <c r="AS61" s="162"/>
      <c r="AT61" s="162"/>
      <c r="AU61" s="162"/>
      <c r="AV61" s="162"/>
      <c r="AW61" s="162"/>
      <c r="AX61" s="162"/>
      <c r="AY61" s="162"/>
      <c r="AZ61" s="162"/>
      <c r="BA61" s="162"/>
      <c r="BB61" s="162"/>
      <c r="BC61" s="162"/>
      <c r="BD61" s="162"/>
      <c r="BE61" s="162"/>
      <c r="BF61" s="162"/>
      <c r="BG61" s="162"/>
      <c r="BH61" s="162"/>
      <c r="BI61" s="162"/>
      <c r="BJ61" s="162"/>
      <c r="BK61" s="162"/>
      <c r="BL61" s="162"/>
      <c r="BM61" s="162"/>
      <c r="BN61" s="162"/>
      <c r="BO61" s="162"/>
      <c r="BP61" s="162"/>
      <c r="BQ61" s="162"/>
      <c r="BR61" s="162"/>
      <c r="BS61" s="162"/>
      <c r="BT61" s="162"/>
      <c r="BU61" s="162"/>
      <c r="BV61" s="162"/>
      <c r="BW61" s="162"/>
      <c r="BX61" s="162"/>
      <c r="BY61" s="162"/>
      <c r="BZ61" s="162"/>
      <c r="CA61" s="162"/>
      <c r="CB61" s="162"/>
      <c r="CC61" s="162"/>
      <c r="CD61" s="162"/>
      <c r="CE61" s="162"/>
      <c r="CF61" s="162"/>
      <c r="CG61" s="162"/>
      <c r="CH61" s="162"/>
      <c r="CI61" s="162"/>
      <c r="CJ61" s="162"/>
      <c r="CK61" s="162"/>
      <c r="CL61" s="162"/>
      <c r="CM61" s="162"/>
      <c r="CN61" s="162"/>
      <c r="CO61" s="162"/>
      <c r="CP61" s="162"/>
      <c r="CQ61" s="162"/>
      <c r="CR61" s="162"/>
      <c r="CS61" s="162"/>
      <c r="CT61" s="162"/>
      <c r="CU61" s="162"/>
      <c r="CV61" s="162"/>
      <c r="CW61" s="162"/>
      <c r="CX61" s="162"/>
      <c r="CY61" s="162"/>
      <c r="CZ61" s="162"/>
      <c r="DA61" s="162"/>
      <c r="DB61" s="162"/>
      <c r="DC61" s="162"/>
      <c r="DD61" s="162"/>
    </row>
    <row r="62" spans="1:108" hidden="1" outlineLevel="1" x14ac:dyDescent="0.2">
      <c r="A62" s="162"/>
      <c r="B62" s="162"/>
      <c r="C62" s="162"/>
      <c r="D62" s="162"/>
      <c r="E62" s="162"/>
      <c r="F62" s="162"/>
      <c r="G62" s="162"/>
      <c r="H62" s="162"/>
      <c r="I62" s="162"/>
      <c r="J62" s="162"/>
      <c r="K62" s="162"/>
      <c r="L62" s="162"/>
      <c r="M62" s="162"/>
      <c r="N62" s="162"/>
      <c r="O62" s="162"/>
      <c r="P62" s="162"/>
      <c r="Q62" s="162"/>
      <c r="R62" s="162"/>
      <c r="S62" s="162"/>
      <c r="T62" s="162"/>
      <c r="U62" s="162"/>
      <c r="V62" s="162"/>
      <c r="W62" s="162"/>
      <c r="X62" s="162"/>
      <c r="Y62" s="162"/>
      <c r="Z62" s="162"/>
      <c r="AA62" s="162"/>
      <c r="AB62" s="162"/>
      <c r="AC62" s="162"/>
      <c r="AD62" s="162"/>
      <c r="AE62" s="162"/>
      <c r="AF62" s="162"/>
      <c r="AG62" s="162"/>
      <c r="AH62" s="162"/>
      <c r="AI62" s="162"/>
      <c r="AJ62" s="162"/>
      <c r="AK62" s="162"/>
      <c r="AL62" s="162"/>
      <c r="AM62" s="162"/>
      <c r="AN62" s="162"/>
      <c r="AO62" s="162"/>
      <c r="AP62" s="162"/>
      <c r="AQ62" s="162"/>
      <c r="AR62" s="162"/>
      <c r="AS62" s="162"/>
      <c r="AT62" s="162"/>
      <c r="AU62" s="162"/>
      <c r="AV62" s="162"/>
      <c r="AW62" s="162"/>
      <c r="AX62" s="162"/>
      <c r="AY62" s="162"/>
      <c r="AZ62" s="162"/>
      <c r="BA62" s="162"/>
      <c r="BB62" s="162"/>
      <c r="BC62" s="162"/>
      <c r="BD62" s="162"/>
      <c r="BE62" s="162"/>
      <c r="BF62" s="162"/>
      <c r="BG62" s="162"/>
      <c r="BH62" s="162"/>
      <c r="BI62" s="162"/>
      <c r="BJ62" s="162"/>
      <c r="BK62" s="162"/>
      <c r="BL62" s="162"/>
      <c r="BM62" s="162"/>
      <c r="BN62" s="162"/>
      <c r="BO62" s="162"/>
      <c r="BP62" s="162"/>
      <c r="BQ62" s="162"/>
      <c r="BR62" s="162"/>
      <c r="BS62" s="162"/>
      <c r="BT62" s="162"/>
      <c r="BU62" s="162"/>
      <c r="BV62" s="162"/>
      <c r="BW62" s="162"/>
      <c r="BX62" s="162"/>
      <c r="BY62" s="162"/>
      <c r="BZ62" s="162"/>
      <c r="CA62" s="162"/>
      <c r="CB62" s="162"/>
      <c r="CC62" s="162"/>
      <c r="CD62" s="162"/>
      <c r="CE62" s="162"/>
      <c r="CF62" s="162"/>
      <c r="CG62" s="162"/>
      <c r="CH62" s="162"/>
      <c r="CI62" s="162"/>
      <c r="CJ62" s="162"/>
      <c r="CK62" s="162"/>
      <c r="CL62" s="162"/>
      <c r="CM62" s="162"/>
      <c r="CN62" s="162"/>
      <c r="CO62" s="162"/>
      <c r="CP62" s="162"/>
      <c r="CQ62" s="162"/>
      <c r="CR62" s="162"/>
      <c r="CS62" s="162"/>
      <c r="CT62" s="162"/>
      <c r="CU62" s="162"/>
      <c r="CV62" s="162"/>
      <c r="CW62" s="162"/>
      <c r="CX62" s="162"/>
      <c r="CY62" s="162"/>
      <c r="CZ62" s="162"/>
      <c r="DA62" s="162"/>
      <c r="DB62" s="162"/>
      <c r="DC62" s="162"/>
      <c r="DD62" s="162"/>
    </row>
    <row r="63" spans="1:108" hidden="1" outlineLevel="1" x14ac:dyDescent="0.2">
      <c r="A63" s="162"/>
      <c r="B63" s="162"/>
      <c r="C63" s="162"/>
      <c r="D63" s="162"/>
      <c r="E63" s="616" t="s">
        <v>255</v>
      </c>
      <c r="F63" s="162"/>
      <c r="G63" s="162"/>
      <c r="H63" s="162"/>
      <c r="I63" s="162"/>
      <c r="J63" s="162"/>
      <c r="K63" s="162"/>
      <c r="L63" s="162"/>
      <c r="M63" s="162"/>
      <c r="N63" s="162"/>
      <c r="O63" s="162"/>
      <c r="P63" s="162"/>
      <c r="Q63" s="162"/>
      <c r="R63" s="162"/>
      <c r="S63" s="162"/>
      <c r="T63" s="162"/>
      <c r="U63" s="162"/>
      <c r="V63" s="162"/>
      <c r="W63" s="162"/>
      <c r="X63" s="162"/>
      <c r="Y63" s="162"/>
      <c r="Z63" s="162"/>
      <c r="AA63" s="162"/>
      <c r="AB63" s="162"/>
      <c r="AC63" s="162"/>
      <c r="AD63" s="162"/>
      <c r="AE63" s="162"/>
      <c r="AF63" s="162"/>
      <c r="AG63" s="162"/>
      <c r="AH63" s="162"/>
      <c r="AI63" s="162"/>
      <c r="AJ63" s="162"/>
      <c r="AK63" s="162"/>
      <c r="AL63" s="162"/>
      <c r="AM63" s="162"/>
      <c r="AN63" s="162"/>
      <c r="AO63" s="162"/>
      <c r="AP63" s="162"/>
      <c r="AQ63" s="162"/>
      <c r="AR63" s="162"/>
      <c r="AS63" s="162"/>
      <c r="AT63" s="162"/>
      <c r="AU63" s="162"/>
      <c r="AV63" s="162"/>
      <c r="AW63" s="162"/>
      <c r="AX63" s="162"/>
      <c r="AY63" s="162"/>
      <c r="AZ63" s="162"/>
      <c r="BA63" s="162"/>
      <c r="BB63" s="162"/>
      <c r="BC63" s="162"/>
      <c r="BD63" s="162"/>
      <c r="BE63" s="162"/>
      <c r="BF63" s="162"/>
      <c r="BG63" s="162"/>
      <c r="BH63" s="162"/>
      <c r="BI63" s="162"/>
      <c r="BJ63" s="162"/>
      <c r="BK63" s="162"/>
      <c r="BL63" s="162"/>
      <c r="BM63" s="162"/>
      <c r="BN63" s="162"/>
      <c r="BO63" s="162"/>
      <c r="BP63" s="162"/>
      <c r="BQ63" s="162"/>
      <c r="BR63" s="162"/>
      <c r="BS63" s="162"/>
      <c r="BT63" s="162"/>
      <c r="BU63" s="162"/>
      <c r="BV63" s="162"/>
      <c r="BW63" s="162"/>
      <c r="BX63" s="162"/>
      <c r="BY63" s="162"/>
      <c r="BZ63" s="162"/>
      <c r="CA63" s="162"/>
      <c r="CB63" s="162"/>
      <c r="CC63" s="162"/>
      <c r="CD63" s="162"/>
      <c r="CE63" s="162"/>
      <c r="CF63" s="162"/>
      <c r="CG63" s="162"/>
      <c r="CH63" s="162"/>
      <c r="CI63" s="162"/>
      <c r="CJ63" s="162"/>
      <c r="CK63" s="162"/>
      <c r="CL63" s="162"/>
      <c r="CM63" s="162"/>
      <c r="CN63" s="162"/>
      <c r="CO63" s="162"/>
      <c r="CP63" s="162"/>
      <c r="CQ63" s="162"/>
      <c r="CR63" s="162"/>
      <c r="CS63" s="162"/>
      <c r="CT63" s="162"/>
      <c r="CU63" s="162"/>
      <c r="CV63" s="162"/>
      <c r="CW63" s="162"/>
      <c r="CX63" s="162"/>
      <c r="CY63" s="162"/>
      <c r="CZ63" s="162"/>
      <c r="DA63" s="162"/>
      <c r="DB63" s="162"/>
      <c r="DC63" s="162"/>
      <c r="DD63" s="162"/>
    </row>
    <row r="64" spans="1:108" hidden="1" outlineLevel="1" x14ac:dyDescent="0.2">
      <c r="A64" s="162"/>
      <c r="B64" s="162"/>
      <c r="C64" s="162"/>
      <c r="D64" s="162"/>
      <c r="E64" s="78">
        <f>IF(J58&lt;&gt;"",J58,FirstYear)</f>
        <v>2021</v>
      </c>
      <c r="F64" s="630">
        <f>E64+1</f>
        <v>2022</v>
      </c>
      <c r="G64" s="630">
        <f>F64+1</f>
        <v>2023</v>
      </c>
      <c r="H64" s="630">
        <f>G64+1</f>
        <v>2024</v>
      </c>
      <c r="I64" s="630">
        <f>H64+1</f>
        <v>2025</v>
      </c>
      <c r="J64" s="630">
        <f>I64+1</f>
        <v>2026</v>
      </c>
      <c r="K64" s="162"/>
      <c r="L64" s="162"/>
      <c r="M64" s="162"/>
      <c r="N64" s="162"/>
      <c r="O64" s="162"/>
      <c r="P64" s="162"/>
      <c r="Q64" s="162"/>
      <c r="R64" s="162"/>
      <c r="S64" s="162"/>
      <c r="T64" s="162"/>
      <c r="U64" s="162"/>
      <c r="V64" s="162"/>
      <c r="W64" s="162"/>
      <c r="X64" s="162"/>
      <c r="Y64" s="162"/>
      <c r="Z64" s="162"/>
      <c r="AA64" s="162"/>
      <c r="AB64" s="162"/>
      <c r="AC64" s="162"/>
      <c r="AD64" s="162"/>
      <c r="AE64" s="162"/>
      <c r="AF64" s="162"/>
      <c r="AG64" s="162"/>
      <c r="AH64" s="162"/>
      <c r="AI64" s="162"/>
      <c r="AJ64" s="162"/>
      <c r="AK64" s="162"/>
      <c r="AL64" s="162"/>
      <c r="AM64" s="162"/>
      <c r="AN64" s="162"/>
      <c r="AO64" s="162"/>
      <c r="AP64" s="162"/>
      <c r="AQ64" s="162"/>
      <c r="AR64" s="162"/>
      <c r="AS64" s="162"/>
      <c r="AT64" s="162"/>
      <c r="AU64" s="162"/>
      <c r="AV64" s="162"/>
      <c r="AW64" s="162"/>
      <c r="AX64" s="162"/>
      <c r="AY64" s="162"/>
      <c r="AZ64" s="162"/>
      <c r="BA64" s="162"/>
      <c r="BB64" s="162"/>
      <c r="BC64" s="162"/>
      <c r="BD64" s="162"/>
      <c r="BE64" s="162"/>
      <c r="BF64" s="162"/>
      <c r="BG64" s="162"/>
      <c r="BH64" s="162"/>
      <c r="BI64" s="162"/>
      <c r="BJ64" s="162"/>
      <c r="BK64" s="162"/>
      <c r="BL64" s="162"/>
      <c r="BM64" s="162"/>
      <c r="BN64" s="162"/>
      <c r="BO64" s="162"/>
      <c r="BP64" s="162"/>
      <c r="BQ64" s="162"/>
      <c r="BR64" s="162"/>
      <c r="BS64" s="162"/>
      <c r="BT64" s="162"/>
      <c r="BU64" s="162"/>
      <c r="BV64" s="162"/>
      <c r="BW64" s="162"/>
      <c r="BX64" s="162"/>
      <c r="BY64" s="162"/>
      <c r="BZ64" s="162"/>
      <c r="CA64" s="162"/>
      <c r="CB64" s="162"/>
      <c r="CC64" s="162"/>
      <c r="CD64" s="162"/>
      <c r="CE64" s="162"/>
      <c r="CF64" s="162"/>
      <c r="CG64" s="162"/>
      <c r="CH64" s="162"/>
      <c r="CI64" s="162"/>
      <c r="CJ64" s="162"/>
      <c r="CK64" s="162"/>
      <c r="CL64" s="162"/>
      <c r="CM64" s="162"/>
      <c r="CN64" s="162"/>
      <c r="CO64" s="162"/>
      <c r="CP64" s="162"/>
      <c r="CQ64" s="162"/>
      <c r="CR64" s="162"/>
      <c r="CS64" s="162"/>
      <c r="CT64" s="162"/>
      <c r="CU64" s="162"/>
      <c r="CV64" s="162"/>
      <c r="CW64" s="162"/>
      <c r="CX64" s="162"/>
      <c r="CY64" s="162"/>
      <c r="CZ64" s="162"/>
      <c r="DA64" s="162"/>
      <c r="DB64" s="162"/>
      <c r="DC64" s="162"/>
      <c r="DD64" s="162"/>
    </row>
    <row r="65" spans="1:108" hidden="1" outlineLevel="1" x14ac:dyDescent="0.2">
      <c r="A65" s="162"/>
      <c r="B65" s="162"/>
      <c r="C65" s="162"/>
      <c r="D65" s="162"/>
      <c r="E65" s="63">
        <f t="shared" ref="E65:J65" si="20">IF($B$55&lt;&gt;0,VLOOKUP($B$55,$C$68:$J$70,E66)*$G61,0)</f>
        <v>0</v>
      </c>
      <c r="F65" s="63">
        <f t="shared" si="20"/>
        <v>0</v>
      </c>
      <c r="G65" s="63">
        <f t="shared" si="20"/>
        <v>0</v>
      </c>
      <c r="H65" s="63">
        <f t="shared" si="20"/>
        <v>0</v>
      </c>
      <c r="I65" s="63">
        <f t="shared" si="20"/>
        <v>0</v>
      </c>
      <c r="J65" s="63">
        <f t="shared" si="20"/>
        <v>0</v>
      </c>
      <c r="K65" s="162"/>
      <c r="L65" s="162"/>
      <c r="M65" s="162"/>
      <c r="N65" s="162"/>
      <c r="O65" s="162"/>
      <c r="P65" s="162"/>
      <c r="Q65" s="162"/>
      <c r="R65" s="162"/>
      <c r="S65" s="162"/>
      <c r="T65" s="162"/>
      <c r="U65" s="162"/>
      <c r="V65" s="162"/>
      <c r="W65" s="162"/>
      <c r="X65" s="162"/>
      <c r="Y65" s="162"/>
      <c r="Z65" s="162"/>
      <c r="AA65" s="162"/>
      <c r="AB65" s="162"/>
      <c r="AC65" s="162"/>
      <c r="AD65" s="162"/>
      <c r="AE65" s="162"/>
      <c r="AF65" s="162"/>
      <c r="AG65" s="162"/>
      <c r="AH65" s="162"/>
      <c r="AI65" s="162"/>
      <c r="AJ65" s="162"/>
      <c r="AK65" s="162"/>
      <c r="AL65" s="162"/>
      <c r="AM65" s="162"/>
      <c r="AN65" s="162"/>
      <c r="AO65" s="162"/>
      <c r="AP65" s="162"/>
      <c r="AQ65" s="162"/>
      <c r="AR65" s="162"/>
      <c r="AS65" s="162"/>
      <c r="AT65" s="162"/>
      <c r="AU65" s="162"/>
      <c r="AV65" s="162"/>
      <c r="AW65" s="162"/>
      <c r="AX65" s="162"/>
      <c r="AY65" s="162"/>
      <c r="AZ65" s="162"/>
      <c r="BA65" s="162"/>
      <c r="BB65" s="162"/>
      <c r="BC65" s="162"/>
      <c r="BD65" s="162"/>
      <c r="BE65" s="162"/>
      <c r="BF65" s="162"/>
      <c r="BG65" s="162"/>
      <c r="BH65" s="162"/>
      <c r="BI65" s="162"/>
      <c r="BJ65" s="162"/>
      <c r="BK65" s="162"/>
      <c r="BL65" s="162"/>
      <c r="BM65" s="162"/>
      <c r="BN65" s="162"/>
      <c r="BO65" s="162"/>
      <c r="BP65" s="162"/>
      <c r="BQ65" s="162"/>
      <c r="BR65" s="162"/>
      <c r="BS65" s="162"/>
      <c r="BT65" s="162"/>
      <c r="BU65" s="162"/>
      <c r="BV65" s="162"/>
      <c r="BW65" s="162"/>
      <c r="BX65" s="162"/>
      <c r="BY65" s="162"/>
      <c r="BZ65" s="162"/>
      <c r="CA65" s="162"/>
      <c r="CB65" s="162"/>
      <c r="CC65" s="162"/>
      <c r="CD65" s="162"/>
      <c r="CE65" s="162"/>
      <c r="CF65" s="162"/>
      <c r="CG65" s="162"/>
      <c r="CH65" s="162"/>
      <c r="CI65" s="162"/>
      <c r="CJ65" s="162"/>
      <c r="CK65" s="162"/>
      <c r="CL65" s="162"/>
      <c r="CM65" s="162"/>
      <c r="CN65" s="162"/>
      <c r="CO65" s="162"/>
      <c r="CP65" s="162"/>
      <c r="CQ65" s="162"/>
      <c r="CR65" s="162"/>
      <c r="CS65" s="162"/>
      <c r="CT65" s="162"/>
      <c r="CU65" s="162"/>
      <c r="CV65" s="162"/>
      <c r="CW65" s="162"/>
      <c r="CX65" s="162"/>
      <c r="CY65" s="162"/>
      <c r="CZ65" s="162"/>
      <c r="DA65" s="162"/>
      <c r="DB65" s="162"/>
      <c r="DC65" s="162"/>
      <c r="DD65" s="162"/>
    </row>
    <row r="66" spans="1:108" hidden="1" outlineLevel="1" x14ac:dyDescent="0.2">
      <c r="A66" s="162"/>
      <c r="B66" s="162"/>
      <c r="C66" s="162"/>
      <c r="D66" s="162"/>
      <c r="E66" s="650">
        <v>3</v>
      </c>
      <c r="F66" s="650">
        <v>4</v>
      </c>
      <c r="G66" s="650">
        <v>5</v>
      </c>
      <c r="H66" s="650">
        <v>6</v>
      </c>
      <c r="I66" s="650">
        <v>7</v>
      </c>
      <c r="J66" s="650">
        <v>8</v>
      </c>
      <c r="K66" s="162"/>
      <c r="L66" s="162"/>
      <c r="M66" s="162"/>
      <c r="N66" s="162"/>
      <c r="O66" s="162"/>
      <c r="P66" s="162"/>
      <c r="Q66" s="162"/>
      <c r="R66" s="162"/>
      <c r="S66" s="162"/>
      <c r="T66" s="162"/>
      <c r="U66" s="162"/>
      <c r="V66" s="162"/>
      <c r="W66" s="162"/>
      <c r="X66" s="162"/>
      <c r="Y66" s="162"/>
      <c r="Z66" s="162"/>
      <c r="AA66" s="162"/>
      <c r="AB66" s="162"/>
      <c r="AC66" s="162"/>
      <c r="AD66" s="162"/>
      <c r="AE66" s="162"/>
      <c r="AF66" s="162"/>
      <c r="AG66" s="162"/>
      <c r="AH66" s="162"/>
      <c r="AI66" s="162"/>
      <c r="AJ66" s="162"/>
      <c r="AK66" s="162"/>
      <c r="AL66" s="162"/>
      <c r="AM66" s="162"/>
      <c r="AN66" s="162"/>
      <c r="AO66" s="162"/>
      <c r="AP66" s="162"/>
      <c r="AQ66" s="162"/>
      <c r="AR66" s="162"/>
      <c r="AS66" s="162"/>
      <c r="AT66" s="162"/>
      <c r="AU66" s="162"/>
      <c r="AV66" s="162"/>
      <c r="AW66" s="162"/>
      <c r="AX66" s="162"/>
      <c r="AY66" s="162"/>
      <c r="AZ66" s="162"/>
      <c r="BA66" s="162"/>
      <c r="BB66" s="162"/>
      <c r="BC66" s="162"/>
      <c r="BD66" s="162"/>
      <c r="BE66" s="162"/>
      <c r="BF66" s="162"/>
      <c r="BG66" s="162"/>
      <c r="BH66" s="162"/>
      <c r="BI66" s="162"/>
      <c r="BJ66" s="162"/>
      <c r="BK66" s="162"/>
      <c r="BL66" s="162"/>
      <c r="BM66" s="162"/>
      <c r="BN66" s="162"/>
      <c r="BO66" s="162"/>
      <c r="BP66" s="162"/>
      <c r="BQ66" s="162"/>
      <c r="BR66" s="162"/>
      <c r="BS66" s="162"/>
      <c r="BT66" s="162"/>
      <c r="BU66" s="162"/>
      <c r="BV66" s="162"/>
      <c r="BW66" s="162"/>
      <c r="BX66" s="162"/>
      <c r="BY66" s="162"/>
      <c r="BZ66" s="162"/>
      <c r="CA66" s="162"/>
      <c r="CB66" s="162"/>
      <c r="CC66" s="162"/>
      <c r="CD66" s="162"/>
      <c r="CE66" s="162"/>
      <c r="CF66" s="162"/>
      <c r="CG66" s="162"/>
      <c r="CH66" s="162"/>
      <c r="CI66" s="162"/>
      <c r="CJ66" s="162"/>
      <c r="CK66" s="162"/>
      <c r="CL66" s="162"/>
      <c r="CM66" s="162"/>
      <c r="CN66" s="162"/>
      <c r="CO66" s="162"/>
      <c r="CP66" s="162"/>
      <c r="CQ66" s="162"/>
      <c r="CR66" s="162"/>
      <c r="CS66" s="162"/>
      <c r="CT66" s="162"/>
      <c r="CU66" s="162"/>
      <c r="CV66" s="162"/>
      <c r="CW66" s="162"/>
      <c r="CX66" s="162"/>
      <c r="CY66" s="162"/>
      <c r="CZ66" s="162"/>
      <c r="DA66" s="162"/>
      <c r="DB66" s="162"/>
      <c r="DC66" s="162"/>
      <c r="DD66" s="162"/>
    </row>
    <row r="67" spans="1:108" hidden="1" outlineLevel="1" x14ac:dyDescent="0.2">
      <c r="A67" s="162"/>
      <c r="B67" s="162"/>
      <c r="C67" s="162"/>
      <c r="D67" s="31" t="s">
        <v>324</v>
      </c>
      <c r="E67" s="78">
        <f t="shared" ref="E67:J67" si="21">E64</f>
        <v>2021</v>
      </c>
      <c r="F67" s="78">
        <f t="shared" si="21"/>
        <v>2022</v>
      </c>
      <c r="G67" s="78">
        <f t="shared" si="21"/>
        <v>2023</v>
      </c>
      <c r="H67" s="78">
        <f t="shared" si="21"/>
        <v>2024</v>
      </c>
      <c r="I67" s="78">
        <f t="shared" si="21"/>
        <v>2025</v>
      </c>
      <c r="J67" s="78">
        <f t="shared" si="21"/>
        <v>2026</v>
      </c>
      <c r="K67" s="162"/>
      <c r="L67" s="162"/>
      <c r="M67" s="162"/>
      <c r="N67" s="162"/>
      <c r="O67" s="162"/>
      <c r="P67" s="162"/>
      <c r="Q67" s="162"/>
      <c r="R67" s="162"/>
      <c r="S67" s="162"/>
      <c r="T67" s="162"/>
      <c r="U67" s="162"/>
      <c r="V67" s="162"/>
      <c r="W67" s="162"/>
      <c r="X67" s="162"/>
      <c r="Y67" s="162"/>
      <c r="Z67" s="162"/>
      <c r="AA67" s="162"/>
      <c r="AB67" s="162"/>
      <c r="AC67" s="162"/>
      <c r="AD67" s="162"/>
      <c r="AE67" s="162"/>
      <c r="AF67" s="162"/>
      <c r="AG67" s="162"/>
      <c r="AH67" s="162"/>
      <c r="AI67" s="162"/>
      <c r="AJ67" s="162"/>
      <c r="AK67" s="162"/>
      <c r="AL67" s="162"/>
      <c r="AM67" s="162"/>
      <c r="AN67" s="162"/>
      <c r="AO67" s="162"/>
      <c r="AP67" s="162"/>
      <c r="AQ67" s="162"/>
      <c r="AR67" s="162"/>
      <c r="AS67" s="162"/>
      <c r="AT67" s="162"/>
      <c r="AU67" s="162"/>
      <c r="AV67" s="162"/>
      <c r="AW67" s="162"/>
      <c r="AX67" s="162"/>
      <c r="AY67" s="162"/>
      <c r="AZ67" s="162"/>
      <c r="BA67" s="162"/>
      <c r="BB67" s="162"/>
      <c r="BC67" s="162"/>
      <c r="BD67" s="162"/>
      <c r="BE67" s="162"/>
      <c r="BF67" s="162"/>
      <c r="BG67" s="162"/>
      <c r="BH67" s="162"/>
      <c r="BI67" s="162"/>
      <c r="BJ67" s="162"/>
      <c r="BK67" s="162"/>
      <c r="BL67" s="162"/>
      <c r="BM67" s="162"/>
      <c r="BN67" s="162"/>
      <c r="BO67" s="162"/>
      <c r="BP67" s="162"/>
      <c r="BQ67" s="162"/>
      <c r="BR67" s="162"/>
      <c r="BS67" s="162"/>
      <c r="BT67" s="162"/>
      <c r="BU67" s="162"/>
      <c r="BV67" s="162"/>
      <c r="BW67" s="162"/>
      <c r="BX67" s="162"/>
      <c r="BY67" s="162"/>
      <c r="BZ67" s="162"/>
      <c r="CA67" s="162"/>
      <c r="CB67" s="162"/>
      <c r="CC67" s="162"/>
      <c r="CD67" s="162"/>
      <c r="CE67" s="162"/>
      <c r="CF67" s="162"/>
      <c r="CG67" s="162"/>
      <c r="CH67" s="162"/>
      <c r="CI67" s="162"/>
      <c r="CJ67" s="162"/>
      <c r="CK67" s="162"/>
      <c r="CL67" s="162"/>
      <c r="CM67" s="162"/>
      <c r="CN67" s="162"/>
      <c r="CO67" s="162"/>
      <c r="CP67" s="162"/>
      <c r="CQ67" s="162"/>
      <c r="CR67" s="162"/>
      <c r="CS67" s="162"/>
      <c r="CT67" s="162"/>
      <c r="CU67" s="162"/>
      <c r="CV67" s="162"/>
      <c r="CW67" s="162"/>
      <c r="CX67" s="162"/>
      <c r="CY67" s="162"/>
      <c r="CZ67" s="162"/>
      <c r="DA67" s="162"/>
      <c r="DB67" s="162"/>
      <c r="DC67" s="162"/>
      <c r="DD67" s="162"/>
    </row>
    <row r="68" spans="1:108" hidden="1" outlineLevel="1" x14ac:dyDescent="0.2">
      <c r="A68" s="162"/>
      <c r="B68" s="162"/>
      <c r="C68" s="58">
        <v>1</v>
      </c>
      <c r="D68" s="177" t="s">
        <v>240</v>
      </c>
      <c r="E68" s="63">
        <f t="shared" ref="E68:J68" si="22">SUMPRODUCT(($D$203:$D$221=E67)*($E$202:$DA$202&gt;=$E$59)*($E$202:$DA$202&lt;=$F$59)*($E$203:$DA$221))</f>
        <v>26301274</v>
      </c>
      <c r="F68" s="63">
        <f t="shared" si="22"/>
        <v>26727025</v>
      </c>
      <c r="G68" s="63">
        <f t="shared" si="22"/>
        <v>27147199</v>
      </c>
      <c r="H68" s="63">
        <f t="shared" si="22"/>
        <v>27562195</v>
      </c>
      <c r="I68" s="63">
        <f t="shared" si="22"/>
        <v>27970435</v>
      </c>
      <c r="J68" s="63">
        <f t="shared" si="22"/>
        <v>28372315</v>
      </c>
      <c r="K68" s="162"/>
      <c r="L68" s="162"/>
      <c r="M68" s="162"/>
      <c r="N68" s="162"/>
      <c r="O68" s="162"/>
      <c r="P68" s="162"/>
      <c r="Q68" s="162"/>
      <c r="R68" s="162"/>
      <c r="S68" s="162"/>
      <c r="T68" s="162"/>
      <c r="U68" s="162"/>
      <c r="V68" s="162"/>
      <c r="W68" s="162"/>
      <c r="X68" s="162"/>
      <c r="Y68" s="162"/>
      <c r="Z68" s="162"/>
      <c r="AA68" s="162"/>
      <c r="AB68" s="162"/>
      <c r="AC68" s="162"/>
      <c r="AD68" s="162"/>
      <c r="AE68" s="162"/>
      <c r="AF68" s="162"/>
      <c r="AG68" s="162"/>
      <c r="AH68" s="162"/>
      <c r="AI68" s="162"/>
      <c r="AJ68" s="162"/>
      <c r="AK68" s="162"/>
      <c r="AL68" s="162"/>
      <c r="AM68" s="162"/>
      <c r="AN68" s="162"/>
      <c r="AO68" s="162"/>
      <c r="AP68" s="162"/>
      <c r="AQ68" s="162"/>
      <c r="AR68" s="162"/>
      <c r="AS68" s="162"/>
      <c r="AT68" s="162"/>
      <c r="AU68" s="162"/>
      <c r="AV68" s="162"/>
      <c r="AW68" s="162"/>
      <c r="AX68" s="162"/>
      <c r="AY68" s="162"/>
      <c r="AZ68" s="162"/>
      <c r="BA68" s="162"/>
      <c r="BB68" s="162"/>
      <c r="BC68" s="162"/>
      <c r="BD68" s="162"/>
      <c r="BE68" s="162"/>
      <c r="BF68" s="162"/>
      <c r="BG68" s="162"/>
      <c r="BH68" s="162"/>
      <c r="BI68" s="162"/>
      <c r="BJ68" s="162"/>
      <c r="BK68" s="162"/>
      <c r="BL68" s="162"/>
      <c r="BM68" s="162"/>
      <c r="BN68" s="162"/>
      <c r="BO68" s="162"/>
      <c r="BP68" s="162"/>
      <c r="BQ68" s="162"/>
      <c r="BR68" s="162"/>
      <c r="BS68" s="162"/>
      <c r="BT68" s="162"/>
      <c r="BU68" s="162"/>
      <c r="BV68" s="162"/>
      <c r="BW68" s="162"/>
      <c r="BX68" s="162"/>
      <c r="BY68" s="162"/>
      <c r="BZ68" s="162"/>
      <c r="CA68" s="162"/>
      <c r="CB68" s="162"/>
      <c r="CC68" s="162"/>
      <c r="CD68" s="162"/>
      <c r="CE68" s="162"/>
      <c r="CF68" s="162"/>
      <c r="CG68" s="162"/>
      <c r="CH68" s="162"/>
      <c r="CI68" s="162"/>
      <c r="CJ68" s="162"/>
      <c r="CK68" s="162"/>
      <c r="CL68" s="162"/>
      <c r="CM68" s="162"/>
      <c r="CN68" s="162"/>
      <c r="CO68" s="162"/>
      <c r="CP68" s="162"/>
      <c r="CQ68" s="162"/>
      <c r="CR68" s="162"/>
      <c r="CS68" s="162"/>
      <c r="CT68" s="162"/>
      <c r="CU68" s="162"/>
      <c r="CV68" s="162"/>
      <c r="CW68" s="162"/>
      <c r="CX68" s="162"/>
      <c r="CY68" s="162"/>
      <c r="CZ68" s="162"/>
      <c r="DA68" s="162"/>
      <c r="DB68" s="162"/>
      <c r="DC68" s="162"/>
      <c r="DD68" s="162"/>
    </row>
    <row r="69" spans="1:108" hidden="1" outlineLevel="1" x14ac:dyDescent="0.2">
      <c r="A69" s="162"/>
      <c r="B69" s="162"/>
      <c r="C69" s="58">
        <v>2</v>
      </c>
      <c r="D69" s="177" t="s">
        <v>243</v>
      </c>
      <c r="E69" s="63">
        <f t="shared" ref="E69:J69" si="23">SUMPRODUCT(($D$228:$D$246=E67)*($E$227:$DA$227&gt;=$E$59)*($E$227:$DA$227&lt;=$F$59)*($E$228:$DA$246))</f>
        <v>13039532</v>
      </c>
      <c r="F69" s="63">
        <f t="shared" si="23"/>
        <v>13248872</v>
      </c>
      <c r="G69" s="63">
        <f t="shared" si="23"/>
        <v>13455403</v>
      </c>
      <c r="H69" s="63">
        <f t="shared" si="23"/>
        <v>13659298</v>
      </c>
      <c r="I69" s="63">
        <f t="shared" si="23"/>
        <v>13859813</v>
      </c>
      <c r="J69" s="63">
        <f t="shared" si="23"/>
        <v>14057138</v>
      </c>
      <c r="K69" s="162"/>
      <c r="L69" s="162"/>
      <c r="M69" s="162"/>
      <c r="N69" s="162"/>
      <c r="O69" s="162"/>
      <c r="P69" s="162"/>
      <c r="Q69" s="162"/>
      <c r="R69" s="162"/>
      <c r="S69" s="162"/>
      <c r="T69" s="162"/>
      <c r="U69" s="162"/>
      <c r="V69" s="162"/>
      <c r="W69" s="162"/>
      <c r="X69" s="162"/>
      <c r="Y69" s="162"/>
      <c r="Z69" s="162"/>
      <c r="AA69" s="162"/>
      <c r="AB69" s="162"/>
      <c r="AC69" s="162"/>
      <c r="AD69" s="162"/>
      <c r="AE69" s="162"/>
      <c r="AF69" s="162"/>
      <c r="AG69" s="162"/>
      <c r="AH69" s="162"/>
      <c r="AI69" s="162"/>
      <c r="AJ69" s="162"/>
      <c r="AK69" s="162"/>
      <c r="AL69" s="162"/>
      <c r="AM69" s="162"/>
      <c r="AN69" s="162"/>
      <c r="AO69" s="162"/>
      <c r="AP69" s="162"/>
      <c r="AQ69" s="162"/>
      <c r="AR69" s="162"/>
      <c r="AS69" s="162"/>
      <c r="AT69" s="162"/>
      <c r="AU69" s="162"/>
      <c r="AV69" s="162"/>
      <c r="AW69" s="162"/>
      <c r="AX69" s="162"/>
      <c r="AY69" s="162"/>
      <c r="AZ69" s="162"/>
      <c r="BA69" s="162"/>
      <c r="BB69" s="162"/>
      <c r="BC69" s="162"/>
      <c r="BD69" s="162"/>
      <c r="BE69" s="162"/>
      <c r="BF69" s="162"/>
      <c r="BG69" s="162"/>
      <c r="BH69" s="162"/>
      <c r="BI69" s="162"/>
      <c r="BJ69" s="162"/>
      <c r="BK69" s="162"/>
      <c r="BL69" s="162"/>
      <c r="BM69" s="162"/>
      <c r="BN69" s="162"/>
      <c r="BO69" s="162"/>
      <c r="BP69" s="162"/>
      <c r="BQ69" s="162"/>
      <c r="BR69" s="162"/>
      <c r="BS69" s="162"/>
      <c r="BT69" s="162"/>
      <c r="BU69" s="162"/>
      <c r="BV69" s="162"/>
      <c r="BW69" s="162"/>
      <c r="BX69" s="162"/>
      <c r="BY69" s="162"/>
      <c r="BZ69" s="162"/>
      <c r="CA69" s="162"/>
      <c r="CB69" s="162"/>
      <c r="CC69" s="162"/>
      <c r="CD69" s="162"/>
      <c r="CE69" s="162"/>
      <c r="CF69" s="162"/>
      <c r="CG69" s="162"/>
      <c r="CH69" s="162"/>
      <c r="CI69" s="162"/>
      <c r="CJ69" s="162"/>
      <c r="CK69" s="162"/>
      <c r="CL69" s="162"/>
      <c r="CM69" s="162"/>
      <c r="CN69" s="162"/>
      <c r="CO69" s="162"/>
      <c r="CP69" s="162"/>
      <c r="CQ69" s="162"/>
      <c r="CR69" s="162"/>
      <c r="CS69" s="162"/>
      <c r="CT69" s="162"/>
      <c r="CU69" s="162"/>
      <c r="CV69" s="162"/>
      <c r="CW69" s="162"/>
      <c r="CX69" s="162"/>
      <c r="CY69" s="162"/>
      <c r="CZ69" s="162"/>
      <c r="DA69" s="162"/>
      <c r="DB69" s="162"/>
      <c r="DC69" s="162"/>
      <c r="DD69" s="162"/>
    </row>
    <row r="70" spans="1:108" hidden="1" outlineLevel="1" x14ac:dyDescent="0.2">
      <c r="A70" s="162"/>
      <c r="B70" s="162"/>
      <c r="C70" s="58">
        <v>3</v>
      </c>
      <c r="D70" s="177" t="s">
        <v>244</v>
      </c>
      <c r="E70" s="63">
        <f t="shared" ref="E70:J70" si="24">SUMPRODUCT(($D$253:$D$271=E67)*($E$252:$DA$252&gt;=$E$59)*($E$252:$DA$252&lt;=$F$59)*($E$253:$DA$271))</f>
        <v>13261742</v>
      </c>
      <c r="F70" s="63">
        <f t="shared" si="24"/>
        <v>13478153</v>
      </c>
      <c r="G70" s="63">
        <f t="shared" si="24"/>
        <v>13691796</v>
      </c>
      <c r="H70" s="63">
        <f t="shared" si="24"/>
        <v>13902897</v>
      </c>
      <c r="I70" s="63">
        <f t="shared" si="24"/>
        <v>14110622</v>
      </c>
      <c r="J70" s="63">
        <f t="shared" si="24"/>
        <v>14315177</v>
      </c>
      <c r="K70" s="162"/>
      <c r="L70" s="162"/>
      <c r="M70" s="162"/>
      <c r="N70" s="162"/>
      <c r="O70" s="162"/>
      <c r="P70" s="162"/>
      <c r="Q70" s="162"/>
      <c r="R70" s="162"/>
      <c r="S70" s="162"/>
      <c r="T70" s="162"/>
      <c r="U70" s="162"/>
      <c r="V70" s="162"/>
      <c r="W70" s="162"/>
      <c r="X70" s="162"/>
      <c r="Y70" s="162"/>
      <c r="Z70" s="162"/>
      <c r="AA70" s="162"/>
      <c r="AB70" s="162"/>
      <c r="AC70" s="162"/>
      <c r="AD70" s="162"/>
      <c r="AE70" s="162"/>
      <c r="AF70" s="162"/>
      <c r="AG70" s="162"/>
      <c r="AH70" s="162"/>
      <c r="AI70" s="162"/>
      <c r="AJ70" s="162"/>
      <c r="AK70" s="162"/>
      <c r="AL70" s="162"/>
      <c r="AM70" s="162"/>
      <c r="AN70" s="162"/>
      <c r="AO70" s="162"/>
      <c r="AP70" s="162"/>
      <c r="AQ70" s="162"/>
      <c r="AR70" s="162"/>
      <c r="AS70" s="162"/>
      <c r="AT70" s="162"/>
      <c r="AU70" s="162"/>
      <c r="AV70" s="162"/>
      <c r="AW70" s="162"/>
      <c r="AX70" s="162"/>
      <c r="AY70" s="162"/>
      <c r="AZ70" s="162"/>
      <c r="BA70" s="162"/>
      <c r="BB70" s="162"/>
      <c r="BC70" s="162"/>
      <c r="BD70" s="162"/>
      <c r="BE70" s="162"/>
      <c r="BF70" s="162"/>
      <c r="BG70" s="162"/>
      <c r="BH70" s="162"/>
      <c r="BI70" s="162"/>
      <c r="BJ70" s="162"/>
      <c r="BK70" s="162"/>
      <c r="BL70" s="162"/>
      <c r="BM70" s="162"/>
      <c r="BN70" s="162"/>
      <c r="BO70" s="162"/>
      <c r="BP70" s="162"/>
      <c r="BQ70" s="162"/>
      <c r="BR70" s="162"/>
      <c r="BS70" s="162"/>
      <c r="BT70" s="162"/>
      <c r="BU70" s="162"/>
      <c r="BV70" s="162"/>
      <c r="BW70" s="162"/>
      <c r="BX70" s="162"/>
      <c r="BY70" s="162"/>
      <c r="BZ70" s="162"/>
      <c r="CA70" s="162"/>
      <c r="CB70" s="162"/>
      <c r="CC70" s="162"/>
      <c r="CD70" s="162"/>
      <c r="CE70" s="162"/>
      <c r="CF70" s="162"/>
      <c r="CG70" s="162"/>
      <c r="CH70" s="162"/>
      <c r="CI70" s="162"/>
      <c r="CJ70" s="162"/>
      <c r="CK70" s="162"/>
      <c r="CL70" s="162"/>
      <c r="CM70" s="162"/>
      <c r="CN70" s="162"/>
      <c r="CO70" s="162"/>
      <c r="CP70" s="162"/>
      <c r="CQ70" s="162"/>
      <c r="CR70" s="162"/>
      <c r="CS70" s="162"/>
      <c r="CT70" s="162"/>
      <c r="CU70" s="162"/>
      <c r="CV70" s="162"/>
      <c r="CW70" s="162"/>
      <c r="CX70" s="162"/>
      <c r="CY70" s="162"/>
      <c r="CZ70" s="162"/>
      <c r="DA70" s="162"/>
      <c r="DB70" s="162"/>
      <c r="DC70" s="162"/>
      <c r="DD70" s="162"/>
    </row>
    <row r="71" spans="1:108" hidden="1" outlineLevel="1" x14ac:dyDescent="0.2">
      <c r="A71" s="162"/>
      <c r="B71" s="162"/>
      <c r="C71" s="162"/>
      <c r="D71" s="162"/>
      <c r="E71" s="162"/>
      <c r="F71" s="162"/>
      <c r="G71" s="162"/>
      <c r="H71" s="162"/>
      <c r="I71" s="162"/>
      <c r="J71" s="162"/>
      <c r="K71" s="162"/>
      <c r="L71" s="162"/>
      <c r="M71" s="162"/>
      <c r="N71" s="162"/>
      <c r="O71" s="162"/>
      <c r="P71" s="162"/>
      <c r="Q71" s="162"/>
      <c r="R71" s="162"/>
      <c r="S71" s="162"/>
      <c r="T71" s="162"/>
      <c r="U71" s="162"/>
      <c r="V71" s="162"/>
      <c r="W71" s="162"/>
      <c r="X71" s="162"/>
      <c r="Y71" s="162"/>
      <c r="Z71" s="162"/>
      <c r="AA71" s="162"/>
      <c r="AB71" s="162"/>
      <c r="AC71" s="162"/>
      <c r="AD71" s="162"/>
      <c r="AE71" s="162"/>
      <c r="AF71" s="162"/>
      <c r="AG71" s="162"/>
      <c r="AH71" s="162"/>
      <c r="AI71" s="162"/>
      <c r="AJ71" s="162"/>
      <c r="AK71" s="162"/>
      <c r="AL71" s="162"/>
      <c r="AM71" s="162"/>
      <c r="AN71" s="162"/>
      <c r="AO71" s="162"/>
      <c r="AP71" s="162"/>
      <c r="AQ71" s="162"/>
      <c r="AR71" s="162"/>
      <c r="AS71" s="162"/>
      <c r="AT71" s="162"/>
      <c r="AU71" s="162"/>
      <c r="AV71" s="162"/>
      <c r="AW71" s="162"/>
      <c r="AX71" s="162"/>
      <c r="AY71" s="162"/>
      <c r="AZ71" s="162"/>
      <c r="BA71" s="162"/>
      <c r="BB71" s="162"/>
      <c r="BC71" s="162"/>
      <c r="BD71" s="162"/>
      <c r="BE71" s="162"/>
      <c r="BF71" s="162"/>
      <c r="BG71" s="162"/>
      <c r="BH71" s="162"/>
      <c r="BI71" s="162"/>
      <c r="BJ71" s="162"/>
      <c r="BK71" s="162"/>
      <c r="BL71" s="162"/>
      <c r="BM71" s="162"/>
      <c r="BN71" s="162"/>
      <c r="BO71" s="162"/>
      <c r="BP71" s="162"/>
      <c r="BQ71" s="162"/>
      <c r="BR71" s="162"/>
      <c r="BS71" s="162"/>
      <c r="BT71" s="162"/>
      <c r="BU71" s="162"/>
      <c r="BV71" s="162"/>
      <c r="BW71" s="162"/>
      <c r="BX71" s="162"/>
      <c r="BY71" s="162"/>
      <c r="BZ71" s="162"/>
      <c r="CA71" s="162"/>
      <c r="CB71" s="162"/>
      <c r="CC71" s="162"/>
      <c r="CD71" s="162"/>
      <c r="CE71" s="162"/>
      <c r="CF71" s="162"/>
      <c r="CG71" s="162"/>
      <c r="CH71" s="162"/>
      <c r="CI71" s="162"/>
      <c r="CJ71" s="162"/>
      <c r="CK71" s="162"/>
      <c r="CL71" s="162"/>
      <c r="CM71" s="162"/>
      <c r="CN71" s="162"/>
      <c r="CO71" s="162"/>
      <c r="CP71" s="162"/>
      <c r="CQ71" s="162"/>
      <c r="CR71" s="162"/>
      <c r="CS71" s="162"/>
      <c r="CT71" s="162"/>
      <c r="CU71" s="162"/>
      <c r="CV71" s="162"/>
      <c r="CW71" s="162"/>
      <c r="CX71" s="162"/>
      <c r="CY71" s="162"/>
      <c r="CZ71" s="162"/>
      <c r="DA71" s="162"/>
      <c r="DB71" s="162"/>
      <c r="DC71" s="162"/>
      <c r="DD71" s="162"/>
    </row>
    <row r="72" spans="1:108" collapsed="1" x14ac:dyDescent="0.2">
      <c r="A72" s="162"/>
      <c r="B72" s="162"/>
      <c r="C72" s="162"/>
      <c r="D72" s="162"/>
      <c r="E72" s="162"/>
      <c r="F72" s="162"/>
      <c r="G72" s="162"/>
      <c r="H72" s="162"/>
      <c r="I72" s="162"/>
      <c r="J72" s="162"/>
      <c r="K72" s="162"/>
      <c r="L72" s="162"/>
      <c r="M72" s="162"/>
      <c r="N72" s="162"/>
      <c r="O72" s="162"/>
      <c r="P72" s="162"/>
      <c r="Q72" s="162"/>
      <c r="R72" s="162"/>
      <c r="S72" s="162"/>
      <c r="T72" s="162"/>
      <c r="U72" s="162"/>
      <c r="V72" s="162"/>
      <c r="W72" s="162"/>
      <c r="X72" s="162"/>
      <c r="Y72" s="162"/>
      <c r="Z72" s="162"/>
      <c r="AA72" s="162"/>
      <c r="AB72" s="162"/>
      <c r="AC72" s="162"/>
      <c r="AD72" s="162"/>
      <c r="AE72" s="162"/>
      <c r="AF72" s="162"/>
      <c r="AG72" s="162"/>
      <c r="AH72" s="162"/>
      <c r="AI72" s="162"/>
      <c r="AJ72" s="162"/>
      <c r="AK72" s="162"/>
      <c r="AL72" s="162"/>
      <c r="AM72" s="162"/>
      <c r="AN72" s="162"/>
      <c r="AO72" s="162"/>
      <c r="AP72" s="162"/>
      <c r="AQ72" s="162"/>
      <c r="AR72" s="162"/>
      <c r="AS72" s="162"/>
      <c r="AT72" s="162"/>
      <c r="AU72" s="162"/>
      <c r="AV72" s="162"/>
      <c r="AW72" s="162"/>
      <c r="AX72" s="162"/>
      <c r="AY72" s="162"/>
      <c r="AZ72" s="162"/>
      <c r="BA72" s="162"/>
      <c r="BB72" s="162"/>
      <c r="BC72" s="162"/>
      <c r="BD72" s="162"/>
      <c r="BE72" s="162"/>
      <c r="BF72" s="162"/>
      <c r="BG72" s="162"/>
      <c r="BH72" s="162"/>
      <c r="BI72" s="162"/>
      <c r="BJ72" s="162"/>
      <c r="BK72" s="162"/>
      <c r="BL72" s="162"/>
      <c r="BM72" s="162"/>
      <c r="BN72" s="162"/>
      <c r="BO72" s="162"/>
      <c r="BP72" s="162"/>
      <c r="BQ72" s="162"/>
      <c r="BR72" s="162"/>
      <c r="BS72" s="162"/>
      <c r="BT72" s="162"/>
      <c r="BU72" s="162"/>
      <c r="BV72" s="162"/>
      <c r="BW72" s="162"/>
      <c r="BX72" s="162"/>
      <c r="BY72" s="162"/>
      <c r="BZ72" s="162"/>
      <c r="CA72" s="162"/>
      <c r="CB72" s="162"/>
      <c r="CC72" s="162"/>
      <c r="CD72" s="162"/>
      <c r="CE72" s="162"/>
      <c r="CF72" s="162"/>
      <c r="CG72" s="162"/>
      <c r="CH72" s="162"/>
      <c r="CI72" s="162"/>
      <c r="CJ72" s="162"/>
      <c r="CK72" s="162"/>
      <c r="CL72" s="162"/>
      <c r="CM72" s="162"/>
      <c r="CN72" s="162"/>
      <c r="CO72" s="162"/>
      <c r="CP72" s="162"/>
      <c r="CQ72" s="162"/>
      <c r="CR72" s="162"/>
      <c r="CS72" s="162"/>
      <c r="CT72" s="162"/>
      <c r="CU72" s="162"/>
      <c r="CV72" s="162"/>
      <c r="CW72" s="162"/>
      <c r="CX72" s="162"/>
      <c r="CY72" s="162"/>
      <c r="CZ72" s="162"/>
      <c r="DA72" s="162"/>
      <c r="DB72" s="162"/>
      <c r="DC72" s="162"/>
      <c r="DD72" s="162"/>
    </row>
    <row r="73" spans="1:108" ht="15.75" x14ac:dyDescent="0.2">
      <c r="A73" s="162"/>
      <c r="B73" s="242">
        <f>IF(H76&lt;&gt;"",VLOOKUP(H76,GenderCode,2,FALSE),0)</f>
        <v>0</v>
      </c>
      <c r="C73" s="58">
        <v>4</v>
      </c>
      <c r="D73" s="79" t="str">
        <f>IF(B73=0,MsgNotUsed, CONCATENATE("ABS ", C73, ": ", H76, " ", E77, " - ", F77, " yrs inclusive (", E82, "-", J82, ")") &amp; IF(E79&lt;&gt;"",CONCATENATE(" - (",D79,")"),""))</f>
        <v>** NOT USED **</v>
      </c>
      <c r="E73" s="127"/>
      <c r="F73" s="127"/>
      <c r="G73" s="127"/>
      <c r="H73" s="127"/>
      <c r="I73" s="175"/>
      <c r="J73" s="127"/>
      <c r="K73" s="127"/>
      <c r="L73" s="127"/>
      <c r="M73" s="127"/>
      <c r="N73" s="127"/>
      <c r="O73" s="127"/>
      <c r="P73" s="162"/>
      <c r="Q73" s="162"/>
      <c r="R73" s="162"/>
      <c r="S73" s="162"/>
      <c r="T73" s="162"/>
      <c r="U73" s="162"/>
      <c r="V73" s="162"/>
      <c r="W73" s="162"/>
      <c r="X73" s="162"/>
      <c r="Y73" s="162"/>
      <c r="Z73" s="162"/>
      <c r="AA73" s="162"/>
      <c r="AB73" s="162"/>
      <c r="AC73" s="162"/>
      <c r="AD73" s="162"/>
      <c r="AE73" s="162"/>
      <c r="AF73" s="162"/>
      <c r="AG73" s="162"/>
      <c r="AH73" s="162"/>
      <c r="AI73" s="162"/>
      <c r="AJ73" s="162"/>
      <c r="AK73" s="162"/>
      <c r="AL73" s="162"/>
      <c r="AM73" s="162"/>
      <c r="AN73" s="162"/>
      <c r="AO73" s="162"/>
      <c r="AP73" s="162"/>
      <c r="AQ73" s="162"/>
      <c r="AR73" s="162"/>
      <c r="AS73" s="162"/>
      <c r="AT73" s="162"/>
      <c r="AU73" s="162"/>
      <c r="AV73" s="162"/>
      <c r="AW73" s="162"/>
      <c r="AX73" s="162"/>
      <c r="AY73" s="162"/>
      <c r="AZ73" s="162"/>
      <c r="BA73" s="162"/>
      <c r="BB73" s="162"/>
      <c r="BC73" s="162"/>
      <c r="BD73" s="162"/>
      <c r="BE73" s="162"/>
      <c r="BF73" s="162"/>
      <c r="BG73" s="162"/>
      <c r="BH73" s="162"/>
      <c r="BI73" s="162"/>
      <c r="BJ73" s="162"/>
      <c r="BK73" s="162"/>
      <c r="BL73" s="162"/>
      <c r="BM73" s="162"/>
      <c r="BN73" s="162"/>
      <c r="BO73" s="162"/>
      <c r="BP73" s="162"/>
      <c r="BQ73" s="162"/>
      <c r="BR73" s="162"/>
      <c r="BS73" s="162"/>
      <c r="BT73" s="162"/>
      <c r="BU73" s="162"/>
      <c r="BV73" s="162"/>
      <c r="BW73" s="162"/>
      <c r="BX73" s="162"/>
      <c r="BY73" s="162"/>
      <c r="BZ73" s="162"/>
      <c r="CA73" s="162"/>
      <c r="CB73" s="162"/>
      <c r="CC73" s="162"/>
      <c r="CD73" s="162"/>
      <c r="CE73" s="162"/>
      <c r="CF73" s="162"/>
      <c r="CG73" s="162"/>
      <c r="CH73" s="162"/>
      <c r="CI73" s="162"/>
      <c r="CJ73" s="162"/>
      <c r="CK73" s="162"/>
      <c r="CL73" s="162"/>
      <c r="CM73" s="162"/>
      <c r="CN73" s="162"/>
      <c r="CO73" s="162"/>
      <c r="CP73" s="162"/>
      <c r="CQ73" s="162"/>
      <c r="CR73" s="162"/>
      <c r="CS73" s="162"/>
      <c r="CT73" s="162"/>
      <c r="CU73" s="162"/>
      <c r="CV73" s="162"/>
      <c r="CW73" s="162"/>
      <c r="CX73" s="162"/>
      <c r="CY73" s="162"/>
      <c r="CZ73" s="162"/>
      <c r="DA73" s="162"/>
      <c r="DB73" s="162"/>
      <c r="DC73" s="162"/>
      <c r="DD73" s="162"/>
    </row>
    <row r="74" spans="1:108" ht="14.25" hidden="1" outlineLevel="1" x14ac:dyDescent="0.2">
      <c r="A74" s="162"/>
      <c r="B74" s="162"/>
      <c r="C74" s="162"/>
      <c r="D74" s="647"/>
      <c r="E74" s="162"/>
      <c r="F74" s="162"/>
      <c r="G74" s="162"/>
      <c r="H74" s="162"/>
      <c r="I74" s="162"/>
      <c r="J74" s="162"/>
      <c r="K74" s="162"/>
      <c r="L74" s="162"/>
      <c r="M74" s="162"/>
      <c r="N74" s="162"/>
      <c r="O74" s="162"/>
      <c r="P74" s="162"/>
      <c r="Q74" s="162"/>
      <c r="R74" s="162"/>
      <c r="S74" s="162"/>
      <c r="T74" s="162"/>
      <c r="U74" s="162"/>
      <c r="V74" s="162"/>
      <c r="W74" s="162"/>
      <c r="X74" s="162"/>
      <c r="Y74" s="162"/>
      <c r="Z74" s="162"/>
      <c r="AA74" s="162"/>
      <c r="AB74" s="162"/>
      <c r="AC74" s="162"/>
      <c r="AD74" s="162"/>
      <c r="AE74" s="162"/>
      <c r="AF74" s="162"/>
      <c r="AG74" s="162"/>
      <c r="AH74" s="162"/>
      <c r="AI74" s="162"/>
      <c r="AJ74" s="162"/>
      <c r="AK74" s="162"/>
      <c r="AL74" s="162"/>
      <c r="AM74" s="162"/>
      <c r="AN74" s="162"/>
      <c r="AO74" s="162"/>
      <c r="AP74" s="162"/>
      <c r="AQ74" s="162"/>
      <c r="AR74" s="162"/>
      <c r="AS74" s="162"/>
      <c r="AT74" s="162"/>
      <c r="AU74" s="162"/>
      <c r="AV74" s="162"/>
      <c r="AW74" s="162"/>
      <c r="AX74" s="162"/>
      <c r="AY74" s="162"/>
      <c r="AZ74" s="162"/>
      <c r="BA74" s="162"/>
      <c r="BB74" s="162"/>
      <c r="BC74" s="162"/>
      <c r="BD74" s="162"/>
      <c r="BE74" s="162"/>
      <c r="BF74" s="162"/>
      <c r="BG74" s="162"/>
      <c r="BH74" s="162"/>
      <c r="BI74" s="162"/>
      <c r="BJ74" s="162"/>
      <c r="BK74" s="162"/>
      <c r="BL74" s="162"/>
      <c r="BM74" s="162"/>
      <c r="BN74" s="162"/>
      <c r="BO74" s="162"/>
      <c r="BP74" s="162"/>
      <c r="BQ74" s="162"/>
      <c r="BR74" s="162"/>
      <c r="BS74" s="162"/>
      <c r="BT74" s="162"/>
      <c r="BU74" s="162"/>
      <c r="BV74" s="162"/>
      <c r="BW74" s="162"/>
      <c r="BX74" s="162"/>
      <c r="BY74" s="162"/>
      <c r="BZ74" s="162"/>
      <c r="CA74" s="162"/>
      <c r="CB74" s="162"/>
      <c r="CC74" s="162"/>
      <c r="CD74" s="162"/>
      <c r="CE74" s="162"/>
      <c r="CF74" s="162"/>
      <c r="CG74" s="162"/>
      <c r="CH74" s="162"/>
      <c r="CI74" s="162"/>
      <c r="CJ74" s="162"/>
      <c r="CK74" s="162"/>
      <c r="CL74" s="162"/>
      <c r="CM74" s="162"/>
      <c r="CN74" s="162"/>
      <c r="CO74" s="162"/>
      <c r="CP74" s="162"/>
      <c r="CQ74" s="162"/>
      <c r="CR74" s="162"/>
      <c r="CS74" s="162"/>
      <c r="CT74" s="162"/>
      <c r="CU74" s="162"/>
      <c r="CV74" s="162"/>
      <c r="CW74" s="162"/>
      <c r="CX74" s="162"/>
      <c r="CY74" s="162"/>
      <c r="CZ74" s="162"/>
      <c r="DA74" s="162"/>
      <c r="DB74" s="162"/>
      <c r="DC74" s="162"/>
      <c r="DD74" s="162"/>
    </row>
    <row r="75" spans="1:108" hidden="1" outlineLevel="1" x14ac:dyDescent="0.2">
      <c r="A75" s="162"/>
      <c r="B75" s="162"/>
      <c r="C75" s="162"/>
      <c r="D75" s="162"/>
      <c r="E75" s="632" t="s">
        <v>245</v>
      </c>
      <c r="F75" s="632" t="s">
        <v>246</v>
      </c>
      <c r="G75" s="162"/>
      <c r="H75" s="632" t="s">
        <v>51</v>
      </c>
      <c r="I75" s="162"/>
      <c r="J75" s="632" t="s">
        <v>365</v>
      </c>
      <c r="K75" s="162"/>
      <c r="L75" s="162"/>
      <c r="M75" s="162"/>
      <c r="N75" s="162"/>
      <c r="O75" s="162"/>
      <c r="P75" s="162"/>
      <c r="Q75" s="162"/>
      <c r="R75" s="162"/>
      <c r="S75" s="162"/>
      <c r="T75" s="162"/>
      <c r="U75" s="162"/>
      <c r="V75" s="162"/>
      <c r="W75" s="162"/>
      <c r="X75" s="162"/>
      <c r="Y75" s="162"/>
      <c r="Z75" s="162"/>
      <c r="AA75" s="162"/>
      <c r="AB75" s="162"/>
      <c r="AC75" s="162"/>
      <c r="AD75" s="162"/>
      <c r="AE75" s="162"/>
      <c r="AF75" s="162"/>
      <c r="AG75" s="162"/>
      <c r="AH75" s="162"/>
      <c r="AI75" s="162"/>
      <c r="AJ75" s="162"/>
      <c r="AK75" s="162"/>
      <c r="AL75" s="162"/>
      <c r="AM75" s="162"/>
      <c r="AN75" s="162"/>
      <c r="AO75" s="162"/>
      <c r="AP75" s="162"/>
      <c r="AQ75" s="162"/>
      <c r="AR75" s="162"/>
      <c r="AS75" s="162"/>
      <c r="AT75" s="162"/>
      <c r="AU75" s="162"/>
      <c r="AV75" s="162"/>
      <c r="AW75" s="162"/>
      <c r="AX75" s="162"/>
      <c r="AY75" s="162"/>
      <c r="AZ75" s="162"/>
      <c r="BA75" s="162"/>
      <c r="BB75" s="162"/>
      <c r="BC75" s="162"/>
      <c r="BD75" s="162"/>
      <c r="BE75" s="162"/>
      <c r="BF75" s="162"/>
      <c r="BG75" s="162"/>
      <c r="BH75" s="162"/>
      <c r="BI75" s="162"/>
      <c r="BJ75" s="162"/>
      <c r="BK75" s="162"/>
      <c r="BL75" s="162"/>
      <c r="BM75" s="162"/>
      <c r="BN75" s="162"/>
      <c r="BO75" s="162"/>
      <c r="BP75" s="162"/>
      <c r="BQ75" s="162"/>
      <c r="BR75" s="162"/>
      <c r="BS75" s="162"/>
      <c r="BT75" s="162"/>
      <c r="BU75" s="162"/>
      <c r="BV75" s="162"/>
      <c r="BW75" s="162"/>
      <c r="BX75" s="162"/>
      <c r="BY75" s="162"/>
      <c r="BZ75" s="162"/>
      <c r="CA75" s="162"/>
      <c r="CB75" s="162"/>
      <c r="CC75" s="162"/>
      <c r="CD75" s="162"/>
      <c r="CE75" s="162"/>
      <c r="CF75" s="162"/>
      <c r="CG75" s="162"/>
      <c r="CH75" s="162"/>
      <c r="CI75" s="162"/>
      <c r="CJ75" s="162"/>
      <c r="CK75" s="162"/>
      <c r="CL75" s="162"/>
      <c r="CM75" s="162"/>
      <c r="CN75" s="162"/>
      <c r="CO75" s="162"/>
      <c r="CP75" s="162"/>
      <c r="CQ75" s="162"/>
      <c r="CR75" s="162"/>
      <c r="CS75" s="162"/>
      <c r="CT75" s="162"/>
      <c r="CU75" s="162"/>
      <c r="CV75" s="162"/>
      <c r="CW75" s="162"/>
      <c r="CX75" s="162"/>
      <c r="CY75" s="162"/>
      <c r="CZ75" s="162"/>
      <c r="DA75" s="162"/>
      <c r="DB75" s="162"/>
      <c r="DC75" s="162"/>
      <c r="DD75" s="162"/>
    </row>
    <row r="76" spans="1:108" hidden="1" outlineLevel="1" x14ac:dyDescent="0.2">
      <c r="A76" s="162"/>
      <c r="B76" s="162"/>
      <c r="C76" s="162"/>
      <c r="D76" s="42" t="s">
        <v>242</v>
      </c>
      <c r="E76" s="427"/>
      <c r="F76" s="427"/>
      <c r="G76" s="162"/>
      <c r="H76" s="360"/>
      <c r="I76" s="162"/>
      <c r="J76" s="360"/>
      <c r="K76" s="162"/>
      <c r="L76" s="162"/>
      <c r="M76" s="162"/>
      <c r="N76" s="162"/>
      <c r="O76" s="162"/>
      <c r="P76" s="162"/>
      <c r="Q76" s="162"/>
      <c r="R76" s="162"/>
      <c r="S76" s="162"/>
      <c r="T76" s="162"/>
      <c r="U76" s="162"/>
      <c r="V76" s="162"/>
      <c r="W76" s="162"/>
      <c r="X76" s="162"/>
      <c r="Y76" s="162"/>
      <c r="Z76" s="162"/>
      <c r="AA76" s="162"/>
      <c r="AB76" s="162"/>
      <c r="AC76" s="162"/>
      <c r="AD76" s="162"/>
      <c r="AE76" s="162"/>
      <c r="AF76" s="162"/>
      <c r="AG76" s="162"/>
      <c r="AH76" s="162"/>
      <c r="AI76" s="162"/>
      <c r="AJ76" s="162"/>
      <c r="AK76" s="162"/>
      <c r="AL76" s="162"/>
      <c r="AM76" s="162"/>
      <c r="AN76" s="162"/>
      <c r="AO76" s="162"/>
      <c r="AP76" s="162"/>
      <c r="AQ76" s="162"/>
      <c r="AR76" s="162"/>
      <c r="AS76" s="162"/>
      <c r="AT76" s="162"/>
      <c r="AU76" s="162"/>
      <c r="AV76" s="162"/>
      <c r="AW76" s="162"/>
      <c r="AX76" s="162"/>
      <c r="AY76" s="162"/>
      <c r="AZ76" s="162"/>
      <c r="BA76" s="162"/>
      <c r="BB76" s="162"/>
      <c r="BC76" s="162"/>
      <c r="BD76" s="162"/>
      <c r="BE76" s="162"/>
      <c r="BF76" s="162"/>
      <c r="BG76" s="162"/>
      <c r="BH76" s="162"/>
      <c r="BI76" s="162"/>
      <c r="BJ76" s="162"/>
      <c r="BK76" s="162"/>
      <c r="BL76" s="162"/>
      <c r="BM76" s="162"/>
      <c r="BN76" s="162"/>
      <c r="BO76" s="162"/>
      <c r="BP76" s="162"/>
      <c r="BQ76" s="162"/>
      <c r="BR76" s="162"/>
      <c r="BS76" s="162"/>
      <c r="BT76" s="162"/>
      <c r="BU76" s="162"/>
      <c r="BV76" s="162"/>
      <c r="BW76" s="162"/>
      <c r="BX76" s="162"/>
      <c r="BY76" s="162"/>
      <c r="BZ76" s="162"/>
      <c r="CA76" s="162"/>
      <c r="CB76" s="162"/>
      <c r="CC76" s="162"/>
      <c r="CD76" s="162"/>
      <c r="CE76" s="162"/>
      <c r="CF76" s="162"/>
      <c r="CG76" s="162"/>
      <c r="CH76" s="162"/>
      <c r="CI76" s="162"/>
      <c r="CJ76" s="162"/>
      <c r="CK76" s="162"/>
      <c r="CL76" s="162"/>
      <c r="CM76" s="162"/>
      <c r="CN76" s="162"/>
      <c r="CO76" s="162"/>
      <c r="CP76" s="162"/>
      <c r="CQ76" s="162"/>
      <c r="CR76" s="162"/>
      <c r="CS76" s="162"/>
      <c r="CT76" s="162"/>
      <c r="CU76" s="162"/>
      <c r="CV76" s="162"/>
      <c r="CW76" s="162"/>
      <c r="CX76" s="162"/>
      <c r="CY76" s="162"/>
      <c r="CZ76" s="162"/>
      <c r="DA76" s="162"/>
      <c r="DB76" s="162"/>
      <c r="DC76" s="162"/>
      <c r="DD76" s="162"/>
    </row>
    <row r="77" spans="1:108" hidden="1" outlineLevel="1" x14ac:dyDescent="0.2">
      <c r="A77" s="162"/>
      <c r="B77" s="162"/>
      <c r="C77" s="162"/>
      <c r="D77" s="162"/>
      <c r="E77" s="495">
        <f>IF(E76="",0,E76)</f>
        <v>0</v>
      </c>
      <c r="F77" s="495">
        <f>IF(F76="",100,F76)</f>
        <v>100</v>
      </c>
      <c r="G77" s="162"/>
      <c r="H77" s="162"/>
      <c r="I77" s="162"/>
      <c r="J77" s="162"/>
      <c r="K77" s="162"/>
      <c r="L77" s="162"/>
      <c r="M77" s="162"/>
      <c r="N77" s="162"/>
      <c r="O77" s="162"/>
      <c r="P77" s="162"/>
      <c r="Q77" s="162"/>
      <c r="R77" s="162"/>
      <c r="S77" s="162"/>
      <c r="T77" s="162"/>
      <c r="U77" s="162"/>
      <c r="V77" s="162"/>
      <c r="W77" s="162"/>
      <c r="X77" s="162"/>
      <c r="Y77" s="162"/>
      <c r="Z77" s="162"/>
      <c r="AA77" s="162"/>
      <c r="AB77" s="162"/>
      <c r="AC77" s="162"/>
      <c r="AD77" s="162"/>
      <c r="AE77" s="162"/>
      <c r="AF77" s="162"/>
      <c r="AG77" s="162"/>
      <c r="AH77" s="162"/>
      <c r="AI77" s="162"/>
      <c r="AJ77" s="162"/>
      <c r="AK77" s="162"/>
      <c r="AL77" s="162"/>
      <c r="AM77" s="162"/>
      <c r="AN77" s="162"/>
      <c r="AO77" s="162"/>
      <c r="AP77" s="162"/>
      <c r="AQ77" s="162"/>
      <c r="AR77" s="162"/>
      <c r="AS77" s="162"/>
      <c r="AT77" s="162"/>
      <c r="AU77" s="162"/>
      <c r="AV77" s="162"/>
      <c r="AW77" s="162"/>
      <c r="AX77" s="162"/>
      <c r="AY77" s="162"/>
      <c r="AZ77" s="162"/>
      <c r="BA77" s="162"/>
      <c r="BB77" s="162"/>
      <c r="BC77" s="162"/>
      <c r="BD77" s="162"/>
      <c r="BE77" s="162"/>
      <c r="BF77" s="162"/>
      <c r="BG77" s="162"/>
      <c r="BH77" s="162"/>
      <c r="BI77" s="162"/>
      <c r="BJ77" s="162"/>
      <c r="BK77" s="162"/>
      <c r="BL77" s="162"/>
      <c r="BM77" s="162"/>
      <c r="BN77" s="162"/>
      <c r="BO77" s="162"/>
      <c r="BP77" s="162"/>
      <c r="BQ77" s="162"/>
      <c r="BR77" s="162"/>
      <c r="BS77" s="162"/>
      <c r="BT77" s="162"/>
      <c r="BU77" s="162"/>
      <c r="BV77" s="162"/>
      <c r="BW77" s="162"/>
      <c r="BX77" s="162"/>
      <c r="BY77" s="162"/>
      <c r="BZ77" s="162"/>
      <c r="CA77" s="162"/>
      <c r="CB77" s="162"/>
      <c r="CC77" s="162"/>
      <c r="CD77" s="162"/>
      <c r="CE77" s="162"/>
      <c r="CF77" s="162"/>
      <c r="CG77" s="162"/>
      <c r="CH77" s="162"/>
      <c r="CI77" s="162"/>
      <c r="CJ77" s="162"/>
      <c r="CK77" s="162"/>
      <c r="CL77" s="162"/>
      <c r="CM77" s="162"/>
      <c r="CN77" s="162"/>
      <c r="CO77" s="162"/>
      <c r="CP77" s="162"/>
      <c r="CQ77" s="162"/>
      <c r="CR77" s="162"/>
      <c r="CS77" s="162"/>
      <c r="CT77" s="162"/>
      <c r="CU77" s="162"/>
      <c r="CV77" s="162"/>
      <c r="CW77" s="162"/>
      <c r="CX77" s="162"/>
      <c r="CY77" s="162"/>
      <c r="CZ77" s="162"/>
      <c r="DA77" s="162"/>
      <c r="DB77" s="162"/>
      <c r="DC77" s="162"/>
      <c r="DD77" s="162"/>
    </row>
    <row r="78" spans="1:108" hidden="1" outlineLevel="1" x14ac:dyDescent="0.2">
      <c r="A78" s="162"/>
      <c r="B78" s="162"/>
      <c r="C78" s="162"/>
      <c r="D78" s="162"/>
      <c r="E78" s="632" t="s">
        <v>464</v>
      </c>
      <c r="F78" s="632" t="s">
        <v>465</v>
      </c>
      <c r="G78" s="162"/>
      <c r="H78" s="162"/>
      <c r="I78" s="162"/>
      <c r="J78" s="162"/>
      <c r="K78" s="162"/>
      <c r="L78" s="162"/>
      <c r="M78" s="162"/>
      <c r="N78" s="162"/>
      <c r="O78" s="162"/>
      <c r="P78" s="162"/>
      <c r="Q78" s="162"/>
      <c r="R78" s="162"/>
      <c r="S78" s="162"/>
      <c r="T78" s="162"/>
      <c r="U78" s="162"/>
      <c r="V78" s="162"/>
      <c r="W78" s="162"/>
      <c r="X78" s="162"/>
      <c r="Y78" s="162"/>
      <c r="Z78" s="162"/>
      <c r="AA78" s="162"/>
      <c r="AB78" s="162"/>
      <c r="AC78" s="162"/>
      <c r="AD78" s="162"/>
      <c r="AE78" s="162"/>
      <c r="AF78" s="162"/>
      <c r="AG78" s="162"/>
      <c r="AH78" s="162"/>
      <c r="AI78" s="162"/>
      <c r="AJ78" s="162"/>
      <c r="AK78" s="162"/>
      <c r="AL78" s="162"/>
      <c r="AM78" s="162"/>
      <c r="AN78" s="162"/>
      <c r="AO78" s="162"/>
      <c r="AP78" s="162"/>
      <c r="AQ78" s="162"/>
      <c r="AR78" s="162"/>
      <c r="AS78" s="162"/>
      <c r="AT78" s="162"/>
      <c r="AU78" s="162"/>
      <c r="AV78" s="162"/>
      <c r="AW78" s="162"/>
      <c r="AX78" s="162"/>
      <c r="AY78" s="162"/>
      <c r="AZ78" s="162"/>
      <c r="BA78" s="162"/>
      <c r="BB78" s="162"/>
      <c r="BC78" s="162"/>
      <c r="BD78" s="162"/>
      <c r="BE78" s="162"/>
      <c r="BF78" s="162"/>
      <c r="BG78" s="162"/>
      <c r="BH78" s="162"/>
      <c r="BI78" s="162"/>
      <c r="BJ78" s="162"/>
      <c r="BK78" s="162"/>
      <c r="BL78" s="162"/>
      <c r="BM78" s="162"/>
      <c r="BN78" s="162"/>
      <c r="BO78" s="162"/>
      <c r="BP78" s="162"/>
      <c r="BQ78" s="162"/>
      <c r="BR78" s="162"/>
      <c r="BS78" s="162"/>
      <c r="BT78" s="162"/>
      <c r="BU78" s="162"/>
      <c r="BV78" s="162"/>
      <c r="BW78" s="162"/>
      <c r="BX78" s="162"/>
      <c r="BY78" s="162"/>
      <c r="BZ78" s="162"/>
      <c r="CA78" s="162"/>
      <c r="CB78" s="162"/>
      <c r="CC78" s="162"/>
      <c r="CD78" s="162"/>
      <c r="CE78" s="162"/>
      <c r="CF78" s="162"/>
      <c r="CG78" s="162"/>
      <c r="CH78" s="162"/>
      <c r="CI78" s="162"/>
      <c r="CJ78" s="162"/>
      <c r="CK78" s="162"/>
      <c r="CL78" s="162"/>
      <c r="CM78" s="162"/>
      <c r="CN78" s="162"/>
      <c r="CO78" s="162"/>
      <c r="CP78" s="162"/>
      <c r="CQ78" s="162"/>
      <c r="CR78" s="162"/>
      <c r="CS78" s="162"/>
      <c r="CT78" s="162"/>
      <c r="CU78" s="162"/>
      <c r="CV78" s="162"/>
      <c r="CW78" s="162"/>
      <c r="CX78" s="162"/>
      <c r="CY78" s="162"/>
      <c r="CZ78" s="162"/>
      <c r="DA78" s="162"/>
      <c r="DB78" s="162"/>
      <c r="DC78" s="162"/>
      <c r="DD78" s="162"/>
    </row>
    <row r="79" spans="1:108" hidden="1" outlineLevel="1" x14ac:dyDescent="0.2">
      <c r="A79" s="162"/>
      <c r="B79" s="162"/>
      <c r="C79" s="162"/>
      <c r="D79" s="631" t="s">
        <v>463</v>
      </c>
      <c r="E79" s="521"/>
      <c r="F79" s="427"/>
      <c r="G79" s="315">
        <f>IF(AND(E79&lt;&gt;"",F79&lt;&gt;""),E79/F79,1)</f>
        <v>1</v>
      </c>
      <c r="H79" s="162"/>
      <c r="I79" s="42" t="s">
        <v>258</v>
      </c>
      <c r="J79" s="911"/>
      <c r="K79" s="912"/>
      <c r="L79" s="912"/>
      <c r="M79" s="912"/>
      <c r="N79" s="912"/>
      <c r="O79" s="912"/>
      <c r="P79" s="162"/>
      <c r="Q79" s="162"/>
      <c r="R79" s="162"/>
      <c r="S79" s="162"/>
      <c r="T79" s="162"/>
      <c r="U79" s="162"/>
      <c r="V79" s="162"/>
      <c r="W79" s="162"/>
      <c r="X79" s="162"/>
      <c r="Y79" s="162"/>
      <c r="Z79" s="162"/>
      <c r="AA79" s="162"/>
      <c r="AB79" s="162"/>
      <c r="AC79" s="162"/>
      <c r="AD79" s="162"/>
      <c r="AE79" s="162"/>
      <c r="AF79" s="162"/>
      <c r="AG79" s="162"/>
      <c r="AH79" s="162"/>
      <c r="AI79" s="162"/>
      <c r="AJ79" s="162"/>
      <c r="AK79" s="162"/>
      <c r="AL79" s="162"/>
      <c r="AM79" s="162"/>
      <c r="AN79" s="162"/>
      <c r="AO79" s="162"/>
      <c r="AP79" s="162"/>
      <c r="AQ79" s="162"/>
      <c r="AR79" s="162"/>
      <c r="AS79" s="162"/>
      <c r="AT79" s="162"/>
      <c r="AU79" s="162"/>
      <c r="AV79" s="162"/>
      <c r="AW79" s="162"/>
      <c r="AX79" s="162"/>
      <c r="AY79" s="162"/>
      <c r="AZ79" s="162"/>
      <c r="BA79" s="162"/>
      <c r="BB79" s="162"/>
      <c r="BC79" s="162"/>
      <c r="BD79" s="162"/>
      <c r="BE79" s="162"/>
      <c r="BF79" s="162"/>
      <c r="BG79" s="162"/>
      <c r="BH79" s="162"/>
      <c r="BI79" s="162"/>
      <c r="BJ79" s="162"/>
      <c r="BK79" s="162"/>
      <c r="BL79" s="162"/>
      <c r="BM79" s="162"/>
      <c r="BN79" s="162"/>
      <c r="BO79" s="162"/>
      <c r="BP79" s="162"/>
      <c r="BQ79" s="162"/>
      <c r="BR79" s="162"/>
      <c r="BS79" s="162"/>
      <c r="BT79" s="162"/>
      <c r="BU79" s="162"/>
      <c r="BV79" s="162"/>
      <c r="BW79" s="162"/>
      <c r="BX79" s="162"/>
      <c r="BY79" s="162"/>
      <c r="BZ79" s="162"/>
      <c r="CA79" s="162"/>
      <c r="CB79" s="162"/>
      <c r="CC79" s="162"/>
      <c r="CD79" s="162"/>
      <c r="CE79" s="162"/>
      <c r="CF79" s="162"/>
      <c r="CG79" s="162"/>
      <c r="CH79" s="162"/>
      <c r="CI79" s="162"/>
      <c r="CJ79" s="162"/>
      <c r="CK79" s="162"/>
      <c r="CL79" s="162"/>
      <c r="CM79" s="162"/>
      <c r="CN79" s="162"/>
      <c r="CO79" s="162"/>
      <c r="CP79" s="162"/>
      <c r="CQ79" s="162"/>
      <c r="CR79" s="162"/>
      <c r="CS79" s="162"/>
      <c r="CT79" s="162"/>
      <c r="CU79" s="162"/>
      <c r="CV79" s="162"/>
      <c r="CW79" s="162"/>
      <c r="CX79" s="162"/>
      <c r="CY79" s="162"/>
      <c r="CZ79" s="162"/>
      <c r="DA79" s="162"/>
      <c r="DB79" s="162"/>
      <c r="DC79" s="162"/>
      <c r="DD79" s="162"/>
    </row>
    <row r="80" spans="1:108" hidden="1" outlineLevel="1" x14ac:dyDescent="0.2">
      <c r="A80" s="162"/>
      <c r="B80" s="162"/>
      <c r="C80" s="162"/>
      <c r="D80" s="162"/>
      <c r="E80" s="162"/>
      <c r="F80" s="162"/>
      <c r="G80" s="162"/>
      <c r="H80" s="162"/>
      <c r="I80" s="162"/>
      <c r="J80" s="162"/>
      <c r="K80" s="162"/>
      <c r="L80" s="162"/>
      <c r="M80" s="162"/>
      <c r="N80" s="162"/>
      <c r="O80" s="162"/>
      <c r="P80" s="162"/>
      <c r="Q80" s="162"/>
      <c r="R80" s="162"/>
      <c r="S80" s="162"/>
      <c r="T80" s="162"/>
      <c r="U80" s="162"/>
      <c r="V80" s="162"/>
      <c r="W80" s="162"/>
      <c r="X80" s="162"/>
      <c r="Y80" s="162"/>
      <c r="Z80" s="162"/>
      <c r="AA80" s="162"/>
      <c r="AB80" s="162"/>
      <c r="AC80" s="162"/>
      <c r="AD80" s="162"/>
      <c r="AE80" s="162"/>
      <c r="AF80" s="162"/>
      <c r="AG80" s="162"/>
      <c r="AH80" s="162"/>
      <c r="AI80" s="162"/>
      <c r="AJ80" s="162"/>
      <c r="AK80" s="162"/>
      <c r="AL80" s="162"/>
      <c r="AM80" s="162"/>
      <c r="AN80" s="162"/>
      <c r="AO80" s="162"/>
      <c r="AP80" s="162"/>
      <c r="AQ80" s="162"/>
      <c r="AR80" s="162"/>
      <c r="AS80" s="162"/>
      <c r="AT80" s="162"/>
      <c r="AU80" s="162"/>
      <c r="AV80" s="162"/>
      <c r="AW80" s="162"/>
      <c r="AX80" s="162"/>
      <c r="AY80" s="162"/>
      <c r="AZ80" s="162"/>
      <c r="BA80" s="162"/>
      <c r="BB80" s="162"/>
      <c r="BC80" s="162"/>
      <c r="BD80" s="162"/>
      <c r="BE80" s="162"/>
      <c r="BF80" s="162"/>
      <c r="BG80" s="162"/>
      <c r="BH80" s="162"/>
      <c r="BI80" s="162"/>
      <c r="BJ80" s="162"/>
      <c r="BK80" s="162"/>
      <c r="BL80" s="162"/>
      <c r="BM80" s="162"/>
      <c r="BN80" s="162"/>
      <c r="BO80" s="162"/>
      <c r="BP80" s="162"/>
      <c r="BQ80" s="162"/>
      <c r="BR80" s="162"/>
      <c r="BS80" s="162"/>
      <c r="BT80" s="162"/>
      <c r="BU80" s="162"/>
      <c r="BV80" s="162"/>
      <c r="BW80" s="162"/>
      <c r="BX80" s="162"/>
      <c r="BY80" s="162"/>
      <c r="BZ80" s="162"/>
      <c r="CA80" s="162"/>
      <c r="CB80" s="162"/>
      <c r="CC80" s="162"/>
      <c r="CD80" s="162"/>
      <c r="CE80" s="162"/>
      <c r="CF80" s="162"/>
      <c r="CG80" s="162"/>
      <c r="CH80" s="162"/>
      <c r="CI80" s="162"/>
      <c r="CJ80" s="162"/>
      <c r="CK80" s="162"/>
      <c r="CL80" s="162"/>
      <c r="CM80" s="162"/>
      <c r="CN80" s="162"/>
      <c r="CO80" s="162"/>
      <c r="CP80" s="162"/>
      <c r="CQ80" s="162"/>
      <c r="CR80" s="162"/>
      <c r="CS80" s="162"/>
      <c r="CT80" s="162"/>
      <c r="CU80" s="162"/>
      <c r="CV80" s="162"/>
      <c r="CW80" s="162"/>
      <c r="CX80" s="162"/>
      <c r="CY80" s="162"/>
      <c r="CZ80" s="162"/>
      <c r="DA80" s="162"/>
      <c r="DB80" s="162"/>
      <c r="DC80" s="162"/>
      <c r="DD80" s="162"/>
    </row>
    <row r="81" spans="1:108" hidden="1" outlineLevel="1" x14ac:dyDescent="0.2">
      <c r="A81" s="162"/>
      <c r="B81" s="162"/>
      <c r="C81" s="162"/>
      <c r="D81" s="162"/>
      <c r="E81" s="616" t="s">
        <v>255</v>
      </c>
      <c r="F81" s="162"/>
      <c r="G81" s="162"/>
      <c r="H81" s="162"/>
      <c r="I81" s="162"/>
      <c r="J81" s="162"/>
      <c r="K81" s="162"/>
      <c r="L81" s="162"/>
      <c r="M81" s="162"/>
      <c r="N81" s="162"/>
      <c r="O81" s="162"/>
      <c r="P81" s="162"/>
      <c r="Q81" s="162"/>
      <c r="R81" s="162"/>
      <c r="S81" s="162"/>
      <c r="T81" s="162"/>
      <c r="U81" s="162"/>
      <c r="V81" s="162"/>
      <c r="W81" s="162"/>
      <c r="X81" s="162"/>
      <c r="Y81" s="162"/>
      <c r="Z81" s="162"/>
      <c r="AA81" s="162"/>
      <c r="AB81" s="162"/>
      <c r="AC81" s="162"/>
      <c r="AD81" s="162"/>
      <c r="AE81" s="162"/>
      <c r="AF81" s="162"/>
      <c r="AG81" s="162"/>
      <c r="AH81" s="162"/>
      <c r="AI81" s="162"/>
      <c r="AJ81" s="162"/>
      <c r="AK81" s="162"/>
      <c r="AL81" s="162"/>
      <c r="AM81" s="162"/>
      <c r="AN81" s="162"/>
      <c r="AO81" s="162"/>
      <c r="AP81" s="162"/>
      <c r="AQ81" s="162"/>
      <c r="AR81" s="162"/>
      <c r="AS81" s="162"/>
      <c r="AT81" s="162"/>
      <c r="AU81" s="162"/>
      <c r="AV81" s="162"/>
      <c r="AW81" s="162"/>
      <c r="AX81" s="162"/>
      <c r="AY81" s="162"/>
      <c r="AZ81" s="162"/>
      <c r="BA81" s="162"/>
      <c r="BB81" s="162"/>
      <c r="BC81" s="162"/>
      <c r="BD81" s="162"/>
      <c r="BE81" s="162"/>
      <c r="BF81" s="162"/>
      <c r="BG81" s="162"/>
      <c r="BH81" s="162"/>
      <c r="BI81" s="162"/>
      <c r="BJ81" s="162"/>
      <c r="BK81" s="162"/>
      <c r="BL81" s="162"/>
      <c r="BM81" s="162"/>
      <c r="BN81" s="162"/>
      <c r="BO81" s="162"/>
      <c r="BP81" s="162"/>
      <c r="BQ81" s="162"/>
      <c r="BR81" s="162"/>
      <c r="BS81" s="162"/>
      <c r="BT81" s="162"/>
      <c r="BU81" s="162"/>
      <c r="BV81" s="162"/>
      <c r="BW81" s="162"/>
      <c r="BX81" s="162"/>
      <c r="BY81" s="162"/>
      <c r="BZ81" s="162"/>
      <c r="CA81" s="162"/>
      <c r="CB81" s="162"/>
      <c r="CC81" s="162"/>
      <c r="CD81" s="162"/>
      <c r="CE81" s="162"/>
      <c r="CF81" s="162"/>
      <c r="CG81" s="162"/>
      <c r="CH81" s="162"/>
      <c r="CI81" s="162"/>
      <c r="CJ81" s="162"/>
      <c r="CK81" s="162"/>
      <c r="CL81" s="162"/>
      <c r="CM81" s="162"/>
      <c r="CN81" s="162"/>
      <c r="CO81" s="162"/>
      <c r="CP81" s="162"/>
      <c r="CQ81" s="162"/>
      <c r="CR81" s="162"/>
      <c r="CS81" s="162"/>
      <c r="CT81" s="162"/>
      <c r="CU81" s="162"/>
      <c r="CV81" s="162"/>
      <c r="CW81" s="162"/>
      <c r="CX81" s="162"/>
      <c r="CY81" s="162"/>
      <c r="CZ81" s="162"/>
      <c r="DA81" s="162"/>
      <c r="DB81" s="162"/>
      <c r="DC81" s="162"/>
      <c r="DD81" s="162"/>
    </row>
    <row r="82" spans="1:108" hidden="1" outlineLevel="1" x14ac:dyDescent="0.2">
      <c r="A82" s="162"/>
      <c r="B82" s="162"/>
      <c r="C82" s="162"/>
      <c r="D82" s="162"/>
      <c r="E82" s="78">
        <f>IF(J76&lt;&gt;"",J76,FirstYear)</f>
        <v>2021</v>
      </c>
      <c r="F82" s="630">
        <f>E82+1</f>
        <v>2022</v>
      </c>
      <c r="G82" s="630">
        <f>F82+1</f>
        <v>2023</v>
      </c>
      <c r="H82" s="630">
        <f>G82+1</f>
        <v>2024</v>
      </c>
      <c r="I82" s="630">
        <f>H82+1</f>
        <v>2025</v>
      </c>
      <c r="J82" s="630">
        <f>I82+1</f>
        <v>2026</v>
      </c>
      <c r="K82" s="162"/>
      <c r="L82" s="162"/>
      <c r="M82" s="162"/>
      <c r="N82" s="162"/>
      <c r="O82" s="162"/>
      <c r="P82" s="162"/>
      <c r="Q82" s="162"/>
      <c r="R82" s="162"/>
      <c r="S82" s="162"/>
      <c r="T82" s="162"/>
      <c r="U82" s="162"/>
      <c r="V82" s="162"/>
      <c r="W82" s="162"/>
      <c r="X82" s="162"/>
      <c r="Y82" s="162"/>
      <c r="Z82" s="162"/>
      <c r="AA82" s="162"/>
      <c r="AB82" s="162"/>
      <c r="AC82" s="162"/>
      <c r="AD82" s="162"/>
      <c r="AE82" s="162"/>
      <c r="AF82" s="162"/>
      <c r="AG82" s="162"/>
      <c r="AH82" s="162"/>
      <c r="AI82" s="162"/>
      <c r="AJ82" s="162"/>
      <c r="AK82" s="162"/>
      <c r="AL82" s="162"/>
      <c r="AM82" s="162"/>
      <c r="AN82" s="162"/>
      <c r="AO82" s="162"/>
      <c r="AP82" s="162"/>
      <c r="AQ82" s="162"/>
      <c r="AR82" s="162"/>
      <c r="AS82" s="162"/>
      <c r="AT82" s="162"/>
      <c r="AU82" s="162"/>
      <c r="AV82" s="162"/>
      <c r="AW82" s="162"/>
      <c r="AX82" s="162"/>
      <c r="AY82" s="162"/>
      <c r="AZ82" s="162"/>
      <c r="BA82" s="162"/>
      <c r="BB82" s="162"/>
      <c r="BC82" s="162"/>
      <c r="BD82" s="162"/>
      <c r="BE82" s="162"/>
      <c r="BF82" s="162"/>
      <c r="BG82" s="162"/>
      <c r="BH82" s="162"/>
      <c r="BI82" s="162"/>
      <c r="BJ82" s="162"/>
      <c r="BK82" s="162"/>
      <c r="BL82" s="162"/>
      <c r="BM82" s="162"/>
      <c r="BN82" s="162"/>
      <c r="BO82" s="162"/>
      <c r="BP82" s="162"/>
      <c r="BQ82" s="162"/>
      <c r="BR82" s="162"/>
      <c r="BS82" s="162"/>
      <c r="BT82" s="162"/>
      <c r="BU82" s="162"/>
      <c r="BV82" s="162"/>
      <c r="BW82" s="162"/>
      <c r="BX82" s="162"/>
      <c r="BY82" s="162"/>
      <c r="BZ82" s="162"/>
      <c r="CA82" s="162"/>
      <c r="CB82" s="162"/>
      <c r="CC82" s="162"/>
      <c r="CD82" s="162"/>
      <c r="CE82" s="162"/>
      <c r="CF82" s="162"/>
      <c r="CG82" s="162"/>
      <c r="CH82" s="162"/>
      <c r="CI82" s="162"/>
      <c r="CJ82" s="162"/>
      <c r="CK82" s="162"/>
      <c r="CL82" s="162"/>
      <c r="CM82" s="162"/>
      <c r="CN82" s="162"/>
      <c r="CO82" s="162"/>
      <c r="CP82" s="162"/>
      <c r="CQ82" s="162"/>
      <c r="CR82" s="162"/>
      <c r="CS82" s="162"/>
      <c r="CT82" s="162"/>
      <c r="CU82" s="162"/>
      <c r="CV82" s="162"/>
      <c r="CW82" s="162"/>
      <c r="CX82" s="162"/>
      <c r="CY82" s="162"/>
      <c r="CZ82" s="162"/>
      <c r="DA82" s="162"/>
      <c r="DB82" s="162"/>
      <c r="DC82" s="162"/>
      <c r="DD82" s="162"/>
    </row>
    <row r="83" spans="1:108" hidden="1" outlineLevel="1" x14ac:dyDescent="0.2">
      <c r="A83" s="162"/>
      <c r="B83" s="162"/>
      <c r="C83" s="162"/>
      <c r="D83" s="162"/>
      <c r="E83" s="63">
        <f t="shared" ref="E83:J83" si="25">IF($B$73&lt;&gt;0,VLOOKUP($B$73,$C$86:$J$88,E84)*$G79,0)</f>
        <v>0</v>
      </c>
      <c r="F83" s="63">
        <f t="shared" si="25"/>
        <v>0</v>
      </c>
      <c r="G83" s="63">
        <f t="shared" si="25"/>
        <v>0</v>
      </c>
      <c r="H83" s="63">
        <f t="shared" si="25"/>
        <v>0</v>
      </c>
      <c r="I83" s="63">
        <f t="shared" si="25"/>
        <v>0</v>
      </c>
      <c r="J83" s="63">
        <f t="shared" si="25"/>
        <v>0</v>
      </c>
      <c r="K83" s="162"/>
      <c r="L83" s="162"/>
      <c r="M83" s="162"/>
      <c r="N83" s="162"/>
      <c r="O83" s="162"/>
      <c r="P83" s="162"/>
      <c r="Q83" s="162"/>
      <c r="R83" s="162"/>
      <c r="S83" s="162"/>
      <c r="T83" s="162"/>
      <c r="U83" s="162"/>
      <c r="V83" s="162"/>
      <c r="W83" s="162"/>
      <c r="X83" s="162"/>
      <c r="Y83" s="162"/>
      <c r="Z83" s="162"/>
      <c r="AA83" s="162"/>
      <c r="AB83" s="162"/>
      <c r="AC83" s="162"/>
      <c r="AD83" s="162"/>
      <c r="AE83" s="162"/>
      <c r="AF83" s="162"/>
      <c r="AG83" s="162"/>
      <c r="AH83" s="162"/>
      <c r="AI83" s="162"/>
      <c r="AJ83" s="162"/>
      <c r="AK83" s="162"/>
      <c r="AL83" s="162"/>
      <c r="AM83" s="162"/>
      <c r="AN83" s="162"/>
      <c r="AO83" s="162"/>
      <c r="AP83" s="162"/>
      <c r="AQ83" s="162"/>
      <c r="AR83" s="162"/>
      <c r="AS83" s="162"/>
      <c r="AT83" s="162"/>
      <c r="AU83" s="162"/>
      <c r="AV83" s="162"/>
      <c r="AW83" s="162"/>
      <c r="AX83" s="162"/>
      <c r="AY83" s="162"/>
      <c r="AZ83" s="162"/>
      <c r="BA83" s="162"/>
      <c r="BB83" s="162"/>
      <c r="BC83" s="162"/>
      <c r="BD83" s="162"/>
      <c r="BE83" s="162"/>
      <c r="BF83" s="162"/>
      <c r="BG83" s="162"/>
      <c r="BH83" s="162"/>
      <c r="BI83" s="162"/>
      <c r="BJ83" s="162"/>
      <c r="BK83" s="162"/>
      <c r="BL83" s="162"/>
      <c r="BM83" s="162"/>
      <c r="BN83" s="162"/>
      <c r="BO83" s="162"/>
      <c r="BP83" s="162"/>
      <c r="BQ83" s="162"/>
      <c r="BR83" s="162"/>
      <c r="BS83" s="162"/>
      <c r="BT83" s="162"/>
      <c r="BU83" s="162"/>
      <c r="BV83" s="162"/>
      <c r="BW83" s="162"/>
      <c r="BX83" s="162"/>
      <c r="BY83" s="162"/>
      <c r="BZ83" s="162"/>
      <c r="CA83" s="162"/>
      <c r="CB83" s="162"/>
      <c r="CC83" s="162"/>
      <c r="CD83" s="162"/>
      <c r="CE83" s="162"/>
      <c r="CF83" s="162"/>
      <c r="CG83" s="162"/>
      <c r="CH83" s="162"/>
      <c r="CI83" s="162"/>
      <c r="CJ83" s="162"/>
      <c r="CK83" s="162"/>
      <c r="CL83" s="162"/>
      <c r="CM83" s="162"/>
      <c r="CN83" s="162"/>
      <c r="CO83" s="162"/>
      <c r="CP83" s="162"/>
      <c r="CQ83" s="162"/>
      <c r="CR83" s="162"/>
      <c r="CS83" s="162"/>
      <c r="CT83" s="162"/>
      <c r="CU83" s="162"/>
      <c r="CV83" s="162"/>
      <c r="CW83" s="162"/>
      <c r="CX83" s="162"/>
      <c r="CY83" s="162"/>
      <c r="CZ83" s="162"/>
      <c r="DA83" s="162"/>
      <c r="DB83" s="162"/>
      <c r="DC83" s="162"/>
      <c r="DD83" s="162"/>
    </row>
    <row r="84" spans="1:108" hidden="1" outlineLevel="1" x14ac:dyDescent="0.2">
      <c r="A84" s="162"/>
      <c r="B84" s="162"/>
      <c r="C84" s="162"/>
      <c r="D84" s="162"/>
      <c r="E84" s="650">
        <v>3</v>
      </c>
      <c r="F84" s="650">
        <v>4</v>
      </c>
      <c r="G84" s="650">
        <v>5</v>
      </c>
      <c r="H84" s="650">
        <v>6</v>
      </c>
      <c r="I84" s="650">
        <v>7</v>
      </c>
      <c r="J84" s="650">
        <v>8</v>
      </c>
      <c r="K84" s="162"/>
      <c r="L84" s="162"/>
      <c r="M84" s="162"/>
      <c r="N84" s="162"/>
      <c r="O84" s="162"/>
      <c r="P84" s="162"/>
      <c r="Q84" s="162"/>
      <c r="R84" s="162"/>
      <c r="S84" s="162"/>
      <c r="T84" s="162"/>
      <c r="U84" s="162"/>
      <c r="V84" s="162"/>
      <c r="W84" s="162"/>
      <c r="X84" s="162"/>
      <c r="Y84" s="162"/>
      <c r="Z84" s="162"/>
      <c r="AA84" s="162"/>
      <c r="AB84" s="162"/>
      <c r="AC84" s="162"/>
      <c r="AD84" s="162"/>
      <c r="AE84" s="162"/>
      <c r="AF84" s="162"/>
      <c r="AG84" s="162"/>
      <c r="AH84" s="162"/>
      <c r="AI84" s="162"/>
      <c r="AJ84" s="162"/>
      <c r="AK84" s="162"/>
      <c r="AL84" s="162"/>
      <c r="AM84" s="162"/>
      <c r="AN84" s="162"/>
      <c r="AO84" s="162"/>
      <c r="AP84" s="162"/>
      <c r="AQ84" s="162"/>
      <c r="AR84" s="162"/>
      <c r="AS84" s="162"/>
      <c r="AT84" s="162"/>
      <c r="AU84" s="162"/>
      <c r="AV84" s="162"/>
      <c r="AW84" s="162"/>
      <c r="AX84" s="162"/>
      <c r="AY84" s="162"/>
      <c r="AZ84" s="162"/>
      <c r="BA84" s="162"/>
      <c r="BB84" s="162"/>
      <c r="BC84" s="162"/>
      <c r="BD84" s="162"/>
      <c r="BE84" s="162"/>
      <c r="BF84" s="162"/>
      <c r="BG84" s="162"/>
      <c r="BH84" s="162"/>
      <c r="BI84" s="162"/>
      <c r="BJ84" s="162"/>
      <c r="BK84" s="162"/>
      <c r="BL84" s="162"/>
      <c r="BM84" s="162"/>
      <c r="BN84" s="162"/>
      <c r="BO84" s="162"/>
      <c r="BP84" s="162"/>
      <c r="BQ84" s="162"/>
      <c r="BR84" s="162"/>
      <c r="BS84" s="162"/>
      <c r="BT84" s="162"/>
      <c r="BU84" s="162"/>
      <c r="BV84" s="162"/>
      <c r="BW84" s="162"/>
      <c r="BX84" s="162"/>
      <c r="BY84" s="162"/>
      <c r="BZ84" s="162"/>
      <c r="CA84" s="162"/>
      <c r="CB84" s="162"/>
      <c r="CC84" s="162"/>
      <c r="CD84" s="162"/>
      <c r="CE84" s="162"/>
      <c r="CF84" s="162"/>
      <c r="CG84" s="162"/>
      <c r="CH84" s="162"/>
      <c r="CI84" s="162"/>
      <c r="CJ84" s="162"/>
      <c r="CK84" s="162"/>
      <c r="CL84" s="162"/>
      <c r="CM84" s="162"/>
      <c r="CN84" s="162"/>
      <c r="CO84" s="162"/>
      <c r="CP84" s="162"/>
      <c r="CQ84" s="162"/>
      <c r="CR84" s="162"/>
      <c r="CS84" s="162"/>
      <c r="CT84" s="162"/>
      <c r="CU84" s="162"/>
      <c r="CV84" s="162"/>
      <c r="CW84" s="162"/>
      <c r="CX84" s="162"/>
      <c r="CY84" s="162"/>
      <c r="CZ84" s="162"/>
      <c r="DA84" s="162"/>
      <c r="DB84" s="162"/>
      <c r="DC84" s="162"/>
      <c r="DD84" s="162"/>
    </row>
    <row r="85" spans="1:108" hidden="1" outlineLevel="1" x14ac:dyDescent="0.2">
      <c r="A85" s="162"/>
      <c r="B85" s="162"/>
      <c r="C85" s="162"/>
      <c r="D85" s="31" t="s">
        <v>324</v>
      </c>
      <c r="E85" s="78">
        <f t="shared" ref="E85:J85" si="26">E82</f>
        <v>2021</v>
      </c>
      <c r="F85" s="78">
        <f t="shared" si="26"/>
        <v>2022</v>
      </c>
      <c r="G85" s="78">
        <f t="shared" si="26"/>
        <v>2023</v>
      </c>
      <c r="H85" s="78">
        <f t="shared" si="26"/>
        <v>2024</v>
      </c>
      <c r="I85" s="78">
        <f t="shared" si="26"/>
        <v>2025</v>
      </c>
      <c r="J85" s="78">
        <f t="shared" si="26"/>
        <v>2026</v>
      </c>
      <c r="K85" s="162"/>
      <c r="L85" s="162"/>
      <c r="M85" s="162"/>
      <c r="N85" s="162"/>
      <c r="O85" s="162"/>
      <c r="P85" s="162"/>
      <c r="Q85" s="162"/>
      <c r="R85" s="162"/>
      <c r="S85" s="162"/>
      <c r="T85" s="162"/>
      <c r="U85" s="162"/>
      <c r="V85" s="162"/>
      <c r="W85" s="162"/>
      <c r="X85" s="162"/>
      <c r="Y85" s="162"/>
      <c r="Z85" s="162"/>
      <c r="AA85" s="162"/>
      <c r="AB85" s="162"/>
      <c r="AC85" s="162"/>
      <c r="AD85" s="162"/>
      <c r="AE85" s="162"/>
      <c r="AF85" s="162"/>
      <c r="AG85" s="162"/>
      <c r="AH85" s="162"/>
      <c r="AI85" s="162"/>
      <c r="AJ85" s="162"/>
      <c r="AK85" s="162"/>
      <c r="AL85" s="162"/>
      <c r="AM85" s="162"/>
      <c r="AN85" s="162"/>
      <c r="AO85" s="162"/>
      <c r="AP85" s="162"/>
      <c r="AQ85" s="162"/>
      <c r="AR85" s="162"/>
      <c r="AS85" s="162"/>
      <c r="AT85" s="162"/>
      <c r="AU85" s="162"/>
      <c r="AV85" s="162"/>
      <c r="AW85" s="162"/>
      <c r="AX85" s="162"/>
      <c r="AY85" s="162"/>
      <c r="AZ85" s="162"/>
      <c r="BA85" s="162"/>
      <c r="BB85" s="162"/>
      <c r="BC85" s="162"/>
      <c r="BD85" s="162"/>
      <c r="BE85" s="162"/>
      <c r="BF85" s="162"/>
      <c r="BG85" s="162"/>
      <c r="BH85" s="162"/>
      <c r="BI85" s="162"/>
      <c r="BJ85" s="162"/>
      <c r="BK85" s="162"/>
      <c r="BL85" s="162"/>
      <c r="BM85" s="162"/>
      <c r="BN85" s="162"/>
      <c r="BO85" s="162"/>
      <c r="BP85" s="162"/>
      <c r="BQ85" s="162"/>
      <c r="BR85" s="162"/>
      <c r="BS85" s="162"/>
      <c r="BT85" s="162"/>
      <c r="BU85" s="162"/>
      <c r="BV85" s="162"/>
      <c r="BW85" s="162"/>
      <c r="BX85" s="162"/>
      <c r="BY85" s="162"/>
      <c r="BZ85" s="162"/>
      <c r="CA85" s="162"/>
      <c r="CB85" s="162"/>
      <c r="CC85" s="162"/>
      <c r="CD85" s="162"/>
      <c r="CE85" s="162"/>
      <c r="CF85" s="162"/>
      <c r="CG85" s="162"/>
      <c r="CH85" s="162"/>
      <c r="CI85" s="162"/>
      <c r="CJ85" s="162"/>
      <c r="CK85" s="162"/>
      <c r="CL85" s="162"/>
      <c r="CM85" s="162"/>
      <c r="CN85" s="162"/>
      <c r="CO85" s="162"/>
      <c r="CP85" s="162"/>
      <c r="CQ85" s="162"/>
      <c r="CR85" s="162"/>
      <c r="CS85" s="162"/>
      <c r="CT85" s="162"/>
      <c r="CU85" s="162"/>
      <c r="CV85" s="162"/>
      <c r="CW85" s="162"/>
      <c r="CX85" s="162"/>
      <c r="CY85" s="162"/>
      <c r="CZ85" s="162"/>
      <c r="DA85" s="162"/>
      <c r="DB85" s="162"/>
      <c r="DC85" s="162"/>
      <c r="DD85" s="162"/>
    </row>
    <row r="86" spans="1:108" hidden="1" outlineLevel="1" x14ac:dyDescent="0.2">
      <c r="A86" s="162"/>
      <c r="B86" s="162"/>
      <c r="C86" s="58">
        <v>1</v>
      </c>
      <c r="D86" s="177" t="s">
        <v>240</v>
      </c>
      <c r="E86" s="63">
        <f t="shared" ref="E86:J86" si="27">SUMPRODUCT(($D$203:$D$221=E85)*($E$202:$DA$202&gt;=$E$77)*($E$202:$DA$202&lt;=$F$77)*($E$203:$DA$221))</f>
        <v>26301274</v>
      </c>
      <c r="F86" s="63">
        <f t="shared" si="27"/>
        <v>26727025</v>
      </c>
      <c r="G86" s="63">
        <f t="shared" si="27"/>
        <v>27147199</v>
      </c>
      <c r="H86" s="63">
        <f t="shared" si="27"/>
        <v>27562195</v>
      </c>
      <c r="I86" s="63">
        <f t="shared" si="27"/>
        <v>27970435</v>
      </c>
      <c r="J86" s="63">
        <f t="shared" si="27"/>
        <v>28372315</v>
      </c>
      <c r="K86" s="162"/>
      <c r="L86" s="162"/>
      <c r="M86" s="162"/>
      <c r="N86" s="162"/>
      <c r="O86" s="162"/>
      <c r="P86" s="162"/>
      <c r="Q86" s="162"/>
      <c r="R86" s="162"/>
      <c r="S86" s="162"/>
      <c r="T86" s="162"/>
      <c r="U86" s="162"/>
      <c r="V86" s="162"/>
      <c r="W86" s="162"/>
      <c r="X86" s="162"/>
      <c r="Y86" s="162"/>
      <c r="Z86" s="162"/>
      <c r="AA86" s="162"/>
      <c r="AB86" s="162"/>
      <c r="AC86" s="162"/>
      <c r="AD86" s="162"/>
      <c r="AE86" s="162"/>
      <c r="AF86" s="162"/>
      <c r="AG86" s="162"/>
      <c r="AH86" s="162"/>
      <c r="AI86" s="162"/>
      <c r="AJ86" s="162"/>
      <c r="AK86" s="162"/>
      <c r="AL86" s="162"/>
      <c r="AM86" s="162"/>
      <c r="AN86" s="162"/>
      <c r="AO86" s="162"/>
      <c r="AP86" s="162"/>
      <c r="AQ86" s="162"/>
      <c r="AR86" s="162"/>
      <c r="AS86" s="162"/>
      <c r="AT86" s="162"/>
      <c r="AU86" s="162"/>
      <c r="AV86" s="162"/>
      <c r="AW86" s="162"/>
      <c r="AX86" s="162"/>
      <c r="AY86" s="162"/>
      <c r="AZ86" s="162"/>
      <c r="BA86" s="162"/>
      <c r="BB86" s="162"/>
      <c r="BC86" s="162"/>
      <c r="BD86" s="162"/>
      <c r="BE86" s="162"/>
      <c r="BF86" s="162"/>
      <c r="BG86" s="162"/>
      <c r="BH86" s="162"/>
      <c r="BI86" s="162"/>
      <c r="BJ86" s="162"/>
      <c r="BK86" s="162"/>
      <c r="BL86" s="162"/>
      <c r="BM86" s="162"/>
      <c r="BN86" s="162"/>
      <c r="BO86" s="162"/>
      <c r="BP86" s="162"/>
      <c r="BQ86" s="162"/>
      <c r="BR86" s="162"/>
      <c r="BS86" s="162"/>
      <c r="BT86" s="162"/>
      <c r="BU86" s="162"/>
      <c r="BV86" s="162"/>
      <c r="BW86" s="162"/>
      <c r="BX86" s="162"/>
      <c r="BY86" s="162"/>
      <c r="BZ86" s="162"/>
      <c r="CA86" s="162"/>
      <c r="CB86" s="162"/>
      <c r="CC86" s="162"/>
      <c r="CD86" s="162"/>
      <c r="CE86" s="162"/>
      <c r="CF86" s="162"/>
      <c r="CG86" s="162"/>
      <c r="CH86" s="162"/>
      <c r="CI86" s="162"/>
      <c r="CJ86" s="162"/>
      <c r="CK86" s="162"/>
      <c r="CL86" s="162"/>
      <c r="CM86" s="162"/>
      <c r="CN86" s="162"/>
      <c r="CO86" s="162"/>
      <c r="CP86" s="162"/>
      <c r="CQ86" s="162"/>
      <c r="CR86" s="162"/>
      <c r="CS86" s="162"/>
      <c r="CT86" s="162"/>
      <c r="CU86" s="162"/>
      <c r="CV86" s="162"/>
      <c r="CW86" s="162"/>
      <c r="CX86" s="162"/>
      <c r="CY86" s="162"/>
      <c r="CZ86" s="162"/>
      <c r="DA86" s="162"/>
      <c r="DB86" s="162"/>
      <c r="DC86" s="162"/>
      <c r="DD86" s="162"/>
    </row>
    <row r="87" spans="1:108" hidden="1" outlineLevel="1" x14ac:dyDescent="0.2">
      <c r="A87" s="162"/>
      <c r="B87" s="162"/>
      <c r="C87" s="58">
        <v>2</v>
      </c>
      <c r="D87" s="177" t="s">
        <v>243</v>
      </c>
      <c r="E87" s="63">
        <f t="shared" ref="E87:J87" si="28">SUMPRODUCT(($D$228:$D$246=E85)*($E$227:$DA$227&gt;=$E$77)*($E$227:$DA$227&lt;=$F$77)*($E$228:$DA$246))</f>
        <v>13039532</v>
      </c>
      <c r="F87" s="63">
        <f t="shared" si="28"/>
        <v>13248872</v>
      </c>
      <c r="G87" s="63">
        <f t="shared" si="28"/>
        <v>13455403</v>
      </c>
      <c r="H87" s="63">
        <f t="shared" si="28"/>
        <v>13659298</v>
      </c>
      <c r="I87" s="63">
        <f t="shared" si="28"/>
        <v>13859813</v>
      </c>
      <c r="J87" s="63">
        <f t="shared" si="28"/>
        <v>14057138</v>
      </c>
      <c r="K87" s="162"/>
      <c r="L87" s="162"/>
      <c r="M87" s="162"/>
      <c r="N87" s="162"/>
      <c r="O87" s="162"/>
      <c r="P87" s="162"/>
      <c r="Q87" s="162"/>
      <c r="R87" s="162"/>
      <c r="S87" s="162"/>
      <c r="T87" s="162"/>
      <c r="U87" s="162"/>
      <c r="V87" s="162"/>
      <c r="W87" s="162"/>
      <c r="X87" s="162"/>
      <c r="Y87" s="162"/>
      <c r="Z87" s="162"/>
      <c r="AA87" s="162"/>
      <c r="AB87" s="162"/>
      <c r="AC87" s="162"/>
      <c r="AD87" s="162"/>
      <c r="AE87" s="162"/>
      <c r="AF87" s="162"/>
      <c r="AG87" s="162"/>
      <c r="AH87" s="162"/>
      <c r="AI87" s="162"/>
      <c r="AJ87" s="162"/>
      <c r="AK87" s="162"/>
      <c r="AL87" s="162"/>
      <c r="AM87" s="162"/>
      <c r="AN87" s="162"/>
      <c r="AO87" s="162"/>
      <c r="AP87" s="162"/>
      <c r="AQ87" s="162"/>
      <c r="AR87" s="162"/>
      <c r="AS87" s="162"/>
      <c r="AT87" s="162"/>
      <c r="AU87" s="162"/>
      <c r="AV87" s="162"/>
      <c r="AW87" s="162"/>
      <c r="AX87" s="162"/>
      <c r="AY87" s="162"/>
      <c r="AZ87" s="162"/>
      <c r="BA87" s="162"/>
      <c r="BB87" s="162"/>
      <c r="BC87" s="162"/>
      <c r="BD87" s="162"/>
      <c r="BE87" s="162"/>
      <c r="BF87" s="162"/>
      <c r="BG87" s="162"/>
      <c r="BH87" s="162"/>
      <c r="BI87" s="162"/>
      <c r="BJ87" s="162"/>
      <c r="BK87" s="162"/>
      <c r="BL87" s="162"/>
      <c r="BM87" s="162"/>
      <c r="BN87" s="162"/>
      <c r="BO87" s="162"/>
      <c r="BP87" s="162"/>
      <c r="BQ87" s="162"/>
      <c r="BR87" s="162"/>
      <c r="BS87" s="162"/>
      <c r="BT87" s="162"/>
      <c r="BU87" s="162"/>
      <c r="BV87" s="162"/>
      <c r="BW87" s="162"/>
      <c r="BX87" s="162"/>
      <c r="BY87" s="162"/>
      <c r="BZ87" s="162"/>
      <c r="CA87" s="162"/>
      <c r="CB87" s="162"/>
      <c r="CC87" s="162"/>
      <c r="CD87" s="162"/>
      <c r="CE87" s="162"/>
      <c r="CF87" s="162"/>
      <c r="CG87" s="162"/>
      <c r="CH87" s="162"/>
      <c r="CI87" s="162"/>
      <c r="CJ87" s="162"/>
      <c r="CK87" s="162"/>
      <c r="CL87" s="162"/>
      <c r="CM87" s="162"/>
      <c r="CN87" s="162"/>
      <c r="CO87" s="162"/>
      <c r="CP87" s="162"/>
      <c r="CQ87" s="162"/>
      <c r="CR87" s="162"/>
      <c r="CS87" s="162"/>
      <c r="CT87" s="162"/>
      <c r="CU87" s="162"/>
      <c r="CV87" s="162"/>
      <c r="CW87" s="162"/>
      <c r="CX87" s="162"/>
      <c r="CY87" s="162"/>
      <c r="CZ87" s="162"/>
      <c r="DA87" s="162"/>
      <c r="DB87" s="162"/>
      <c r="DC87" s="162"/>
      <c r="DD87" s="162"/>
    </row>
    <row r="88" spans="1:108" hidden="1" outlineLevel="1" x14ac:dyDescent="0.2">
      <c r="A88" s="162"/>
      <c r="B88" s="162"/>
      <c r="C88" s="58">
        <v>3</v>
      </c>
      <c r="D88" s="177" t="s">
        <v>244</v>
      </c>
      <c r="E88" s="63">
        <f t="shared" ref="E88:J88" si="29">SUMPRODUCT(($D$253:$D$271=E85)*($E$252:$DA$252&gt;=$E$77)*($E$252:$DA$252&lt;=$F$77)*($E$253:$DA$271))</f>
        <v>13261742</v>
      </c>
      <c r="F88" s="63">
        <f t="shared" si="29"/>
        <v>13478153</v>
      </c>
      <c r="G88" s="63">
        <f t="shared" si="29"/>
        <v>13691796</v>
      </c>
      <c r="H88" s="63">
        <f t="shared" si="29"/>
        <v>13902897</v>
      </c>
      <c r="I88" s="63">
        <f t="shared" si="29"/>
        <v>14110622</v>
      </c>
      <c r="J88" s="63">
        <f t="shared" si="29"/>
        <v>14315177</v>
      </c>
      <c r="K88" s="162"/>
      <c r="L88" s="162"/>
      <c r="M88" s="162"/>
      <c r="N88" s="162"/>
      <c r="O88" s="162"/>
      <c r="P88" s="162"/>
      <c r="Q88" s="162"/>
      <c r="R88" s="162"/>
      <c r="S88" s="162"/>
      <c r="T88" s="162"/>
      <c r="U88" s="162"/>
      <c r="V88" s="162"/>
      <c r="W88" s="162"/>
      <c r="X88" s="162"/>
      <c r="Y88" s="162"/>
      <c r="Z88" s="162"/>
      <c r="AA88" s="162"/>
      <c r="AB88" s="162"/>
      <c r="AC88" s="162"/>
      <c r="AD88" s="162"/>
      <c r="AE88" s="162"/>
      <c r="AF88" s="162"/>
      <c r="AG88" s="162"/>
      <c r="AH88" s="162"/>
      <c r="AI88" s="162"/>
      <c r="AJ88" s="162"/>
      <c r="AK88" s="162"/>
      <c r="AL88" s="162"/>
      <c r="AM88" s="162"/>
      <c r="AN88" s="162"/>
      <c r="AO88" s="162"/>
      <c r="AP88" s="162"/>
      <c r="AQ88" s="162"/>
      <c r="AR88" s="162"/>
      <c r="AS88" s="162"/>
      <c r="AT88" s="162"/>
      <c r="AU88" s="162"/>
      <c r="AV88" s="162"/>
      <c r="AW88" s="162"/>
      <c r="AX88" s="162"/>
      <c r="AY88" s="162"/>
      <c r="AZ88" s="162"/>
      <c r="BA88" s="162"/>
      <c r="BB88" s="162"/>
      <c r="BC88" s="162"/>
      <c r="BD88" s="162"/>
      <c r="BE88" s="162"/>
      <c r="BF88" s="162"/>
      <c r="BG88" s="162"/>
      <c r="BH88" s="162"/>
      <c r="BI88" s="162"/>
      <c r="BJ88" s="162"/>
      <c r="BK88" s="162"/>
      <c r="BL88" s="162"/>
      <c r="BM88" s="162"/>
      <c r="BN88" s="162"/>
      <c r="BO88" s="162"/>
      <c r="BP88" s="162"/>
      <c r="BQ88" s="162"/>
      <c r="BR88" s="162"/>
      <c r="BS88" s="162"/>
      <c r="BT88" s="162"/>
      <c r="BU88" s="162"/>
      <c r="BV88" s="162"/>
      <c r="BW88" s="162"/>
      <c r="BX88" s="162"/>
      <c r="BY88" s="162"/>
      <c r="BZ88" s="162"/>
      <c r="CA88" s="162"/>
      <c r="CB88" s="162"/>
      <c r="CC88" s="162"/>
      <c r="CD88" s="162"/>
      <c r="CE88" s="162"/>
      <c r="CF88" s="162"/>
      <c r="CG88" s="162"/>
      <c r="CH88" s="162"/>
      <c r="CI88" s="162"/>
      <c r="CJ88" s="162"/>
      <c r="CK88" s="162"/>
      <c r="CL88" s="162"/>
      <c r="CM88" s="162"/>
      <c r="CN88" s="162"/>
      <c r="CO88" s="162"/>
      <c r="CP88" s="162"/>
      <c r="CQ88" s="162"/>
      <c r="CR88" s="162"/>
      <c r="CS88" s="162"/>
      <c r="CT88" s="162"/>
      <c r="CU88" s="162"/>
      <c r="CV88" s="162"/>
      <c r="CW88" s="162"/>
      <c r="CX88" s="162"/>
      <c r="CY88" s="162"/>
      <c r="CZ88" s="162"/>
      <c r="DA88" s="162"/>
      <c r="DB88" s="162"/>
      <c r="DC88" s="162"/>
      <c r="DD88" s="162"/>
    </row>
    <row r="89" spans="1:108" hidden="1" outlineLevel="1" x14ac:dyDescent="0.2">
      <c r="A89" s="162"/>
      <c r="B89" s="162"/>
      <c r="C89" s="162"/>
      <c r="D89" s="162"/>
      <c r="E89" s="162"/>
      <c r="F89" s="162"/>
      <c r="G89" s="162"/>
      <c r="H89" s="162"/>
      <c r="I89" s="162"/>
      <c r="J89" s="162"/>
      <c r="K89" s="162"/>
      <c r="L89" s="162"/>
      <c r="M89" s="162"/>
      <c r="N89" s="162"/>
      <c r="O89" s="162"/>
      <c r="P89" s="162"/>
      <c r="Q89" s="162"/>
      <c r="R89" s="162"/>
      <c r="S89" s="162"/>
      <c r="T89" s="162"/>
      <c r="U89" s="162"/>
      <c r="V89" s="162"/>
      <c r="W89" s="162"/>
      <c r="X89" s="162"/>
      <c r="Y89" s="162"/>
      <c r="Z89" s="162"/>
      <c r="AA89" s="162"/>
      <c r="AB89" s="162"/>
      <c r="AC89" s="162"/>
      <c r="AD89" s="162"/>
      <c r="AE89" s="162"/>
      <c r="AF89" s="162"/>
      <c r="AG89" s="162"/>
      <c r="AH89" s="162"/>
      <c r="AI89" s="162"/>
      <c r="AJ89" s="162"/>
      <c r="AK89" s="162"/>
      <c r="AL89" s="162"/>
      <c r="AM89" s="162"/>
      <c r="AN89" s="162"/>
      <c r="AO89" s="162"/>
      <c r="AP89" s="162"/>
      <c r="AQ89" s="162"/>
      <c r="AR89" s="162"/>
      <c r="AS89" s="162"/>
      <c r="AT89" s="162"/>
      <c r="AU89" s="162"/>
      <c r="AV89" s="162"/>
      <c r="AW89" s="162"/>
      <c r="AX89" s="162"/>
      <c r="AY89" s="162"/>
      <c r="AZ89" s="162"/>
      <c r="BA89" s="162"/>
      <c r="BB89" s="162"/>
      <c r="BC89" s="162"/>
      <c r="BD89" s="162"/>
      <c r="BE89" s="162"/>
      <c r="BF89" s="162"/>
      <c r="BG89" s="162"/>
      <c r="BH89" s="162"/>
      <c r="BI89" s="162"/>
      <c r="BJ89" s="162"/>
      <c r="BK89" s="162"/>
      <c r="BL89" s="162"/>
      <c r="BM89" s="162"/>
      <c r="BN89" s="162"/>
      <c r="BO89" s="162"/>
      <c r="BP89" s="162"/>
      <c r="BQ89" s="162"/>
      <c r="BR89" s="162"/>
      <c r="BS89" s="162"/>
      <c r="BT89" s="162"/>
      <c r="BU89" s="162"/>
      <c r="BV89" s="162"/>
      <c r="BW89" s="162"/>
      <c r="BX89" s="162"/>
      <c r="BY89" s="162"/>
      <c r="BZ89" s="162"/>
      <c r="CA89" s="162"/>
      <c r="CB89" s="162"/>
      <c r="CC89" s="162"/>
      <c r="CD89" s="162"/>
      <c r="CE89" s="162"/>
      <c r="CF89" s="162"/>
      <c r="CG89" s="162"/>
      <c r="CH89" s="162"/>
      <c r="CI89" s="162"/>
      <c r="CJ89" s="162"/>
      <c r="CK89" s="162"/>
      <c r="CL89" s="162"/>
      <c r="CM89" s="162"/>
      <c r="CN89" s="162"/>
      <c r="CO89" s="162"/>
      <c r="CP89" s="162"/>
      <c r="CQ89" s="162"/>
      <c r="CR89" s="162"/>
      <c r="CS89" s="162"/>
      <c r="CT89" s="162"/>
      <c r="CU89" s="162"/>
      <c r="CV89" s="162"/>
      <c r="CW89" s="162"/>
      <c r="CX89" s="162"/>
      <c r="CY89" s="162"/>
      <c r="CZ89" s="162"/>
      <c r="DA89" s="162"/>
      <c r="DB89" s="162"/>
      <c r="DC89" s="162"/>
      <c r="DD89" s="162"/>
    </row>
    <row r="90" spans="1:108" collapsed="1" x14ac:dyDescent="0.2">
      <c r="A90" s="162"/>
      <c r="B90" s="162"/>
      <c r="C90" s="162"/>
      <c r="D90" s="162"/>
      <c r="E90" s="162"/>
      <c r="F90" s="162"/>
      <c r="G90" s="162"/>
      <c r="H90" s="162"/>
      <c r="I90" s="162"/>
      <c r="J90" s="162"/>
      <c r="K90" s="162"/>
      <c r="L90" s="162"/>
      <c r="M90" s="162"/>
      <c r="N90" s="162"/>
      <c r="O90" s="162"/>
      <c r="P90" s="162"/>
      <c r="Q90" s="162"/>
      <c r="R90" s="162"/>
      <c r="S90" s="162"/>
      <c r="T90" s="162"/>
      <c r="U90" s="162"/>
      <c r="V90" s="162"/>
      <c r="W90" s="162"/>
      <c r="X90" s="162"/>
      <c r="Y90" s="162"/>
      <c r="Z90" s="162"/>
      <c r="AA90" s="162"/>
      <c r="AB90" s="162"/>
      <c r="AC90" s="162"/>
      <c r="AD90" s="162"/>
      <c r="AE90" s="162"/>
      <c r="AF90" s="162"/>
      <c r="AG90" s="162"/>
      <c r="AH90" s="162"/>
      <c r="AI90" s="162"/>
      <c r="AJ90" s="162"/>
      <c r="AK90" s="162"/>
      <c r="AL90" s="162"/>
      <c r="AM90" s="162"/>
      <c r="AN90" s="162"/>
      <c r="AO90" s="162"/>
      <c r="AP90" s="162"/>
      <c r="AQ90" s="162"/>
      <c r="AR90" s="162"/>
      <c r="AS90" s="162"/>
      <c r="AT90" s="162"/>
      <c r="AU90" s="162"/>
      <c r="AV90" s="162"/>
      <c r="AW90" s="162"/>
      <c r="AX90" s="162"/>
      <c r="AY90" s="162"/>
      <c r="AZ90" s="162"/>
      <c r="BA90" s="162"/>
      <c r="BB90" s="162"/>
      <c r="BC90" s="162"/>
      <c r="BD90" s="162"/>
      <c r="BE90" s="162"/>
      <c r="BF90" s="162"/>
      <c r="BG90" s="162"/>
      <c r="BH90" s="162"/>
      <c r="BI90" s="162"/>
      <c r="BJ90" s="162"/>
      <c r="BK90" s="162"/>
      <c r="BL90" s="162"/>
      <c r="BM90" s="162"/>
      <c r="BN90" s="162"/>
      <c r="BO90" s="162"/>
      <c r="BP90" s="162"/>
      <c r="BQ90" s="162"/>
      <c r="BR90" s="162"/>
      <c r="BS90" s="162"/>
      <c r="BT90" s="162"/>
      <c r="BU90" s="162"/>
      <c r="BV90" s="162"/>
      <c r="BW90" s="162"/>
      <c r="BX90" s="162"/>
      <c r="BY90" s="162"/>
      <c r="BZ90" s="162"/>
      <c r="CA90" s="162"/>
      <c r="CB90" s="162"/>
      <c r="CC90" s="162"/>
      <c r="CD90" s="162"/>
      <c r="CE90" s="162"/>
      <c r="CF90" s="162"/>
      <c r="CG90" s="162"/>
      <c r="CH90" s="162"/>
      <c r="CI90" s="162"/>
      <c r="CJ90" s="162"/>
      <c r="CK90" s="162"/>
      <c r="CL90" s="162"/>
      <c r="CM90" s="162"/>
      <c r="CN90" s="162"/>
      <c r="CO90" s="162"/>
      <c r="CP90" s="162"/>
      <c r="CQ90" s="162"/>
      <c r="CR90" s="162"/>
      <c r="CS90" s="162"/>
      <c r="CT90" s="162"/>
      <c r="CU90" s="162"/>
      <c r="CV90" s="162"/>
      <c r="CW90" s="162"/>
      <c r="CX90" s="162"/>
      <c r="CY90" s="162"/>
      <c r="CZ90" s="162"/>
      <c r="DA90" s="162"/>
      <c r="DB90" s="162"/>
      <c r="DC90" s="162"/>
      <c r="DD90" s="162"/>
    </row>
    <row r="91" spans="1:108" ht="15.75" x14ac:dyDescent="0.2">
      <c r="A91" s="162"/>
      <c r="B91" s="242">
        <f>IF(H94&lt;&gt;"",VLOOKUP(H94,GenderCode,2,FALSE),0)</f>
        <v>0</v>
      </c>
      <c r="C91" s="58">
        <v>5</v>
      </c>
      <c r="D91" s="79" t="str">
        <f>IF(B91=0,MsgNotUsed, CONCATENATE("ABS ", C91, ": ", H94, " ", E95, " - ", F95, " yrs inclusive (", E100, "-", J100, ")") &amp; IF(E97&lt;&gt;"",CONCATENATE(" - (",D97,")"),""))</f>
        <v>** NOT USED **</v>
      </c>
      <c r="E91" s="127"/>
      <c r="F91" s="127"/>
      <c r="G91" s="127"/>
      <c r="H91" s="127"/>
      <c r="I91" s="175"/>
      <c r="J91" s="127"/>
      <c r="K91" s="127"/>
      <c r="L91" s="127"/>
      <c r="M91" s="127"/>
      <c r="N91" s="127"/>
      <c r="O91" s="127"/>
      <c r="P91" s="162"/>
      <c r="Q91" s="162"/>
      <c r="R91" s="162"/>
      <c r="S91" s="162"/>
      <c r="T91" s="162"/>
      <c r="U91" s="162"/>
      <c r="V91" s="162"/>
      <c r="W91" s="162"/>
      <c r="X91" s="162"/>
      <c r="Y91" s="162"/>
      <c r="Z91" s="162"/>
      <c r="AA91" s="162"/>
      <c r="AB91" s="162"/>
      <c r="AC91" s="162"/>
      <c r="AD91" s="162"/>
      <c r="AE91" s="162"/>
      <c r="AF91" s="162"/>
      <c r="AG91" s="162"/>
      <c r="AH91" s="162"/>
      <c r="AI91" s="162"/>
      <c r="AJ91" s="162"/>
      <c r="AK91" s="162"/>
      <c r="AL91" s="162"/>
      <c r="AM91" s="162"/>
      <c r="AN91" s="162"/>
      <c r="AO91" s="162"/>
      <c r="AP91" s="162"/>
      <c r="AQ91" s="162"/>
      <c r="AR91" s="162"/>
      <c r="AS91" s="162"/>
      <c r="AT91" s="162"/>
      <c r="AU91" s="162"/>
      <c r="AV91" s="162"/>
      <c r="AW91" s="162"/>
      <c r="AX91" s="162"/>
      <c r="AY91" s="162"/>
      <c r="AZ91" s="162"/>
      <c r="BA91" s="162"/>
      <c r="BB91" s="162"/>
      <c r="BC91" s="162"/>
      <c r="BD91" s="162"/>
      <c r="BE91" s="162"/>
      <c r="BF91" s="162"/>
      <c r="BG91" s="162"/>
      <c r="BH91" s="162"/>
      <c r="BI91" s="162"/>
      <c r="BJ91" s="162"/>
      <c r="BK91" s="162"/>
      <c r="BL91" s="162"/>
      <c r="BM91" s="162"/>
      <c r="BN91" s="162"/>
      <c r="BO91" s="162"/>
      <c r="BP91" s="162"/>
      <c r="BQ91" s="162"/>
      <c r="BR91" s="162"/>
      <c r="BS91" s="162"/>
      <c r="BT91" s="162"/>
      <c r="BU91" s="162"/>
      <c r="BV91" s="162"/>
      <c r="BW91" s="162"/>
      <c r="BX91" s="162"/>
      <c r="BY91" s="162"/>
      <c r="BZ91" s="162"/>
      <c r="CA91" s="162"/>
      <c r="CB91" s="162"/>
      <c r="CC91" s="162"/>
      <c r="CD91" s="162"/>
      <c r="CE91" s="162"/>
      <c r="CF91" s="162"/>
      <c r="CG91" s="162"/>
      <c r="CH91" s="162"/>
      <c r="CI91" s="162"/>
      <c r="CJ91" s="162"/>
      <c r="CK91" s="162"/>
      <c r="CL91" s="162"/>
      <c r="CM91" s="162"/>
      <c r="CN91" s="162"/>
      <c r="CO91" s="162"/>
      <c r="CP91" s="162"/>
      <c r="CQ91" s="162"/>
      <c r="CR91" s="162"/>
      <c r="CS91" s="162"/>
      <c r="CT91" s="162"/>
      <c r="CU91" s="162"/>
      <c r="CV91" s="162"/>
      <c r="CW91" s="162"/>
      <c r="CX91" s="162"/>
      <c r="CY91" s="162"/>
      <c r="CZ91" s="162"/>
      <c r="DA91" s="162"/>
      <c r="DB91" s="162"/>
      <c r="DC91" s="162"/>
      <c r="DD91" s="162"/>
    </row>
    <row r="92" spans="1:108" ht="14.25" hidden="1" outlineLevel="1" x14ac:dyDescent="0.2">
      <c r="A92" s="162"/>
      <c r="B92" s="162"/>
      <c r="C92" s="162"/>
      <c r="D92" s="647"/>
      <c r="E92" s="162"/>
      <c r="F92" s="162"/>
      <c r="G92" s="162"/>
      <c r="H92" s="162"/>
      <c r="I92" s="162"/>
      <c r="J92" s="162"/>
      <c r="K92" s="162"/>
      <c r="L92" s="162"/>
      <c r="M92" s="162"/>
      <c r="N92" s="162"/>
      <c r="O92" s="162"/>
      <c r="P92" s="162"/>
      <c r="Q92" s="162"/>
      <c r="R92" s="162"/>
      <c r="S92" s="162"/>
      <c r="T92" s="162"/>
      <c r="U92" s="162"/>
      <c r="V92" s="162"/>
      <c r="W92" s="162"/>
      <c r="X92" s="162"/>
      <c r="Y92" s="162"/>
      <c r="Z92" s="162"/>
      <c r="AA92" s="162"/>
      <c r="AB92" s="162"/>
      <c r="AC92" s="162"/>
      <c r="AD92" s="162"/>
      <c r="AE92" s="162"/>
      <c r="AF92" s="162"/>
      <c r="AG92" s="162"/>
      <c r="AH92" s="162"/>
      <c r="AI92" s="162"/>
      <c r="AJ92" s="162"/>
      <c r="AK92" s="162"/>
      <c r="AL92" s="162"/>
      <c r="AM92" s="162"/>
      <c r="AN92" s="162"/>
      <c r="AO92" s="162"/>
      <c r="AP92" s="162"/>
      <c r="AQ92" s="162"/>
      <c r="AR92" s="162"/>
      <c r="AS92" s="162"/>
      <c r="AT92" s="162"/>
      <c r="AU92" s="162"/>
      <c r="AV92" s="162"/>
      <c r="AW92" s="162"/>
      <c r="AX92" s="162"/>
      <c r="AY92" s="162"/>
      <c r="AZ92" s="162"/>
      <c r="BA92" s="162"/>
      <c r="BB92" s="162"/>
      <c r="BC92" s="162"/>
      <c r="BD92" s="162"/>
      <c r="BE92" s="162"/>
      <c r="BF92" s="162"/>
      <c r="BG92" s="162"/>
      <c r="BH92" s="162"/>
      <c r="BI92" s="162"/>
      <c r="BJ92" s="162"/>
      <c r="BK92" s="162"/>
      <c r="BL92" s="162"/>
      <c r="BM92" s="162"/>
      <c r="BN92" s="162"/>
      <c r="BO92" s="162"/>
      <c r="BP92" s="162"/>
      <c r="BQ92" s="162"/>
      <c r="BR92" s="162"/>
      <c r="BS92" s="162"/>
      <c r="BT92" s="162"/>
      <c r="BU92" s="162"/>
      <c r="BV92" s="162"/>
      <c r="BW92" s="162"/>
      <c r="BX92" s="162"/>
      <c r="BY92" s="162"/>
      <c r="BZ92" s="162"/>
      <c r="CA92" s="162"/>
      <c r="CB92" s="162"/>
      <c r="CC92" s="162"/>
      <c r="CD92" s="162"/>
      <c r="CE92" s="162"/>
      <c r="CF92" s="162"/>
      <c r="CG92" s="162"/>
      <c r="CH92" s="162"/>
      <c r="CI92" s="162"/>
      <c r="CJ92" s="162"/>
      <c r="CK92" s="162"/>
      <c r="CL92" s="162"/>
      <c r="CM92" s="162"/>
      <c r="CN92" s="162"/>
      <c r="CO92" s="162"/>
      <c r="CP92" s="162"/>
      <c r="CQ92" s="162"/>
      <c r="CR92" s="162"/>
      <c r="CS92" s="162"/>
      <c r="CT92" s="162"/>
      <c r="CU92" s="162"/>
      <c r="CV92" s="162"/>
      <c r="CW92" s="162"/>
      <c r="CX92" s="162"/>
      <c r="CY92" s="162"/>
      <c r="CZ92" s="162"/>
      <c r="DA92" s="162"/>
      <c r="DB92" s="162"/>
      <c r="DC92" s="162"/>
      <c r="DD92" s="162"/>
    </row>
    <row r="93" spans="1:108" hidden="1" outlineLevel="1" x14ac:dyDescent="0.2">
      <c r="A93" s="162"/>
      <c r="B93" s="162"/>
      <c r="C93" s="162"/>
      <c r="D93" s="162"/>
      <c r="E93" s="632" t="s">
        <v>245</v>
      </c>
      <c r="F93" s="632" t="s">
        <v>246</v>
      </c>
      <c r="G93" s="162"/>
      <c r="H93" s="632" t="s">
        <v>51</v>
      </c>
      <c r="I93" s="162"/>
      <c r="J93" s="632" t="s">
        <v>365</v>
      </c>
      <c r="K93" s="162"/>
      <c r="L93" s="162"/>
      <c r="M93" s="162"/>
      <c r="N93" s="162"/>
      <c r="O93" s="162"/>
      <c r="P93" s="162"/>
      <c r="Q93" s="162"/>
      <c r="R93" s="162"/>
      <c r="S93" s="162"/>
      <c r="T93" s="162"/>
      <c r="U93" s="162"/>
      <c r="V93" s="162"/>
      <c r="W93" s="162"/>
      <c r="X93" s="162"/>
      <c r="Y93" s="162"/>
      <c r="Z93" s="162"/>
      <c r="AA93" s="162"/>
      <c r="AB93" s="162"/>
      <c r="AC93" s="162"/>
      <c r="AD93" s="162"/>
      <c r="AE93" s="162"/>
      <c r="AF93" s="162"/>
      <c r="AG93" s="162"/>
      <c r="AH93" s="162"/>
      <c r="AI93" s="162"/>
      <c r="AJ93" s="162"/>
      <c r="AK93" s="162"/>
      <c r="AL93" s="162"/>
      <c r="AM93" s="162"/>
      <c r="AN93" s="162"/>
      <c r="AO93" s="162"/>
      <c r="AP93" s="162"/>
      <c r="AQ93" s="162"/>
      <c r="AR93" s="162"/>
      <c r="AS93" s="162"/>
      <c r="AT93" s="162"/>
      <c r="AU93" s="162"/>
      <c r="AV93" s="162"/>
      <c r="AW93" s="162"/>
      <c r="AX93" s="162"/>
      <c r="AY93" s="162"/>
      <c r="AZ93" s="162"/>
      <c r="BA93" s="162"/>
      <c r="BB93" s="162"/>
      <c r="BC93" s="162"/>
      <c r="BD93" s="162"/>
      <c r="BE93" s="162"/>
      <c r="BF93" s="162"/>
      <c r="BG93" s="162"/>
      <c r="BH93" s="162"/>
      <c r="BI93" s="162"/>
      <c r="BJ93" s="162"/>
      <c r="BK93" s="162"/>
      <c r="BL93" s="162"/>
      <c r="BM93" s="162"/>
      <c r="BN93" s="162"/>
      <c r="BO93" s="162"/>
      <c r="BP93" s="162"/>
      <c r="BQ93" s="162"/>
      <c r="BR93" s="162"/>
      <c r="BS93" s="162"/>
      <c r="BT93" s="162"/>
      <c r="BU93" s="162"/>
      <c r="BV93" s="162"/>
      <c r="BW93" s="162"/>
      <c r="BX93" s="162"/>
      <c r="BY93" s="162"/>
      <c r="BZ93" s="162"/>
      <c r="CA93" s="162"/>
      <c r="CB93" s="162"/>
      <c r="CC93" s="162"/>
      <c r="CD93" s="162"/>
      <c r="CE93" s="162"/>
      <c r="CF93" s="162"/>
      <c r="CG93" s="162"/>
      <c r="CH93" s="162"/>
      <c r="CI93" s="162"/>
      <c r="CJ93" s="162"/>
      <c r="CK93" s="162"/>
      <c r="CL93" s="162"/>
      <c r="CM93" s="162"/>
      <c r="CN93" s="162"/>
      <c r="CO93" s="162"/>
      <c r="CP93" s="162"/>
      <c r="CQ93" s="162"/>
      <c r="CR93" s="162"/>
      <c r="CS93" s="162"/>
      <c r="CT93" s="162"/>
      <c r="CU93" s="162"/>
      <c r="CV93" s="162"/>
      <c r="CW93" s="162"/>
      <c r="CX93" s="162"/>
      <c r="CY93" s="162"/>
      <c r="CZ93" s="162"/>
      <c r="DA93" s="162"/>
      <c r="DB93" s="162"/>
      <c r="DC93" s="162"/>
      <c r="DD93" s="162"/>
    </row>
    <row r="94" spans="1:108" s="420" customFormat="1" hidden="1" outlineLevel="1" x14ac:dyDescent="0.2">
      <c r="A94" s="162"/>
      <c r="B94" s="162"/>
      <c r="C94" s="162"/>
      <c r="D94" s="42" t="s">
        <v>242</v>
      </c>
      <c r="E94" s="427"/>
      <c r="F94" s="427"/>
      <c r="G94" s="162"/>
      <c r="H94" s="360"/>
      <c r="I94" s="162"/>
      <c r="J94" s="360"/>
      <c r="K94" s="162"/>
      <c r="L94" s="162"/>
      <c r="M94" s="162"/>
      <c r="N94" s="162"/>
      <c r="O94" s="162"/>
      <c r="P94" s="162"/>
      <c r="Q94" s="162"/>
      <c r="R94" s="162"/>
      <c r="S94" s="162"/>
      <c r="T94" s="162"/>
      <c r="U94" s="162"/>
      <c r="V94" s="162"/>
      <c r="W94" s="162"/>
      <c r="X94" s="162"/>
      <c r="Y94" s="162"/>
      <c r="Z94" s="162"/>
      <c r="AA94" s="162"/>
      <c r="AB94" s="162"/>
      <c r="AC94" s="162"/>
      <c r="AD94" s="162"/>
      <c r="AE94" s="162"/>
      <c r="AF94" s="162"/>
      <c r="AG94" s="162"/>
      <c r="AH94" s="162"/>
      <c r="AI94" s="162"/>
      <c r="AJ94" s="162"/>
      <c r="AK94" s="162"/>
      <c r="AL94" s="162"/>
      <c r="AM94" s="162"/>
      <c r="AN94" s="162"/>
      <c r="AO94" s="162"/>
      <c r="AP94" s="162"/>
      <c r="AQ94" s="162"/>
      <c r="AR94" s="162"/>
      <c r="AS94" s="162"/>
      <c r="AT94" s="162"/>
      <c r="AU94" s="162"/>
      <c r="AV94" s="162"/>
      <c r="AW94" s="162"/>
      <c r="AX94" s="162"/>
      <c r="AY94" s="162"/>
      <c r="AZ94" s="162"/>
      <c r="BA94" s="162"/>
      <c r="BB94" s="162"/>
      <c r="BC94" s="162"/>
      <c r="BD94" s="162"/>
      <c r="BE94" s="162"/>
      <c r="BF94" s="162"/>
      <c r="BG94" s="162"/>
      <c r="BH94" s="162"/>
      <c r="BI94" s="162"/>
      <c r="BJ94" s="162"/>
      <c r="BK94" s="162"/>
      <c r="BL94" s="162"/>
      <c r="BM94" s="162"/>
      <c r="BN94" s="162"/>
      <c r="BO94" s="162"/>
      <c r="BP94" s="162"/>
      <c r="BQ94" s="162"/>
      <c r="BR94" s="162"/>
      <c r="BS94" s="162"/>
      <c r="BT94" s="162"/>
      <c r="BU94" s="162"/>
      <c r="BV94" s="162"/>
      <c r="BW94" s="162"/>
      <c r="BX94" s="162"/>
      <c r="BY94" s="162"/>
      <c r="BZ94" s="162"/>
      <c r="CA94" s="162"/>
      <c r="CB94" s="162"/>
      <c r="CC94" s="162"/>
      <c r="CD94" s="162"/>
      <c r="CE94" s="162"/>
      <c r="CF94" s="162"/>
      <c r="CG94" s="162"/>
      <c r="CH94" s="162"/>
      <c r="CI94" s="162"/>
      <c r="CJ94" s="162"/>
      <c r="CK94" s="162"/>
      <c r="CL94" s="162"/>
      <c r="CM94" s="162"/>
      <c r="CN94" s="162"/>
      <c r="CO94" s="162"/>
      <c r="CP94" s="162"/>
      <c r="CQ94" s="162"/>
      <c r="CR94" s="162"/>
      <c r="CS94" s="162"/>
      <c r="CT94" s="162"/>
      <c r="CU94" s="162"/>
      <c r="CV94" s="162"/>
      <c r="CW94" s="162"/>
      <c r="CX94" s="162"/>
      <c r="CY94" s="162"/>
      <c r="CZ94" s="162"/>
      <c r="DA94" s="162"/>
      <c r="DB94" s="162"/>
      <c r="DC94" s="162"/>
      <c r="DD94" s="162"/>
    </row>
    <row r="95" spans="1:108" hidden="1" outlineLevel="1" x14ac:dyDescent="0.2">
      <c r="A95" s="162"/>
      <c r="B95" s="162"/>
      <c r="C95" s="162"/>
      <c r="D95" s="162"/>
      <c r="E95" s="495">
        <f>IF(E94="",0,E94)</f>
        <v>0</v>
      </c>
      <c r="F95" s="495">
        <f>IF(F94="",100,F94)</f>
        <v>100</v>
      </c>
      <c r="G95" s="162"/>
      <c r="H95" s="162"/>
      <c r="I95" s="162"/>
      <c r="J95" s="162"/>
      <c r="K95" s="162"/>
      <c r="L95" s="162"/>
      <c r="M95" s="162"/>
      <c r="N95" s="162"/>
      <c r="O95" s="162"/>
      <c r="P95" s="162"/>
      <c r="Q95" s="162"/>
      <c r="R95" s="162"/>
      <c r="S95" s="162"/>
      <c r="T95" s="162"/>
      <c r="U95" s="162"/>
      <c r="V95" s="162"/>
      <c r="W95" s="162"/>
      <c r="X95" s="162"/>
      <c r="Y95" s="162"/>
      <c r="Z95" s="162"/>
      <c r="AA95" s="162"/>
      <c r="AB95" s="162"/>
      <c r="AC95" s="162"/>
      <c r="AD95" s="162"/>
      <c r="AE95" s="162"/>
      <c r="AF95" s="162"/>
      <c r="AG95" s="162"/>
      <c r="AH95" s="162"/>
      <c r="AI95" s="162"/>
      <c r="AJ95" s="162"/>
      <c r="AK95" s="162"/>
      <c r="AL95" s="162"/>
      <c r="AM95" s="162"/>
      <c r="AN95" s="162"/>
      <c r="AO95" s="162"/>
      <c r="AP95" s="162"/>
      <c r="AQ95" s="162"/>
      <c r="AR95" s="162"/>
      <c r="AS95" s="162"/>
      <c r="AT95" s="162"/>
      <c r="AU95" s="162"/>
      <c r="AV95" s="162"/>
      <c r="AW95" s="162"/>
      <c r="AX95" s="162"/>
      <c r="AY95" s="162"/>
      <c r="AZ95" s="162"/>
      <c r="BA95" s="162"/>
      <c r="BB95" s="162"/>
      <c r="BC95" s="162"/>
      <c r="BD95" s="162"/>
      <c r="BE95" s="162"/>
      <c r="BF95" s="162"/>
      <c r="BG95" s="162"/>
      <c r="BH95" s="162"/>
      <c r="BI95" s="162"/>
      <c r="BJ95" s="162"/>
      <c r="BK95" s="162"/>
      <c r="BL95" s="162"/>
      <c r="BM95" s="162"/>
      <c r="BN95" s="162"/>
      <c r="BO95" s="162"/>
      <c r="BP95" s="162"/>
      <c r="BQ95" s="162"/>
      <c r="BR95" s="162"/>
      <c r="BS95" s="162"/>
      <c r="BT95" s="162"/>
      <c r="BU95" s="162"/>
      <c r="BV95" s="162"/>
      <c r="BW95" s="162"/>
      <c r="BX95" s="162"/>
      <c r="BY95" s="162"/>
      <c r="BZ95" s="162"/>
      <c r="CA95" s="162"/>
      <c r="CB95" s="162"/>
      <c r="CC95" s="162"/>
      <c r="CD95" s="162"/>
      <c r="CE95" s="162"/>
      <c r="CF95" s="162"/>
      <c r="CG95" s="162"/>
      <c r="CH95" s="162"/>
      <c r="CI95" s="162"/>
      <c r="CJ95" s="162"/>
      <c r="CK95" s="162"/>
      <c r="CL95" s="162"/>
      <c r="CM95" s="162"/>
      <c r="CN95" s="162"/>
      <c r="CO95" s="162"/>
      <c r="CP95" s="162"/>
      <c r="CQ95" s="162"/>
      <c r="CR95" s="162"/>
      <c r="CS95" s="162"/>
      <c r="CT95" s="162"/>
      <c r="CU95" s="162"/>
      <c r="CV95" s="162"/>
      <c r="CW95" s="162"/>
      <c r="CX95" s="162"/>
      <c r="CY95" s="162"/>
      <c r="CZ95" s="162"/>
      <c r="DA95" s="162"/>
      <c r="DB95" s="162"/>
      <c r="DC95" s="162"/>
      <c r="DD95" s="162"/>
    </row>
    <row r="96" spans="1:108" hidden="1" outlineLevel="1" x14ac:dyDescent="0.2">
      <c r="A96" s="162"/>
      <c r="B96" s="162"/>
      <c r="C96" s="162"/>
      <c r="D96" s="162"/>
      <c r="E96" s="632" t="s">
        <v>464</v>
      </c>
      <c r="F96" s="632" t="s">
        <v>465</v>
      </c>
      <c r="G96" s="162"/>
      <c r="H96" s="162"/>
      <c r="I96" s="162"/>
      <c r="J96" s="162"/>
      <c r="K96" s="162"/>
      <c r="L96" s="162"/>
      <c r="M96" s="162"/>
      <c r="N96" s="162"/>
      <c r="O96" s="162"/>
      <c r="P96" s="162"/>
      <c r="Q96" s="162"/>
      <c r="R96" s="162"/>
      <c r="S96" s="162"/>
      <c r="T96" s="162"/>
      <c r="U96" s="162"/>
      <c r="V96" s="162"/>
      <c r="W96" s="162"/>
      <c r="X96" s="162"/>
      <c r="Y96" s="162"/>
      <c r="Z96" s="162"/>
      <c r="AA96" s="162"/>
      <c r="AB96" s="162"/>
      <c r="AC96" s="162"/>
      <c r="AD96" s="162"/>
      <c r="AE96" s="162"/>
      <c r="AF96" s="162"/>
      <c r="AG96" s="162"/>
      <c r="AH96" s="162"/>
      <c r="AI96" s="162"/>
      <c r="AJ96" s="162"/>
      <c r="AK96" s="162"/>
      <c r="AL96" s="162"/>
      <c r="AM96" s="162"/>
      <c r="AN96" s="162"/>
      <c r="AO96" s="162"/>
      <c r="AP96" s="162"/>
      <c r="AQ96" s="162"/>
      <c r="AR96" s="162"/>
      <c r="AS96" s="162"/>
      <c r="AT96" s="162"/>
      <c r="AU96" s="162"/>
      <c r="AV96" s="162"/>
      <c r="AW96" s="162"/>
      <c r="AX96" s="162"/>
      <c r="AY96" s="162"/>
      <c r="AZ96" s="162"/>
      <c r="BA96" s="162"/>
      <c r="BB96" s="162"/>
      <c r="BC96" s="162"/>
      <c r="BD96" s="162"/>
      <c r="BE96" s="162"/>
      <c r="BF96" s="162"/>
      <c r="BG96" s="162"/>
      <c r="BH96" s="162"/>
      <c r="BI96" s="162"/>
      <c r="BJ96" s="162"/>
      <c r="BK96" s="162"/>
      <c r="BL96" s="162"/>
      <c r="BM96" s="162"/>
      <c r="BN96" s="162"/>
      <c r="BO96" s="162"/>
      <c r="BP96" s="162"/>
      <c r="BQ96" s="162"/>
      <c r="BR96" s="162"/>
      <c r="BS96" s="162"/>
      <c r="BT96" s="162"/>
      <c r="BU96" s="162"/>
      <c r="BV96" s="162"/>
      <c r="BW96" s="162"/>
      <c r="BX96" s="162"/>
      <c r="BY96" s="162"/>
      <c r="BZ96" s="162"/>
      <c r="CA96" s="162"/>
      <c r="CB96" s="162"/>
      <c r="CC96" s="162"/>
      <c r="CD96" s="162"/>
      <c r="CE96" s="162"/>
      <c r="CF96" s="162"/>
      <c r="CG96" s="162"/>
      <c r="CH96" s="162"/>
      <c r="CI96" s="162"/>
      <c r="CJ96" s="162"/>
      <c r="CK96" s="162"/>
      <c r="CL96" s="162"/>
      <c r="CM96" s="162"/>
      <c r="CN96" s="162"/>
      <c r="CO96" s="162"/>
      <c r="CP96" s="162"/>
      <c r="CQ96" s="162"/>
      <c r="CR96" s="162"/>
      <c r="CS96" s="162"/>
      <c r="CT96" s="162"/>
      <c r="CU96" s="162"/>
      <c r="CV96" s="162"/>
      <c r="CW96" s="162"/>
      <c r="CX96" s="162"/>
      <c r="CY96" s="162"/>
      <c r="CZ96" s="162"/>
      <c r="DA96" s="162"/>
      <c r="DB96" s="162"/>
      <c r="DC96" s="162"/>
      <c r="DD96" s="162"/>
    </row>
    <row r="97" spans="1:108" hidden="1" outlineLevel="1" x14ac:dyDescent="0.2">
      <c r="A97" s="162"/>
      <c r="B97" s="162"/>
      <c r="C97" s="162"/>
      <c r="D97" s="631" t="s">
        <v>463</v>
      </c>
      <c r="E97" s="521"/>
      <c r="F97" s="427"/>
      <c r="G97" s="315">
        <f>IF(AND(E97&lt;&gt;"",F97&lt;&gt;""),E97/F97,1)</f>
        <v>1</v>
      </c>
      <c r="H97" s="162"/>
      <c r="I97" s="42" t="s">
        <v>258</v>
      </c>
      <c r="J97" s="911"/>
      <c r="K97" s="912"/>
      <c r="L97" s="912"/>
      <c r="M97" s="912"/>
      <c r="N97" s="912"/>
      <c r="O97" s="912"/>
      <c r="P97" s="162"/>
      <c r="Q97" s="162"/>
      <c r="R97" s="162"/>
      <c r="S97" s="162"/>
      <c r="T97" s="162"/>
      <c r="U97" s="162"/>
      <c r="V97" s="162"/>
      <c r="W97" s="162"/>
      <c r="X97" s="162"/>
      <c r="Y97" s="162"/>
      <c r="Z97" s="162"/>
      <c r="AA97" s="162"/>
      <c r="AB97" s="162"/>
      <c r="AC97" s="162"/>
      <c r="AD97" s="162"/>
      <c r="AE97" s="162"/>
      <c r="AF97" s="162"/>
      <c r="AG97" s="162"/>
      <c r="AH97" s="162"/>
      <c r="AI97" s="162"/>
      <c r="AJ97" s="162"/>
      <c r="AK97" s="162"/>
      <c r="AL97" s="162"/>
      <c r="AM97" s="162"/>
      <c r="AN97" s="162"/>
      <c r="AO97" s="162"/>
      <c r="AP97" s="162"/>
      <c r="AQ97" s="162"/>
      <c r="AR97" s="162"/>
      <c r="AS97" s="162"/>
      <c r="AT97" s="162"/>
      <c r="AU97" s="162"/>
      <c r="AV97" s="162"/>
      <c r="AW97" s="162"/>
      <c r="AX97" s="162"/>
      <c r="AY97" s="162"/>
      <c r="AZ97" s="162"/>
      <c r="BA97" s="162"/>
      <c r="BB97" s="162"/>
      <c r="BC97" s="162"/>
      <c r="BD97" s="162"/>
      <c r="BE97" s="162"/>
      <c r="BF97" s="162"/>
      <c r="BG97" s="162"/>
      <c r="BH97" s="162"/>
      <c r="BI97" s="162"/>
      <c r="BJ97" s="162"/>
      <c r="BK97" s="162"/>
      <c r="BL97" s="162"/>
      <c r="BM97" s="162"/>
      <c r="BN97" s="162"/>
      <c r="BO97" s="162"/>
      <c r="BP97" s="162"/>
      <c r="BQ97" s="162"/>
      <c r="BR97" s="162"/>
      <c r="BS97" s="162"/>
      <c r="BT97" s="162"/>
      <c r="BU97" s="162"/>
      <c r="BV97" s="162"/>
      <c r="BW97" s="162"/>
      <c r="BX97" s="162"/>
      <c r="BY97" s="162"/>
      <c r="BZ97" s="162"/>
      <c r="CA97" s="162"/>
      <c r="CB97" s="162"/>
      <c r="CC97" s="162"/>
      <c r="CD97" s="162"/>
      <c r="CE97" s="162"/>
      <c r="CF97" s="162"/>
      <c r="CG97" s="162"/>
      <c r="CH97" s="162"/>
      <c r="CI97" s="162"/>
      <c r="CJ97" s="162"/>
      <c r="CK97" s="162"/>
      <c r="CL97" s="162"/>
      <c r="CM97" s="162"/>
      <c r="CN97" s="162"/>
      <c r="CO97" s="162"/>
      <c r="CP97" s="162"/>
      <c r="CQ97" s="162"/>
      <c r="CR97" s="162"/>
      <c r="CS97" s="162"/>
      <c r="CT97" s="162"/>
      <c r="CU97" s="162"/>
      <c r="CV97" s="162"/>
      <c r="CW97" s="162"/>
      <c r="CX97" s="162"/>
      <c r="CY97" s="162"/>
      <c r="CZ97" s="162"/>
      <c r="DA97" s="162"/>
      <c r="DB97" s="162"/>
      <c r="DC97" s="162"/>
      <c r="DD97" s="162"/>
    </row>
    <row r="98" spans="1:108" hidden="1" outlineLevel="1" x14ac:dyDescent="0.2">
      <c r="A98" s="162"/>
      <c r="B98" s="162"/>
      <c r="C98" s="162"/>
      <c r="D98" s="162"/>
      <c r="E98" s="162"/>
      <c r="F98" s="162"/>
      <c r="G98" s="162"/>
      <c r="H98" s="162"/>
      <c r="I98" s="162"/>
      <c r="J98" s="162"/>
      <c r="K98" s="162"/>
      <c r="L98" s="162"/>
      <c r="M98" s="162"/>
      <c r="N98" s="162"/>
      <c r="O98" s="162"/>
      <c r="P98" s="162"/>
      <c r="Q98" s="162"/>
      <c r="R98" s="162"/>
      <c r="S98" s="162"/>
      <c r="T98" s="162"/>
      <c r="U98" s="162"/>
      <c r="V98" s="162"/>
      <c r="W98" s="162"/>
      <c r="X98" s="162"/>
      <c r="Y98" s="162"/>
      <c r="Z98" s="162"/>
      <c r="AA98" s="162"/>
      <c r="AB98" s="162"/>
      <c r="AC98" s="162"/>
      <c r="AD98" s="162"/>
      <c r="AE98" s="162"/>
      <c r="AF98" s="162"/>
      <c r="AG98" s="162"/>
      <c r="AH98" s="162"/>
      <c r="AI98" s="162"/>
      <c r="AJ98" s="162"/>
      <c r="AK98" s="162"/>
      <c r="AL98" s="162"/>
      <c r="AM98" s="162"/>
      <c r="AN98" s="162"/>
      <c r="AO98" s="162"/>
      <c r="AP98" s="162"/>
      <c r="AQ98" s="162"/>
      <c r="AR98" s="162"/>
      <c r="AS98" s="162"/>
      <c r="AT98" s="162"/>
      <c r="AU98" s="162"/>
      <c r="AV98" s="162"/>
      <c r="AW98" s="162"/>
      <c r="AX98" s="162"/>
      <c r="AY98" s="162"/>
      <c r="AZ98" s="162"/>
      <c r="BA98" s="162"/>
      <c r="BB98" s="162"/>
      <c r="BC98" s="162"/>
      <c r="BD98" s="162"/>
      <c r="BE98" s="162"/>
      <c r="BF98" s="162"/>
      <c r="BG98" s="162"/>
      <c r="BH98" s="162"/>
      <c r="BI98" s="162"/>
      <c r="BJ98" s="162"/>
      <c r="BK98" s="162"/>
      <c r="BL98" s="162"/>
      <c r="BM98" s="162"/>
      <c r="BN98" s="162"/>
      <c r="BO98" s="162"/>
      <c r="BP98" s="162"/>
      <c r="BQ98" s="162"/>
      <c r="BR98" s="162"/>
      <c r="BS98" s="162"/>
      <c r="BT98" s="162"/>
      <c r="BU98" s="162"/>
      <c r="BV98" s="162"/>
      <c r="BW98" s="162"/>
      <c r="BX98" s="162"/>
      <c r="BY98" s="162"/>
      <c r="BZ98" s="162"/>
      <c r="CA98" s="162"/>
      <c r="CB98" s="162"/>
      <c r="CC98" s="162"/>
      <c r="CD98" s="162"/>
      <c r="CE98" s="162"/>
      <c r="CF98" s="162"/>
      <c r="CG98" s="162"/>
      <c r="CH98" s="162"/>
      <c r="CI98" s="162"/>
      <c r="CJ98" s="162"/>
      <c r="CK98" s="162"/>
      <c r="CL98" s="162"/>
      <c r="CM98" s="162"/>
      <c r="CN98" s="162"/>
      <c r="CO98" s="162"/>
      <c r="CP98" s="162"/>
      <c r="CQ98" s="162"/>
      <c r="CR98" s="162"/>
      <c r="CS98" s="162"/>
      <c r="CT98" s="162"/>
      <c r="CU98" s="162"/>
      <c r="CV98" s="162"/>
      <c r="CW98" s="162"/>
      <c r="CX98" s="162"/>
      <c r="CY98" s="162"/>
      <c r="CZ98" s="162"/>
      <c r="DA98" s="162"/>
      <c r="DB98" s="162"/>
      <c r="DC98" s="162"/>
      <c r="DD98" s="162"/>
    </row>
    <row r="99" spans="1:108" hidden="1" outlineLevel="1" x14ac:dyDescent="0.2">
      <c r="A99" s="162"/>
      <c r="B99" s="162"/>
      <c r="C99" s="162"/>
      <c r="D99" s="162"/>
      <c r="E99" s="616" t="s">
        <v>255</v>
      </c>
      <c r="F99" s="162"/>
      <c r="G99" s="162"/>
      <c r="H99" s="162"/>
      <c r="I99" s="162"/>
      <c r="J99" s="162"/>
      <c r="K99" s="162"/>
      <c r="L99" s="162"/>
      <c r="M99" s="162"/>
      <c r="N99" s="162"/>
      <c r="O99" s="162"/>
      <c r="P99" s="162"/>
      <c r="Q99" s="162"/>
      <c r="R99" s="162"/>
      <c r="S99" s="162"/>
      <c r="T99" s="162"/>
      <c r="U99" s="162"/>
      <c r="V99" s="162"/>
      <c r="W99" s="162"/>
      <c r="X99" s="162"/>
      <c r="Y99" s="162"/>
      <c r="Z99" s="162"/>
      <c r="AA99" s="162"/>
      <c r="AB99" s="162"/>
      <c r="AC99" s="162"/>
      <c r="AD99" s="162"/>
      <c r="AE99" s="162"/>
      <c r="AF99" s="162"/>
      <c r="AG99" s="162"/>
      <c r="AH99" s="162"/>
      <c r="AI99" s="162"/>
      <c r="AJ99" s="162"/>
      <c r="AK99" s="162"/>
      <c r="AL99" s="162"/>
      <c r="AM99" s="162"/>
      <c r="AN99" s="162"/>
      <c r="AO99" s="162"/>
      <c r="AP99" s="162"/>
      <c r="AQ99" s="162"/>
      <c r="AR99" s="162"/>
      <c r="AS99" s="162"/>
      <c r="AT99" s="162"/>
      <c r="AU99" s="162"/>
      <c r="AV99" s="162"/>
      <c r="AW99" s="162"/>
      <c r="AX99" s="162"/>
      <c r="AY99" s="162"/>
      <c r="AZ99" s="162"/>
      <c r="BA99" s="162"/>
      <c r="BB99" s="162"/>
      <c r="BC99" s="162"/>
      <c r="BD99" s="162"/>
      <c r="BE99" s="162"/>
      <c r="BF99" s="162"/>
      <c r="BG99" s="162"/>
      <c r="BH99" s="162"/>
      <c r="BI99" s="162"/>
      <c r="BJ99" s="162"/>
      <c r="BK99" s="162"/>
      <c r="BL99" s="162"/>
      <c r="BM99" s="162"/>
      <c r="BN99" s="162"/>
      <c r="BO99" s="162"/>
      <c r="BP99" s="162"/>
      <c r="BQ99" s="162"/>
      <c r="BR99" s="162"/>
      <c r="BS99" s="162"/>
      <c r="BT99" s="162"/>
      <c r="BU99" s="162"/>
      <c r="BV99" s="162"/>
      <c r="BW99" s="162"/>
      <c r="BX99" s="162"/>
      <c r="BY99" s="162"/>
      <c r="BZ99" s="162"/>
      <c r="CA99" s="162"/>
      <c r="CB99" s="162"/>
      <c r="CC99" s="162"/>
      <c r="CD99" s="162"/>
      <c r="CE99" s="162"/>
      <c r="CF99" s="162"/>
      <c r="CG99" s="162"/>
      <c r="CH99" s="162"/>
      <c r="CI99" s="162"/>
      <c r="CJ99" s="162"/>
      <c r="CK99" s="162"/>
      <c r="CL99" s="162"/>
      <c r="CM99" s="162"/>
      <c r="CN99" s="162"/>
      <c r="CO99" s="162"/>
      <c r="CP99" s="162"/>
      <c r="CQ99" s="162"/>
      <c r="CR99" s="162"/>
      <c r="CS99" s="162"/>
      <c r="CT99" s="162"/>
      <c r="CU99" s="162"/>
      <c r="CV99" s="162"/>
      <c r="CW99" s="162"/>
      <c r="CX99" s="162"/>
      <c r="CY99" s="162"/>
      <c r="CZ99" s="162"/>
      <c r="DA99" s="162"/>
      <c r="DB99" s="162"/>
      <c r="DC99" s="162"/>
      <c r="DD99" s="162"/>
    </row>
    <row r="100" spans="1:108" hidden="1" outlineLevel="1" x14ac:dyDescent="0.2">
      <c r="A100" s="162"/>
      <c r="B100" s="162"/>
      <c r="C100" s="162"/>
      <c r="D100" s="162"/>
      <c r="E100" s="78">
        <f>IF(J94&lt;&gt;"",J94,FirstYear)</f>
        <v>2021</v>
      </c>
      <c r="F100" s="630">
        <f>E100+1</f>
        <v>2022</v>
      </c>
      <c r="G100" s="630">
        <f>F100+1</f>
        <v>2023</v>
      </c>
      <c r="H100" s="630">
        <f>G100+1</f>
        <v>2024</v>
      </c>
      <c r="I100" s="630">
        <f>H100+1</f>
        <v>2025</v>
      </c>
      <c r="J100" s="630">
        <f>I100+1</f>
        <v>2026</v>
      </c>
      <c r="K100" s="162"/>
      <c r="L100" s="162"/>
      <c r="M100" s="162"/>
      <c r="N100" s="162"/>
      <c r="O100" s="162"/>
      <c r="P100" s="162"/>
      <c r="Q100" s="162"/>
      <c r="R100" s="162"/>
      <c r="S100" s="162"/>
      <c r="T100" s="162"/>
      <c r="U100" s="162"/>
      <c r="V100" s="162"/>
      <c r="W100" s="162"/>
      <c r="X100" s="162"/>
      <c r="Y100" s="162"/>
      <c r="Z100" s="162"/>
      <c r="AA100" s="162"/>
      <c r="AB100" s="162"/>
      <c r="AC100" s="162"/>
      <c r="AD100" s="162"/>
      <c r="AE100" s="162"/>
      <c r="AF100" s="162"/>
      <c r="AG100" s="162"/>
      <c r="AH100" s="162"/>
      <c r="AI100" s="162"/>
      <c r="AJ100" s="162"/>
      <c r="AK100" s="162"/>
      <c r="AL100" s="162"/>
      <c r="AM100" s="162"/>
      <c r="AN100" s="162"/>
      <c r="AO100" s="162"/>
      <c r="AP100" s="162"/>
      <c r="AQ100" s="162"/>
      <c r="AR100" s="162"/>
      <c r="AS100" s="162"/>
      <c r="AT100" s="162"/>
      <c r="AU100" s="162"/>
      <c r="AV100" s="162"/>
      <c r="AW100" s="162"/>
      <c r="AX100" s="162"/>
      <c r="AY100" s="162"/>
      <c r="AZ100" s="162"/>
      <c r="BA100" s="162"/>
      <c r="BB100" s="162"/>
      <c r="BC100" s="162"/>
      <c r="BD100" s="162"/>
      <c r="BE100" s="162"/>
      <c r="BF100" s="162"/>
      <c r="BG100" s="162"/>
      <c r="BH100" s="162"/>
      <c r="BI100" s="162"/>
      <c r="BJ100" s="162"/>
      <c r="BK100" s="162"/>
      <c r="BL100" s="162"/>
      <c r="BM100" s="162"/>
      <c r="BN100" s="162"/>
      <c r="BO100" s="162"/>
      <c r="BP100" s="162"/>
      <c r="BQ100" s="162"/>
      <c r="BR100" s="162"/>
      <c r="BS100" s="162"/>
      <c r="BT100" s="162"/>
      <c r="BU100" s="162"/>
      <c r="BV100" s="162"/>
      <c r="BW100" s="162"/>
      <c r="BX100" s="162"/>
      <c r="BY100" s="162"/>
      <c r="BZ100" s="162"/>
      <c r="CA100" s="162"/>
      <c r="CB100" s="162"/>
      <c r="CC100" s="162"/>
      <c r="CD100" s="162"/>
      <c r="CE100" s="162"/>
      <c r="CF100" s="162"/>
      <c r="CG100" s="162"/>
      <c r="CH100" s="162"/>
      <c r="CI100" s="162"/>
      <c r="CJ100" s="162"/>
      <c r="CK100" s="162"/>
      <c r="CL100" s="162"/>
      <c r="CM100" s="162"/>
      <c r="CN100" s="162"/>
      <c r="CO100" s="162"/>
      <c r="CP100" s="162"/>
      <c r="CQ100" s="162"/>
      <c r="CR100" s="162"/>
      <c r="CS100" s="162"/>
      <c r="CT100" s="162"/>
      <c r="CU100" s="162"/>
      <c r="CV100" s="162"/>
      <c r="CW100" s="162"/>
      <c r="CX100" s="162"/>
      <c r="CY100" s="162"/>
      <c r="CZ100" s="162"/>
      <c r="DA100" s="162"/>
      <c r="DB100" s="162"/>
      <c r="DC100" s="162"/>
      <c r="DD100" s="162"/>
    </row>
    <row r="101" spans="1:108" hidden="1" outlineLevel="1" x14ac:dyDescent="0.2">
      <c r="A101" s="162"/>
      <c r="B101" s="162"/>
      <c r="C101" s="162"/>
      <c r="D101" s="162"/>
      <c r="E101" s="63">
        <f t="shared" ref="E101:J101" si="30">IF($B$91&lt;&gt;0,VLOOKUP($B$91,$C$104:$J$106,E102)*$G97,0)</f>
        <v>0</v>
      </c>
      <c r="F101" s="63">
        <f t="shared" si="30"/>
        <v>0</v>
      </c>
      <c r="G101" s="63">
        <f t="shared" si="30"/>
        <v>0</v>
      </c>
      <c r="H101" s="63">
        <f t="shared" si="30"/>
        <v>0</v>
      </c>
      <c r="I101" s="63">
        <f t="shared" si="30"/>
        <v>0</v>
      </c>
      <c r="J101" s="63">
        <f t="shared" si="30"/>
        <v>0</v>
      </c>
      <c r="K101" s="162"/>
      <c r="L101" s="162"/>
      <c r="M101" s="162"/>
      <c r="N101" s="162"/>
      <c r="O101" s="162"/>
      <c r="P101" s="162"/>
      <c r="Q101" s="162"/>
      <c r="R101" s="162"/>
      <c r="S101" s="162"/>
      <c r="T101" s="162"/>
      <c r="U101" s="162"/>
      <c r="V101" s="162"/>
      <c r="W101" s="162"/>
      <c r="X101" s="162"/>
      <c r="Y101" s="162"/>
      <c r="Z101" s="162"/>
      <c r="AA101" s="162"/>
      <c r="AB101" s="162"/>
      <c r="AC101" s="162"/>
      <c r="AD101" s="162"/>
      <c r="AE101" s="162"/>
      <c r="AF101" s="162"/>
      <c r="AG101" s="162"/>
      <c r="AH101" s="162"/>
      <c r="AI101" s="162"/>
      <c r="AJ101" s="162"/>
      <c r="AK101" s="162"/>
      <c r="AL101" s="162"/>
      <c r="AM101" s="162"/>
      <c r="AN101" s="162"/>
      <c r="AO101" s="162"/>
      <c r="AP101" s="162"/>
      <c r="AQ101" s="162"/>
      <c r="AR101" s="162"/>
      <c r="AS101" s="162"/>
      <c r="AT101" s="162"/>
      <c r="AU101" s="162"/>
      <c r="AV101" s="162"/>
      <c r="AW101" s="162"/>
      <c r="AX101" s="162"/>
      <c r="AY101" s="162"/>
      <c r="AZ101" s="162"/>
      <c r="BA101" s="162"/>
      <c r="BB101" s="162"/>
      <c r="BC101" s="162"/>
      <c r="BD101" s="162"/>
      <c r="BE101" s="162"/>
      <c r="BF101" s="162"/>
      <c r="BG101" s="162"/>
      <c r="BH101" s="162"/>
      <c r="BI101" s="162"/>
      <c r="BJ101" s="162"/>
      <c r="BK101" s="162"/>
      <c r="BL101" s="162"/>
      <c r="BM101" s="162"/>
      <c r="BN101" s="162"/>
      <c r="BO101" s="162"/>
      <c r="BP101" s="162"/>
      <c r="BQ101" s="162"/>
      <c r="BR101" s="162"/>
      <c r="BS101" s="162"/>
      <c r="BT101" s="162"/>
      <c r="BU101" s="162"/>
      <c r="BV101" s="162"/>
      <c r="BW101" s="162"/>
      <c r="BX101" s="162"/>
      <c r="BY101" s="162"/>
      <c r="BZ101" s="162"/>
      <c r="CA101" s="162"/>
      <c r="CB101" s="162"/>
      <c r="CC101" s="162"/>
      <c r="CD101" s="162"/>
      <c r="CE101" s="162"/>
      <c r="CF101" s="162"/>
      <c r="CG101" s="162"/>
      <c r="CH101" s="162"/>
      <c r="CI101" s="162"/>
      <c r="CJ101" s="162"/>
      <c r="CK101" s="162"/>
      <c r="CL101" s="162"/>
      <c r="CM101" s="162"/>
      <c r="CN101" s="162"/>
      <c r="CO101" s="162"/>
      <c r="CP101" s="162"/>
      <c r="CQ101" s="162"/>
      <c r="CR101" s="162"/>
      <c r="CS101" s="162"/>
      <c r="CT101" s="162"/>
      <c r="CU101" s="162"/>
      <c r="CV101" s="162"/>
      <c r="CW101" s="162"/>
      <c r="CX101" s="162"/>
      <c r="CY101" s="162"/>
      <c r="CZ101" s="162"/>
      <c r="DA101" s="162"/>
      <c r="DB101" s="162"/>
      <c r="DC101" s="162"/>
      <c r="DD101" s="162"/>
    </row>
    <row r="102" spans="1:108" hidden="1" outlineLevel="1" x14ac:dyDescent="0.2">
      <c r="A102" s="162"/>
      <c r="B102" s="162"/>
      <c r="C102" s="162"/>
      <c r="D102" s="162"/>
      <c r="E102" s="650">
        <v>3</v>
      </c>
      <c r="F102" s="650">
        <v>4</v>
      </c>
      <c r="G102" s="650">
        <v>5</v>
      </c>
      <c r="H102" s="650">
        <v>6</v>
      </c>
      <c r="I102" s="650">
        <v>7</v>
      </c>
      <c r="J102" s="650">
        <v>8</v>
      </c>
      <c r="K102" s="162"/>
      <c r="L102" s="162"/>
      <c r="M102" s="162"/>
      <c r="N102" s="162"/>
      <c r="O102" s="162"/>
      <c r="P102" s="162"/>
      <c r="Q102" s="162"/>
      <c r="R102" s="162"/>
      <c r="S102" s="162"/>
      <c r="T102" s="162"/>
      <c r="U102" s="162"/>
      <c r="V102" s="162"/>
      <c r="W102" s="162"/>
      <c r="X102" s="162"/>
      <c r="Y102" s="162"/>
      <c r="Z102" s="162"/>
      <c r="AA102" s="162"/>
      <c r="AB102" s="162"/>
      <c r="AC102" s="162"/>
      <c r="AD102" s="162"/>
      <c r="AE102" s="162"/>
      <c r="AF102" s="162"/>
      <c r="AG102" s="162"/>
      <c r="AH102" s="162"/>
      <c r="AI102" s="162"/>
      <c r="AJ102" s="162"/>
      <c r="AK102" s="162"/>
      <c r="AL102" s="162"/>
      <c r="AM102" s="162"/>
      <c r="AN102" s="162"/>
      <c r="AO102" s="162"/>
      <c r="AP102" s="162"/>
      <c r="AQ102" s="162"/>
      <c r="AR102" s="162"/>
      <c r="AS102" s="162"/>
      <c r="AT102" s="162"/>
      <c r="AU102" s="162"/>
      <c r="AV102" s="162"/>
      <c r="AW102" s="162"/>
      <c r="AX102" s="162"/>
      <c r="AY102" s="162"/>
      <c r="AZ102" s="162"/>
      <c r="BA102" s="162"/>
      <c r="BB102" s="162"/>
      <c r="BC102" s="162"/>
      <c r="BD102" s="162"/>
      <c r="BE102" s="162"/>
      <c r="BF102" s="162"/>
      <c r="BG102" s="162"/>
      <c r="BH102" s="162"/>
      <c r="BI102" s="162"/>
      <c r="BJ102" s="162"/>
      <c r="BK102" s="162"/>
      <c r="BL102" s="162"/>
      <c r="BM102" s="162"/>
      <c r="BN102" s="162"/>
      <c r="BO102" s="162"/>
      <c r="BP102" s="162"/>
      <c r="BQ102" s="162"/>
      <c r="BR102" s="162"/>
      <c r="BS102" s="162"/>
      <c r="BT102" s="162"/>
      <c r="BU102" s="162"/>
      <c r="BV102" s="162"/>
      <c r="BW102" s="162"/>
      <c r="BX102" s="162"/>
      <c r="BY102" s="162"/>
      <c r="BZ102" s="162"/>
      <c r="CA102" s="162"/>
      <c r="CB102" s="162"/>
      <c r="CC102" s="162"/>
      <c r="CD102" s="162"/>
      <c r="CE102" s="162"/>
      <c r="CF102" s="162"/>
      <c r="CG102" s="162"/>
      <c r="CH102" s="162"/>
      <c r="CI102" s="162"/>
      <c r="CJ102" s="162"/>
      <c r="CK102" s="162"/>
      <c r="CL102" s="162"/>
      <c r="CM102" s="162"/>
      <c r="CN102" s="162"/>
      <c r="CO102" s="162"/>
      <c r="CP102" s="162"/>
      <c r="CQ102" s="162"/>
      <c r="CR102" s="162"/>
      <c r="CS102" s="162"/>
      <c r="CT102" s="162"/>
      <c r="CU102" s="162"/>
      <c r="CV102" s="162"/>
      <c r="CW102" s="162"/>
      <c r="CX102" s="162"/>
      <c r="CY102" s="162"/>
      <c r="CZ102" s="162"/>
      <c r="DA102" s="162"/>
      <c r="DB102" s="162"/>
      <c r="DC102" s="162"/>
      <c r="DD102" s="162"/>
    </row>
    <row r="103" spans="1:108" hidden="1" outlineLevel="1" x14ac:dyDescent="0.2">
      <c r="A103" s="162"/>
      <c r="B103" s="162"/>
      <c r="C103" s="162"/>
      <c r="D103" s="31" t="s">
        <v>324</v>
      </c>
      <c r="E103" s="78">
        <f t="shared" ref="E103:J103" si="31">E100</f>
        <v>2021</v>
      </c>
      <c r="F103" s="78">
        <f t="shared" si="31"/>
        <v>2022</v>
      </c>
      <c r="G103" s="78">
        <f t="shared" si="31"/>
        <v>2023</v>
      </c>
      <c r="H103" s="78">
        <f t="shared" si="31"/>
        <v>2024</v>
      </c>
      <c r="I103" s="78">
        <f t="shared" si="31"/>
        <v>2025</v>
      </c>
      <c r="J103" s="78">
        <f t="shared" si="31"/>
        <v>2026</v>
      </c>
      <c r="K103" s="162"/>
      <c r="L103" s="162"/>
      <c r="M103" s="162"/>
      <c r="N103" s="162"/>
      <c r="O103" s="162"/>
      <c r="P103" s="162"/>
      <c r="Q103" s="162"/>
      <c r="R103" s="162"/>
      <c r="S103" s="162"/>
      <c r="T103" s="162"/>
      <c r="U103" s="162"/>
      <c r="V103" s="162"/>
      <c r="W103" s="162"/>
      <c r="X103" s="162"/>
      <c r="Y103" s="162"/>
      <c r="Z103" s="162"/>
      <c r="AA103" s="162"/>
      <c r="AB103" s="162"/>
      <c r="AC103" s="162"/>
      <c r="AD103" s="162"/>
      <c r="AE103" s="162"/>
      <c r="AF103" s="162"/>
      <c r="AG103" s="162"/>
      <c r="AH103" s="162"/>
      <c r="AI103" s="162"/>
      <c r="AJ103" s="162"/>
      <c r="AK103" s="162"/>
      <c r="AL103" s="162"/>
      <c r="AM103" s="162"/>
      <c r="AN103" s="162"/>
      <c r="AO103" s="162"/>
      <c r="AP103" s="162"/>
      <c r="AQ103" s="162"/>
      <c r="AR103" s="162"/>
      <c r="AS103" s="162"/>
      <c r="AT103" s="162"/>
      <c r="AU103" s="162"/>
      <c r="AV103" s="162"/>
      <c r="AW103" s="162"/>
      <c r="AX103" s="162"/>
      <c r="AY103" s="162"/>
      <c r="AZ103" s="162"/>
      <c r="BA103" s="162"/>
      <c r="BB103" s="162"/>
      <c r="BC103" s="162"/>
      <c r="BD103" s="162"/>
      <c r="BE103" s="162"/>
      <c r="BF103" s="162"/>
      <c r="BG103" s="162"/>
      <c r="BH103" s="162"/>
      <c r="BI103" s="162"/>
      <c r="BJ103" s="162"/>
      <c r="BK103" s="162"/>
      <c r="BL103" s="162"/>
      <c r="BM103" s="162"/>
      <c r="BN103" s="162"/>
      <c r="BO103" s="162"/>
      <c r="BP103" s="162"/>
      <c r="BQ103" s="162"/>
      <c r="BR103" s="162"/>
      <c r="BS103" s="162"/>
      <c r="BT103" s="162"/>
      <c r="BU103" s="162"/>
      <c r="BV103" s="162"/>
      <c r="BW103" s="162"/>
      <c r="BX103" s="162"/>
      <c r="BY103" s="162"/>
      <c r="BZ103" s="162"/>
      <c r="CA103" s="162"/>
      <c r="CB103" s="162"/>
      <c r="CC103" s="162"/>
      <c r="CD103" s="162"/>
      <c r="CE103" s="162"/>
      <c r="CF103" s="162"/>
      <c r="CG103" s="162"/>
      <c r="CH103" s="162"/>
      <c r="CI103" s="162"/>
      <c r="CJ103" s="162"/>
      <c r="CK103" s="162"/>
      <c r="CL103" s="162"/>
      <c r="CM103" s="162"/>
      <c r="CN103" s="162"/>
      <c r="CO103" s="162"/>
      <c r="CP103" s="162"/>
      <c r="CQ103" s="162"/>
      <c r="CR103" s="162"/>
      <c r="CS103" s="162"/>
      <c r="CT103" s="162"/>
      <c r="CU103" s="162"/>
      <c r="CV103" s="162"/>
      <c r="CW103" s="162"/>
      <c r="CX103" s="162"/>
      <c r="CY103" s="162"/>
      <c r="CZ103" s="162"/>
      <c r="DA103" s="162"/>
      <c r="DB103" s="162"/>
      <c r="DC103" s="162"/>
      <c r="DD103" s="162"/>
    </row>
    <row r="104" spans="1:108" hidden="1" outlineLevel="1" x14ac:dyDescent="0.2">
      <c r="A104" s="162"/>
      <c r="B104" s="162"/>
      <c r="C104" s="58">
        <v>1</v>
      </c>
      <c r="D104" s="177" t="s">
        <v>240</v>
      </c>
      <c r="E104" s="63">
        <f t="shared" ref="E104:J104" si="32">SUMPRODUCT(($D$203:$D$221=E103)*($E$202:$DA$202&gt;=$E$95)*($E$202:$DA$202&lt;=$F$95)*($E$203:$DA$221))</f>
        <v>26301274</v>
      </c>
      <c r="F104" s="63">
        <f t="shared" si="32"/>
        <v>26727025</v>
      </c>
      <c r="G104" s="63">
        <f t="shared" si="32"/>
        <v>27147199</v>
      </c>
      <c r="H104" s="63">
        <f t="shared" si="32"/>
        <v>27562195</v>
      </c>
      <c r="I104" s="63">
        <f t="shared" si="32"/>
        <v>27970435</v>
      </c>
      <c r="J104" s="63">
        <f t="shared" si="32"/>
        <v>28372315</v>
      </c>
      <c r="K104" s="162"/>
      <c r="L104" s="162"/>
      <c r="M104" s="162"/>
      <c r="N104" s="162"/>
      <c r="O104" s="162"/>
      <c r="P104" s="162"/>
      <c r="Q104" s="162"/>
      <c r="R104" s="162"/>
      <c r="S104" s="162"/>
      <c r="T104" s="162"/>
      <c r="U104" s="162"/>
      <c r="V104" s="162"/>
      <c r="W104" s="162"/>
      <c r="X104" s="162"/>
      <c r="Y104" s="162"/>
      <c r="Z104" s="162"/>
      <c r="AA104" s="162"/>
      <c r="AB104" s="162"/>
      <c r="AC104" s="162"/>
      <c r="AD104" s="162"/>
      <c r="AE104" s="162"/>
      <c r="AF104" s="162"/>
      <c r="AG104" s="162"/>
      <c r="AH104" s="162"/>
      <c r="AI104" s="162"/>
      <c r="AJ104" s="162"/>
      <c r="AK104" s="162"/>
      <c r="AL104" s="162"/>
      <c r="AM104" s="162"/>
      <c r="AN104" s="162"/>
      <c r="AO104" s="162"/>
      <c r="AP104" s="162"/>
      <c r="AQ104" s="162"/>
      <c r="AR104" s="162"/>
      <c r="AS104" s="162"/>
      <c r="AT104" s="162"/>
      <c r="AU104" s="162"/>
      <c r="AV104" s="162"/>
      <c r="AW104" s="162"/>
      <c r="AX104" s="162"/>
      <c r="AY104" s="162"/>
      <c r="AZ104" s="162"/>
      <c r="BA104" s="162"/>
      <c r="BB104" s="162"/>
      <c r="BC104" s="162"/>
      <c r="BD104" s="162"/>
      <c r="BE104" s="162"/>
      <c r="BF104" s="162"/>
      <c r="BG104" s="162"/>
      <c r="BH104" s="162"/>
      <c r="BI104" s="162"/>
      <c r="BJ104" s="162"/>
      <c r="BK104" s="162"/>
      <c r="BL104" s="162"/>
      <c r="BM104" s="162"/>
      <c r="BN104" s="162"/>
      <c r="BO104" s="162"/>
      <c r="BP104" s="162"/>
      <c r="BQ104" s="162"/>
      <c r="BR104" s="162"/>
      <c r="BS104" s="162"/>
      <c r="BT104" s="162"/>
      <c r="BU104" s="162"/>
      <c r="BV104" s="162"/>
      <c r="BW104" s="162"/>
      <c r="BX104" s="162"/>
      <c r="BY104" s="162"/>
      <c r="BZ104" s="162"/>
      <c r="CA104" s="162"/>
      <c r="CB104" s="162"/>
      <c r="CC104" s="162"/>
      <c r="CD104" s="162"/>
      <c r="CE104" s="162"/>
      <c r="CF104" s="162"/>
      <c r="CG104" s="162"/>
      <c r="CH104" s="162"/>
      <c r="CI104" s="162"/>
      <c r="CJ104" s="162"/>
      <c r="CK104" s="162"/>
      <c r="CL104" s="162"/>
      <c r="CM104" s="162"/>
      <c r="CN104" s="162"/>
      <c r="CO104" s="162"/>
      <c r="CP104" s="162"/>
      <c r="CQ104" s="162"/>
      <c r="CR104" s="162"/>
      <c r="CS104" s="162"/>
      <c r="CT104" s="162"/>
      <c r="CU104" s="162"/>
      <c r="CV104" s="162"/>
      <c r="CW104" s="162"/>
      <c r="CX104" s="162"/>
      <c r="CY104" s="162"/>
      <c r="CZ104" s="162"/>
      <c r="DA104" s="162"/>
      <c r="DB104" s="162"/>
      <c r="DC104" s="162"/>
      <c r="DD104" s="162"/>
    </row>
    <row r="105" spans="1:108" hidden="1" outlineLevel="1" x14ac:dyDescent="0.2">
      <c r="A105" s="162"/>
      <c r="B105" s="162"/>
      <c r="C105" s="58">
        <v>2</v>
      </c>
      <c r="D105" s="177" t="s">
        <v>243</v>
      </c>
      <c r="E105" s="63">
        <f t="shared" ref="E105:J105" si="33">SUMPRODUCT(($D$228:$D$246=E103)*($E$227:$DA$227&gt;=$E$95)*($E$227:$DA$227&lt;=$F$95)*($E$228:$DA$246))</f>
        <v>13039532</v>
      </c>
      <c r="F105" s="63">
        <f t="shared" si="33"/>
        <v>13248872</v>
      </c>
      <c r="G105" s="63">
        <f t="shared" si="33"/>
        <v>13455403</v>
      </c>
      <c r="H105" s="63">
        <f t="shared" si="33"/>
        <v>13659298</v>
      </c>
      <c r="I105" s="63">
        <f t="shared" si="33"/>
        <v>13859813</v>
      </c>
      <c r="J105" s="63">
        <f t="shared" si="33"/>
        <v>14057138</v>
      </c>
      <c r="K105" s="162"/>
      <c r="L105" s="162"/>
      <c r="M105" s="162"/>
      <c r="N105" s="162"/>
      <c r="O105" s="162"/>
      <c r="P105" s="162"/>
      <c r="Q105" s="162"/>
      <c r="R105" s="162"/>
      <c r="S105" s="162"/>
      <c r="T105" s="162"/>
      <c r="U105" s="162"/>
      <c r="V105" s="162"/>
      <c r="W105" s="162"/>
      <c r="X105" s="162"/>
      <c r="Y105" s="162"/>
      <c r="Z105" s="162"/>
      <c r="AA105" s="162"/>
      <c r="AB105" s="162"/>
      <c r="AC105" s="162"/>
      <c r="AD105" s="162"/>
      <c r="AE105" s="162"/>
      <c r="AF105" s="162"/>
      <c r="AG105" s="162"/>
      <c r="AH105" s="162"/>
      <c r="AI105" s="162"/>
      <c r="AJ105" s="162"/>
      <c r="AK105" s="162"/>
      <c r="AL105" s="162"/>
      <c r="AM105" s="162"/>
      <c r="AN105" s="162"/>
      <c r="AO105" s="162"/>
      <c r="AP105" s="162"/>
      <c r="AQ105" s="162"/>
      <c r="AR105" s="162"/>
      <c r="AS105" s="162"/>
      <c r="AT105" s="162"/>
      <c r="AU105" s="162"/>
      <c r="AV105" s="162"/>
      <c r="AW105" s="162"/>
      <c r="AX105" s="162"/>
      <c r="AY105" s="162"/>
      <c r="AZ105" s="162"/>
      <c r="BA105" s="162"/>
      <c r="BB105" s="162"/>
      <c r="BC105" s="162"/>
      <c r="BD105" s="162"/>
      <c r="BE105" s="162"/>
      <c r="BF105" s="162"/>
      <c r="BG105" s="162"/>
      <c r="BH105" s="162"/>
      <c r="BI105" s="162"/>
      <c r="BJ105" s="162"/>
      <c r="BK105" s="162"/>
      <c r="BL105" s="162"/>
      <c r="BM105" s="162"/>
      <c r="BN105" s="162"/>
      <c r="BO105" s="162"/>
      <c r="BP105" s="162"/>
      <c r="BQ105" s="162"/>
      <c r="BR105" s="162"/>
      <c r="BS105" s="162"/>
      <c r="BT105" s="162"/>
      <c r="BU105" s="162"/>
      <c r="BV105" s="162"/>
      <c r="BW105" s="162"/>
      <c r="BX105" s="162"/>
      <c r="BY105" s="162"/>
      <c r="BZ105" s="162"/>
      <c r="CA105" s="162"/>
      <c r="CB105" s="162"/>
      <c r="CC105" s="162"/>
      <c r="CD105" s="162"/>
      <c r="CE105" s="162"/>
      <c r="CF105" s="162"/>
      <c r="CG105" s="162"/>
      <c r="CH105" s="162"/>
      <c r="CI105" s="162"/>
      <c r="CJ105" s="162"/>
      <c r="CK105" s="162"/>
      <c r="CL105" s="162"/>
      <c r="CM105" s="162"/>
      <c r="CN105" s="162"/>
      <c r="CO105" s="162"/>
      <c r="CP105" s="162"/>
      <c r="CQ105" s="162"/>
      <c r="CR105" s="162"/>
      <c r="CS105" s="162"/>
      <c r="CT105" s="162"/>
      <c r="CU105" s="162"/>
      <c r="CV105" s="162"/>
      <c r="CW105" s="162"/>
      <c r="CX105" s="162"/>
      <c r="CY105" s="162"/>
      <c r="CZ105" s="162"/>
      <c r="DA105" s="162"/>
      <c r="DB105" s="162"/>
      <c r="DC105" s="162"/>
      <c r="DD105" s="162"/>
    </row>
    <row r="106" spans="1:108" hidden="1" outlineLevel="1" x14ac:dyDescent="0.2">
      <c r="A106" s="162"/>
      <c r="B106" s="162"/>
      <c r="C106" s="58">
        <v>3</v>
      </c>
      <c r="D106" s="177" t="s">
        <v>244</v>
      </c>
      <c r="E106" s="63">
        <f t="shared" ref="E106:J106" si="34">SUMPRODUCT(($D$253:$D$271=E103)*($E$252:$DA$252&gt;=$E$95)*($E$252:$DA$252&lt;=$F$95)*($E$253:$DA$271))</f>
        <v>13261742</v>
      </c>
      <c r="F106" s="63">
        <f t="shared" si="34"/>
        <v>13478153</v>
      </c>
      <c r="G106" s="63">
        <f t="shared" si="34"/>
        <v>13691796</v>
      </c>
      <c r="H106" s="63">
        <f t="shared" si="34"/>
        <v>13902897</v>
      </c>
      <c r="I106" s="63">
        <f t="shared" si="34"/>
        <v>14110622</v>
      </c>
      <c r="J106" s="63">
        <f t="shared" si="34"/>
        <v>14315177</v>
      </c>
      <c r="K106" s="162"/>
      <c r="L106" s="162"/>
      <c r="M106" s="162"/>
      <c r="N106" s="162"/>
      <c r="O106" s="162"/>
      <c r="P106" s="162"/>
      <c r="Q106" s="162"/>
      <c r="R106" s="162"/>
      <c r="S106" s="162"/>
      <c r="T106" s="162"/>
      <c r="U106" s="162"/>
      <c r="V106" s="162"/>
      <c r="W106" s="162"/>
      <c r="X106" s="162"/>
      <c r="Y106" s="162"/>
      <c r="Z106" s="162"/>
      <c r="AA106" s="162"/>
      <c r="AB106" s="162"/>
      <c r="AC106" s="162"/>
      <c r="AD106" s="162"/>
      <c r="AE106" s="162"/>
      <c r="AF106" s="162"/>
      <c r="AG106" s="162"/>
      <c r="AH106" s="162"/>
      <c r="AI106" s="162"/>
      <c r="AJ106" s="162"/>
      <c r="AK106" s="162"/>
      <c r="AL106" s="162"/>
      <c r="AM106" s="162"/>
      <c r="AN106" s="162"/>
      <c r="AO106" s="162"/>
      <c r="AP106" s="162"/>
      <c r="AQ106" s="162"/>
      <c r="AR106" s="162"/>
      <c r="AS106" s="162"/>
      <c r="AT106" s="162"/>
      <c r="AU106" s="162"/>
      <c r="AV106" s="162"/>
      <c r="AW106" s="162"/>
      <c r="AX106" s="162"/>
      <c r="AY106" s="162"/>
      <c r="AZ106" s="162"/>
      <c r="BA106" s="162"/>
      <c r="BB106" s="162"/>
      <c r="BC106" s="162"/>
      <c r="BD106" s="162"/>
      <c r="BE106" s="162"/>
      <c r="BF106" s="162"/>
      <c r="BG106" s="162"/>
      <c r="BH106" s="162"/>
      <c r="BI106" s="162"/>
      <c r="BJ106" s="162"/>
      <c r="BK106" s="162"/>
      <c r="BL106" s="162"/>
      <c r="BM106" s="162"/>
      <c r="BN106" s="162"/>
      <c r="BO106" s="162"/>
      <c r="BP106" s="162"/>
      <c r="BQ106" s="162"/>
      <c r="BR106" s="162"/>
      <c r="BS106" s="162"/>
      <c r="BT106" s="162"/>
      <c r="BU106" s="162"/>
      <c r="BV106" s="162"/>
      <c r="BW106" s="162"/>
      <c r="BX106" s="162"/>
      <c r="BY106" s="162"/>
      <c r="BZ106" s="162"/>
      <c r="CA106" s="162"/>
      <c r="CB106" s="162"/>
      <c r="CC106" s="162"/>
      <c r="CD106" s="162"/>
      <c r="CE106" s="162"/>
      <c r="CF106" s="162"/>
      <c r="CG106" s="162"/>
      <c r="CH106" s="162"/>
      <c r="CI106" s="162"/>
      <c r="CJ106" s="162"/>
      <c r="CK106" s="162"/>
      <c r="CL106" s="162"/>
      <c r="CM106" s="162"/>
      <c r="CN106" s="162"/>
      <c r="CO106" s="162"/>
      <c r="CP106" s="162"/>
      <c r="CQ106" s="162"/>
      <c r="CR106" s="162"/>
      <c r="CS106" s="162"/>
      <c r="CT106" s="162"/>
      <c r="CU106" s="162"/>
      <c r="CV106" s="162"/>
      <c r="CW106" s="162"/>
      <c r="CX106" s="162"/>
      <c r="CY106" s="162"/>
      <c r="CZ106" s="162"/>
      <c r="DA106" s="162"/>
      <c r="DB106" s="162"/>
      <c r="DC106" s="162"/>
      <c r="DD106" s="162"/>
    </row>
    <row r="107" spans="1:108" hidden="1" outlineLevel="1" x14ac:dyDescent="0.2">
      <c r="A107" s="162"/>
      <c r="B107" s="162"/>
      <c r="C107" s="162"/>
      <c r="D107" s="162"/>
      <c r="E107" s="162"/>
      <c r="F107" s="162"/>
      <c r="G107" s="162"/>
      <c r="H107" s="162"/>
      <c r="I107" s="162"/>
      <c r="J107" s="162"/>
      <c r="K107" s="162"/>
      <c r="L107" s="162"/>
      <c r="M107" s="162"/>
      <c r="N107" s="162"/>
      <c r="O107" s="162"/>
      <c r="P107" s="162"/>
      <c r="Q107" s="162"/>
      <c r="R107" s="162"/>
      <c r="S107" s="162"/>
      <c r="T107" s="162"/>
      <c r="U107" s="162"/>
      <c r="V107" s="162"/>
      <c r="W107" s="162"/>
      <c r="X107" s="162"/>
      <c r="Y107" s="162"/>
      <c r="Z107" s="162"/>
      <c r="AA107" s="162"/>
      <c r="AB107" s="162"/>
      <c r="AC107" s="162"/>
      <c r="AD107" s="162"/>
      <c r="AE107" s="162"/>
      <c r="AF107" s="162"/>
      <c r="AG107" s="162"/>
      <c r="AH107" s="162"/>
      <c r="AI107" s="162"/>
      <c r="AJ107" s="162"/>
      <c r="AK107" s="162"/>
      <c r="AL107" s="162"/>
      <c r="AM107" s="162"/>
      <c r="AN107" s="162"/>
      <c r="AO107" s="162"/>
      <c r="AP107" s="162"/>
      <c r="AQ107" s="162"/>
      <c r="AR107" s="162"/>
      <c r="AS107" s="162"/>
      <c r="AT107" s="162"/>
      <c r="AU107" s="162"/>
      <c r="AV107" s="162"/>
      <c r="AW107" s="162"/>
      <c r="AX107" s="162"/>
      <c r="AY107" s="162"/>
      <c r="AZ107" s="162"/>
      <c r="BA107" s="162"/>
      <c r="BB107" s="162"/>
      <c r="BC107" s="162"/>
      <c r="BD107" s="162"/>
      <c r="BE107" s="162"/>
      <c r="BF107" s="162"/>
      <c r="BG107" s="162"/>
      <c r="BH107" s="162"/>
      <c r="BI107" s="162"/>
      <c r="BJ107" s="162"/>
      <c r="BK107" s="162"/>
      <c r="BL107" s="162"/>
      <c r="BM107" s="162"/>
      <c r="BN107" s="162"/>
      <c r="BO107" s="162"/>
      <c r="BP107" s="162"/>
      <c r="BQ107" s="162"/>
      <c r="BR107" s="162"/>
      <c r="BS107" s="162"/>
      <c r="BT107" s="162"/>
      <c r="BU107" s="162"/>
      <c r="BV107" s="162"/>
      <c r="BW107" s="162"/>
      <c r="BX107" s="162"/>
      <c r="BY107" s="162"/>
      <c r="BZ107" s="162"/>
      <c r="CA107" s="162"/>
      <c r="CB107" s="162"/>
      <c r="CC107" s="162"/>
      <c r="CD107" s="162"/>
      <c r="CE107" s="162"/>
      <c r="CF107" s="162"/>
      <c r="CG107" s="162"/>
      <c r="CH107" s="162"/>
      <c r="CI107" s="162"/>
      <c r="CJ107" s="162"/>
      <c r="CK107" s="162"/>
      <c r="CL107" s="162"/>
      <c r="CM107" s="162"/>
      <c r="CN107" s="162"/>
      <c r="CO107" s="162"/>
      <c r="CP107" s="162"/>
      <c r="CQ107" s="162"/>
      <c r="CR107" s="162"/>
      <c r="CS107" s="162"/>
      <c r="CT107" s="162"/>
      <c r="CU107" s="162"/>
      <c r="CV107" s="162"/>
      <c r="CW107" s="162"/>
      <c r="CX107" s="162"/>
      <c r="CY107" s="162"/>
      <c r="CZ107" s="162"/>
      <c r="DA107" s="162"/>
      <c r="DB107" s="162"/>
      <c r="DC107" s="162"/>
      <c r="DD107" s="162"/>
    </row>
    <row r="108" spans="1:108" collapsed="1" x14ac:dyDescent="0.2">
      <c r="A108" s="162"/>
      <c r="B108" s="162"/>
      <c r="C108" s="162"/>
      <c r="D108" s="162"/>
      <c r="E108" s="162"/>
      <c r="F108" s="162"/>
      <c r="G108" s="162"/>
      <c r="H108" s="162"/>
      <c r="I108" s="162"/>
      <c r="J108" s="162"/>
      <c r="K108" s="162"/>
      <c r="L108" s="162"/>
      <c r="M108" s="162"/>
      <c r="N108" s="162"/>
      <c r="O108" s="162"/>
      <c r="P108" s="162"/>
      <c r="Q108" s="162"/>
      <c r="R108" s="162"/>
      <c r="S108" s="162"/>
      <c r="T108" s="162"/>
      <c r="U108" s="162"/>
      <c r="V108" s="162"/>
      <c r="W108" s="162"/>
      <c r="X108" s="162"/>
      <c r="Y108" s="162"/>
      <c r="Z108" s="162"/>
      <c r="AA108" s="162"/>
      <c r="AB108" s="162"/>
      <c r="AC108" s="162"/>
      <c r="AD108" s="162"/>
      <c r="AE108" s="162"/>
      <c r="AF108" s="162"/>
      <c r="AG108" s="162"/>
      <c r="AH108" s="162"/>
      <c r="AI108" s="162"/>
      <c r="AJ108" s="162"/>
      <c r="AK108" s="162"/>
      <c r="AL108" s="162"/>
      <c r="AM108" s="162"/>
      <c r="AN108" s="162"/>
      <c r="AO108" s="162"/>
      <c r="AP108" s="162"/>
      <c r="AQ108" s="162"/>
      <c r="AR108" s="162"/>
      <c r="AS108" s="162"/>
      <c r="AT108" s="162"/>
      <c r="AU108" s="162"/>
      <c r="AV108" s="162"/>
      <c r="AW108" s="162"/>
      <c r="AX108" s="162"/>
      <c r="AY108" s="162"/>
      <c r="AZ108" s="162"/>
      <c r="BA108" s="162"/>
      <c r="BB108" s="162"/>
      <c r="BC108" s="162"/>
      <c r="BD108" s="162"/>
      <c r="BE108" s="162"/>
      <c r="BF108" s="162"/>
      <c r="BG108" s="162"/>
      <c r="BH108" s="162"/>
      <c r="BI108" s="162"/>
      <c r="BJ108" s="162"/>
      <c r="BK108" s="162"/>
      <c r="BL108" s="162"/>
      <c r="BM108" s="162"/>
      <c r="BN108" s="162"/>
      <c r="BO108" s="162"/>
      <c r="BP108" s="162"/>
      <c r="BQ108" s="162"/>
      <c r="BR108" s="162"/>
      <c r="BS108" s="162"/>
      <c r="BT108" s="162"/>
      <c r="BU108" s="162"/>
      <c r="BV108" s="162"/>
      <c r="BW108" s="162"/>
      <c r="BX108" s="162"/>
      <c r="BY108" s="162"/>
      <c r="BZ108" s="162"/>
      <c r="CA108" s="162"/>
      <c r="CB108" s="162"/>
      <c r="CC108" s="162"/>
      <c r="CD108" s="162"/>
      <c r="CE108" s="162"/>
      <c r="CF108" s="162"/>
      <c r="CG108" s="162"/>
      <c r="CH108" s="162"/>
      <c r="CI108" s="162"/>
      <c r="CJ108" s="162"/>
      <c r="CK108" s="162"/>
      <c r="CL108" s="162"/>
      <c r="CM108" s="162"/>
      <c r="CN108" s="162"/>
      <c r="CO108" s="162"/>
      <c r="CP108" s="162"/>
      <c r="CQ108" s="162"/>
      <c r="CR108" s="162"/>
      <c r="CS108" s="162"/>
      <c r="CT108" s="162"/>
      <c r="CU108" s="162"/>
      <c r="CV108" s="162"/>
      <c r="CW108" s="162"/>
      <c r="CX108" s="162"/>
      <c r="CY108" s="162"/>
      <c r="CZ108" s="162"/>
      <c r="DA108" s="162"/>
      <c r="DB108" s="162"/>
      <c r="DC108" s="162"/>
      <c r="DD108" s="162"/>
    </row>
    <row r="109" spans="1:108" ht="15.75" x14ac:dyDescent="0.2">
      <c r="A109" s="162"/>
      <c r="B109" s="242">
        <f>IF(H112&lt;&gt;"",VLOOKUP(H112,GenderCode,2,FALSE),0)</f>
        <v>0</v>
      </c>
      <c r="C109" s="58">
        <v>6</v>
      </c>
      <c r="D109" s="79" t="str">
        <f>IF(B109=0,MsgNotUsed, CONCATENATE("ABS ", C109, ": ", H112, " ", E113, " - ", F113, " yrs inclusive (", E118, "-", J118, ")") &amp; IF(E115&lt;&gt;"",CONCATENATE(" - (",D115,")"),""))</f>
        <v>** NOT USED **</v>
      </c>
      <c r="E109" s="127"/>
      <c r="F109" s="127"/>
      <c r="G109" s="127"/>
      <c r="H109" s="127"/>
      <c r="I109" s="175"/>
      <c r="J109" s="127"/>
      <c r="K109" s="127"/>
      <c r="L109" s="127"/>
      <c r="M109" s="127"/>
      <c r="N109" s="127"/>
      <c r="O109" s="127"/>
      <c r="P109" s="162"/>
      <c r="Q109" s="162"/>
      <c r="R109" s="162"/>
      <c r="S109" s="162"/>
      <c r="T109" s="162"/>
      <c r="U109" s="162"/>
      <c r="V109" s="162"/>
      <c r="W109" s="162"/>
      <c r="X109" s="162"/>
      <c r="Y109" s="162"/>
      <c r="Z109" s="162"/>
      <c r="AA109" s="162"/>
      <c r="AB109" s="162"/>
      <c r="AC109" s="162"/>
      <c r="AD109" s="162"/>
      <c r="AE109" s="162"/>
      <c r="AF109" s="162"/>
      <c r="AG109" s="162"/>
      <c r="AH109" s="162"/>
      <c r="AI109" s="162"/>
      <c r="AJ109" s="162"/>
      <c r="AK109" s="162"/>
      <c r="AL109" s="162"/>
      <c r="AM109" s="162"/>
      <c r="AN109" s="162"/>
      <c r="AO109" s="162"/>
      <c r="AP109" s="162"/>
      <c r="AQ109" s="162"/>
      <c r="AR109" s="162"/>
      <c r="AS109" s="162"/>
      <c r="AT109" s="162"/>
      <c r="AU109" s="162"/>
      <c r="AV109" s="162"/>
      <c r="AW109" s="162"/>
      <c r="AX109" s="162"/>
      <c r="AY109" s="162"/>
      <c r="AZ109" s="162"/>
      <c r="BA109" s="162"/>
      <c r="BB109" s="162"/>
      <c r="BC109" s="162"/>
      <c r="BD109" s="162"/>
      <c r="BE109" s="162"/>
      <c r="BF109" s="162"/>
      <c r="BG109" s="162"/>
      <c r="BH109" s="162"/>
      <c r="BI109" s="162"/>
      <c r="BJ109" s="162"/>
      <c r="BK109" s="162"/>
      <c r="BL109" s="162"/>
      <c r="BM109" s="162"/>
      <c r="BN109" s="162"/>
      <c r="BO109" s="162"/>
      <c r="BP109" s="162"/>
      <c r="BQ109" s="162"/>
      <c r="BR109" s="162"/>
      <c r="BS109" s="162"/>
      <c r="BT109" s="162"/>
      <c r="BU109" s="162"/>
      <c r="BV109" s="162"/>
      <c r="BW109" s="162"/>
      <c r="BX109" s="162"/>
      <c r="BY109" s="162"/>
      <c r="BZ109" s="162"/>
      <c r="CA109" s="162"/>
      <c r="CB109" s="162"/>
      <c r="CC109" s="162"/>
      <c r="CD109" s="162"/>
      <c r="CE109" s="162"/>
      <c r="CF109" s="162"/>
      <c r="CG109" s="162"/>
      <c r="CH109" s="162"/>
      <c r="CI109" s="162"/>
      <c r="CJ109" s="162"/>
      <c r="CK109" s="162"/>
      <c r="CL109" s="162"/>
      <c r="CM109" s="162"/>
      <c r="CN109" s="162"/>
      <c r="CO109" s="162"/>
      <c r="CP109" s="162"/>
      <c r="CQ109" s="162"/>
      <c r="CR109" s="162"/>
      <c r="CS109" s="162"/>
      <c r="CT109" s="162"/>
      <c r="CU109" s="162"/>
      <c r="CV109" s="162"/>
      <c r="CW109" s="162"/>
      <c r="CX109" s="162"/>
      <c r="CY109" s="162"/>
      <c r="CZ109" s="162"/>
      <c r="DA109" s="162"/>
      <c r="DB109" s="162"/>
      <c r="DC109" s="162"/>
      <c r="DD109" s="162"/>
    </row>
    <row r="110" spans="1:108" ht="14.25" hidden="1" outlineLevel="1" x14ac:dyDescent="0.2">
      <c r="A110" s="162"/>
      <c r="B110" s="162"/>
      <c r="C110" s="162"/>
      <c r="D110" s="647"/>
      <c r="E110" s="162"/>
      <c r="F110" s="162"/>
      <c r="G110" s="162"/>
      <c r="H110" s="162"/>
      <c r="I110" s="162"/>
      <c r="J110" s="162"/>
      <c r="K110" s="162"/>
      <c r="L110" s="162"/>
      <c r="M110" s="162"/>
      <c r="N110" s="162"/>
      <c r="O110" s="162"/>
      <c r="P110" s="162"/>
      <c r="Q110" s="162"/>
      <c r="R110" s="162"/>
      <c r="S110" s="162"/>
      <c r="T110" s="162"/>
      <c r="U110" s="162"/>
      <c r="V110" s="162"/>
      <c r="W110" s="162"/>
      <c r="X110" s="162"/>
      <c r="Y110" s="162"/>
      <c r="Z110" s="162"/>
      <c r="AA110" s="162"/>
      <c r="AB110" s="162"/>
      <c r="AC110" s="162"/>
      <c r="AD110" s="162"/>
      <c r="AE110" s="162"/>
      <c r="AF110" s="162"/>
      <c r="AG110" s="162"/>
      <c r="AH110" s="162"/>
      <c r="AI110" s="162"/>
      <c r="AJ110" s="162"/>
      <c r="AK110" s="162"/>
      <c r="AL110" s="162"/>
      <c r="AM110" s="162"/>
      <c r="AN110" s="162"/>
      <c r="AO110" s="162"/>
      <c r="AP110" s="162"/>
      <c r="AQ110" s="162"/>
      <c r="AR110" s="162"/>
      <c r="AS110" s="162"/>
      <c r="AT110" s="162"/>
      <c r="AU110" s="162"/>
      <c r="AV110" s="162"/>
      <c r="AW110" s="162"/>
      <c r="AX110" s="162"/>
      <c r="AY110" s="162"/>
      <c r="AZ110" s="162"/>
      <c r="BA110" s="162"/>
      <c r="BB110" s="162"/>
      <c r="BC110" s="162"/>
      <c r="BD110" s="162"/>
      <c r="BE110" s="162"/>
      <c r="BF110" s="162"/>
      <c r="BG110" s="162"/>
      <c r="BH110" s="162"/>
      <c r="BI110" s="162"/>
      <c r="BJ110" s="162"/>
      <c r="BK110" s="162"/>
      <c r="BL110" s="162"/>
      <c r="BM110" s="162"/>
      <c r="BN110" s="162"/>
      <c r="BO110" s="162"/>
      <c r="BP110" s="162"/>
      <c r="BQ110" s="162"/>
      <c r="BR110" s="162"/>
      <c r="BS110" s="162"/>
      <c r="BT110" s="162"/>
      <c r="BU110" s="162"/>
      <c r="BV110" s="162"/>
      <c r="BW110" s="162"/>
      <c r="BX110" s="162"/>
      <c r="BY110" s="162"/>
      <c r="BZ110" s="162"/>
      <c r="CA110" s="162"/>
      <c r="CB110" s="162"/>
      <c r="CC110" s="162"/>
      <c r="CD110" s="162"/>
      <c r="CE110" s="162"/>
      <c r="CF110" s="162"/>
      <c r="CG110" s="162"/>
      <c r="CH110" s="162"/>
      <c r="CI110" s="162"/>
      <c r="CJ110" s="162"/>
      <c r="CK110" s="162"/>
      <c r="CL110" s="162"/>
      <c r="CM110" s="162"/>
      <c r="CN110" s="162"/>
      <c r="CO110" s="162"/>
      <c r="CP110" s="162"/>
      <c r="CQ110" s="162"/>
      <c r="CR110" s="162"/>
      <c r="CS110" s="162"/>
      <c r="CT110" s="162"/>
      <c r="CU110" s="162"/>
      <c r="CV110" s="162"/>
      <c r="CW110" s="162"/>
      <c r="CX110" s="162"/>
      <c r="CY110" s="162"/>
      <c r="CZ110" s="162"/>
      <c r="DA110" s="162"/>
      <c r="DB110" s="162"/>
      <c r="DC110" s="162"/>
      <c r="DD110" s="162"/>
    </row>
    <row r="111" spans="1:108" hidden="1" outlineLevel="1" x14ac:dyDescent="0.2">
      <c r="A111" s="162"/>
      <c r="B111" s="162"/>
      <c r="C111" s="162"/>
      <c r="D111" s="162"/>
      <c r="E111" s="632" t="s">
        <v>245</v>
      </c>
      <c r="F111" s="632" t="s">
        <v>246</v>
      </c>
      <c r="G111" s="162"/>
      <c r="H111" s="632" t="s">
        <v>51</v>
      </c>
      <c r="I111" s="162"/>
      <c r="J111" s="632" t="s">
        <v>365</v>
      </c>
      <c r="K111" s="162"/>
      <c r="L111" s="162"/>
      <c r="M111" s="162"/>
      <c r="N111" s="162"/>
      <c r="O111" s="162"/>
      <c r="P111" s="162"/>
      <c r="Q111" s="162"/>
      <c r="R111" s="162"/>
      <c r="S111" s="162"/>
      <c r="T111" s="162"/>
      <c r="U111" s="162"/>
      <c r="V111" s="162"/>
      <c r="W111" s="162"/>
      <c r="X111" s="162"/>
      <c r="Y111" s="162"/>
      <c r="Z111" s="162"/>
      <c r="AA111" s="162"/>
      <c r="AB111" s="162"/>
      <c r="AC111" s="162"/>
      <c r="AD111" s="162"/>
      <c r="AE111" s="162"/>
      <c r="AF111" s="162"/>
      <c r="AG111" s="162"/>
      <c r="AH111" s="162"/>
      <c r="AI111" s="162"/>
      <c r="AJ111" s="162"/>
      <c r="AK111" s="162"/>
      <c r="AL111" s="162"/>
      <c r="AM111" s="162"/>
      <c r="AN111" s="162"/>
      <c r="AO111" s="162"/>
      <c r="AP111" s="162"/>
      <c r="AQ111" s="162"/>
      <c r="AR111" s="162"/>
      <c r="AS111" s="162"/>
      <c r="AT111" s="162"/>
      <c r="AU111" s="162"/>
      <c r="AV111" s="162"/>
      <c r="AW111" s="162"/>
      <c r="AX111" s="162"/>
      <c r="AY111" s="162"/>
      <c r="AZ111" s="162"/>
      <c r="BA111" s="162"/>
      <c r="BB111" s="162"/>
      <c r="BC111" s="162"/>
      <c r="BD111" s="162"/>
      <c r="BE111" s="162"/>
      <c r="BF111" s="162"/>
      <c r="BG111" s="162"/>
      <c r="BH111" s="162"/>
      <c r="BI111" s="162"/>
      <c r="BJ111" s="162"/>
      <c r="BK111" s="162"/>
      <c r="BL111" s="162"/>
      <c r="BM111" s="162"/>
      <c r="BN111" s="162"/>
      <c r="BO111" s="162"/>
      <c r="BP111" s="162"/>
      <c r="BQ111" s="162"/>
      <c r="BR111" s="162"/>
      <c r="BS111" s="162"/>
      <c r="BT111" s="162"/>
      <c r="BU111" s="162"/>
      <c r="BV111" s="162"/>
      <c r="BW111" s="162"/>
      <c r="BX111" s="162"/>
      <c r="BY111" s="162"/>
      <c r="BZ111" s="162"/>
      <c r="CA111" s="162"/>
      <c r="CB111" s="162"/>
      <c r="CC111" s="162"/>
      <c r="CD111" s="162"/>
      <c r="CE111" s="162"/>
      <c r="CF111" s="162"/>
      <c r="CG111" s="162"/>
      <c r="CH111" s="162"/>
      <c r="CI111" s="162"/>
      <c r="CJ111" s="162"/>
      <c r="CK111" s="162"/>
      <c r="CL111" s="162"/>
      <c r="CM111" s="162"/>
      <c r="CN111" s="162"/>
      <c r="CO111" s="162"/>
      <c r="CP111" s="162"/>
      <c r="CQ111" s="162"/>
      <c r="CR111" s="162"/>
      <c r="CS111" s="162"/>
      <c r="CT111" s="162"/>
      <c r="CU111" s="162"/>
      <c r="CV111" s="162"/>
      <c r="CW111" s="162"/>
      <c r="CX111" s="162"/>
      <c r="CY111" s="162"/>
      <c r="CZ111" s="162"/>
      <c r="DA111" s="162"/>
      <c r="DB111" s="162"/>
      <c r="DC111" s="162"/>
      <c r="DD111" s="162"/>
    </row>
    <row r="112" spans="1:108" hidden="1" outlineLevel="1" x14ac:dyDescent="0.2">
      <c r="A112" s="162"/>
      <c r="B112" s="162"/>
      <c r="C112" s="162"/>
      <c r="D112" s="42" t="s">
        <v>242</v>
      </c>
      <c r="E112" s="427"/>
      <c r="F112" s="427"/>
      <c r="G112" s="162"/>
      <c r="H112" s="360"/>
      <c r="I112" s="162"/>
      <c r="J112" s="360"/>
      <c r="K112" s="162"/>
      <c r="L112" s="162"/>
      <c r="M112" s="162"/>
      <c r="N112" s="162"/>
      <c r="O112" s="162"/>
      <c r="P112" s="162"/>
      <c r="Q112" s="162"/>
      <c r="R112" s="162"/>
      <c r="S112" s="162"/>
      <c r="T112" s="162"/>
      <c r="U112" s="162"/>
      <c r="V112" s="162"/>
      <c r="W112" s="162"/>
      <c r="X112" s="162"/>
      <c r="Y112" s="162"/>
      <c r="Z112" s="162"/>
      <c r="AA112" s="162"/>
      <c r="AB112" s="162"/>
      <c r="AC112" s="162"/>
      <c r="AD112" s="162"/>
      <c r="AE112" s="162"/>
      <c r="AF112" s="162"/>
      <c r="AG112" s="162"/>
      <c r="AH112" s="162"/>
      <c r="AI112" s="162"/>
      <c r="AJ112" s="162"/>
      <c r="AK112" s="162"/>
      <c r="AL112" s="162"/>
      <c r="AM112" s="162"/>
      <c r="AN112" s="162"/>
      <c r="AO112" s="162"/>
      <c r="AP112" s="162"/>
      <c r="AQ112" s="162"/>
      <c r="AR112" s="162"/>
      <c r="AS112" s="162"/>
      <c r="AT112" s="162"/>
      <c r="AU112" s="162"/>
      <c r="AV112" s="162"/>
      <c r="AW112" s="162"/>
      <c r="AX112" s="162"/>
      <c r="AY112" s="162"/>
      <c r="AZ112" s="162"/>
      <c r="BA112" s="162"/>
      <c r="BB112" s="162"/>
      <c r="BC112" s="162"/>
      <c r="BD112" s="162"/>
      <c r="BE112" s="162"/>
      <c r="BF112" s="162"/>
      <c r="BG112" s="162"/>
      <c r="BH112" s="162"/>
      <c r="BI112" s="162"/>
      <c r="BJ112" s="162"/>
      <c r="BK112" s="162"/>
      <c r="BL112" s="162"/>
      <c r="BM112" s="162"/>
      <c r="BN112" s="162"/>
      <c r="BO112" s="162"/>
      <c r="BP112" s="162"/>
      <c r="BQ112" s="162"/>
      <c r="BR112" s="162"/>
      <c r="BS112" s="162"/>
      <c r="BT112" s="162"/>
      <c r="BU112" s="162"/>
      <c r="BV112" s="162"/>
      <c r="BW112" s="162"/>
      <c r="BX112" s="162"/>
      <c r="BY112" s="162"/>
      <c r="BZ112" s="162"/>
      <c r="CA112" s="162"/>
      <c r="CB112" s="162"/>
      <c r="CC112" s="162"/>
      <c r="CD112" s="162"/>
      <c r="CE112" s="162"/>
      <c r="CF112" s="162"/>
      <c r="CG112" s="162"/>
      <c r="CH112" s="162"/>
      <c r="CI112" s="162"/>
      <c r="CJ112" s="162"/>
      <c r="CK112" s="162"/>
      <c r="CL112" s="162"/>
      <c r="CM112" s="162"/>
      <c r="CN112" s="162"/>
      <c r="CO112" s="162"/>
      <c r="CP112" s="162"/>
      <c r="CQ112" s="162"/>
      <c r="CR112" s="162"/>
      <c r="CS112" s="162"/>
      <c r="CT112" s="162"/>
      <c r="CU112" s="162"/>
      <c r="CV112" s="162"/>
      <c r="CW112" s="162"/>
      <c r="CX112" s="162"/>
      <c r="CY112" s="162"/>
      <c r="CZ112" s="162"/>
      <c r="DA112" s="162"/>
      <c r="DB112" s="162"/>
      <c r="DC112" s="162"/>
      <c r="DD112" s="162"/>
    </row>
    <row r="113" spans="1:108" hidden="1" outlineLevel="1" x14ac:dyDescent="0.2">
      <c r="A113" s="162"/>
      <c r="B113" s="162"/>
      <c r="C113" s="162"/>
      <c r="D113" s="162"/>
      <c r="E113" s="495">
        <f>IF(E112="",0,E112)</f>
        <v>0</v>
      </c>
      <c r="F113" s="495">
        <f>IF(F112="",100,F112)</f>
        <v>100</v>
      </c>
      <c r="G113" s="162"/>
      <c r="H113" s="162"/>
      <c r="I113" s="162"/>
      <c r="J113" s="162"/>
      <c r="K113" s="162"/>
      <c r="L113" s="162"/>
      <c r="M113" s="162"/>
      <c r="N113" s="162"/>
      <c r="O113" s="162"/>
      <c r="P113" s="162"/>
      <c r="Q113" s="162"/>
      <c r="R113" s="162"/>
      <c r="S113" s="162"/>
      <c r="T113" s="162"/>
      <c r="U113" s="162"/>
      <c r="V113" s="162"/>
      <c r="W113" s="162"/>
      <c r="X113" s="162"/>
      <c r="Y113" s="162"/>
      <c r="Z113" s="162"/>
      <c r="AA113" s="162"/>
      <c r="AB113" s="162"/>
      <c r="AC113" s="162"/>
      <c r="AD113" s="162"/>
      <c r="AE113" s="162"/>
      <c r="AF113" s="162"/>
      <c r="AG113" s="162"/>
      <c r="AH113" s="162"/>
      <c r="AI113" s="162"/>
      <c r="AJ113" s="162"/>
      <c r="AK113" s="162"/>
      <c r="AL113" s="162"/>
      <c r="AM113" s="162"/>
      <c r="AN113" s="162"/>
      <c r="AO113" s="162"/>
      <c r="AP113" s="162"/>
      <c r="AQ113" s="162"/>
      <c r="AR113" s="162"/>
      <c r="AS113" s="162"/>
      <c r="AT113" s="162"/>
      <c r="AU113" s="162"/>
      <c r="AV113" s="162"/>
      <c r="AW113" s="162"/>
      <c r="AX113" s="162"/>
      <c r="AY113" s="162"/>
      <c r="AZ113" s="162"/>
      <c r="BA113" s="162"/>
      <c r="BB113" s="162"/>
      <c r="BC113" s="162"/>
      <c r="BD113" s="162"/>
      <c r="BE113" s="162"/>
      <c r="BF113" s="162"/>
      <c r="BG113" s="162"/>
      <c r="BH113" s="162"/>
      <c r="BI113" s="162"/>
      <c r="BJ113" s="162"/>
      <c r="BK113" s="162"/>
      <c r="BL113" s="162"/>
      <c r="BM113" s="162"/>
      <c r="BN113" s="162"/>
      <c r="BO113" s="162"/>
      <c r="BP113" s="162"/>
      <c r="BQ113" s="162"/>
      <c r="BR113" s="162"/>
      <c r="BS113" s="162"/>
      <c r="BT113" s="162"/>
      <c r="BU113" s="162"/>
      <c r="BV113" s="162"/>
      <c r="BW113" s="162"/>
      <c r="BX113" s="162"/>
      <c r="BY113" s="162"/>
      <c r="BZ113" s="162"/>
      <c r="CA113" s="162"/>
      <c r="CB113" s="162"/>
      <c r="CC113" s="162"/>
      <c r="CD113" s="162"/>
      <c r="CE113" s="162"/>
      <c r="CF113" s="162"/>
      <c r="CG113" s="162"/>
      <c r="CH113" s="162"/>
      <c r="CI113" s="162"/>
      <c r="CJ113" s="162"/>
      <c r="CK113" s="162"/>
      <c r="CL113" s="162"/>
      <c r="CM113" s="162"/>
      <c r="CN113" s="162"/>
      <c r="CO113" s="162"/>
      <c r="CP113" s="162"/>
      <c r="CQ113" s="162"/>
      <c r="CR113" s="162"/>
      <c r="CS113" s="162"/>
      <c r="CT113" s="162"/>
      <c r="CU113" s="162"/>
      <c r="CV113" s="162"/>
      <c r="CW113" s="162"/>
      <c r="CX113" s="162"/>
      <c r="CY113" s="162"/>
      <c r="CZ113" s="162"/>
      <c r="DA113" s="162"/>
      <c r="DB113" s="162"/>
      <c r="DC113" s="162"/>
      <c r="DD113" s="162"/>
    </row>
    <row r="114" spans="1:108" hidden="1" outlineLevel="1" x14ac:dyDescent="0.2">
      <c r="A114" s="162"/>
      <c r="B114" s="162"/>
      <c r="C114" s="162"/>
      <c r="D114" s="162"/>
      <c r="E114" s="632" t="s">
        <v>464</v>
      </c>
      <c r="F114" s="632" t="s">
        <v>465</v>
      </c>
      <c r="G114" s="162"/>
      <c r="H114" s="162"/>
      <c r="I114" s="162"/>
      <c r="J114" s="162"/>
      <c r="K114" s="162"/>
      <c r="L114" s="162"/>
      <c r="M114" s="162"/>
      <c r="N114" s="162"/>
      <c r="O114" s="162"/>
      <c r="P114" s="162"/>
      <c r="Q114" s="162"/>
      <c r="R114" s="162"/>
      <c r="S114" s="162"/>
      <c r="T114" s="162"/>
      <c r="U114" s="162"/>
      <c r="V114" s="162"/>
      <c r="W114" s="162"/>
      <c r="X114" s="162"/>
      <c r="Y114" s="162"/>
      <c r="Z114" s="162"/>
      <c r="AA114" s="162"/>
      <c r="AB114" s="162"/>
      <c r="AC114" s="162"/>
      <c r="AD114" s="162"/>
      <c r="AE114" s="162"/>
      <c r="AF114" s="162"/>
      <c r="AG114" s="162"/>
      <c r="AH114" s="162"/>
      <c r="AI114" s="162"/>
      <c r="AJ114" s="162"/>
      <c r="AK114" s="162"/>
      <c r="AL114" s="162"/>
      <c r="AM114" s="162"/>
      <c r="AN114" s="162"/>
      <c r="AO114" s="162"/>
      <c r="AP114" s="162"/>
      <c r="AQ114" s="162"/>
      <c r="AR114" s="162"/>
      <c r="AS114" s="162"/>
      <c r="AT114" s="162"/>
      <c r="AU114" s="162"/>
      <c r="AV114" s="162"/>
      <c r="AW114" s="162"/>
      <c r="AX114" s="162"/>
      <c r="AY114" s="162"/>
      <c r="AZ114" s="162"/>
      <c r="BA114" s="162"/>
      <c r="BB114" s="162"/>
      <c r="BC114" s="162"/>
      <c r="BD114" s="162"/>
      <c r="BE114" s="162"/>
      <c r="BF114" s="162"/>
      <c r="BG114" s="162"/>
      <c r="BH114" s="162"/>
      <c r="BI114" s="162"/>
      <c r="BJ114" s="162"/>
      <c r="BK114" s="162"/>
      <c r="BL114" s="162"/>
      <c r="BM114" s="162"/>
      <c r="BN114" s="162"/>
      <c r="BO114" s="162"/>
      <c r="BP114" s="162"/>
      <c r="BQ114" s="162"/>
      <c r="BR114" s="162"/>
      <c r="BS114" s="162"/>
      <c r="BT114" s="162"/>
      <c r="BU114" s="162"/>
      <c r="BV114" s="162"/>
      <c r="BW114" s="162"/>
      <c r="BX114" s="162"/>
      <c r="BY114" s="162"/>
      <c r="BZ114" s="162"/>
      <c r="CA114" s="162"/>
      <c r="CB114" s="162"/>
      <c r="CC114" s="162"/>
      <c r="CD114" s="162"/>
      <c r="CE114" s="162"/>
      <c r="CF114" s="162"/>
      <c r="CG114" s="162"/>
      <c r="CH114" s="162"/>
      <c r="CI114" s="162"/>
      <c r="CJ114" s="162"/>
      <c r="CK114" s="162"/>
      <c r="CL114" s="162"/>
      <c r="CM114" s="162"/>
      <c r="CN114" s="162"/>
      <c r="CO114" s="162"/>
      <c r="CP114" s="162"/>
      <c r="CQ114" s="162"/>
      <c r="CR114" s="162"/>
      <c r="CS114" s="162"/>
      <c r="CT114" s="162"/>
      <c r="CU114" s="162"/>
      <c r="CV114" s="162"/>
      <c r="CW114" s="162"/>
      <c r="CX114" s="162"/>
      <c r="CY114" s="162"/>
      <c r="CZ114" s="162"/>
      <c r="DA114" s="162"/>
      <c r="DB114" s="162"/>
      <c r="DC114" s="162"/>
      <c r="DD114" s="162"/>
    </row>
    <row r="115" spans="1:108" hidden="1" outlineLevel="1" x14ac:dyDescent="0.2">
      <c r="A115" s="162"/>
      <c r="B115" s="162"/>
      <c r="C115" s="162"/>
      <c r="D115" s="631" t="s">
        <v>463</v>
      </c>
      <c r="E115" s="521"/>
      <c r="F115" s="427"/>
      <c r="G115" s="315">
        <f>IF(AND(E115&lt;&gt;"",F115&lt;&gt;""),E115/F115,1)</f>
        <v>1</v>
      </c>
      <c r="H115" s="162"/>
      <c r="I115" s="42" t="s">
        <v>258</v>
      </c>
      <c r="J115" s="911"/>
      <c r="K115" s="912"/>
      <c r="L115" s="912"/>
      <c r="M115" s="912"/>
      <c r="N115" s="912"/>
      <c r="O115" s="912"/>
      <c r="P115" s="162"/>
      <c r="Q115" s="162"/>
      <c r="R115" s="162"/>
      <c r="S115" s="162"/>
      <c r="T115" s="162"/>
      <c r="U115" s="162"/>
      <c r="V115" s="162"/>
      <c r="W115" s="162"/>
      <c r="X115" s="162"/>
      <c r="Y115" s="162"/>
      <c r="Z115" s="162"/>
      <c r="AA115" s="162"/>
      <c r="AB115" s="162"/>
      <c r="AC115" s="162"/>
      <c r="AD115" s="162"/>
      <c r="AE115" s="162"/>
      <c r="AF115" s="162"/>
      <c r="AG115" s="162"/>
      <c r="AH115" s="162"/>
      <c r="AI115" s="162"/>
      <c r="AJ115" s="162"/>
      <c r="AK115" s="162"/>
      <c r="AL115" s="162"/>
      <c r="AM115" s="162"/>
      <c r="AN115" s="162"/>
      <c r="AO115" s="162"/>
      <c r="AP115" s="162"/>
      <c r="AQ115" s="162"/>
      <c r="AR115" s="162"/>
      <c r="AS115" s="162"/>
      <c r="AT115" s="162"/>
      <c r="AU115" s="162"/>
      <c r="AV115" s="162"/>
      <c r="AW115" s="162"/>
      <c r="AX115" s="162"/>
      <c r="AY115" s="162"/>
      <c r="AZ115" s="162"/>
      <c r="BA115" s="162"/>
      <c r="BB115" s="162"/>
      <c r="BC115" s="162"/>
      <c r="BD115" s="162"/>
      <c r="BE115" s="162"/>
      <c r="BF115" s="162"/>
      <c r="BG115" s="162"/>
      <c r="BH115" s="162"/>
      <c r="BI115" s="162"/>
      <c r="BJ115" s="162"/>
      <c r="BK115" s="162"/>
      <c r="BL115" s="162"/>
      <c r="BM115" s="162"/>
      <c r="BN115" s="162"/>
      <c r="BO115" s="162"/>
      <c r="BP115" s="162"/>
      <c r="BQ115" s="162"/>
      <c r="BR115" s="162"/>
      <c r="BS115" s="162"/>
      <c r="BT115" s="162"/>
      <c r="BU115" s="162"/>
      <c r="BV115" s="162"/>
      <c r="BW115" s="162"/>
      <c r="BX115" s="162"/>
      <c r="BY115" s="162"/>
      <c r="BZ115" s="162"/>
      <c r="CA115" s="162"/>
      <c r="CB115" s="162"/>
      <c r="CC115" s="162"/>
      <c r="CD115" s="162"/>
      <c r="CE115" s="162"/>
      <c r="CF115" s="162"/>
      <c r="CG115" s="162"/>
      <c r="CH115" s="162"/>
      <c r="CI115" s="162"/>
      <c r="CJ115" s="162"/>
      <c r="CK115" s="162"/>
      <c r="CL115" s="162"/>
      <c r="CM115" s="162"/>
      <c r="CN115" s="162"/>
      <c r="CO115" s="162"/>
      <c r="CP115" s="162"/>
      <c r="CQ115" s="162"/>
      <c r="CR115" s="162"/>
      <c r="CS115" s="162"/>
      <c r="CT115" s="162"/>
      <c r="CU115" s="162"/>
      <c r="CV115" s="162"/>
      <c r="CW115" s="162"/>
      <c r="CX115" s="162"/>
      <c r="CY115" s="162"/>
      <c r="CZ115" s="162"/>
      <c r="DA115" s="162"/>
      <c r="DB115" s="162"/>
      <c r="DC115" s="162"/>
      <c r="DD115" s="162"/>
    </row>
    <row r="116" spans="1:108" hidden="1" outlineLevel="1" x14ac:dyDescent="0.2">
      <c r="A116" s="162"/>
      <c r="B116" s="162"/>
      <c r="C116" s="162"/>
      <c r="D116" s="162"/>
      <c r="E116" s="162"/>
      <c r="F116" s="162"/>
      <c r="G116" s="162"/>
      <c r="H116" s="162"/>
      <c r="I116" s="162"/>
      <c r="J116" s="162"/>
      <c r="K116" s="162"/>
      <c r="L116" s="162"/>
      <c r="M116" s="162"/>
      <c r="N116" s="162"/>
      <c r="O116" s="162"/>
      <c r="P116" s="162"/>
      <c r="Q116" s="162"/>
      <c r="R116" s="162"/>
      <c r="S116" s="162"/>
      <c r="T116" s="162"/>
      <c r="U116" s="162"/>
      <c r="V116" s="162"/>
      <c r="W116" s="162"/>
      <c r="X116" s="162"/>
      <c r="Y116" s="162"/>
      <c r="Z116" s="162"/>
      <c r="AA116" s="162"/>
      <c r="AB116" s="162"/>
      <c r="AC116" s="162"/>
      <c r="AD116" s="162"/>
      <c r="AE116" s="162"/>
      <c r="AF116" s="162"/>
      <c r="AG116" s="162"/>
      <c r="AH116" s="162"/>
      <c r="AI116" s="162"/>
      <c r="AJ116" s="162"/>
      <c r="AK116" s="162"/>
      <c r="AL116" s="162"/>
      <c r="AM116" s="162"/>
      <c r="AN116" s="162"/>
      <c r="AO116" s="162"/>
      <c r="AP116" s="162"/>
      <c r="AQ116" s="162"/>
      <c r="AR116" s="162"/>
      <c r="AS116" s="162"/>
      <c r="AT116" s="162"/>
      <c r="AU116" s="162"/>
      <c r="AV116" s="162"/>
      <c r="AW116" s="162"/>
      <c r="AX116" s="162"/>
      <c r="AY116" s="162"/>
      <c r="AZ116" s="162"/>
      <c r="BA116" s="162"/>
      <c r="BB116" s="162"/>
      <c r="BC116" s="162"/>
      <c r="BD116" s="162"/>
      <c r="BE116" s="162"/>
      <c r="BF116" s="162"/>
      <c r="BG116" s="162"/>
      <c r="BH116" s="162"/>
      <c r="BI116" s="162"/>
      <c r="BJ116" s="162"/>
      <c r="BK116" s="162"/>
      <c r="BL116" s="162"/>
      <c r="BM116" s="162"/>
      <c r="BN116" s="162"/>
      <c r="BO116" s="162"/>
      <c r="BP116" s="162"/>
      <c r="BQ116" s="162"/>
      <c r="BR116" s="162"/>
      <c r="BS116" s="162"/>
      <c r="BT116" s="162"/>
      <c r="BU116" s="162"/>
      <c r="BV116" s="162"/>
      <c r="BW116" s="162"/>
      <c r="BX116" s="162"/>
      <c r="BY116" s="162"/>
      <c r="BZ116" s="162"/>
      <c r="CA116" s="162"/>
      <c r="CB116" s="162"/>
      <c r="CC116" s="162"/>
      <c r="CD116" s="162"/>
      <c r="CE116" s="162"/>
      <c r="CF116" s="162"/>
      <c r="CG116" s="162"/>
      <c r="CH116" s="162"/>
      <c r="CI116" s="162"/>
      <c r="CJ116" s="162"/>
      <c r="CK116" s="162"/>
      <c r="CL116" s="162"/>
      <c r="CM116" s="162"/>
      <c r="CN116" s="162"/>
      <c r="CO116" s="162"/>
      <c r="CP116" s="162"/>
      <c r="CQ116" s="162"/>
      <c r="CR116" s="162"/>
      <c r="CS116" s="162"/>
      <c r="CT116" s="162"/>
      <c r="CU116" s="162"/>
      <c r="CV116" s="162"/>
      <c r="CW116" s="162"/>
      <c r="CX116" s="162"/>
      <c r="CY116" s="162"/>
      <c r="CZ116" s="162"/>
      <c r="DA116" s="162"/>
      <c r="DB116" s="162"/>
      <c r="DC116" s="162"/>
      <c r="DD116" s="162"/>
    </row>
    <row r="117" spans="1:108" hidden="1" outlineLevel="1" x14ac:dyDescent="0.2">
      <c r="A117" s="162"/>
      <c r="B117" s="162"/>
      <c r="C117" s="162"/>
      <c r="D117" s="162"/>
      <c r="E117" s="616" t="s">
        <v>255</v>
      </c>
      <c r="F117" s="162"/>
      <c r="G117" s="162"/>
      <c r="H117" s="162"/>
      <c r="I117" s="162"/>
      <c r="J117" s="162"/>
      <c r="K117" s="162"/>
      <c r="L117" s="162"/>
      <c r="M117" s="162"/>
      <c r="N117" s="162"/>
      <c r="O117" s="162"/>
      <c r="P117" s="162"/>
      <c r="Q117" s="162"/>
      <c r="R117" s="162"/>
      <c r="S117" s="162"/>
      <c r="T117" s="162"/>
      <c r="U117" s="162"/>
      <c r="V117" s="162"/>
      <c r="W117" s="162"/>
      <c r="X117" s="162"/>
      <c r="Y117" s="162"/>
      <c r="Z117" s="162"/>
      <c r="AA117" s="162"/>
      <c r="AB117" s="162"/>
      <c r="AC117" s="162"/>
      <c r="AD117" s="162"/>
      <c r="AE117" s="162"/>
      <c r="AF117" s="162"/>
      <c r="AG117" s="162"/>
      <c r="AH117" s="162"/>
      <c r="AI117" s="162"/>
      <c r="AJ117" s="162"/>
      <c r="AK117" s="162"/>
      <c r="AL117" s="162"/>
      <c r="AM117" s="162"/>
      <c r="AN117" s="162"/>
      <c r="AO117" s="162"/>
      <c r="AP117" s="162"/>
      <c r="AQ117" s="162"/>
      <c r="AR117" s="162"/>
      <c r="AS117" s="162"/>
      <c r="AT117" s="162"/>
      <c r="AU117" s="162"/>
      <c r="AV117" s="162"/>
      <c r="AW117" s="162"/>
      <c r="AX117" s="162"/>
      <c r="AY117" s="162"/>
      <c r="AZ117" s="162"/>
      <c r="BA117" s="162"/>
      <c r="BB117" s="162"/>
      <c r="BC117" s="162"/>
      <c r="BD117" s="162"/>
      <c r="BE117" s="162"/>
      <c r="BF117" s="162"/>
      <c r="BG117" s="162"/>
      <c r="BH117" s="162"/>
      <c r="BI117" s="162"/>
      <c r="BJ117" s="162"/>
      <c r="BK117" s="162"/>
      <c r="BL117" s="162"/>
      <c r="BM117" s="162"/>
      <c r="BN117" s="162"/>
      <c r="BO117" s="162"/>
      <c r="BP117" s="162"/>
      <c r="BQ117" s="162"/>
      <c r="BR117" s="162"/>
      <c r="BS117" s="162"/>
      <c r="BT117" s="162"/>
      <c r="BU117" s="162"/>
      <c r="BV117" s="162"/>
      <c r="BW117" s="162"/>
      <c r="BX117" s="162"/>
      <c r="BY117" s="162"/>
      <c r="BZ117" s="162"/>
      <c r="CA117" s="162"/>
      <c r="CB117" s="162"/>
      <c r="CC117" s="162"/>
      <c r="CD117" s="162"/>
      <c r="CE117" s="162"/>
      <c r="CF117" s="162"/>
      <c r="CG117" s="162"/>
      <c r="CH117" s="162"/>
      <c r="CI117" s="162"/>
      <c r="CJ117" s="162"/>
      <c r="CK117" s="162"/>
      <c r="CL117" s="162"/>
      <c r="CM117" s="162"/>
      <c r="CN117" s="162"/>
      <c r="CO117" s="162"/>
      <c r="CP117" s="162"/>
      <c r="CQ117" s="162"/>
      <c r="CR117" s="162"/>
      <c r="CS117" s="162"/>
      <c r="CT117" s="162"/>
      <c r="CU117" s="162"/>
      <c r="CV117" s="162"/>
      <c r="CW117" s="162"/>
      <c r="CX117" s="162"/>
      <c r="CY117" s="162"/>
      <c r="CZ117" s="162"/>
      <c r="DA117" s="162"/>
      <c r="DB117" s="162"/>
      <c r="DC117" s="162"/>
      <c r="DD117" s="162"/>
    </row>
    <row r="118" spans="1:108" hidden="1" outlineLevel="1" x14ac:dyDescent="0.2">
      <c r="A118" s="162"/>
      <c r="B118" s="162"/>
      <c r="C118" s="162"/>
      <c r="D118" s="162"/>
      <c r="E118" s="78">
        <f>IF(J112&lt;&gt;"",J112,FirstYear)</f>
        <v>2021</v>
      </c>
      <c r="F118" s="630">
        <f>E118+1</f>
        <v>2022</v>
      </c>
      <c r="G118" s="630">
        <f>F118+1</f>
        <v>2023</v>
      </c>
      <c r="H118" s="630">
        <f>G118+1</f>
        <v>2024</v>
      </c>
      <c r="I118" s="630">
        <f>H118+1</f>
        <v>2025</v>
      </c>
      <c r="J118" s="630">
        <f>I118+1</f>
        <v>2026</v>
      </c>
      <c r="K118" s="162"/>
      <c r="L118" s="162"/>
      <c r="M118" s="162"/>
      <c r="N118" s="162"/>
      <c r="O118" s="162"/>
      <c r="P118" s="162"/>
      <c r="Q118" s="162"/>
      <c r="R118" s="162"/>
      <c r="S118" s="162"/>
      <c r="T118" s="162"/>
      <c r="U118" s="162"/>
      <c r="V118" s="162"/>
      <c r="W118" s="162"/>
      <c r="X118" s="162"/>
      <c r="Y118" s="162"/>
      <c r="Z118" s="162"/>
      <c r="AA118" s="162"/>
      <c r="AB118" s="162"/>
      <c r="AC118" s="162"/>
      <c r="AD118" s="162"/>
      <c r="AE118" s="162"/>
      <c r="AF118" s="162"/>
      <c r="AG118" s="162"/>
      <c r="AH118" s="162"/>
      <c r="AI118" s="162"/>
      <c r="AJ118" s="162"/>
      <c r="AK118" s="162"/>
      <c r="AL118" s="162"/>
      <c r="AM118" s="162"/>
      <c r="AN118" s="162"/>
      <c r="AO118" s="162"/>
      <c r="AP118" s="162"/>
      <c r="AQ118" s="162"/>
      <c r="AR118" s="162"/>
      <c r="AS118" s="162"/>
      <c r="AT118" s="162"/>
      <c r="AU118" s="162"/>
      <c r="AV118" s="162"/>
      <c r="AW118" s="162"/>
      <c r="AX118" s="162"/>
      <c r="AY118" s="162"/>
      <c r="AZ118" s="162"/>
      <c r="BA118" s="162"/>
      <c r="BB118" s="162"/>
      <c r="BC118" s="162"/>
      <c r="BD118" s="162"/>
      <c r="BE118" s="162"/>
      <c r="BF118" s="162"/>
      <c r="BG118" s="162"/>
      <c r="BH118" s="162"/>
      <c r="BI118" s="162"/>
      <c r="BJ118" s="162"/>
      <c r="BK118" s="162"/>
      <c r="BL118" s="162"/>
      <c r="BM118" s="162"/>
      <c r="BN118" s="162"/>
      <c r="BO118" s="162"/>
      <c r="BP118" s="162"/>
      <c r="BQ118" s="162"/>
      <c r="BR118" s="162"/>
      <c r="BS118" s="162"/>
      <c r="BT118" s="162"/>
      <c r="BU118" s="162"/>
      <c r="BV118" s="162"/>
      <c r="BW118" s="162"/>
      <c r="BX118" s="162"/>
      <c r="BY118" s="162"/>
      <c r="BZ118" s="162"/>
      <c r="CA118" s="162"/>
      <c r="CB118" s="162"/>
      <c r="CC118" s="162"/>
      <c r="CD118" s="162"/>
      <c r="CE118" s="162"/>
      <c r="CF118" s="162"/>
      <c r="CG118" s="162"/>
      <c r="CH118" s="162"/>
      <c r="CI118" s="162"/>
      <c r="CJ118" s="162"/>
      <c r="CK118" s="162"/>
      <c r="CL118" s="162"/>
      <c r="CM118" s="162"/>
      <c r="CN118" s="162"/>
      <c r="CO118" s="162"/>
      <c r="CP118" s="162"/>
      <c r="CQ118" s="162"/>
      <c r="CR118" s="162"/>
      <c r="CS118" s="162"/>
      <c r="CT118" s="162"/>
      <c r="CU118" s="162"/>
      <c r="CV118" s="162"/>
      <c r="CW118" s="162"/>
      <c r="CX118" s="162"/>
      <c r="CY118" s="162"/>
      <c r="CZ118" s="162"/>
      <c r="DA118" s="162"/>
      <c r="DB118" s="162"/>
      <c r="DC118" s="162"/>
      <c r="DD118" s="162"/>
    </row>
    <row r="119" spans="1:108" hidden="1" outlineLevel="1" x14ac:dyDescent="0.2">
      <c r="A119" s="162"/>
      <c r="B119" s="162"/>
      <c r="C119" s="162"/>
      <c r="D119" s="162"/>
      <c r="E119" s="63">
        <f t="shared" ref="E119:J119" si="35">IF($B$109&lt;&gt;0,VLOOKUP($B$109,$C$122:$J$124,E120)*$G115,0)</f>
        <v>0</v>
      </c>
      <c r="F119" s="63">
        <f t="shared" si="35"/>
        <v>0</v>
      </c>
      <c r="G119" s="63">
        <f t="shared" si="35"/>
        <v>0</v>
      </c>
      <c r="H119" s="63">
        <f t="shared" si="35"/>
        <v>0</v>
      </c>
      <c r="I119" s="63">
        <f t="shared" si="35"/>
        <v>0</v>
      </c>
      <c r="J119" s="63">
        <f t="shared" si="35"/>
        <v>0</v>
      </c>
      <c r="K119" s="162"/>
      <c r="L119" s="162"/>
      <c r="M119" s="162"/>
      <c r="N119" s="162"/>
      <c r="O119" s="162"/>
      <c r="P119" s="162"/>
      <c r="Q119" s="162"/>
      <c r="R119" s="162"/>
      <c r="S119" s="162"/>
      <c r="T119" s="162"/>
      <c r="U119" s="162"/>
      <c r="V119" s="162"/>
      <c r="W119" s="162"/>
      <c r="X119" s="162"/>
      <c r="Y119" s="162"/>
      <c r="Z119" s="162"/>
      <c r="AA119" s="162"/>
      <c r="AB119" s="162"/>
      <c r="AC119" s="162"/>
      <c r="AD119" s="162"/>
      <c r="AE119" s="162"/>
      <c r="AF119" s="162"/>
      <c r="AG119" s="162"/>
      <c r="AH119" s="162"/>
      <c r="AI119" s="162"/>
      <c r="AJ119" s="162"/>
      <c r="AK119" s="162"/>
      <c r="AL119" s="162"/>
      <c r="AM119" s="162"/>
      <c r="AN119" s="162"/>
      <c r="AO119" s="162"/>
      <c r="AP119" s="162"/>
      <c r="AQ119" s="162"/>
      <c r="AR119" s="162"/>
      <c r="AS119" s="162"/>
      <c r="AT119" s="162"/>
      <c r="AU119" s="162"/>
      <c r="AV119" s="162"/>
      <c r="AW119" s="162"/>
      <c r="AX119" s="162"/>
      <c r="AY119" s="162"/>
      <c r="AZ119" s="162"/>
      <c r="BA119" s="162"/>
      <c r="BB119" s="162"/>
      <c r="BC119" s="162"/>
      <c r="BD119" s="162"/>
      <c r="BE119" s="162"/>
      <c r="BF119" s="162"/>
      <c r="BG119" s="162"/>
      <c r="BH119" s="162"/>
      <c r="BI119" s="162"/>
      <c r="BJ119" s="162"/>
      <c r="BK119" s="162"/>
      <c r="BL119" s="162"/>
      <c r="BM119" s="162"/>
      <c r="BN119" s="162"/>
      <c r="BO119" s="162"/>
      <c r="BP119" s="162"/>
      <c r="BQ119" s="162"/>
      <c r="BR119" s="162"/>
      <c r="BS119" s="162"/>
      <c r="BT119" s="162"/>
      <c r="BU119" s="162"/>
      <c r="BV119" s="162"/>
      <c r="BW119" s="162"/>
      <c r="BX119" s="162"/>
      <c r="BY119" s="162"/>
      <c r="BZ119" s="162"/>
      <c r="CA119" s="162"/>
      <c r="CB119" s="162"/>
      <c r="CC119" s="162"/>
      <c r="CD119" s="162"/>
      <c r="CE119" s="162"/>
      <c r="CF119" s="162"/>
      <c r="CG119" s="162"/>
      <c r="CH119" s="162"/>
      <c r="CI119" s="162"/>
      <c r="CJ119" s="162"/>
      <c r="CK119" s="162"/>
      <c r="CL119" s="162"/>
      <c r="CM119" s="162"/>
      <c r="CN119" s="162"/>
      <c r="CO119" s="162"/>
      <c r="CP119" s="162"/>
      <c r="CQ119" s="162"/>
      <c r="CR119" s="162"/>
      <c r="CS119" s="162"/>
      <c r="CT119" s="162"/>
      <c r="CU119" s="162"/>
      <c r="CV119" s="162"/>
      <c r="CW119" s="162"/>
      <c r="CX119" s="162"/>
      <c r="CY119" s="162"/>
      <c r="CZ119" s="162"/>
      <c r="DA119" s="162"/>
      <c r="DB119" s="162"/>
      <c r="DC119" s="162"/>
      <c r="DD119" s="162"/>
    </row>
    <row r="120" spans="1:108" hidden="1" outlineLevel="1" x14ac:dyDescent="0.2">
      <c r="A120" s="162"/>
      <c r="B120" s="162"/>
      <c r="C120" s="162"/>
      <c r="D120" s="162"/>
      <c r="E120" s="650">
        <v>3</v>
      </c>
      <c r="F120" s="650">
        <v>4</v>
      </c>
      <c r="G120" s="650">
        <v>5</v>
      </c>
      <c r="H120" s="650">
        <v>6</v>
      </c>
      <c r="I120" s="650">
        <v>7</v>
      </c>
      <c r="J120" s="650">
        <v>8</v>
      </c>
      <c r="K120" s="162"/>
      <c r="L120" s="162"/>
      <c r="M120" s="162"/>
      <c r="N120" s="162"/>
      <c r="O120" s="162"/>
      <c r="P120" s="162"/>
      <c r="Q120" s="162"/>
      <c r="R120" s="162"/>
      <c r="S120" s="162"/>
      <c r="T120" s="162"/>
      <c r="U120" s="162"/>
      <c r="V120" s="162"/>
      <c r="W120" s="162"/>
      <c r="X120" s="162"/>
      <c r="Y120" s="162"/>
      <c r="Z120" s="162"/>
      <c r="AA120" s="162"/>
      <c r="AB120" s="162"/>
      <c r="AC120" s="162"/>
      <c r="AD120" s="162"/>
      <c r="AE120" s="162"/>
      <c r="AF120" s="162"/>
      <c r="AG120" s="162"/>
      <c r="AH120" s="162"/>
      <c r="AI120" s="162"/>
      <c r="AJ120" s="162"/>
      <c r="AK120" s="162"/>
      <c r="AL120" s="162"/>
      <c r="AM120" s="162"/>
      <c r="AN120" s="162"/>
      <c r="AO120" s="162"/>
      <c r="AP120" s="162"/>
      <c r="AQ120" s="162"/>
      <c r="AR120" s="162"/>
      <c r="AS120" s="162"/>
      <c r="AT120" s="162"/>
      <c r="AU120" s="162"/>
      <c r="AV120" s="162"/>
      <c r="AW120" s="162"/>
      <c r="AX120" s="162"/>
      <c r="AY120" s="162"/>
      <c r="AZ120" s="162"/>
      <c r="BA120" s="162"/>
      <c r="BB120" s="162"/>
      <c r="BC120" s="162"/>
      <c r="BD120" s="162"/>
      <c r="BE120" s="162"/>
      <c r="BF120" s="162"/>
      <c r="BG120" s="162"/>
      <c r="BH120" s="162"/>
      <c r="BI120" s="162"/>
      <c r="BJ120" s="162"/>
      <c r="BK120" s="162"/>
      <c r="BL120" s="162"/>
      <c r="BM120" s="162"/>
      <c r="BN120" s="162"/>
      <c r="BO120" s="162"/>
      <c r="BP120" s="162"/>
      <c r="BQ120" s="162"/>
      <c r="BR120" s="162"/>
      <c r="BS120" s="162"/>
      <c r="BT120" s="162"/>
      <c r="BU120" s="162"/>
      <c r="BV120" s="162"/>
      <c r="BW120" s="162"/>
      <c r="BX120" s="162"/>
      <c r="BY120" s="162"/>
      <c r="BZ120" s="162"/>
      <c r="CA120" s="162"/>
      <c r="CB120" s="162"/>
      <c r="CC120" s="162"/>
      <c r="CD120" s="162"/>
      <c r="CE120" s="162"/>
      <c r="CF120" s="162"/>
      <c r="CG120" s="162"/>
      <c r="CH120" s="162"/>
      <c r="CI120" s="162"/>
      <c r="CJ120" s="162"/>
      <c r="CK120" s="162"/>
      <c r="CL120" s="162"/>
      <c r="CM120" s="162"/>
      <c r="CN120" s="162"/>
      <c r="CO120" s="162"/>
      <c r="CP120" s="162"/>
      <c r="CQ120" s="162"/>
      <c r="CR120" s="162"/>
      <c r="CS120" s="162"/>
      <c r="CT120" s="162"/>
      <c r="CU120" s="162"/>
      <c r="CV120" s="162"/>
      <c r="CW120" s="162"/>
      <c r="CX120" s="162"/>
      <c r="CY120" s="162"/>
      <c r="CZ120" s="162"/>
      <c r="DA120" s="162"/>
      <c r="DB120" s="162"/>
      <c r="DC120" s="162"/>
      <c r="DD120" s="162"/>
    </row>
    <row r="121" spans="1:108" hidden="1" outlineLevel="1" x14ac:dyDescent="0.2">
      <c r="A121" s="162"/>
      <c r="B121" s="162"/>
      <c r="C121" s="162"/>
      <c r="D121" s="31" t="s">
        <v>324</v>
      </c>
      <c r="E121" s="78">
        <f t="shared" ref="E121:J121" si="36">E118</f>
        <v>2021</v>
      </c>
      <c r="F121" s="78">
        <f t="shared" si="36"/>
        <v>2022</v>
      </c>
      <c r="G121" s="78">
        <f t="shared" si="36"/>
        <v>2023</v>
      </c>
      <c r="H121" s="78">
        <f t="shared" si="36"/>
        <v>2024</v>
      </c>
      <c r="I121" s="78">
        <f t="shared" si="36"/>
        <v>2025</v>
      </c>
      <c r="J121" s="78">
        <f t="shared" si="36"/>
        <v>2026</v>
      </c>
      <c r="K121" s="162"/>
      <c r="L121" s="162"/>
      <c r="M121" s="162"/>
      <c r="N121" s="162"/>
      <c r="O121" s="162"/>
      <c r="P121" s="162"/>
      <c r="Q121" s="162"/>
      <c r="R121" s="162"/>
      <c r="S121" s="162"/>
      <c r="T121" s="162"/>
      <c r="U121" s="162"/>
      <c r="V121" s="162"/>
      <c r="W121" s="162"/>
      <c r="X121" s="162"/>
      <c r="Y121" s="162"/>
      <c r="Z121" s="162"/>
      <c r="AA121" s="162"/>
      <c r="AB121" s="162"/>
      <c r="AC121" s="162"/>
      <c r="AD121" s="162"/>
      <c r="AE121" s="162"/>
      <c r="AF121" s="162"/>
      <c r="AG121" s="162"/>
      <c r="AH121" s="162"/>
      <c r="AI121" s="162"/>
      <c r="AJ121" s="162"/>
      <c r="AK121" s="162"/>
      <c r="AL121" s="162"/>
      <c r="AM121" s="162"/>
      <c r="AN121" s="162"/>
      <c r="AO121" s="162"/>
      <c r="AP121" s="162"/>
      <c r="AQ121" s="162"/>
      <c r="AR121" s="162"/>
      <c r="AS121" s="162"/>
      <c r="AT121" s="162"/>
      <c r="AU121" s="162"/>
      <c r="AV121" s="162"/>
      <c r="AW121" s="162"/>
      <c r="AX121" s="162"/>
      <c r="AY121" s="162"/>
      <c r="AZ121" s="162"/>
      <c r="BA121" s="162"/>
      <c r="BB121" s="162"/>
      <c r="BC121" s="162"/>
      <c r="BD121" s="162"/>
      <c r="BE121" s="162"/>
      <c r="BF121" s="162"/>
      <c r="BG121" s="162"/>
      <c r="BH121" s="162"/>
      <c r="BI121" s="162"/>
      <c r="BJ121" s="162"/>
      <c r="BK121" s="162"/>
      <c r="BL121" s="162"/>
      <c r="BM121" s="162"/>
      <c r="BN121" s="162"/>
      <c r="BO121" s="162"/>
      <c r="BP121" s="162"/>
      <c r="BQ121" s="162"/>
      <c r="BR121" s="162"/>
      <c r="BS121" s="162"/>
      <c r="BT121" s="162"/>
      <c r="BU121" s="162"/>
      <c r="BV121" s="162"/>
      <c r="BW121" s="162"/>
      <c r="BX121" s="162"/>
      <c r="BY121" s="162"/>
      <c r="BZ121" s="162"/>
      <c r="CA121" s="162"/>
      <c r="CB121" s="162"/>
      <c r="CC121" s="162"/>
      <c r="CD121" s="162"/>
      <c r="CE121" s="162"/>
      <c r="CF121" s="162"/>
      <c r="CG121" s="162"/>
      <c r="CH121" s="162"/>
      <c r="CI121" s="162"/>
      <c r="CJ121" s="162"/>
      <c r="CK121" s="162"/>
      <c r="CL121" s="162"/>
      <c r="CM121" s="162"/>
      <c r="CN121" s="162"/>
      <c r="CO121" s="162"/>
      <c r="CP121" s="162"/>
      <c r="CQ121" s="162"/>
      <c r="CR121" s="162"/>
      <c r="CS121" s="162"/>
      <c r="CT121" s="162"/>
      <c r="CU121" s="162"/>
      <c r="CV121" s="162"/>
      <c r="CW121" s="162"/>
      <c r="CX121" s="162"/>
      <c r="CY121" s="162"/>
      <c r="CZ121" s="162"/>
      <c r="DA121" s="162"/>
      <c r="DB121" s="162"/>
      <c r="DC121" s="162"/>
      <c r="DD121" s="162"/>
    </row>
    <row r="122" spans="1:108" hidden="1" outlineLevel="1" x14ac:dyDescent="0.2">
      <c r="A122" s="162"/>
      <c r="B122" s="162"/>
      <c r="C122" s="58">
        <v>1</v>
      </c>
      <c r="D122" s="177" t="s">
        <v>240</v>
      </c>
      <c r="E122" s="63">
        <f t="shared" ref="E122:J122" si="37">SUMPRODUCT(($D$203:$D$221=E121)*($E$202:$DA$202&gt;=$E$113)*($E$202:$DA$202&lt;=$F$113)*($E$203:$DA$221))</f>
        <v>26301274</v>
      </c>
      <c r="F122" s="63">
        <f t="shared" si="37"/>
        <v>26727025</v>
      </c>
      <c r="G122" s="63">
        <f t="shared" si="37"/>
        <v>27147199</v>
      </c>
      <c r="H122" s="63">
        <f t="shared" si="37"/>
        <v>27562195</v>
      </c>
      <c r="I122" s="63">
        <f t="shared" si="37"/>
        <v>27970435</v>
      </c>
      <c r="J122" s="63">
        <f t="shared" si="37"/>
        <v>28372315</v>
      </c>
      <c r="K122" s="162"/>
      <c r="L122" s="162"/>
      <c r="M122" s="162"/>
      <c r="N122" s="162"/>
      <c r="O122" s="162"/>
      <c r="P122" s="162"/>
      <c r="Q122" s="162"/>
      <c r="R122" s="162"/>
      <c r="S122" s="162"/>
      <c r="T122" s="162"/>
      <c r="U122" s="162"/>
      <c r="V122" s="162"/>
      <c r="W122" s="162"/>
      <c r="X122" s="162"/>
      <c r="Y122" s="162"/>
      <c r="Z122" s="162"/>
      <c r="AA122" s="162"/>
      <c r="AB122" s="162"/>
      <c r="AC122" s="162"/>
      <c r="AD122" s="162"/>
      <c r="AE122" s="162"/>
      <c r="AF122" s="162"/>
      <c r="AG122" s="162"/>
      <c r="AH122" s="162"/>
      <c r="AI122" s="162"/>
      <c r="AJ122" s="162"/>
      <c r="AK122" s="162"/>
      <c r="AL122" s="162"/>
      <c r="AM122" s="162"/>
      <c r="AN122" s="162"/>
      <c r="AO122" s="162"/>
      <c r="AP122" s="162"/>
      <c r="AQ122" s="162"/>
      <c r="AR122" s="162"/>
      <c r="AS122" s="162"/>
      <c r="AT122" s="162"/>
      <c r="AU122" s="162"/>
      <c r="AV122" s="162"/>
      <c r="AW122" s="162"/>
      <c r="AX122" s="162"/>
      <c r="AY122" s="162"/>
      <c r="AZ122" s="162"/>
      <c r="BA122" s="162"/>
      <c r="BB122" s="162"/>
      <c r="BC122" s="162"/>
      <c r="BD122" s="162"/>
      <c r="BE122" s="162"/>
      <c r="BF122" s="162"/>
      <c r="BG122" s="162"/>
      <c r="BH122" s="162"/>
      <c r="BI122" s="162"/>
      <c r="BJ122" s="162"/>
      <c r="BK122" s="162"/>
      <c r="BL122" s="162"/>
      <c r="BM122" s="162"/>
      <c r="BN122" s="162"/>
      <c r="BO122" s="162"/>
      <c r="BP122" s="162"/>
      <c r="BQ122" s="162"/>
      <c r="BR122" s="162"/>
      <c r="BS122" s="162"/>
      <c r="BT122" s="162"/>
      <c r="BU122" s="162"/>
      <c r="BV122" s="162"/>
      <c r="BW122" s="162"/>
      <c r="BX122" s="162"/>
      <c r="BY122" s="162"/>
      <c r="BZ122" s="162"/>
      <c r="CA122" s="162"/>
      <c r="CB122" s="162"/>
      <c r="CC122" s="162"/>
      <c r="CD122" s="162"/>
      <c r="CE122" s="162"/>
      <c r="CF122" s="162"/>
      <c r="CG122" s="162"/>
      <c r="CH122" s="162"/>
      <c r="CI122" s="162"/>
      <c r="CJ122" s="162"/>
      <c r="CK122" s="162"/>
      <c r="CL122" s="162"/>
      <c r="CM122" s="162"/>
      <c r="CN122" s="162"/>
      <c r="CO122" s="162"/>
      <c r="CP122" s="162"/>
      <c r="CQ122" s="162"/>
      <c r="CR122" s="162"/>
      <c r="CS122" s="162"/>
      <c r="CT122" s="162"/>
      <c r="CU122" s="162"/>
      <c r="CV122" s="162"/>
      <c r="CW122" s="162"/>
      <c r="CX122" s="162"/>
      <c r="CY122" s="162"/>
      <c r="CZ122" s="162"/>
      <c r="DA122" s="162"/>
      <c r="DB122" s="162"/>
      <c r="DC122" s="162"/>
      <c r="DD122" s="162"/>
    </row>
    <row r="123" spans="1:108" hidden="1" outlineLevel="1" x14ac:dyDescent="0.2">
      <c r="A123" s="162"/>
      <c r="B123" s="162"/>
      <c r="C123" s="58">
        <v>2</v>
      </c>
      <c r="D123" s="177" t="s">
        <v>243</v>
      </c>
      <c r="E123" s="63">
        <f t="shared" ref="E123:J123" si="38">SUMPRODUCT(($D$228:$D$246=E121)*($E$227:$DA$227&gt;=$E$113)*($E$227:$DA$227&lt;=$F$113)*($E$228:$DA$246))</f>
        <v>13039532</v>
      </c>
      <c r="F123" s="63">
        <f t="shared" si="38"/>
        <v>13248872</v>
      </c>
      <c r="G123" s="63">
        <f t="shared" si="38"/>
        <v>13455403</v>
      </c>
      <c r="H123" s="63">
        <f t="shared" si="38"/>
        <v>13659298</v>
      </c>
      <c r="I123" s="63">
        <f t="shared" si="38"/>
        <v>13859813</v>
      </c>
      <c r="J123" s="63">
        <f t="shared" si="38"/>
        <v>14057138</v>
      </c>
      <c r="K123" s="162"/>
      <c r="L123" s="162"/>
      <c r="M123" s="162"/>
      <c r="N123" s="162"/>
      <c r="O123" s="162"/>
      <c r="P123" s="162"/>
      <c r="Q123" s="162"/>
      <c r="R123" s="162"/>
      <c r="S123" s="162"/>
      <c r="T123" s="162"/>
      <c r="U123" s="162"/>
      <c r="V123" s="162"/>
      <c r="W123" s="162"/>
      <c r="X123" s="162"/>
      <c r="Y123" s="162"/>
      <c r="Z123" s="162"/>
      <c r="AA123" s="162"/>
      <c r="AB123" s="162"/>
      <c r="AC123" s="162"/>
      <c r="AD123" s="162"/>
      <c r="AE123" s="162"/>
      <c r="AF123" s="162"/>
      <c r="AG123" s="162"/>
      <c r="AH123" s="162"/>
      <c r="AI123" s="162"/>
      <c r="AJ123" s="162"/>
      <c r="AK123" s="162"/>
      <c r="AL123" s="162"/>
      <c r="AM123" s="162"/>
      <c r="AN123" s="162"/>
      <c r="AO123" s="162"/>
      <c r="AP123" s="162"/>
      <c r="AQ123" s="162"/>
      <c r="AR123" s="162"/>
      <c r="AS123" s="162"/>
      <c r="AT123" s="162"/>
      <c r="AU123" s="162"/>
      <c r="AV123" s="162"/>
      <c r="AW123" s="162"/>
      <c r="AX123" s="162"/>
      <c r="AY123" s="162"/>
      <c r="AZ123" s="162"/>
      <c r="BA123" s="162"/>
      <c r="BB123" s="162"/>
      <c r="BC123" s="162"/>
      <c r="BD123" s="162"/>
      <c r="BE123" s="162"/>
      <c r="BF123" s="162"/>
      <c r="BG123" s="162"/>
      <c r="BH123" s="162"/>
      <c r="BI123" s="162"/>
      <c r="BJ123" s="162"/>
      <c r="BK123" s="162"/>
      <c r="BL123" s="162"/>
      <c r="BM123" s="162"/>
      <c r="BN123" s="162"/>
      <c r="BO123" s="162"/>
      <c r="BP123" s="162"/>
      <c r="BQ123" s="162"/>
      <c r="BR123" s="162"/>
      <c r="BS123" s="162"/>
      <c r="BT123" s="162"/>
      <c r="BU123" s="162"/>
      <c r="BV123" s="162"/>
      <c r="BW123" s="162"/>
      <c r="BX123" s="162"/>
      <c r="BY123" s="162"/>
      <c r="BZ123" s="162"/>
      <c r="CA123" s="162"/>
      <c r="CB123" s="162"/>
      <c r="CC123" s="162"/>
      <c r="CD123" s="162"/>
      <c r="CE123" s="162"/>
      <c r="CF123" s="162"/>
      <c r="CG123" s="162"/>
      <c r="CH123" s="162"/>
      <c r="CI123" s="162"/>
      <c r="CJ123" s="162"/>
      <c r="CK123" s="162"/>
      <c r="CL123" s="162"/>
      <c r="CM123" s="162"/>
      <c r="CN123" s="162"/>
      <c r="CO123" s="162"/>
      <c r="CP123" s="162"/>
      <c r="CQ123" s="162"/>
      <c r="CR123" s="162"/>
      <c r="CS123" s="162"/>
      <c r="CT123" s="162"/>
      <c r="CU123" s="162"/>
      <c r="CV123" s="162"/>
      <c r="CW123" s="162"/>
      <c r="CX123" s="162"/>
      <c r="CY123" s="162"/>
      <c r="CZ123" s="162"/>
      <c r="DA123" s="162"/>
      <c r="DB123" s="162"/>
      <c r="DC123" s="162"/>
      <c r="DD123" s="162"/>
    </row>
    <row r="124" spans="1:108" hidden="1" outlineLevel="1" x14ac:dyDescent="0.2">
      <c r="A124" s="162"/>
      <c r="B124" s="162"/>
      <c r="C124" s="58">
        <v>3</v>
      </c>
      <c r="D124" s="177" t="s">
        <v>244</v>
      </c>
      <c r="E124" s="63">
        <f t="shared" ref="E124:J124" si="39">SUMPRODUCT(($D$253:$D$271=E121)*($E$252:$DA$252&gt;=$E$113)*($E$252:$DA$252&lt;=$F$113)*($E$253:$DA$271))</f>
        <v>13261742</v>
      </c>
      <c r="F124" s="63">
        <f t="shared" si="39"/>
        <v>13478153</v>
      </c>
      <c r="G124" s="63">
        <f t="shared" si="39"/>
        <v>13691796</v>
      </c>
      <c r="H124" s="63">
        <f t="shared" si="39"/>
        <v>13902897</v>
      </c>
      <c r="I124" s="63">
        <f t="shared" si="39"/>
        <v>14110622</v>
      </c>
      <c r="J124" s="63">
        <f t="shared" si="39"/>
        <v>14315177</v>
      </c>
      <c r="K124" s="162"/>
      <c r="L124" s="162"/>
      <c r="M124" s="162"/>
      <c r="N124" s="162"/>
      <c r="O124" s="162"/>
      <c r="P124" s="162"/>
      <c r="Q124" s="162"/>
      <c r="R124" s="162"/>
      <c r="S124" s="162"/>
      <c r="T124" s="162"/>
      <c r="U124" s="162"/>
      <c r="V124" s="162"/>
      <c r="W124" s="162"/>
      <c r="X124" s="162"/>
      <c r="Y124" s="162"/>
      <c r="Z124" s="162"/>
      <c r="AA124" s="162"/>
      <c r="AB124" s="162"/>
      <c r="AC124" s="162"/>
      <c r="AD124" s="162"/>
      <c r="AE124" s="162"/>
      <c r="AF124" s="162"/>
      <c r="AG124" s="162"/>
      <c r="AH124" s="162"/>
      <c r="AI124" s="162"/>
      <c r="AJ124" s="162"/>
      <c r="AK124" s="162"/>
      <c r="AL124" s="162"/>
      <c r="AM124" s="162"/>
      <c r="AN124" s="162"/>
      <c r="AO124" s="162"/>
      <c r="AP124" s="162"/>
      <c r="AQ124" s="162"/>
      <c r="AR124" s="162"/>
      <c r="AS124" s="162"/>
      <c r="AT124" s="162"/>
      <c r="AU124" s="162"/>
      <c r="AV124" s="162"/>
      <c r="AW124" s="162"/>
      <c r="AX124" s="162"/>
      <c r="AY124" s="162"/>
      <c r="AZ124" s="162"/>
      <c r="BA124" s="162"/>
      <c r="BB124" s="162"/>
      <c r="BC124" s="162"/>
      <c r="BD124" s="162"/>
      <c r="BE124" s="162"/>
      <c r="BF124" s="162"/>
      <c r="BG124" s="162"/>
      <c r="BH124" s="162"/>
      <c r="BI124" s="162"/>
      <c r="BJ124" s="162"/>
      <c r="BK124" s="162"/>
      <c r="BL124" s="162"/>
      <c r="BM124" s="162"/>
      <c r="BN124" s="162"/>
      <c r="BO124" s="162"/>
      <c r="BP124" s="162"/>
      <c r="BQ124" s="162"/>
      <c r="BR124" s="162"/>
      <c r="BS124" s="162"/>
      <c r="BT124" s="162"/>
      <c r="BU124" s="162"/>
      <c r="BV124" s="162"/>
      <c r="BW124" s="162"/>
      <c r="BX124" s="162"/>
      <c r="BY124" s="162"/>
      <c r="BZ124" s="162"/>
      <c r="CA124" s="162"/>
      <c r="CB124" s="162"/>
      <c r="CC124" s="162"/>
      <c r="CD124" s="162"/>
      <c r="CE124" s="162"/>
      <c r="CF124" s="162"/>
      <c r="CG124" s="162"/>
      <c r="CH124" s="162"/>
      <c r="CI124" s="162"/>
      <c r="CJ124" s="162"/>
      <c r="CK124" s="162"/>
      <c r="CL124" s="162"/>
      <c r="CM124" s="162"/>
      <c r="CN124" s="162"/>
      <c r="CO124" s="162"/>
      <c r="CP124" s="162"/>
      <c r="CQ124" s="162"/>
      <c r="CR124" s="162"/>
      <c r="CS124" s="162"/>
      <c r="CT124" s="162"/>
      <c r="CU124" s="162"/>
      <c r="CV124" s="162"/>
      <c r="CW124" s="162"/>
      <c r="CX124" s="162"/>
      <c r="CY124" s="162"/>
      <c r="CZ124" s="162"/>
      <c r="DA124" s="162"/>
      <c r="DB124" s="162"/>
      <c r="DC124" s="162"/>
      <c r="DD124" s="162"/>
    </row>
    <row r="125" spans="1:108" hidden="1" outlineLevel="1" x14ac:dyDescent="0.2">
      <c r="A125" s="162"/>
      <c r="B125" s="162"/>
      <c r="C125" s="162"/>
      <c r="D125" s="162"/>
      <c r="E125" s="162"/>
      <c r="F125" s="162"/>
      <c r="G125" s="162"/>
      <c r="H125" s="162"/>
      <c r="I125" s="162"/>
      <c r="J125" s="162"/>
      <c r="K125" s="162"/>
      <c r="L125" s="162"/>
      <c r="M125" s="162"/>
      <c r="N125" s="162"/>
      <c r="O125" s="162"/>
      <c r="P125" s="162"/>
      <c r="Q125" s="162"/>
      <c r="R125" s="162"/>
      <c r="S125" s="162"/>
      <c r="T125" s="162"/>
      <c r="U125" s="162"/>
      <c r="V125" s="162"/>
      <c r="W125" s="162"/>
      <c r="X125" s="162"/>
      <c r="Y125" s="162"/>
      <c r="Z125" s="162"/>
      <c r="AA125" s="162"/>
      <c r="AB125" s="162"/>
      <c r="AC125" s="162"/>
      <c r="AD125" s="162"/>
      <c r="AE125" s="162"/>
      <c r="AF125" s="162"/>
      <c r="AG125" s="162"/>
      <c r="AH125" s="162"/>
      <c r="AI125" s="162"/>
      <c r="AJ125" s="162"/>
      <c r="AK125" s="162"/>
      <c r="AL125" s="162"/>
      <c r="AM125" s="162"/>
      <c r="AN125" s="162"/>
      <c r="AO125" s="162"/>
      <c r="AP125" s="162"/>
      <c r="AQ125" s="162"/>
      <c r="AR125" s="162"/>
      <c r="AS125" s="162"/>
      <c r="AT125" s="162"/>
      <c r="AU125" s="162"/>
      <c r="AV125" s="162"/>
      <c r="AW125" s="162"/>
      <c r="AX125" s="162"/>
      <c r="AY125" s="162"/>
      <c r="AZ125" s="162"/>
      <c r="BA125" s="162"/>
      <c r="BB125" s="162"/>
      <c r="BC125" s="162"/>
      <c r="BD125" s="162"/>
      <c r="BE125" s="162"/>
      <c r="BF125" s="162"/>
      <c r="BG125" s="162"/>
      <c r="BH125" s="162"/>
      <c r="BI125" s="162"/>
      <c r="BJ125" s="162"/>
      <c r="BK125" s="162"/>
      <c r="BL125" s="162"/>
      <c r="BM125" s="162"/>
      <c r="BN125" s="162"/>
      <c r="BO125" s="162"/>
      <c r="BP125" s="162"/>
      <c r="BQ125" s="162"/>
      <c r="BR125" s="162"/>
      <c r="BS125" s="162"/>
      <c r="BT125" s="162"/>
      <c r="BU125" s="162"/>
      <c r="BV125" s="162"/>
      <c r="BW125" s="162"/>
      <c r="BX125" s="162"/>
      <c r="BY125" s="162"/>
      <c r="BZ125" s="162"/>
      <c r="CA125" s="162"/>
      <c r="CB125" s="162"/>
      <c r="CC125" s="162"/>
      <c r="CD125" s="162"/>
      <c r="CE125" s="162"/>
      <c r="CF125" s="162"/>
      <c r="CG125" s="162"/>
      <c r="CH125" s="162"/>
      <c r="CI125" s="162"/>
      <c r="CJ125" s="162"/>
      <c r="CK125" s="162"/>
      <c r="CL125" s="162"/>
      <c r="CM125" s="162"/>
      <c r="CN125" s="162"/>
      <c r="CO125" s="162"/>
      <c r="CP125" s="162"/>
      <c r="CQ125" s="162"/>
      <c r="CR125" s="162"/>
      <c r="CS125" s="162"/>
      <c r="CT125" s="162"/>
      <c r="CU125" s="162"/>
      <c r="CV125" s="162"/>
      <c r="CW125" s="162"/>
      <c r="CX125" s="162"/>
      <c r="CY125" s="162"/>
      <c r="CZ125" s="162"/>
      <c r="DA125" s="162"/>
      <c r="DB125" s="162"/>
      <c r="DC125" s="162"/>
      <c r="DD125" s="162"/>
    </row>
    <row r="126" spans="1:108" collapsed="1" x14ac:dyDescent="0.2">
      <c r="A126" s="162"/>
      <c r="B126" s="162"/>
      <c r="C126" s="162"/>
      <c r="D126" s="162"/>
      <c r="E126" s="162"/>
      <c r="F126" s="162"/>
      <c r="G126" s="162"/>
      <c r="H126" s="162"/>
      <c r="I126" s="162"/>
      <c r="J126" s="162"/>
      <c r="K126" s="162"/>
      <c r="L126" s="162"/>
      <c r="M126" s="162"/>
      <c r="N126" s="162"/>
      <c r="O126" s="162"/>
      <c r="P126" s="162"/>
      <c r="Q126" s="162"/>
      <c r="R126" s="162"/>
      <c r="S126" s="162"/>
      <c r="T126" s="162"/>
      <c r="U126" s="162"/>
      <c r="V126" s="162"/>
      <c r="W126" s="162"/>
      <c r="X126" s="162"/>
      <c r="Y126" s="162"/>
      <c r="Z126" s="162"/>
      <c r="AA126" s="162"/>
      <c r="AB126" s="162"/>
      <c r="AC126" s="162"/>
      <c r="AD126" s="162"/>
      <c r="AE126" s="162"/>
      <c r="AF126" s="162"/>
      <c r="AG126" s="162"/>
      <c r="AH126" s="162"/>
      <c r="AI126" s="162"/>
      <c r="AJ126" s="162"/>
      <c r="AK126" s="162"/>
      <c r="AL126" s="162"/>
      <c r="AM126" s="162"/>
      <c r="AN126" s="162"/>
      <c r="AO126" s="162"/>
      <c r="AP126" s="162"/>
      <c r="AQ126" s="162"/>
      <c r="AR126" s="162"/>
      <c r="AS126" s="162"/>
      <c r="AT126" s="162"/>
      <c r="AU126" s="162"/>
      <c r="AV126" s="162"/>
      <c r="AW126" s="162"/>
      <c r="AX126" s="162"/>
      <c r="AY126" s="162"/>
      <c r="AZ126" s="162"/>
      <c r="BA126" s="162"/>
      <c r="BB126" s="162"/>
      <c r="BC126" s="162"/>
      <c r="BD126" s="162"/>
      <c r="BE126" s="162"/>
      <c r="BF126" s="162"/>
      <c r="BG126" s="162"/>
      <c r="BH126" s="162"/>
      <c r="BI126" s="162"/>
      <c r="BJ126" s="162"/>
      <c r="BK126" s="162"/>
      <c r="BL126" s="162"/>
      <c r="BM126" s="162"/>
      <c r="BN126" s="162"/>
      <c r="BO126" s="162"/>
      <c r="BP126" s="162"/>
      <c r="BQ126" s="162"/>
      <c r="BR126" s="162"/>
      <c r="BS126" s="162"/>
      <c r="BT126" s="162"/>
      <c r="BU126" s="162"/>
      <c r="BV126" s="162"/>
      <c r="BW126" s="162"/>
      <c r="BX126" s="162"/>
      <c r="BY126" s="162"/>
      <c r="BZ126" s="162"/>
      <c r="CA126" s="162"/>
      <c r="CB126" s="162"/>
      <c r="CC126" s="162"/>
      <c r="CD126" s="162"/>
      <c r="CE126" s="162"/>
      <c r="CF126" s="162"/>
      <c r="CG126" s="162"/>
      <c r="CH126" s="162"/>
      <c r="CI126" s="162"/>
      <c r="CJ126" s="162"/>
      <c r="CK126" s="162"/>
      <c r="CL126" s="162"/>
      <c r="CM126" s="162"/>
      <c r="CN126" s="162"/>
      <c r="CO126" s="162"/>
      <c r="CP126" s="162"/>
      <c r="CQ126" s="162"/>
      <c r="CR126" s="162"/>
      <c r="CS126" s="162"/>
      <c r="CT126" s="162"/>
      <c r="CU126" s="162"/>
      <c r="CV126" s="162"/>
      <c r="CW126" s="162"/>
      <c r="CX126" s="162"/>
      <c r="CY126" s="162"/>
      <c r="CZ126" s="162"/>
      <c r="DA126" s="162"/>
      <c r="DB126" s="162"/>
      <c r="DC126" s="162"/>
      <c r="DD126" s="162"/>
    </row>
    <row r="127" spans="1:108" ht="15.75" x14ac:dyDescent="0.2">
      <c r="A127" s="162"/>
      <c r="B127" s="242">
        <f>IF(H130&lt;&gt;"",VLOOKUP(H130,GenderCode,2,FALSE),0)</f>
        <v>0</v>
      </c>
      <c r="C127" s="58">
        <v>7</v>
      </c>
      <c r="D127" s="79" t="str">
        <f>IF(B127=0,MsgNotUsed, CONCATENATE("ABS ", C127, ": ", H130, " ", E131, " - ", F131, " yrs inclusive (", E136, "-", J136, ")") &amp; IF(E133&lt;&gt;"",CONCATENATE(" - (",D133,")"),""))</f>
        <v>** NOT USED **</v>
      </c>
      <c r="E127" s="127"/>
      <c r="F127" s="127"/>
      <c r="G127" s="127"/>
      <c r="H127" s="127"/>
      <c r="I127" s="175"/>
      <c r="J127" s="127"/>
      <c r="K127" s="127"/>
      <c r="L127" s="127"/>
      <c r="M127" s="127"/>
      <c r="N127" s="127"/>
      <c r="O127" s="127"/>
      <c r="P127" s="162"/>
      <c r="Q127" s="162"/>
      <c r="R127" s="162"/>
      <c r="S127" s="162"/>
      <c r="T127" s="162"/>
      <c r="U127" s="162"/>
      <c r="V127" s="162"/>
      <c r="W127" s="162"/>
      <c r="X127" s="162"/>
      <c r="Y127" s="162"/>
      <c r="Z127" s="162"/>
      <c r="AA127" s="162"/>
      <c r="AB127" s="162"/>
      <c r="AC127" s="162"/>
      <c r="AD127" s="162"/>
      <c r="AE127" s="162"/>
      <c r="AF127" s="162"/>
      <c r="AG127" s="162"/>
      <c r="AH127" s="162"/>
      <c r="AI127" s="162"/>
      <c r="AJ127" s="162"/>
      <c r="AK127" s="162"/>
      <c r="AL127" s="162"/>
      <c r="AM127" s="162"/>
      <c r="AN127" s="162"/>
      <c r="AO127" s="162"/>
      <c r="AP127" s="162"/>
      <c r="AQ127" s="162"/>
      <c r="AR127" s="162"/>
      <c r="AS127" s="162"/>
      <c r="AT127" s="162"/>
      <c r="AU127" s="162"/>
      <c r="AV127" s="162"/>
      <c r="AW127" s="162"/>
      <c r="AX127" s="162"/>
      <c r="AY127" s="162"/>
      <c r="AZ127" s="162"/>
      <c r="BA127" s="162"/>
      <c r="BB127" s="162"/>
      <c r="BC127" s="162"/>
      <c r="BD127" s="162"/>
      <c r="BE127" s="162"/>
      <c r="BF127" s="162"/>
      <c r="BG127" s="162"/>
      <c r="BH127" s="162"/>
      <c r="BI127" s="162"/>
      <c r="BJ127" s="162"/>
      <c r="BK127" s="162"/>
      <c r="BL127" s="162"/>
      <c r="BM127" s="162"/>
      <c r="BN127" s="162"/>
      <c r="BO127" s="162"/>
      <c r="BP127" s="162"/>
      <c r="BQ127" s="162"/>
      <c r="BR127" s="162"/>
      <c r="BS127" s="162"/>
      <c r="BT127" s="162"/>
      <c r="BU127" s="162"/>
      <c r="BV127" s="162"/>
      <c r="BW127" s="162"/>
      <c r="BX127" s="162"/>
      <c r="BY127" s="162"/>
      <c r="BZ127" s="162"/>
      <c r="CA127" s="162"/>
      <c r="CB127" s="162"/>
      <c r="CC127" s="162"/>
      <c r="CD127" s="162"/>
      <c r="CE127" s="162"/>
      <c r="CF127" s="162"/>
      <c r="CG127" s="162"/>
      <c r="CH127" s="162"/>
      <c r="CI127" s="162"/>
      <c r="CJ127" s="162"/>
      <c r="CK127" s="162"/>
      <c r="CL127" s="162"/>
      <c r="CM127" s="162"/>
      <c r="CN127" s="162"/>
      <c r="CO127" s="162"/>
      <c r="CP127" s="162"/>
      <c r="CQ127" s="162"/>
      <c r="CR127" s="162"/>
      <c r="CS127" s="162"/>
      <c r="CT127" s="162"/>
      <c r="CU127" s="162"/>
      <c r="CV127" s="162"/>
      <c r="CW127" s="162"/>
      <c r="CX127" s="162"/>
      <c r="CY127" s="162"/>
      <c r="CZ127" s="162"/>
      <c r="DA127" s="162"/>
      <c r="DB127" s="162"/>
      <c r="DC127" s="162"/>
      <c r="DD127" s="162"/>
    </row>
    <row r="128" spans="1:108" ht="14.25" hidden="1" outlineLevel="1" x14ac:dyDescent="0.2">
      <c r="A128" s="162"/>
      <c r="B128" s="162"/>
      <c r="C128" s="162"/>
      <c r="D128" s="647"/>
      <c r="E128" s="162"/>
      <c r="F128" s="162"/>
      <c r="G128" s="162"/>
      <c r="H128" s="162"/>
      <c r="I128" s="162"/>
      <c r="J128" s="162"/>
      <c r="K128" s="162"/>
      <c r="L128" s="162"/>
      <c r="M128" s="162"/>
      <c r="N128" s="162"/>
      <c r="O128" s="162"/>
      <c r="P128" s="162"/>
      <c r="Q128" s="162"/>
      <c r="R128" s="162"/>
      <c r="S128" s="162"/>
      <c r="T128" s="162"/>
      <c r="U128" s="162"/>
      <c r="V128" s="162"/>
      <c r="W128" s="162"/>
      <c r="X128" s="162"/>
      <c r="Y128" s="162"/>
      <c r="Z128" s="162"/>
      <c r="AA128" s="162"/>
      <c r="AB128" s="162"/>
      <c r="AC128" s="162"/>
      <c r="AD128" s="162"/>
      <c r="AE128" s="162"/>
      <c r="AF128" s="162"/>
      <c r="AG128" s="162"/>
      <c r="AH128" s="162"/>
      <c r="AI128" s="162"/>
      <c r="AJ128" s="162"/>
      <c r="AK128" s="162"/>
      <c r="AL128" s="162"/>
      <c r="AM128" s="162"/>
      <c r="AN128" s="162"/>
      <c r="AO128" s="162"/>
      <c r="AP128" s="162"/>
      <c r="AQ128" s="162"/>
      <c r="AR128" s="162"/>
      <c r="AS128" s="162"/>
      <c r="AT128" s="162"/>
      <c r="AU128" s="162"/>
      <c r="AV128" s="162"/>
      <c r="AW128" s="162"/>
      <c r="AX128" s="162"/>
      <c r="AY128" s="162"/>
      <c r="AZ128" s="162"/>
      <c r="BA128" s="162"/>
      <c r="BB128" s="162"/>
      <c r="BC128" s="162"/>
      <c r="BD128" s="162"/>
      <c r="BE128" s="162"/>
      <c r="BF128" s="162"/>
      <c r="BG128" s="162"/>
      <c r="BH128" s="162"/>
      <c r="BI128" s="162"/>
      <c r="BJ128" s="162"/>
      <c r="BK128" s="162"/>
      <c r="BL128" s="162"/>
      <c r="BM128" s="162"/>
      <c r="BN128" s="162"/>
      <c r="BO128" s="162"/>
      <c r="BP128" s="162"/>
      <c r="BQ128" s="162"/>
      <c r="BR128" s="162"/>
      <c r="BS128" s="162"/>
      <c r="BT128" s="162"/>
      <c r="BU128" s="162"/>
      <c r="BV128" s="162"/>
      <c r="BW128" s="162"/>
      <c r="BX128" s="162"/>
      <c r="BY128" s="162"/>
      <c r="BZ128" s="162"/>
      <c r="CA128" s="162"/>
      <c r="CB128" s="162"/>
      <c r="CC128" s="162"/>
      <c r="CD128" s="162"/>
      <c r="CE128" s="162"/>
      <c r="CF128" s="162"/>
      <c r="CG128" s="162"/>
      <c r="CH128" s="162"/>
      <c r="CI128" s="162"/>
      <c r="CJ128" s="162"/>
      <c r="CK128" s="162"/>
      <c r="CL128" s="162"/>
      <c r="CM128" s="162"/>
      <c r="CN128" s="162"/>
      <c r="CO128" s="162"/>
      <c r="CP128" s="162"/>
      <c r="CQ128" s="162"/>
      <c r="CR128" s="162"/>
      <c r="CS128" s="162"/>
      <c r="CT128" s="162"/>
      <c r="CU128" s="162"/>
      <c r="CV128" s="162"/>
      <c r="CW128" s="162"/>
      <c r="CX128" s="162"/>
      <c r="CY128" s="162"/>
      <c r="CZ128" s="162"/>
      <c r="DA128" s="162"/>
      <c r="DB128" s="162"/>
      <c r="DC128" s="162"/>
      <c r="DD128" s="162"/>
    </row>
    <row r="129" spans="1:108" hidden="1" outlineLevel="1" x14ac:dyDescent="0.2">
      <c r="A129" s="162"/>
      <c r="B129" s="162"/>
      <c r="C129" s="162"/>
      <c r="D129" s="162"/>
      <c r="E129" s="632" t="s">
        <v>245</v>
      </c>
      <c r="F129" s="632" t="s">
        <v>246</v>
      </c>
      <c r="G129" s="162"/>
      <c r="H129" s="632" t="s">
        <v>51</v>
      </c>
      <c r="I129" s="162"/>
      <c r="J129" s="632" t="s">
        <v>365</v>
      </c>
      <c r="K129" s="162"/>
      <c r="L129" s="162"/>
      <c r="M129" s="162"/>
      <c r="N129" s="162"/>
      <c r="O129" s="162"/>
      <c r="P129" s="162"/>
      <c r="Q129" s="162"/>
      <c r="R129" s="162"/>
      <c r="S129" s="162"/>
      <c r="T129" s="162"/>
      <c r="U129" s="162"/>
      <c r="V129" s="162"/>
      <c r="W129" s="162"/>
      <c r="X129" s="162"/>
      <c r="Y129" s="162"/>
      <c r="Z129" s="162"/>
      <c r="AA129" s="162"/>
      <c r="AB129" s="162"/>
      <c r="AC129" s="162"/>
      <c r="AD129" s="162"/>
      <c r="AE129" s="162"/>
      <c r="AF129" s="162"/>
      <c r="AG129" s="162"/>
      <c r="AH129" s="162"/>
      <c r="AI129" s="162"/>
      <c r="AJ129" s="162"/>
      <c r="AK129" s="162"/>
      <c r="AL129" s="162"/>
      <c r="AM129" s="162"/>
      <c r="AN129" s="162"/>
      <c r="AO129" s="162"/>
      <c r="AP129" s="162"/>
      <c r="AQ129" s="162"/>
      <c r="AR129" s="162"/>
      <c r="AS129" s="162"/>
      <c r="AT129" s="162"/>
      <c r="AU129" s="162"/>
      <c r="AV129" s="162"/>
      <c r="AW129" s="162"/>
      <c r="AX129" s="162"/>
      <c r="AY129" s="162"/>
      <c r="AZ129" s="162"/>
      <c r="BA129" s="162"/>
      <c r="BB129" s="162"/>
      <c r="BC129" s="162"/>
      <c r="BD129" s="162"/>
      <c r="BE129" s="162"/>
      <c r="BF129" s="162"/>
      <c r="BG129" s="162"/>
      <c r="BH129" s="162"/>
      <c r="BI129" s="162"/>
      <c r="BJ129" s="162"/>
      <c r="BK129" s="162"/>
      <c r="BL129" s="162"/>
      <c r="BM129" s="162"/>
      <c r="BN129" s="162"/>
      <c r="BO129" s="162"/>
      <c r="BP129" s="162"/>
      <c r="BQ129" s="162"/>
      <c r="BR129" s="162"/>
      <c r="BS129" s="162"/>
      <c r="BT129" s="162"/>
      <c r="BU129" s="162"/>
      <c r="BV129" s="162"/>
      <c r="BW129" s="162"/>
      <c r="BX129" s="162"/>
      <c r="BY129" s="162"/>
      <c r="BZ129" s="162"/>
      <c r="CA129" s="162"/>
      <c r="CB129" s="162"/>
      <c r="CC129" s="162"/>
      <c r="CD129" s="162"/>
      <c r="CE129" s="162"/>
      <c r="CF129" s="162"/>
      <c r="CG129" s="162"/>
      <c r="CH129" s="162"/>
      <c r="CI129" s="162"/>
      <c r="CJ129" s="162"/>
      <c r="CK129" s="162"/>
      <c r="CL129" s="162"/>
      <c r="CM129" s="162"/>
      <c r="CN129" s="162"/>
      <c r="CO129" s="162"/>
      <c r="CP129" s="162"/>
      <c r="CQ129" s="162"/>
      <c r="CR129" s="162"/>
      <c r="CS129" s="162"/>
      <c r="CT129" s="162"/>
      <c r="CU129" s="162"/>
      <c r="CV129" s="162"/>
      <c r="CW129" s="162"/>
      <c r="CX129" s="162"/>
      <c r="CY129" s="162"/>
      <c r="CZ129" s="162"/>
      <c r="DA129" s="162"/>
      <c r="DB129" s="162"/>
      <c r="DC129" s="162"/>
      <c r="DD129" s="162"/>
    </row>
    <row r="130" spans="1:108" hidden="1" outlineLevel="1" x14ac:dyDescent="0.2">
      <c r="A130" s="162"/>
      <c r="B130" s="162"/>
      <c r="C130" s="162"/>
      <c r="D130" s="42" t="s">
        <v>242</v>
      </c>
      <c r="E130" s="427"/>
      <c r="F130" s="427"/>
      <c r="G130" s="162"/>
      <c r="H130" s="360"/>
      <c r="I130" s="162"/>
      <c r="J130" s="360"/>
      <c r="K130" s="162"/>
      <c r="L130" s="162"/>
      <c r="M130" s="162"/>
      <c r="N130" s="162"/>
      <c r="O130" s="162"/>
      <c r="P130" s="162"/>
      <c r="Q130" s="162"/>
      <c r="R130" s="162"/>
      <c r="S130" s="162"/>
      <c r="T130" s="162"/>
      <c r="U130" s="162"/>
      <c r="V130" s="162"/>
      <c r="W130" s="162"/>
      <c r="X130" s="162"/>
      <c r="Y130" s="162"/>
      <c r="Z130" s="162"/>
      <c r="AA130" s="162"/>
      <c r="AB130" s="162"/>
      <c r="AC130" s="162"/>
      <c r="AD130" s="162"/>
      <c r="AE130" s="162"/>
      <c r="AF130" s="162"/>
      <c r="AG130" s="162"/>
      <c r="AH130" s="162"/>
      <c r="AI130" s="162"/>
      <c r="AJ130" s="162"/>
      <c r="AK130" s="162"/>
      <c r="AL130" s="162"/>
      <c r="AM130" s="162"/>
      <c r="AN130" s="162"/>
      <c r="AO130" s="162"/>
      <c r="AP130" s="162"/>
      <c r="AQ130" s="162"/>
      <c r="AR130" s="162"/>
      <c r="AS130" s="162"/>
      <c r="AT130" s="162"/>
      <c r="AU130" s="162"/>
      <c r="AV130" s="162"/>
      <c r="AW130" s="162"/>
      <c r="AX130" s="162"/>
      <c r="AY130" s="162"/>
      <c r="AZ130" s="162"/>
      <c r="BA130" s="162"/>
      <c r="BB130" s="162"/>
      <c r="BC130" s="162"/>
      <c r="BD130" s="162"/>
      <c r="BE130" s="162"/>
      <c r="BF130" s="162"/>
      <c r="BG130" s="162"/>
      <c r="BH130" s="162"/>
      <c r="BI130" s="162"/>
      <c r="BJ130" s="162"/>
      <c r="BK130" s="162"/>
      <c r="BL130" s="162"/>
      <c r="BM130" s="162"/>
      <c r="BN130" s="162"/>
      <c r="BO130" s="162"/>
      <c r="BP130" s="162"/>
      <c r="BQ130" s="162"/>
      <c r="BR130" s="162"/>
      <c r="BS130" s="162"/>
      <c r="BT130" s="162"/>
      <c r="BU130" s="162"/>
      <c r="BV130" s="162"/>
      <c r="BW130" s="162"/>
      <c r="BX130" s="162"/>
      <c r="BY130" s="162"/>
      <c r="BZ130" s="162"/>
      <c r="CA130" s="162"/>
      <c r="CB130" s="162"/>
      <c r="CC130" s="162"/>
      <c r="CD130" s="162"/>
      <c r="CE130" s="162"/>
      <c r="CF130" s="162"/>
      <c r="CG130" s="162"/>
      <c r="CH130" s="162"/>
      <c r="CI130" s="162"/>
      <c r="CJ130" s="162"/>
      <c r="CK130" s="162"/>
      <c r="CL130" s="162"/>
      <c r="CM130" s="162"/>
      <c r="CN130" s="162"/>
      <c r="CO130" s="162"/>
      <c r="CP130" s="162"/>
      <c r="CQ130" s="162"/>
      <c r="CR130" s="162"/>
      <c r="CS130" s="162"/>
      <c r="CT130" s="162"/>
      <c r="CU130" s="162"/>
      <c r="CV130" s="162"/>
      <c r="CW130" s="162"/>
      <c r="CX130" s="162"/>
      <c r="CY130" s="162"/>
      <c r="CZ130" s="162"/>
      <c r="DA130" s="162"/>
      <c r="DB130" s="162"/>
      <c r="DC130" s="162"/>
      <c r="DD130" s="162"/>
    </row>
    <row r="131" spans="1:108" hidden="1" outlineLevel="1" x14ac:dyDescent="0.2">
      <c r="A131" s="162"/>
      <c r="B131" s="162"/>
      <c r="C131" s="162"/>
      <c r="D131" s="162"/>
      <c r="E131" s="495">
        <f>IF(E130="",0,E130)</f>
        <v>0</v>
      </c>
      <c r="F131" s="495">
        <f>IF(F130="",100,F130)</f>
        <v>100</v>
      </c>
      <c r="G131" s="162"/>
      <c r="H131" s="162"/>
      <c r="I131" s="162"/>
      <c r="J131" s="162"/>
      <c r="K131" s="162"/>
      <c r="L131" s="162"/>
      <c r="M131" s="162"/>
      <c r="N131" s="162"/>
      <c r="O131" s="162"/>
      <c r="P131" s="162"/>
      <c r="Q131" s="162"/>
      <c r="R131" s="162"/>
      <c r="S131" s="162"/>
      <c r="T131" s="162"/>
      <c r="U131" s="162"/>
      <c r="V131" s="162"/>
      <c r="W131" s="162"/>
      <c r="X131" s="162"/>
      <c r="Y131" s="162"/>
      <c r="Z131" s="162"/>
      <c r="AA131" s="162"/>
      <c r="AB131" s="162"/>
      <c r="AC131" s="162"/>
      <c r="AD131" s="162"/>
      <c r="AE131" s="162"/>
      <c r="AF131" s="162"/>
      <c r="AG131" s="162"/>
      <c r="AH131" s="162"/>
      <c r="AI131" s="162"/>
      <c r="AJ131" s="162"/>
      <c r="AK131" s="162"/>
      <c r="AL131" s="162"/>
      <c r="AM131" s="162"/>
      <c r="AN131" s="162"/>
      <c r="AO131" s="162"/>
      <c r="AP131" s="162"/>
      <c r="AQ131" s="162"/>
      <c r="AR131" s="162"/>
      <c r="AS131" s="162"/>
      <c r="AT131" s="162"/>
      <c r="AU131" s="162"/>
      <c r="AV131" s="162"/>
      <c r="AW131" s="162"/>
      <c r="AX131" s="162"/>
      <c r="AY131" s="162"/>
      <c r="AZ131" s="162"/>
      <c r="BA131" s="162"/>
      <c r="BB131" s="162"/>
      <c r="BC131" s="162"/>
      <c r="BD131" s="162"/>
      <c r="BE131" s="162"/>
      <c r="BF131" s="162"/>
      <c r="BG131" s="162"/>
      <c r="BH131" s="162"/>
      <c r="BI131" s="162"/>
      <c r="BJ131" s="162"/>
      <c r="BK131" s="162"/>
      <c r="BL131" s="162"/>
      <c r="BM131" s="162"/>
      <c r="BN131" s="162"/>
      <c r="BO131" s="162"/>
      <c r="BP131" s="162"/>
      <c r="BQ131" s="162"/>
      <c r="BR131" s="162"/>
      <c r="BS131" s="162"/>
      <c r="BT131" s="162"/>
      <c r="BU131" s="162"/>
      <c r="BV131" s="162"/>
      <c r="BW131" s="162"/>
      <c r="BX131" s="162"/>
      <c r="BY131" s="162"/>
      <c r="BZ131" s="162"/>
      <c r="CA131" s="162"/>
      <c r="CB131" s="162"/>
      <c r="CC131" s="162"/>
      <c r="CD131" s="162"/>
      <c r="CE131" s="162"/>
      <c r="CF131" s="162"/>
      <c r="CG131" s="162"/>
      <c r="CH131" s="162"/>
      <c r="CI131" s="162"/>
      <c r="CJ131" s="162"/>
      <c r="CK131" s="162"/>
      <c r="CL131" s="162"/>
      <c r="CM131" s="162"/>
      <c r="CN131" s="162"/>
      <c r="CO131" s="162"/>
      <c r="CP131" s="162"/>
      <c r="CQ131" s="162"/>
      <c r="CR131" s="162"/>
      <c r="CS131" s="162"/>
      <c r="CT131" s="162"/>
      <c r="CU131" s="162"/>
      <c r="CV131" s="162"/>
      <c r="CW131" s="162"/>
      <c r="CX131" s="162"/>
      <c r="CY131" s="162"/>
      <c r="CZ131" s="162"/>
      <c r="DA131" s="162"/>
      <c r="DB131" s="162"/>
      <c r="DC131" s="162"/>
      <c r="DD131" s="162"/>
    </row>
    <row r="132" spans="1:108" hidden="1" outlineLevel="1" x14ac:dyDescent="0.2">
      <c r="A132" s="162"/>
      <c r="B132" s="162"/>
      <c r="C132" s="162"/>
      <c r="D132" s="162"/>
      <c r="E132" s="632" t="s">
        <v>464</v>
      </c>
      <c r="F132" s="632" t="s">
        <v>465</v>
      </c>
      <c r="G132" s="162"/>
      <c r="H132" s="162"/>
      <c r="I132" s="162"/>
      <c r="J132" s="162"/>
      <c r="K132" s="162"/>
      <c r="L132" s="162"/>
      <c r="M132" s="162"/>
      <c r="N132" s="162"/>
      <c r="O132" s="162"/>
      <c r="P132" s="162"/>
      <c r="Q132" s="162"/>
      <c r="R132" s="162"/>
      <c r="S132" s="162"/>
      <c r="T132" s="162"/>
      <c r="U132" s="162"/>
      <c r="V132" s="162"/>
      <c r="W132" s="162"/>
      <c r="X132" s="162"/>
      <c r="Y132" s="162"/>
      <c r="Z132" s="162"/>
      <c r="AA132" s="162"/>
      <c r="AB132" s="162"/>
      <c r="AC132" s="162"/>
      <c r="AD132" s="162"/>
      <c r="AE132" s="162"/>
      <c r="AF132" s="162"/>
      <c r="AG132" s="162"/>
      <c r="AH132" s="162"/>
      <c r="AI132" s="162"/>
      <c r="AJ132" s="162"/>
      <c r="AK132" s="162"/>
      <c r="AL132" s="162"/>
      <c r="AM132" s="162"/>
      <c r="AN132" s="162"/>
      <c r="AO132" s="162"/>
      <c r="AP132" s="162"/>
      <c r="AQ132" s="162"/>
      <c r="AR132" s="162"/>
      <c r="AS132" s="162"/>
      <c r="AT132" s="162"/>
      <c r="AU132" s="162"/>
      <c r="AV132" s="162"/>
      <c r="AW132" s="162"/>
      <c r="AX132" s="162"/>
      <c r="AY132" s="162"/>
      <c r="AZ132" s="162"/>
      <c r="BA132" s="162"/>
      <c r="BB132" s="162"/>
      <c r="BC132" s="162"/>
      <c r="BD132" s="162"/>
      <c r="BE132" s="162"/>
      <c r="BF132" s="162"/>
      <c r="BG132" s="162"/>
      <c r="BH132" s="162"/>
      <c r="BI132" s="162"/>
      <c r="BJ132" s="162"/>
      <c r="BK132" s="162"/>
      <c r="BL132" s="162"/>
      <c r="BM132" s="162"/>
      <c r="BN132" s="162"/>
      <c r="BO132" s="162"/>
      <c r="BP132" s="162"/>
      <c r="BQ132" s="162"/>
      <c r="BR132" s="162"/>
      <c r="BS132" s="162"/>
      <c r="BT132" s="162"/>
      <c r="BU132" s="162"/>
      <c r="BV132" s="162"/>
      <c r="BW132" s="162"/>
      <c r="BX132" s="162"/>
      <c r="BY132" s="162"/>
      <c r="BZ132" s="162"/>
      <c r="CA132" s="162"/>
      <c r="CB132" s="162"/>
      <c r="CC132" s="162"/>
      <c r="CD132" s="162"/>
      <c r="CE132" s="162"/>
      <c r="CF132" s="162"/>
      <c r="CG132" s="162"/>
      <c r="CH132" s="162"/>
      <c r="CI132" s="162"/>
      <c r="CJ132" s="162"/>
      <c r="CK132" s="162"/>
      <c r="CL132" s="162"/>
      <c r="CM132" s="162"/>
      <c r="CN132" s="162"/>
      <c r="CO132" s="162"/>
      <c r="CP132" s="162"/>
      <c r="CQ132" s="162"/>
      <c r="CR132" s="162"/>
      <c r="CS132" s="162"/>
      <c r="CT132" s="162"/>
      <c r="CU132" s="162"/>
      <c r="CV132" s="162"/>
      <c r="CW132" s="162"/>
      <c r="CX132" s="162"/>
      <c r="CY132" s="162"/>
      <c r="CZ132" s="162"/>
      <c r="DA132" s="162"/>
      <c r="DB132" s="162"/>
      <c r="DC132" s="162"/>
      <c r="DD132" s="162"/>
    </row>
    <row r="133" spans="1:108" hidden="1" outlineLevel="1" x14ac:dyDescent="0.2">
      <c r="A133" s="162"/>
      <c r="B133" s="162"/>
      <c r="C133" s="162"/>
      <c r="D133" s="631" t="s">
        <v>463</v>
      </c>
      <c r="E133" s="521"/>
      <c r="F133" s="427"/>
      <c r="G133" s="315">
        <f>IF(AND(E133&lt;&gt;"",F133&lt;&gt;""),E133/F133,1)</f>
        <v>1</v>
      </c>
      <c r="H133" s="162"/>
      <c r="I133" s="42" t="s">
        <v>258</v>
      </c>
      <c r="J133" s="911"/>
      <c r="K133" s="912"/>
      <c r="L133" s="912"/>
      <c r="M133" s="912"/>
      <c r="N133" s="912"/>
      <c r="O133" s="912"/>
      <c r="P133" s="162"/>
      <c r="Q133" s="162"/>
      <c r="R133" s="162"/>
      <c r="S133" s="162"/>
      <c r="T133" s="162"/>
      <c r="U133" s="162"/>
      <c r="V133" s="162"/>
      <c r="W133" s="162"/>
      <c r="X133" s="162"/>
      <c r="Y133" s="162"/>
      <c r="Z133" s="162"/>
      <c r="AA133" s="162"/>
      <c r="AB133" s="162"/>
      <c r="AC133" s="162"/>
      <c r="AD133" s="162"/>
      <c r="AE133" s="162"/>
      <c r="AF133" s="162"/>
      <c r="AG133" s="162"/>
      <c r="AH133" s="162"/>
      <c r="AI133" s="162"/>
      <c r="AJ133" s="162"/>
      <c r="AK133" s="162"/>
      <c r="AL133" s="162"/>
      <c r="AM133" s="162"/>
      <c r="AN133" s="162"/>
      <c r="AO133" s="162"/>
      <c r="AP133" s="162"/>
      <c r="AQ133" s="162"/>
      <c r="AR133" s="162"/>
      <c r="AS133" s="162"/>
      <c r="AT133" s="162"/>
      <c r="AU133" s="162"/>
      <c r="AV133" s="162"/>
      <c r="AW133" s="162"/>
      <c r="AX133" s="162"/>
      <c r="AY133" s="162"/>
      <c r="AZ133" s="162"/>
      <c r="BA133" s="162"/>
      <c r="BB133" s="162"/>
      <c r="BC133" s="162"/>
      <c r="BD133" s="162"/>
      <c r="BE133" s="162"/>
      <c r="BF133" s="162"/>
      <c r="BG133" s="162"/>
      <c r="BH133" s="162"/>
      <c r="BI133" s="162"/>
      <c r="BJ133" s="162"/>
      <c r="BK133" s="162"/>
      <c r="BL133" s="162"/>
      <c r="BM133" s="162"/>
      <c r="BN133" s="162"/>
      <c r="BO133" s="162"/>
      <c r="BP133" s="162"/>
      <c r="BQ133" s="162"/>
      <c r="BR133" s="162"/>
      <c r="BS133" s="162"/>
      <c r="BT133" s="162"/>
      <c r="BU133" s="162"/>
      <c r="BV133" s="162"/>
      <c r="BW133" s="162"/>
      <c r="BX133" s="162"/>
      <c r="BY133" s="162"/>
      <c r="BZ133" s="162"/>
      <c r="CA133" s="162"/>
      <c r="CB133" s="162"/>
      <c r="CC133" s="162"/>
      <c r="CD133" s="162"/>
      <c r="CE133" s="162"/>
      <c r="CF133" s="162"/>
      <c r="CG133" s="162"/>
      <c r="CH133" s="162"/>
      <c r="CI133" s="162"/>
      <c r="CJ133" s="162"/>
      <c r="CK133" s="162"/>
      <c r="CL133" s="162"/>
      <c r="CM133" s="162"/>
      <c r="CN133" s="162"/>
      <c r="CO133" s="162"/>
      <c r="CP133" s="162"/>
      <c r="CQ133" s="162"/>
      <c r="CR133" s="162"/>
      <c r="CS133" s="162"/>
      <c r="CT133" s="162"/>
      <c r="CU133" s="162"/>
      <c r="CV133" s="162"/>
      <c r="CW133" s="162"/>
      <c r="CX133" s="162"/>
      <c r="CY133" s="162"/>
      <c r="CZ133" s="162"/>
      <c r="DA133" s="162"/>
      <c r="DB133" s="162"/>
      <c r="DC133" s="162"/>
      <c r="DD133" s="162"/>
    </row>
    <row r="134" spans="1:108" hidden="1" outlineLevel="1" x14ac:dyDescent="0.2">
      <c r="A134" s="162"/>
      <c r="B134" s="162"/>
      <c r="C134" s="162"/>
      <c r="D134" s="162"/>
      <c r="E134" s="162"/>
      <c r="F134" s="162"/>
      <c r="G134" s="162"/>
      <c r="H134" s="162"/>
      <c r="I134" s="162"/>
      <c r="J134" s="162"/>
      <c r="K134" s="162"/>
      <c r="L134" s="162"/>
      <c r="M134" s="162"/>
      <c r="N134" s="162"/>
      <c r="O134" s="162"/>
      <c r="P134" s="162"/>
      <c r="Q134" s="162"/>
      <c r="R134" s="162"/>
      <c r="S134" s="162"/>
      <c r="T134" s="162"/>
      <c r="U134" s="162"/>
      <c r="V134" s="162"/>
      <c r="W134" s="162"/>
      <c r="X134" s="162"/>
      <c r="Y134" s="162"/>
      <c r="Z134" s="162"/>
      <c r="AA134" s="162"/>
      <c r="AB134" s="162"/>
      <c r="AC134" s="162"/>
      <c r="AD134" s="162"/>
      <c r="AE134" s="162"/>
      <c r="AF134" s="162"/>
      <c r="AG134" s="162"/>
      <c r="AH134" s="162"/>
      <c r="AI134" s="162"/>
      <c r="AJ134" s="162"/>
      <c r="AK134" s="162"/>
      <c r="AL134" s="162"/>
      <c r="AM134" s="162"/>
      <c r="AN134" s="162"/>
      <c r="AO134" s="162"/>
      <c r="AP134" s="162"/>
      <c r="AQ134" s="162"/>
      <c r="AR134" s="162"/>
      <c r="AS134" s="162"/>
      <c r="AT134" s="162"/>
      <c r="AU134" s="162"/>
      <c r="AV134" s="162"/>
      <c r="AW134" s="162"/>
      <c r="AX134" s="162"/>
      <c r="AY134" s="162"/>
      <c r="AZ134" s="162"/>
      <c r="BA134" s="162"/>
      <c r="BB134" s="162"/>
      <c r="BC134" s="162"/>
      <c r="BD134" s="162"/>
      <c r="BE134" s="162"/>
      <c r="BF134" s="162"/>
      <c r="BG134" s="162"/>
      <c r="BH134" s="162"/>
      <c r="BI134" s="162"/>
      <c r="BJ134" s="162"/>
      <c r="BK134" s="162"/>
      <c r="BL134" s="162"/>
      <c r="BM134" s="162"/>
      <c r="BN134" s="162"/>
      <c r="BO134" s="162"/>
      <c r="BP134" s="162"/>
      <c r="BQ134" s="162"/>
      <c r="BR134" s="162"/>
      <c r="BS134" s="162"/>
      <c r="BT134" s="162"/>
      <c r="BU134" s="162"/>
      <c r="BV134" s="162"/>
      <c r="BW134" s="162"/>
      <c r="BX134" s="162"/>
      <c r="BY134" s="162"/>
      <c r="BZ134" s="162"/>
      <c r="CA134" s="162"/>
      <c r="CB134" s="162"/>
      <c r="CC134" s="162"/>
      <c r="CD134" s="162"/>
      <c r="CE134" s="162"/>
      <c r="CF134" s="162"/>
      <c r="CG134" s="162"/>
      <c r="CH134" s="162"/>
      <c r="CI134" s="162"/>
      <c r="CJ134" s="162"/>
      <c r="CK134" s="162"/>
      <c r="CL134" s="162"/>
      <c r="CM134" s="162"/>
      <c r="CN134" s="162"/>
      <c r="CO134" s="162"/>
      <c r="CP134" s="162"/>
      <c r="CQ134" s="162"/>
      <c r="CR134" s="162"/>
      <c r="CS134" s="162"/>
      <c r="CT134" s="162"/>
      <c r="CU134" s="162"/>
      <c r="CV134" s="162"/>
      <c r="CW134" s="162"/>
      <c r="CX134" s="162"/>
      <c r="CY134" s="162"/>
      <c r="CZ134" s="162"/>
      <c r="DA134" s="162"/>
      <c r="DB134" s="162"/>
      <c r="DC134" s="162"/>
      <c r="DD134" s="162"/>
    </row>
    <row r="135" spans="1:108" hidden="1" outlineLevel="1" x14ac:dyDescent="0.2">
      <c r="A135" s="162"/>
      <c r="B135" s="162"/>
      <c r="C135" s="162"/>
      <c r="D135" s="162"/>
      <c r="E135" s="616" t="s">
        <v>255</v>
      </c>
      <c r="F135" s="162"/>
      <c r="G135" s="162"/>
      <c r="H135" s="162"/>
      <c r="I135" s="162"/>
      <c r="J135" s="162"/>
      <c r="K135" s="162"/>
      <c r="L135" s="162"/>
      <c r="M135" s="162"/>
      <c r="N135" s="162"/>
      <c r="O135" s="162"/>
      <c r="P135" s="162"/>
      <c r="Q135" s="162"/>
      <c r="R135" s="162"/>
      <c r="S135" s="162"/>
      <c r="T135" s="162"/>
      <c r="U135" s="162"/>
      <c r="V135" s="162"/>
      <c r="W135" s="162"/>
      <c r="X135" s="162"/>
      <c r="Y135" s="162"/>
      <c r="Z135" s="162"/>
      <c r="AA135" s="162"/>
      <c r="AB135" s="162"/>
      <c r="AC135" s="162"/>
      <c r="AD135" s="162"/>
      <c r="AE135" s="162"/>
      <c r="AF135" s="162"/>
      <c r="AG135" s="162"/>
      <c r="AH135" s="162"/>
      <c r="AI135" s="162"/>
      <c r="AJ135" s="162"/>
      <c r="AK135" s="162"/>
      <c r="AL135" s="162"/>
      <c r="AM135" s="162"/>
      <c r="AN135" s="162"/>
      <c r="AO135" s="162"/>
      <c r="AP135" s="162"/>
      <c r="AQ135" s="162"/>
      <c r="AR135" s="162"/>
      <c r="AS135" s="162"/>
      <c r="AT135" s="162"/>
      <c r="AU135" s="162"/>
      <c r="AV135" s="162"/>
      <c r="AW135" s="162"/>
      <c r="AX135" s="162"/>
      <c r="AY135" s="162"/>
      <c r="AZ135" s="162"/>
      <c r="BA135" s="162"/>
      <c r="BB135" s="162"/>
      <c r="BC135" s="162"/>
      <c r="BD135" s="162"/>
      <c r="BE135" s="162"/>
      <c r="BF135" s="162"/>
      <c r="BG135" s="162"/>
      <c r="BH135" s="162"/>
      <c r="BI135" s="162"/>
      <c r="BJ135" s="162"/>
      <c r="BK135" s="162"/>
      <c r="BL135" s="162"/>
      <c r="BM135" s="162"/>
      <c r="BN135" s="162"/>
      <c r="BO135" s="162"/>
      <c r="BP135" s="162"/>
      <c r="BQ135" s="162"/>
      <c r="BR135" s="162"/>
      <c r="BS135" s="162"/>
      <c r="BT135" s="162"/>
      <c r="BU135" s="162"/>
      <c r="BV135" s="162"/>
      <c r="BW135" s="162"/>
      <c r="BX135" s="162"/>
      <c r="BY135" s="162"/>
      <c r="BZ135" s="162"/>
      <c r="CA135" s="162"/>
      <c r="CB135" s="162"/>
      <c r="CC135" s="162"/>
      <c r="CD135" s="162"/>
      <c r="CE135" s="162"/>
      <c r="CF135" s="162"/>
      <c r="CG135" s="162"/>
      <c r="CH135" s="162"/>
      <c r="CI135" s="162"/>
      <c r="CJ135" s="162"/>
      <c r="CK135" s="162"/>
      <c r="CL135" s="162"/>
      <c r="CM135" s="162"/>
      <c r="CN135" s="162"/>
      <c r="CO135" s="162"/>
      <c r="CP135" s="162"/>
      <c r="CQ135" s="162"/>
      <c r="CR135" s="162"/>
      <c r="CS135" s="162"/>
      <c r="CT135" s="162"/>
      <c r="CU135" s="162"/>
      <c r="CV135" s="162"/>
      <c r="CW135" s="162"/>
      <c r="CX135" s="162"/>
      <c r="CY135" s="162"/>
      <c r="CZ135" s="162"/>
      <c r="DA135" s="162"/>
      <c r="DB135" s="162"/>
      <c r="DC135" s="162"/>
      <c r="DD135" s="162"/>
    </row>
    <row r="136" spans="1:108" hidden="1" outlineLevel="1" x14ac:dyDescent="0.2">
      <c r="A136" s="162"/>
      <c r="B136" s="162"/>
      <c r="C136" s="162"/>
      <c r="D136" s="162"/>
      <c r="E136" s="78">
        <f>IF(J130&lt;&gt;"",J130,FirstYear)</f>
        <v>2021</v>
      </c>
      <c r="F136" s="630">
        <f>E136+1</f>
        <v>2022</v>
      </c>
      <c r="G136" s="630">
        <f>F136+1</f>
        <v>2023</v>
      </c>
      <c r="H136" s="630">
        <f>G136+1</f>
        <v>2024</v>
      </c>
      <c r="I136" s="630">
        <f>H136+1</f>
        <v>2025</v>
      </c>
      <c r="J136" s="630">
        <f>I136+1</f>
        <v>2026</v>
      </c>
      <c r="K136" s="162"/>
      <c r="L136" s="162"/>
      <c r="M136" s="162"/>
      <c r="N136" s="162"/>
      <c r="O136" s="162"/>
      <c r="P136" s="162"/>
      <c r="Q136" s="162"/>
      <c r="R136" s="162"/>
      <c r="S136" s="162"/>
      <c r="T136" s="162"/>
      <c r="U136" s="162"/>
      <c r="V136" s="162"/>
      <c r="W136" s="162"/>
      <c r="X136" s="162"/>
      <c r="Y136" s="162"/>
      <c r="Z136" s="162"/>
      <c r="AA136" s="162"/>
      <c r="AB136" s="162"/>
      <c r="AC136" s="162"/>
      <c r="AD136" s="162"/>
      <c r="AE136" s="162"/>
      <c r="AF136" s="162"/>
      <c r="AG136" s="162"/>
      <c r="AH136" s="162"/>
      <c r="AI136" s="162"/>
      <c r="AJ136" s="162"/>
      <c r="AK136" s="162"/>
      <c r="AL136" s="162"/>
      <c r="AM136" s="162"/>
      <c r="AN136" s="162"/>
      <c r="AO136" s="162"/>
      <c r="AP136" s="162"/>
      <c r="AQ136" s="162"/>
      <c r="AR136" s="162"/>
      <c r="AS136" s="162"/>
      <c r="AT136" s="162"/>
      <c r="AU136" s="162"/>
      <c r="AV136" s="162"/>
      <c r="AW136" s="162"/>
      <c r="AX136" s="162"/>
      <c r="AY136" s="162"/>
      <c r="AZ136" s="162"/>
      <c r="BA136" s="162"/>
      <c r="BB136" s="162"/>
      <c r="BC136" s="162"/>
      <c r="BD136" s="162"/>
      <c r="BE136" s="162"/>
      <c r="BF136" s="162"/>
      <c r="BG136" s="162"/>
      <c r="BH136" s="162"/>
      <c r="BI136" s="162"/>
      <c r="BJ136" s="162"/>
      <c r="BK136" s="162"/>
      <c r="BL136" s="162"/>
      <c r="BM136" s="162"/>
      <c r="BN136" s="162"/>
      <c r="BO136" s="162"/>
      <c r="BP136" s="162"/>
      <c r="BQ136" s="162"/>
      <c r="BR136" s="162"/>
      <c r="BS136" s="162"/>
      <c r="BT136" s="162"/>
      <c r="BU136" s="162"/>
      <c r="BV136" s="162"/>
      <c r="BW136" s="162"/>
      <c r="BX136" s="162"/>
      <c r="BY136" s="162"/>
      <c r="BZ136" s="162"/>
      <c r="CA136" s="162"/>
      <c r="CB136" s="162"/>
      <c r="CC136" s="162"/>
      <c r="CD136" s="162"/>
      <c r="CE136" s="162"/>
      <c r="CF136" s="162"/>
      <c r="CG136" s="162"/>
      <c r="CH136" s="162"/>
      <c r="CI136" s="162"/>
      <c r="CJ136" s="162"/>
      <c r="CK136" s="162"/>
      <c r="CL136" s="162"/>
      <c r="CM136" s="162"/>
      <c r="CN136" s="162"/>
      <c r="CO136" s="162"/>
      <c r="CP136" s="162"/>
      <c r="CQ136" s="162"/>
      <c r="CR136" s="162"/>
      <c r="CS136" s="162"/>
      <c r="CT136" s="162"/>
      <c r="CU136" s="162"/>
      <c r="CV136" s="162"/>
      <c r="CW136" s="162"/>
      <c r="CX136" s="162"/>
      <c r="CY136" s="162"/>
      <c r="CZ136" s="162"/>
      <c r="DA136" s="162"/>
      <c r="DB136" s="162"/>
      <c r="DC136" s="162"/>
      <c r="DD136" s="162"/>
    </row>
    <row r="137" spans="1:108" hidden="1" outlineLevel="1" x14ac:dyDescent="0.2">
      <c r="A137" s="162"/>
      <c r="B137" s="162"/>
      <c r="C137" s="162"/>
      <c r="D137" s="162"/>
      <c r="E137" s="63">
        <f t="shared" ref="E137:J137" si="40">IF($B$127&lt;&gt;0,VLOOKUP($B$127,$C$140:$J$142,E138)*$G133,0)</f>
        <v>0</v>
      </c>
      <c r="F137" s="63">
        <f t="shared" si="40"/>
        <v>0</v>
      </c>
      <c r="G137" s="63">
        <f t="shared" si="40"/>
        <v>0</v>
      </c>
      <c r="H137" s="63">
        <f t="shared" si="40"/>
        <v>0</v>
      </c>
      <c r="I137" s="63">
        <f t="shared" si="40"/>
        <v>0</v>
      </c>
      <c r="J137" s="63">
        <f t="shared" si="40"/>
        <v>0</v>
      </c>
      <c r="K137" s="162"/>
      <c r="L137" s="162"/>
      <c r="M137" s="162"/>
      <c r="N137" s="162"/>
      <c r="O137" s="162"/>
      <c r="P137" s="162"/>
      <c r="Q137" s="162"/>
      <c r="R137" s="162"/>
      <c r="S137" s="162"/>
      <c r="T137" s="162"/>
      <c r="U137" s="162"/>
      <c r="V137" s="162"/>
      <c r="W137" s="162"/>
      <c r="X137" s="162"/>
      <c r="Y137" s="162"/>
      <c r="Z137" s="162"/>
      <c r="AA137" s="162"/>
      <c r="AB137" s="162"/>
      <c r="AC137" s="162"/>
      <c r="AD137" s="162"/>
      <c r="AE137" s="162"/>
      <c r="AF137" s="162"/>
      <c r="AG137" s="162"/>
      <c r="AH137" s="162"/>
      <c r="AI137" s="162"/>
      <c r="AJ137" s="162"/>
      <c r="AK137" s="162"/>
      <c r="AL137" s="162"/>
      <c r="AM137" s="162"/>
      <c r="AN137" s="162"/>
      <c r="AO137" s="162"/>
      <c r="AP137" s="162"/>
      <c r="AQ137" s="162"/>
      <c r="AR137" s="162"/>
      <c r="AS137" s="162"/>
      <c r="AT137" s="162"/>
      <c r="AU137" s="162"/>
      <c r="AV137" s="162"/>
      <c r="AW137" s="162"/>
      <c r="AX137" s="162"/>
      <c r="AY137" s="162"/>
      <c r="AZ137" s="162"/>
      <c r="BA137" s="162"/>
      <c r="BB137" s="162"/>
      <c r="BC137" s="162"/>
      <c r="BD137" s="162"/>
      <c r="BE137" s="162"/>
      <c r="BF137" s="162"/>
      <c r="BG137" s="162"/>
      <c r="BH137" s="162"/>
      <c r="BI137" s="162"/>
      <c r="BJ137" s="162"/>
      <c r="BK137" s="162"/>
      <c r="BL137" s="162"/>
      <c r="BM137" s="162"/>
      <c r="BN137" s="162"/>
      <c r="BO137" s="162"/>
      <c r="BP137" s="162"/>
      <c r="BQ137" s="162"/>
      <c r="BR137" s="162"/>
      <c r="BS137" s="162"/>
      <c r="BT137" s="162"/>
      <c r="BU137" s="162"/>
      <c r="BV137" s="162"/>
      <c r="BW137" s="162"/>
      <c r="BX137" s="162"/>
      <c r="BY137" s="162"/>
      <c r="BZ137" s="162"/>
      <c r="CA137" s="162"/>
      <c r="CB137" s="162"/>
      <c r="CC137" s="162"/>
      <c r="CD137" s="162"/>
      <c r="CE137" s="162"/>
      <c r="CF137" s="162"/>
      <c r="CG137" s="162"/>
      <c r="CH137" s="162"/>
      <c r="CI137" s="162"/>
      <c r="CJ137" s="162"/>
      <c r="CK137" s="162"/>
      <c r="CL137" s="162"/>
      <c r="CM137" s="162"/>
      <c r="CN137" s="162"/>
      <c r="CO137" s="162"/>
      <c r="CP137" s="162"/>
      <c r="CQ137" s="162"/>
      <c r="CR137" s="162"/>
      <c r="CS137" s="162"/>
      <c r="CT137" s="162"/>
      <c r="CU137" s="162"/>
      <c r="CV137" s="162"/>
      <c r="CW137" s="162"/>
      <c r="CX137" s="162"/>
      <c r="CY137" s="162"/>
      <c r="CZ137" s="162"/>
      <c r="DA137" s="162"/>
      <c r="DB137" s="162"/>
      <c r="DC137" s="162"/>
      <c r="DD137" s="162"/>
    </row>
    <row r="138" spans="1:108" hidden="1" outlineLevel="1" x14ac:dyDescent="0.2">
      <c r="A138" s="162"/>
      <c r="B138" s="162"/>
      <c r="C138" s="162"/>
      <c r="D138" s="162"/>
      <c r="E138" s="650">
        <v>3</v>
      </c>
      <c r="F138" s="650">
        <v>4</v>
      </c>
      <c r="G138" s="650">
        <v>5</v>
      </c>
      <c r="H138" s="650">
        <v>6</v>
      </c>
      <c r="I138" s="650">
        <v>7</v>
      </c>
      <c r="J138" s="650">
        <v>8</v>
      </c>
      <c r="K138" s="162"/>
      <c r="L138" s="162"/>
      <c r="M138" s="162"/>
      <c r="N138" s="162"/>
      <c r="O138" s="162"/>
      <c r="P138" s="162"/>
      <c r="Q138" s="162"/>
      <c r="R138" s="162"/>
      <c r="S138" s="162"/>
      <c r="T138" s="162"/>
      <c r="U138" s="162"/>
      <c r="V138" s="162"/>
      <c r="W138" s="162"/>
      <c r="X138" s="162"/>
      <c r="Y138" s="162"/>
      <c r="Z138" s="162"/>
      <c r="AA138" s="162"/>
      <c r="AB138" s="162"/>
      <c r="AC138" s="162"/>
      <c r="AD138" s="162"/>
      <c r="AE138" s="162"/>
      <c r="AF138" s="162"/>
      <c r="AG138" s="162"/>
      <c r="AH138" s="162"/>
      <c r="AI138" s="162"/>
      <c r="AJ138" s="162"/>
      <c r="AK138" s="162"/>
      <c r="AL138" s="162"/>
      <c r="AM138" s="162"/>
      <c r="AN138" s="162"/>
      <c r="AO138" s="162"/>
      <c r="AP138" s="162"/>
      <c r="AQ138" s="162"/>
      <c r="AR138" s="162"/>
      <c r="AS138" s="162"/>
      <c r="AT138" s="162"/>
      <c r="AU138" s="162"/>
      <c r="AV138" s="162"/>
      <c r="AW138" s="162"/>
      <c r="AX138" s="162"/>
      <c r="AY138" s="162"/>
      <c r="AZ138" s="162"/>
      <c r="BA138" s="162"/>
      <c r="BB138" s="162"/>
      <c r="BC138" s="162"/>
      <c r="BD138" s="162"/>
      <c r="BE138" s="162"/>
      <c r="BF138" s="162"/>
      <c r="BG138" s="162"/>
      <c r="BH138" s="162"/>
      <c r="BI138" s="162"/>
      <c r="BJ138" s="162"/>
      <c r="BK138" s="162"/>
      <c r="BL138" s="162"/>
      <c r="BM138" s="162"/>
      <c r="BN138" s="162"/>
      <c r="BO138" s="162"/>
      <c r="BP138" s="162"/>
      <c r="BQ138" s="162"/>
      <c r="BR138" s="162"/>
      <c r="BS138" s="162"/>
      <c r="BT138" s="162"/>
      <c r="BU138" s="162"/>
      <c r="BV138" s="162"/>
      <c r="BW138" s="162"/>
      <c r="BX138" s="162"/>
      <c r="BY138" s="162"/>
      <c r="BZ138" s="162"/>
      <c r="CA138" s="162"/>
      <c r="CB138" s="162"/>
      <c r="CC138" s="162"/>
      <c r="CD138" s="162"/>
      <c r="CE138" s="162"/>
      <c r="CF138" s="162"/>
      <c r="CG138" s="162"/>
      <c r="CH138" s="162"/>
      <c r="CI138" s="162"/>
      <c r="CJ138" s="162"/>
      <c r="CK138" s="162"/>
      <c r="CL138" s="162"/>
      <c r="CM138" s="162"/>
      <c r="CN138" s="162"/>
      <c r="CO138" s="162"/>
      <c r="CP138" s="162"/>
      <c r="CQ138" s="162"/>
      <c r="CR138" s="162"/>
      <c r="CS138" s="162"/>
      <c r="CT138" s="162"/>
      <c r="CU138" s="162"/>
      <c r="CV138" s="162"/>
      <c r="CW138" s="162"/>
      <c r="CX138" s="162"/>
      <c r="CY138" s="162"/>
      <c r="CZ138" s="162"/>
      <c r="DA138" s="162"/>
      <c r="DB138" s="162"/>
      <c r="DC138" s="162"/>
      <c r="DD138" s="162"/>
    </row>
    <row r="139" spans="1:108" hidden="1" outlineLevel="1" x14ac:dyDescent="0.2">
      <c r="A139" s="162"/>
      <c r="B139" s="162"/>
      <c r="C139" s="162"/>
      <c r="D139" s="31" t="s">
        <v>324</v>
      </c>
      <c r="E139" s="78">
        <f t="shared" ref="E139:J139" si="41">E136</f>
        <v>2021</v>
      </c>
      <c r="F139" s="78">
        <f t="shared" si="41"/>
        <v>2022</v>
      </c>
      <c r="G139" s="78">
        <f t="shared" si="41"/>
        <v>2023</v>
      </c>
      <c r="H139" s="78">
        <f t="shared" si="41"/>
        <v>2024</v>
      </c>
      <c r="I139" s="78">
        <f t="shared" si="41"/>
        <v>2025</v>
      </c>
      <c r="J139" s="78">
        <f t="shared" si="41"/>
        <v>2026</v>
      </c>
      <c r="K139" s="162"/>
      <c r="L139" s="162"/>
      <c r="M139" s="162"/>
      <c r="N139" s="162"/>
      <c r="O139" s="162"/>
      <c r="P139" s="162"/>
      <c r="Q139" s="162"/>
      <c r="R139" s="162"/>
      <c r="S139" s="162"/>
      <c r="T139" s="162"/>
      <c r="U139" s="162"/>
      <c r="V139" s="162"/>
      <c r="W139" s="162"/>
      <c r="X139" s="162"/>
      <c r="Y139" s="162"/>
      <c r="Z139" s="162"/>
      <c r="AA139" s="162"/>
      <c r="AB139" s="162"/>
      <c r="AC139" s="162"/>
      <c r="AD139" s="162"/>
      <c r="AE139" s="162"/>
      <c r="AF139" s="162"/>
      <c r="AG139" s="162"/>
      <c r="AH139" s="162"/>
      <c r="AI139" s="162"/>
      <c r="AJ139" s="162"/>
      <c r="AK139" s="162"/>
      <c r="AL139" s="162"/>
      <c r="AM139" s="162"/>
      <c r="AN139" s="162"/>
      <c r="AO139" s="162"/>
      <c r="AP139" s="162"/>
      <c r="AQ139" s="162"/>
      <c r="AR139" s="162"/>
      <c r="AS139" s="162"/>
      <c r="AT139" s="162"/>
      <c r="AU139" s="162"/>
      <c r="AV139" s="162"/>
      <c r="AW139" s="162"/>
      <c r="AX139" s="162"/>
      <c r="AY139" s="162"/>
      <c r="AZ139" s="162"/>
      <c r="BA139" s="162"/>
      <c r="BB139" s="162"/>
      <c r="BC139" s="162"/>
      <c r="BD139" s="162"/>
      <c r="BE139" s="162"/>
      <c r="BF139" s="162"/>
      <c r="BG139" s="162"/>
      <c r="BH139" s="162"/>
      <c r="BI139" s="162"/>
      <c r="BJ139" s="162"/>
      <c r="BK139" s="162"/>
      <c r="BL139" s="162"/>
      <c r="BM139" s="162"/>
      <c r="BN139" s="162"/>
      <c r="BO139" s="162"/>
      <c r="BP139" s="162"/>
      <c r="BQ139" s="162"/>
      <c r="BR139" s="162"/>
      <c r="BS139" s="162"/>
      <c r="BT139" s="162"/>
      <c r="BU139" s="162"/>
      <c r="BV139" s="162"/>
      <c r="BW139" s="162"/>
      <c r="BX139" s="162"/>
      <c r="BY139" s="162"/>
      <c r="BZ139" s="162"/>
      <c r="CA139" s="162"/>
      <c r="CB139" s="162"/>
      <c r="CC139" s="162"/>
      <c r="CD139" s="162"/>
      <c r="CE139" s="162"/>
      <c r="CF139" s="162"/>
      <c r="CG139" s="162"/>
      <c r="CH139" s="162"/>
      <c r="CI139" s="162"/>
      <c r="CJ139" s="162"/>
      <c r="CK139" s="162"/>
      <c r="CL139" s="162"/>
      <c r="CM139" s="162"/>
      <c r="CN139" s="162"/>
      <c r="CO139" s="162"/>
      <c r="CP139" s="162"/>
      <c r="CQ139" s="162"/>
      <c r="CR139" s="162"/>
      <c r="CS139" s="162"/>
      <c r="CT139" s="162"/>
      <c r="CU139" s="162"/>
      <c r="CV139" s="162"/>
      <c r="CW139" s="162"/>
      <c r="CX139" s="162"/>
      <c r="CY139" s="162"/>
      <c r="CZ139" s="162"/>
      <c r="DA139" s="162"/>
      <c r="DB139" s="162"/>
      <c r="DC139" s="162"/>
      <c r="DD139" s="162"/>
    </row>
    <row r="140" spans="1:108" hidden="1" outlineLevel="1" x14ac:dyDescent="0.2">
      <c r="A140" s="162"/>
      <c r="B140" s="162"/>
      <c r="C140" s="58">
        <v>1</v>
      </c>
      <c r="D140" s="177" t="s">
        <v>240</v>
      </c>
      <c r="E140" s="63">
        <f t="shared" ref="E140:J140" si="42">SUMPRODUCT(($D$203:$D$221=E139)*($E$202:$DA$202&gt;=$E$131)*($E$202:$DA$202&lt;=$F$131)*($E$203:$DA$221))</f>
        <v>26301274</v>
      </c>
      <c r="F140" s="63">
        <f t="shared" si="42"/>
        <v>26727025</v>
      </c>
      <c r="G140" s="63">
        <f t="shared" si="42"/>
        <v>27147199</v>
      </c>
      <c r="H140" s="63">
        <f t="shared" si="42"/>
        <v>27562195</v>
      </c>
      <c r="I140" s="63">
        <f t="shared" si="42"/>
        <v>27970435</v>
      </c>
      <c r="J140" s="63">
        <f t="shared" si="42"/>
        <v>28372315</v>
      </c>
      <c r="K140" s="162"/>
      <c r="L140" s="162"/>
      <c r="M140" s="162"/>
      <c r="N140" s="162"/>
      <c r="O140" s="162"/>
      <c r="P140" s="162"/>
      <c r="Q140" s="162"/>
      <c r="R140" s="162"/>
      <c r="S140" s="162"/>
      <c r="T140" s="162"/>
      <c r="U140" s="162"/>
      <c r="V140" s="162"/>
      <c r="W140" s="162"/>
      <c r="X140" s="162"/>
      <c r="Y140" s="162"/>
      <c r="Z140" s="162"/>
      <c r="AA140" s="162"/>
      <c r="AB140" s="162"/>
      <c r="AC140" s="162"/>
      <c r="AD140" s="162"/>
      <c r="AE140" s="162"/>
      <c r="AF140" s="162"/>
      <c r="AG140" s="162"/>
      <c r="AH140" s="162"/>
      <c r="AI140" s="162"/>
      <c r="AJ140" s="162"/>
      <c r="AK140" s="162"/>
      <c r="AL140" s="162"/>
      <c r="AM140" s="162"/>
      <c r="AN140" s="162"/>
      <c r="AO140" s="162"/>
      <c r="AP140" s="162"/>
      <c r="AQ140" s="162"/>
      <c r="AR140" s="162"/>
      <c r="AS140" s="162"/>
      <c r="AT140" s="162"/>
      <c r="AU140" s="162"/>
      <c r="AV140" s="162"/>
      <c r="AW140" s="162"/>
      <c r="AX140" s="162"/>
      <c r="AY140" s="162"/>
      <c r="AZ140" s="162"/>
      <c r="BA140" s="162"/>
      <c r="BB140" s="162"/>
      <c r="BC140" s="162"/>
      <c r="BD140" s="162"/>
      <c r="BE140" s="162"/>
      <c r="BF140" s="162"/>
      <c r="BG140" s="162"/>
      <c r="BH140" s="162"/>
      <c r="BI140" s="162"/>
      <c r="BJ140" s="162"/>
      <c r="BK140" s="162"/>
      <c r="BL140" s="162"/>
      <c r="BM140" s="162"/>
      <c r="BN140" s="162"/>
      <c r="BO140" s="162"/>
      <c r="BP140" s="162"/>
      <c r="BQ140" s="162"/>
      <c r="BR140" s="162"/>
      <c r="BS140" s="162"/>
      <c r="BT140" s="162"/>
      <c r="BU140" s="162"/>
      <c r="BV140" s="162"/>
      <c r="BW140" s="162"/>
      <c r="BX140" s="162"/>
      <c r="BY140" s="162"/>
      <c r="BZ140" s="162"/>
      <c r="CA140" s="162"/>
      <c r="CB140" s="162"/>
      <c r="CC140" s="162"/>
      <c r="CD140" s="162"/>
      <c r="CE140" s="162"/>
      <c r="CF140" s="162"/>
      <c r="CG140" s="162"/>
      <c r="CH140" s="162"/>
      <c r="CI140" s="162"/>
      <c r="CJ140" s="162"/>
      <c r="CK140" s="162"/>
      <c r="CL140" s="162"/>
      <c r="CM140" s="162"/>
      <c r="CN140" s="162"/>
      <c r="CO140" s="162"/>
      <c r="CP140" s="162"/>
      <c r="CQ140" s="162"/>
      <c r="CR140" s="162"/>
      <c r="CS140" s="162"/>
      <c r="CT140" s="162"/>
      <c r="CU140" s="162"/>
      <c r="CV140" s="162"/>
      <c r="CW140" s="162"/>
      <c r="CX140" s="162"/>
      <c r="CY140" s="162"/>
      <c r="CZ140" s="162"/>
      <c r="DA140" s="162"/>
      <c r="DB140" s="162"/>
      <c r="DC140" s="162"/>
      <c r="DD140" s="162"/>
    </row>
    <row r="141" spans="1:108" hidden="1" outlineLevel="1" x14ac:dyDescent="0.2">
      <c r="A141" s="162"/>
      <c r="B141" s="162"/>
      <c r="C141" s="58">
        <v>2</v>
      </c>
      <c r="D141" s="177" t="s">
        <v>243</v>
      </c>
      <c r="E141" s="63">
        <f t="shared" ref="E141:J141" si="43">SUMPRODUCT(($D$228:$D$246=E139)*($E$227:$DA$227&gt;=$E$131)*($E$227:$DA$227&lt;=$F$131)*($E$228:$DA$246))</f>
        <v>13039532</v>
      </c>
      <c r="F141" s="63">
        <f t="shared" si="43"/>
        <v>13248872</v>
      </c>
      <c r="G141" s="63">
        <f t="shared" si="43"/>
        <v>13455403</v>
      </c>
      <c r="H141" s="63">
        <f t="shared" si="43"/>
        <v>13659298</v>
      </c>
      <c r="I141" s="63">
        <f t="shared" si="43"/>
        <v>13859813</v>
      </c>
      <c r="J141" s="63">
        <f t="shared" si="43"/>
        <v>14057138</v>
      </c>
      <c r="K141" s="162"/>
      <c r="L141" s="162"/>
      <c r="M141" s="162"/>
      <c r="N141" s="162"/>
      <c r="O141" s="162"/>
      <c r="P141" s="162"/>
      <c r="Q141" s="162"/>
      <c r="R141" s="162"/>
      <c r="S141" s="162"/>
      <c r="T141" s="162"/>
      <c r="U141" s="162"/>
      <c r="V141" s="162"/>
      <c r="W141" s="162"/>
      <c r="X141" s="162"/>
      <c r="Y141" s="162"/>
      <c r="Z141" s="162"/>
      <c r="AA141" s="162"/>
      <c r="AB141" s="162"/>
      <c r="AC141" s="162"/>
      <c r="AD141" s="162"/>
      <c r="AE141" s="162"/>
      <c r="AF141" s="162"/>
      <c r="AG141" s="162"/>
      <c r="AH141" s="162"/>
      <c r="AI141" s="162"/>
      <c r="AJ141" s="162"/>
      <c r="AK141" s="162"/>
      <c r="AL141" s="162"/>
      <c r="AM141" s="162"/>
      <c r="AN141" s="162"/>
      <c r="AO141" s="162"/>
      <c r="AP141" s="162"/>
      <c r="AQ141" s="162"/>
      <c r="AR141" s="162"/>
      <c r="AS141" s="162"/>
      <c r="AT141" s="162"/>
      <c r="AU141" s="162"/>
      <c r="AV141" s="162"/>
      <c r="AW141" s="162"/>
      <c r="AX141" s="162"/>
      <c r="AY141" s="162"/>
      <c r="AZ141" s="162"/>
      <c r="BA141" s="162"/>
      <c r="BB141" s="162"/>
      <c r="BC141" s="162"/>
      <c r="BD141" s="162"/>
      <c r="BE141" s="162"/>
      <c r="BF141" s="162"/>
      <c r="BG141" s="162"/>
      <c r="BH141" s="162"/>
      <c r="BI141" s="162"/>
      <c r="BJ141" s="162"/>
      <c r="BK141" s="162"/>
      <c r="BL141" s="162"/>
      <c r="BM141" s="162"/>
      <c r="BN141" s="162"/>
      <c r="BO141" s="162"/>
      <c r="BP141" s="162"/>
      <c r="BQ141" s="162"/>
      <c r="BR141" s="162"/>
      <c r="BS141" s="162"/>
      <c r="BT141" s="162"/>
      <c r="BU141" s="162"/>
      <c r="BV141" s="162"/>
      <c r="BW141" s="162"/>
      <c r="BX141" s="162"/>
      <c r="BY141" s="162"/>
      <c r="BZ141" s="162"/>
      <c r="CA141" s="162"/>
      <c r="CB141" s="162"/>
      <c r="CC141" s="162"/>
      <c r="CD141" s="162"/>
      <c r="CE141" s="162"/>
      <c r="CF141" s="162"/>
      <c r="CG141" s="162"/>
      <c r="CH141" s="162"/>
      <c r="CI141" s="162"/>
      <c r="CJ141" s="162"/>
      <c r="CK141" s="162"/>
      <c r="CL141" s="162"/>
      <c r="CM141" s="162"/>
      <c r="CN141" s="162"/>
      <c r="CO141" s="162"/>
      <c r="CP141" s="162"/>
      <c r="CQ141" s="162"/>
      <c r="CR141" s="162"/>
      <c r="CS141" s="162"/>
      <c r="CT141" s="162"/>
      <c r="CU141" s="162"/>
      <c r="CV141" s="162"/>
      <c r="CW141" s="162"/>
      <c r="CX141" s="162"/>
      <c r="CY141" s="162"/>
      <c r="CZ141" s="162"/>
      <c r="DA141" s="162"/>
      <c r="DB141" s="162"/>
      <c r="DC141" s="162"/>
      <c r="DD141" s="162"/>
    </row>
    <row r="142" spans="1:108" hidden="1" outlineLevel="1" x14ac:dyDescent="0.2">
      <c r="A142" s="162"/>
      <c r="B142" s="162"/>
      <c r="C142" s="58">
        <v>3</v>
      </c>
      <c r="D142" s="177" t="s">
        <v>244</v>
      </c>
      <c r="E142" s="63">
        <f t="shared" ref="E142:J142" si="44">SUMPRODUCT(($D$253:$D$271=E139)*($E$252:$DA$252&gt;=$E$131)*($E$252:$DA$252&lt;=$F$131)*($E$253:$DA$271))</f>
        <v>13261742</v>
      </c>
      <c r="F142" s="63">
        <f t="shared" si="44"/>
        <v>13478153</v>
      </c>
      <c r="G142" s="63">
        <f t="shared" si="44"/>
        <v>13691796</v>
      </c>
      <c r="H142" s="63">
        <f t="shared" si="44"/>
        <v>13902897</v>
      </c>
      <c r="I142" s="63">
        <f t="shared" si="44"/>
        <v>14110622</v>
      </c>
      <c r="J142" s="63">
        <f t="shared" si="44"/>
        <v>14315177</v>
      </c>
      <c r="K142" s="162"/>
      <c r="L142" s="162"/>
      <c r="M142" s="162"/>
      <c r="N142" s="162"/>
      <c r="O142" s="162"/>
      <c r="P142" s="162"/>
      <c r="Q142" s="162"/>
      <c r="R142" s="162"/>
      <c r="S142" s="162"/>
      <c r="T142" s="162"/>
      <c r="U142" s="162"/>
      <c r="V142" s="162"/>
      <c r="W142" s="162"/>
      <c r="X142" s="162"/>
      <c r="Y142" s="162"/>
      <c r="Z142" s="162"/>
      <c r="AA142" s="162"/>
      <c r="AB142" s="162"/>
      <c r="AC142" s="162"/>
      <c r="AD142" s="162"/>
      <c r="AE142" s="162"/>
      <c r="AF142" s="162"/>
      <c r="AG142" s="162"/>
      <c r="AH142" s="162"/>
      <c r="AI142" s="162"/>
      <c r="AJ142" s="162"/>
      <c r="AK142" s="162"/>
      <c r="AL142" s="162"/>
      <c r="AM142" s="162"/>
      <c r="AN142" s="162"/>
      <c r="AO142" s="162"/>
      <c r="AP142" s="162"/>
      <c r="AQ142" s="162"/>
      <c r="AR142" s="162"/>
      <c r="AS142" s="162"/>
      <c r="AT142" s="162"/>
      <c r="AU142" s="162"/>
      <c r="AV142" s="162"/>
      <c r="AW142" s="162"/>
      <c r="AX142" s="162"/>
      <c r="AY142" s="162"/>
      <c r="AZ142" s="162"/>
      <c r="BA142" s="162"/>
      <c r="BB142" s="162"/>
      <c r="BC142" s="162"/>
      <c r="BD142" s="162"/>
      <c r="BE142" s="162"/>
      <c r="BF142" s="162"/>
      <c r="BG142" s="162"/>
      <c r="BH142" s="162"/>
      <c r="BI142" s="162"/>
      <c r="BJ142" s="162"/>
      <c r="BK142" s="162"/>
      <c r="BL142" s="162"/>
      <c r="BM142" s="162"/>
      <c r="BN142" s="162"/>
      <c r="BO142" s="162"/>
      <c r="BP142" s="162"/>
      <c r="BQ142" s="162"/>
      <c r="BR142" s="162"/>
      <c r="BS142" s="162"/>
      <c r="BT142" s="162"/>
      <c r="BU142" s="162"/>
      <c r="BV142" s="162"/>
      <c r="BW142" s="162"/>
      <c r="BX142" s="162"/>
      <c r="BY142" s="162"/>
      <c r="BZ142" s="162"/>
      <c r="CA142" s="162"/>
      <c r="CB142" s="162"/>
      <c r="CC142" s="162"/>
      <c r="CD142" s="162"/>
      <c r="CE142" s="162"/>
      <c r="CF142" s="162"/>
      <c r="CG142" s="162"/>
      <c r="CH142" s="162"/>
      <c r="CI142" s="162"/>
      <c r="CJ142" s="162"/>
      <c r="CK142" s="162"/>
      <c r="CL142" s="162"/>
      <c r="CM142" s="162"/>
      <c r="CN142" s="162"/>
      <c r="CO142" s="162"/>
      <c r="CP142" s="162"/>
      <c r="CQ142" s="162"/>
      <c r="CR142" s="162"/>
      <c r="CS142" s="162"/>
      <c r="CT142" s="162"/>
      <c r="CU142" s="162"/>
      <c r="CV142" s="162"/>
      <c r="CW142" s="162"/>
      <c r="CX142" s="162"/>
      <c r="CY142" s="162"/>
      <c r="CZ142" s="162"/>
      <c r="DA142" s="162"/>
      <c r="DB142" s="162"/>
      <c r="DC142" s="162"/>
      <c r="DD142" s="162"/>
    </row>
    <row r="143" spans="1:108" hidden="1" outlineLevel="1" x14ac:dyDescent="0.2">
      <c r="A143" s="162"/>
      <c r="B143" s="162"/>
      <c r="C143" s="162"/>
      <c r="D143" s="162"/>
      <c r="E143" s="162"/>
      <c r="F143" s="162"/>
      <c r="G143" s="162"/>
      <c r="H143" s="162"/>
      <c r="I143" s="162"/>
      <c r="J143" s="162"/>
      <c r="K143" s="162"/>
      <c r="L143" s="162"/>
      <c r="M143" s="162"/>
      <c r="N143" s="162"/>
      <c r="O143" s="162"/>
      <c r="P143" s="162"/>
      <c r="Q143" s="162"/>
      <c r="R143" s="162"/>
      <c r="S143" s="162"/>
      <c r="T143" s="162"/>
      <c r="U143" s="162"/>
      <c r="V143" s="162"/>
      <c r="W143" s="162"/>
      <c r="X143" s="162"/>
      <c r="Y143" s="162"/>
      <c r="Z143" s="162"/>
      <c r="AA143" s="162"/>
      <c r="AB143" s="162"/>
      <c r="AC143" s="162"/>
      <c r="AD143" s="162"/>
      <c r="AE143" s="162"/>
      <c r="AF143" s="162"/>
      <c r="AG143" s="162"/>
      <c r="AH143" s="162"/>
      <c r="AI143" s="162"/>
      <c r="AJ143" s="162"/>
      <c r="AK143" s="162"/>
      <c r="AL143" s="162"/>
      <c r="AM143" s="162"/>
      <c r="AN143" s="162"/>
      <c r="AO143" s="162"/>
      <c r="AP143" s="162"/>
      <c r="AQ143" s="162"/>
      <c r="AR143" s="162"/>
      <c r="AS143" s="162"/>
      <c r="AT143" s="162"/>
      <c r="AU143" s="162"/>
      <c r="AV143" s="162"/>
      <c r="AW143" s="162"/>
      <c r="AX143" s="162"/>
      <c r="AY143" s="162"/>
      <c r="AZ143" s="162"/>
      <c r="BA143" s="162"/>
      <c r="BB143" s="162"/>
      <c r="BC143" s="162"/>
      <c r="BD143" s="162"/>
      <c r="BE143" s="162"/>
      <c r="BF143" s="162"/>
      <c r="BG143" s="162"/>
      <c r="BH143" s="162"/>
      <c r="BI143" s="162"/>
      <c r="BJ143" s="162"/>
      <c r="BK143" s="162"/>
      <c r="BL143" s="162"/>
      <c r="BM143" s="162"/>
      <c r="BN143" s="162"/>
      <c r="BO143" s="162"/>
      <c r="BP143" s="162"/>
      <c r="BQ143" s="162"/>
      <c r="BR143" s="162"/>
      <c r="BS143" s="162"/>
      <c r="BT143" s="162"/>
      <c r="BU143" s="162"/>
      <c r="BV143" s="162"/>
      <c r="BW143" s="162"/>
      <c r="BX143" s="162"/>
      <c r="BY143" s="162"/>
      <c r="BZ143" s="162"/>
      <c r="CA143" s="162"/>
      <c r="CB143" s="162"/>
      <c r="CC143" s="162"/>
      <c r="CD143" s="162"/>
      <c r="CE143" s="162"/>
      <c r="CF143" s="162"/>
      <c r="CG143" s="162"/>
      <c r="CH143" s="162"/>
      <c r="CI143" s="162"/>
      <c r="CJ143" s="162"/>
      <c r="CK143" s="162"/>
      <c r="CL143" s="162"/>
      <c r="CM143" s="162"/>
      <c r="CN143" s="162"/>
      <c r="CO143" s="162"/>
      <c r="CP143" s="162"/>
      <c r="CQ143" s="162"/>
      <c r="CR143" s="162"/>
      <c r="CS143" s="162"/>
      <c r="CT143" s="162"/>
      <c r="CU143" s="162"/>
      <c r="CV143" s="162"/>
      <c r="CW143" s="162"/>
      <c r="CX143" s="162"/>
      <c r="CY143" s="162"/>
      <c r="CZ143" s="162"/>
      <c r="DA143" s="162"/>
      <c r="DB143" s="162"/>
      <c r="DC143" s="162"/>
      <c r="DD143" s="162"/>
    </row>
    <row r="144" spans="1:108" collapsed="1" x14ac:dyDescent="0.2">
      <c r="A144" s="162"/>
      <c r="B144" s="162"/>
      <c r="C144" s="162"/>
      <c r="D144" s="162"/>
      <c r="E144" s="162"/>
      <c r="F144" s="162"/>
      <c r="G144" s="162"/>
      <c r="H144" s="162"/>
      <c r="I144" s="162"/>
      <c r="J144" s="162"/>
      <c r="K144" s="162"/>
      <c r="L144" s="162"/>
      <c r="M144" s="162"/>
      <c r="N144" s="162"/>
      <c r="O144" s="162"/>
      <c r="P144" s="162"/>
      <c r="Q144" s="162"/>
      <c r="R144" s="162"/>
      <c r="S144" s="162"/>
      <c r="T144" s="162"/>
      <c r="U144" s="162"/>
      <c r="V144" s="162"/>
      <c r="W144" s="162"/>
      <c r="X144" s="162"/>
      <c r="Y144" s="162"/>
      <c r="Z144" s="162"/>
      <c r="AA144" s="162"/>
      <c r="AB144" s="162"/>
      <c r="AC144" s="162"/>
      <c r="AD144" s="162"/>
      <c r="AE144" s="162"/>
      <c r="AF144" s="162"/>
      <c r="AG144" s="162"/>
      <c r="AH144" s="162"/>
      <c r="AI144" s="162"/>
      <c r="AJ144" s="162"/>
      <c r="AK144" s="162"/>
      <c r="AL144" s="162"/>
      <c r="AM144" s="162"/>
      <c r="AN144" s="162"/>
      <c r="AO144" s="162"/>
      <c r="AP144" s="162"/>
      <c r="AQ144" s="162"/>
      <c r="AR144" s="162"/>
      <c r="AS144" s="162"/>
      <c r="AT144" s="162"/>
      <c r="AU144" s="162"/>
      <c r="AV144" s="162"/>
      <c r="AW144" s="162"/>
      <c r="AX144" s="162"/>
      <c r="AY144" s="162"/>
      <c r="AZ144" s="162"/>
      <c r="BA144" s="162"/>
      <c r="BB144" s="162"/>
      <c r="BC144" s="162"/>
      <c r="BD144" s="162"/>
      <c r="BE144" s="162"/>
      <c r="BF144" s="162"/>
      <c r="BG144" s="162"/>
      <c r="BH144" s="162"/>
      <c r="BI144" s="162"/>
      <c r="BJ144" s="162"/>
      <c r="BK144" s="162"/>
      <c r="BL144" s="162"/>
      <c r="BM144" s="162"/>
      <c r="BN144" s="162"/>
      <c r="BO144" s="162"/>
      <c r="BP144" s="162"/>
      <c r="BQ144" s="162"/>
      <c r="BR144" s="162"/>
      <c r="BS144" s="162"/>
      <c r="BT144" s="162"/>
      <c r="BU144" s="162"/>
      <c r="BV144" s="162"/>
      <c r="BW144" s="162"/>
      <c r="BX144" s="162"/>
      <c r="BY144" s="162"/>
      <c r="BZ144" s="162"/>
      <c r="CA144" s="162"/>
      <c r="CB144" s="162"/>
      <c r="CC144" s="162"/>
      <c r="CD144" s="162"/>
      <c r="CE144" s="162"/>
      <c r="CF144" s="162"/>
      <c r="CG144" s="162"/>
      <c r="CH144" s="162"/>
      <c r="CI144" s="162"/>
      <c r="CJ144" s="162"/>
      <c r="CK144" s="162"/>
      <c r="CL144" s="162"/>
      <c r="CM144" s="162"/>
      <c r="CN144" s="162"/>
      <c r="CO144" s="162"/>
      <c r="CP144" s="162"/>
      <c r="CQ144" s="162"/>
      <c r="CR144" s="162"/>
      <c r="CS144" s="162"/>
      <c r="CT144" s="162"/>
      <c r="CU144" s="162"/>
      <c r="CV144" s="162"/>
      <c r="CW144" s="162"/>
      <c r="CX144" s="162"/>
      <c r="CY144" s="162"/>
      <c r="CZ144" s="162"/>
      <c r="DA144" s="162"/>
      <c r="DB144" s="162"/>
      <c r="DC144" s="162"/>
      <c r="DD144" s="162"/>
    </row>
    <row r="145" spans="1:108" ht="15.75" x14ac:dyDescent="0.2">
      <c r="A145" s="162"/>
      <c r="B145" s="242">
        <f>IF(H148&lt;&gt;"",VLOOKUP(H148,GenderCode,2,FALSE),0)</f>
        <v>0</v>
      </c>
      <c r="C145" s="58">
        <v>8</v>
      </c>
      <c r="D145" s="79" t="str">
        <f>IF(B145=0,MsgNotUsed, CONCATENATE("ABS ", C145, ": ", H148, " ", E149, " - ", F149, " yrs inclusive (", E154, "-", J154, ")") &amp; IF(E151&lt;&gt;"",CONCATENATE(" - (",D151,")"),""))</f>
        <v>** NOT USED **</v>
      </c>
      <c r="E145" s="127"/>
      <c r="F145" s="127"/>
      <c r="G145" s="127"/>
      <c r="H145" s="127"/>
      <c r="I145" s="175"/>
      <c r="J145" s="127"/>
      <c r="K145" s="127"/>
      <c r="L145" s="127"/>
      <c r="M145" s="127"/>
      <c r="N145" s="127"/>
      <c r="O145" s="127"/>
      <c r="P145" s="162"/>
      <c r="Q145" s="162"/>
      <c r="R145" s="162"/>
      <c r="S145" s="162"/>
      <c r="T145" s="162"/>
      <c r="U145" s="162"/>
      <c r="V145" s="162"/>
      <c r="W145" s="162"/>
      <c r="X145" s="162"/>
      <c r="Y145" s="162"/>
      <c r="Z145" s="162"/>
      <c r="AA145" s="162"/>
      <c r="AB145" s="162"/>
      <c r="AC145" s="162"/>
      <c r="AD145" s="162"/>
      <c r="AE145" s="162"/>
      <c r="AF145" s="162"/>
      <c r="AG145" s="162"/>
      <c r="AH145" s="162"/>
      <c r="AI145" s="162"/>
      <c r="AJ145" s="162"/>
      <c r="AK145" s="162"/>
      <c r="AL145" s="162"/>
      <c r="AM145" s="162"/>
      <c r="AN145" s="162"/>
      <c r="AO145" s="162"/>
      <c r="AP145" s="162"/>
      <c r="AQ145" s="162"/>
      <c r="AR145" s="162"/>
      <c r="AS145" s="162"/>
      <c r="AT145" s="162"/>
      <c r="AU145" s="162"/>
      <c r="AV145" s="162"/>
      <c r="AW145" s="162"/>
      <c r="AX145" s="162"/>
      <c r="AY145" s="162"/>
      <c r="AZ145" s="162"/>
      <c r="BA145" s="162"/>
      <c r="BB145" s="162"/>
      <c r="BC145" s="162"/>
      <c r="BD145" s="162"/>
      <c r="BE145" s="162"/>
      <c r="BF145" s="162"/>
      <c r="BG145" s="162"/>
      <c r="BH145" s="162"/>
      <c r="BI145" s="162"/>
      <c r="BJ145" s="162"/>
      <c r="BK145" s="162"/>
      <c r="BL145" s="162"/>
      <c r="BM145" s="162"/>
      <c r="BN145" s="162"/>
      <c r="BO145" s="162"/>
      <c r="BP145" s="162"/>
      <c r="BQ145" s="162"/>
      <c r="BR145" s="162"/>
      <c r="BS145" s="162"/>
      <c r="BT145" s="162"/>
      <c r="BU145" s="162"/>
      <c r="BV145" s="162"/>
      <c r="BW145" s="162"/>
      <c r="BX145" s="162"/>
      <c r="BY145" s="162"/>
      <c r="BZ145" s="162"/>
      <c r="CA145" s="162"/>
      <c r="CB145" s="162"/>
      <c r="CC145" s="162"/>
      <c r="CD145" s="162"/>
      <c r="CE145" s="162"/>
      <c r="CF145" s="162"/>
      <c r="CG145" s="162"/>
      <c r="CH145" s="162"/>
      <c r="CI145" s="162"/>
      <c r="CJ145" s="162"/>
      <c r="CK145" s="162"/>
      <c r="CL145" s="162"/>
      <c r="CM145" s="162"/>
      <c r="CN145" s="162"/>
      <c r="CO145" s="162"/>
      <c r="CP145" s="162"/>
      <c r="CQ145" s="162"/>
      <c r="CR145" s="162"/>
      <c r="CS145" s="162"/>
      <c r="CT145" s="162"/>
      <c r="CU145" s="162"/>
      <c r="CV145" s="162"/>
      <c r="CW145" s="162"/>
      <c r="CX145" s="162"/>
      <c r="CY145" s="162"/>
      <c r="CZ145" s="162"/>
      <c r="DA145" s="162"/>
      <c r="DB145" s="162"/>
      <c r="DC145" s="162"/>
      <c r="DD145" s="162"/>
    </row>
    <row r="146" spans="1:108" ht="14.25" hidden="1" outlineLevel="1" x14ac:dyDescent="0.2">
      <c r="A146" s="162"/>
      <c r="B146" s="162"/>
      <c r="C146" s="162"/>
      <c r="D146" s="647"/>
      <c r="E146" s="162"/>
      <c r="F146" s="162"/>
      <c r="G146" s="162"/>
      <c r="H146" s="162"/>
      <c r="I146" s="162"/>
      <c r="J146" s="162"/>
      <c r="K146" s="162"/>
      <c r="L146" s="162"/>
      <c r="M146" s="162"/>
      <c r="N146" s="162"/>
      <c r="O146" s="162"/>
      <c r="P146" s="162"/>
      <c r="Q146" s="162"/>
      <c r="R146" s="162"/>
      <c r="S146" s="162"/>
      <c r="T146" s="162"/>
      <c r="U146" s="162"/>
      <c r="V146" s="162"/>
      <c r="W146" s="162"/>
      <c r="X146" s="162"/>
      <c r="Y146" s="162"/>
      <c r="Z146" s="162"/>
      <c r="AA146" s="162"/>
      <c r="AB146" s="162"/>
      <c r="AC146" s="162"/>
      <c r="AD146" s="162"/>
      <c r="AE146" s="162"/>
      <c r="AF146" s="162"/>
      <c r="AG146" s="162"/>
      <c r="AH146" s="162"/>
      <c r="AI146" s="162"/>
      <c r="AJ146" s="162"/>
      <c r="AK146" s="162"/>
      <c r="AL146" s="162"/>
      <c r="AM146" s="162"/>
      <c r="AN146" s="162"/>
      <c r="AO146" s="162"/>
      <c r="AP146" s="162"/>
      <c r="AQ146" s="162"/>
      <c r="AR146" s="162"/>
      <c r="AS146" s="162"/>
      <c r="AT146" s="162"/>
      <c r="AU146" s="162"/>
      <c r="AV146" s="162"/>
      <c r="AW146" s="162"/>
      <c r="AX146" s="162"/>
      <c r="AY146" s="162"/>
      <c r="AZ146" s="162"/>
      <c r="BA146" s="162"/>
      <c r="BB146" s="162"/>
      <c r="BC146" s="162"/>
      <c r="BD146" s="162"/>
      <c r="BE146" s="162"/>
      <c r="BF146" s="162"/>
      <c r="BG146" s="162"/>
      <c r="BH146" s="162"/>
      <c r="BI146" s="162"/>
      <c r="BJ146" s="162"/>
      <c r="BK146" s="162"/>
      <c r="BL146" s="162"/>
      <c r="BM146" s="162"/>
      <c r="BN146" s="162"/>
      <c r="BO146" s="162"/>
      <c r="BP146" s="162"/>
      <c r="BQ146" s="162"/>
      <c r="BR146" s="162"/>
      <c r="BS146" s="162"/>
      <c r="BT146" s="162"/>
      <c r="BU146" s="162"/>
      <c r="BV146" s="162"/>
      <c r="BW146" s="162"/>
      <c r="BX146" s="162"/>
      <c r="BY146" s="162"/>
      <c r="BZ146" s="162"/>
      <c r="CA146" s="162"/>
      <c r="CB146" s="162"/>
      <c r="CC146" s="162"/>
      <c r="CD146" s="162"/>
      <c r="CE146" s="162"/>
      <c r="CF146" s="162"/>
      <c r="CG146" s="162"/>
      <c r="CH146" s="162"/>
      <c r="CI146" s="162"/>
      <c r="CJ146" s="162"/>
      <c r="CK146" s="162"/>
      <c r="CL146" s="162"/>
      <c r="CM146" s="162"/>
      <c r="CN146" s="162"/>
      <c r="CO146" s="162"/>
      <c r="CP146" s="162"/>
      <c r="CQ146" s="162"/>
      <c r="CR146" s="162"/>
      <c r="CS146" s="162"/>
      <c r="CT146" s="162"/>
      <c r="CU146" s="162"/>
      <c r="CV146" s="162"/>
      <c r="CW146" s="162"/>
      <c r="CX146" s="162"/>
      <c r="CY146" s="162"/>
      <c r="CZ146" s="162"/>
      <c r="DA146" s="162"/>
      <c r="DB146" s="162"/>
      <c r="DC146" s="162"/>
      <c r="DD146" s="162"/>
    </row>
    <row r="147" spans="1:108" hidden="1" outlineLevel="1" x14ac:dyDescent="0.2">
      <c r="A147" s="162"/>
      <c r="B147" s="162"/>
      <c r="C147" s="162"/>
      <c r="D147" s="162"/>
      <c r="E147" s="632" t="s">
        <v>245</v>
      </c>
      <c r="F147" s="632" t="s">
        <v>246</v>
      </c>
      <c r="G147" s="162"/>
      <c r="H147" s="632" t="s">
        <v>51</v>
      </c>
      <c r="I147" s="162"/>
      <c r="J147" s="632" t="s">
        <v>365</v>
      </c>
      <c r="K147" s="162"/>
      <c r="L147" s="162"/>
      <c r="M147" s="162"/>
      <c r="N147" s="162"/>
      <c r="O147" s="162"/>
      <c r="P147" s="162"/>
      <c r="Q147" s="162"/>
      <c r="R147" s="162"/>
      <c r="S147" s="162"/>
      <c r="T147" s="162"/>
      <c r="U147" s="162"/>
      <c r="V147" s="162"/>
      <c r="W147" s="162"/>
      <c r="X147" s="162"/>
      <c r="Y147" s="162"/>
      <c r="Z147" s="162"/>
      <c r="AA147" s="162"/>
      <c r="AB147" s="162"/>
      <c r="AC147" s="162"/>
      <c r="AD147" s="162"/>
      <c r="AE147" s="162"/>
      <c r="AF147" s="162"/>
      <c r="AG147" s="162"/>
      <c r="AH147" s="162"/>
      <c r="AI147" s="162"/>
      <c r="AJ147" s="162"/>
      <c r="AK147" s="162"/>
      <c r="AL147" s="162"/>
      <c r="AM147" s="162"/>
      <c r="AN147" s="162"/>
      <c r="AO147" s="162"/>
      <c r="AP147" s="162"/>
      <c r="AQ147" s="162"/>
      <c r="AR147" s="162"/>
      <c r="AS147" s="162"/>
      <c r="AT147" s="162"/>
      <c r="AU147" s="162"/>
      <c r="AV147" s="162"/>
      <c r="AW147" s="162"/>
      <c r="AX147" s="162"/>
      <c r="AY147" s="162"/>
      <c r="AZ147" s="162"/>
      <c r="BA147" s="162"/>
      <c r="BB147" s="162"/>
      <c r="BC147" s="162"/>
      <c r="BD147" s="162"/>
      <c r="BE147" s="162"/>
      <c r="BF147" s="162"/>
      <c r="BG147" s="162"/>
      <c r="BH147" s="162"/>
      <c r="BI147" s="162"/>
      <c r="BJ147" s="162"/>
      <c r="BK147" s="162"/>
      <c r="BL147" s="162"/>
      <c r="BM147" s="162"/>
      <c r="BN147" s="162"/>
      <c r="BO147" s="162"/>
      <c r="BP147" s="162"/>
      <c r="BQ147" s="162"/>
      <c r="BR147" s="162"/>
      <c r="BS147" s="162"/>
      <c r="BT147" s="162"/>
      <c r="BU147" s="162"/>
      <c r="BV147" s="162"/>
      <c r="BW147" s="162"/>
      <c r="BX147" s="162"/>
      <c r="BY147" s="162"/>
      <c r="BZ147" s="162"/>
      <c r="CA147" s="162"/>
      <c r="CB147" s="162"/>
      <c r="CC147" s="162"/>
      <c r="CD147" s="162"/>
      <c r="CE147" s="162"/>
      <c r="CF147" s="162"/>
      <c r="CG147" s="162"/>
      <c r="CH147" s="162"/>
      <c r="CI147" s="162"/>
      <c r="CJ147" s="162"/>
      <c r="CK147" s="162"/>
      <c r="CL147" s="162"/>
      <c r="CM147" s="162"/>
      <c r="CN147" s="162"/>
      <c r="CO147" s="162"/>
      <c r="CP147" s="162"/>
      <c r="CQ147" s="162"/>
      <c r="CR147" s="162"/>
      <c r="CS147" s="162"/>
      <c r="CT147" s="162"/>
      <c r="CU147" s="162"/>
      <c r="CV147" s="162"/>
      <c r="CW147" s="162"/>
      <c r="CX147" s="162"/>
      <c r="CY147" s="162"/>
      <c r="CZ147" s="162"/>
      <c r="DA147" s="162"/>
      <c r="DB147" s="162"/>
      <c r="DC147" s="162"/>
      <c r="DD147" s="162"/>
    </row>
    <row r="148" spans="1:108" hidden="1" outlineLevel="1" x14ac:dyDescent="0.2">
      <c r="A148" s="162"/>
      <c r="B148" s="162"/>
      <c r="C148" s="162"/>
      <c r="D148" s="42" t="s">
        <v>242</v>
      </c>
      <c r="E148" s="427"/>
      <c r="F148" s="427"/>
      <c r="G148" s="162"/>
      <c r="H148" s="360"/>
      <c r="I148" s="162"/>
      <c r="J148" s="360"/>
      <c r="K148" s="162"/>
      <c r="L148" s="162"/>
      <c r="M148" s="162"/>
      <c r="N148" s="162"/>
      <c r="O148" s="162"/>
      <c r="P148" s="162"/>
      <c r="Q148" s="162"/>
      <c r="R148" s="162"/>
      <c r="S148" s="162"/>
      <c r="T148" s="162"/>
      <c r="U148" s="162"/>
      <c r="V148" s="162"/>
      <c r="W148" s="162"/>
      <c r="X148" s="162"/>
      <c r="Y148" s="162"/>
      <c r="Z148" s="162"/>
      <c r="AA148" s="162"/>
      <c r="AB148" s="162"/>
      <c r="AC148" s="162"/>
      <c r="AD148" s="162"/>
      <c r="AE148" s="162"/>
      <c r="AF148" s="162"/>
      <c r="AG148" s="162"/>
      <c r="AH148" s="162"/>
      <c r="AI148" s="162"/>
      <c r="AJ148" s="162"/>
      <c r="AK148" s="162"/>
      <c r="AL148" s="162"/>
      <c r="AM148" s="162"/>
      <c r="AN148" s="162"/>
      <c r="AO148" s="162"/>
      <c r="AP148" s="162"/>
      <c r="AQ148" s="162"/>
      <c r="AR148" s="162"/>
      <c r="AS148" s="162"/>
      <c r="AT148" s="162"/>
      <c r="AU148" s="162"/>
      <c r="AV148" s="162"/>
      <c r="AW148" s="162"/>
      <c r="AX148" s="162"/>
      <c r="AY148" s="162"/>
      <c r="AZ148" s="162"/>
      <c r="BA148" s="162"/>
      <c r="BB148" s="162"/>
      <c r="BC148" s="162"/>
      <c r="BD148" s="162"/>
      <c r="BE148" s="162"/>
      <c r="BF148" s="162"/>
      <c r="BG148" s="162"/>
      <c r="BH148" s="162"/>
      <c r="BI148" s="162"/>
      <c r="BJ148" s="162"/>
      <c r="BK148" s="162"/>
      <c r="BL148" s="162"/>
      <c r="BM148" s="162"/>
      <c r="BN148" s="162"/>
      <c r="BO148" s="162"/>
      <c r="BP148" s="162"/>
      <c r="BQ148" s="162"/>
      <c r="BR148" s="162"/>
      <c r="BS148" s="162"/>
      <c r="BT148" s="162"/>
      <c r="BU148" s="162"/>
      <c r="BV148" s="162"/>
      <c r="BW148" s="162"/>
      <c r="BX148" s="162"/>
      <c r="BY148" s="162"/>
      <c r="BZ148" s="162"/>
      <c r="CA148" s="162"/>
      <c r="CB148" s="162"/>
      <c r="CC148" s="162"/>
      <c r="CD148" s="162"/>
      <c r="CE148" s="162"/>
      <c r="CF148" s="162"/>
      <c r="CG148" s="162"/>
      <c r="CH148" s="162"/>
      <c r="CI148" s="162"/>
      <c r="CJ148" s="162"/>
      <c r="CK148" s="162"/>
      <c r="CL148" s="162"/>
      <c r="CM148" s="162"/>
      <c r="CN148" s="162"/>
      <c r="CO148" s="162"/>
      <c r="CP148" s="162"/>
      <c r="CQ148" s="162"/>
      <c r="CR148" s="162"/>
      <c r="CS148" s="162"/>
      <c r="CT148" s="162"/>
      <c r="CU148" s="162"/>
      <c r="CV148" s="162"/>
      <c r="CW148" s="162"/>
      <c r="CX148" s="162"/>
      <c r="CY148" s="162"/>
      <c r="CZ148" s="162"/>
      <c r="DA148" s="162"/>
      <c r="DB148" s="162"/>
      <c r="DC148" s="162"/>
      <c r="DD148" s="162"/>
    </row>
    <row r="149" spans="1:108" hidden="1" outlineLevel="1" x14ac:dyDescent="0.2">
      <c r="A149" s="162"/>
      <c r="B149" s="162"/>
      <c r="C149" s="162"/>
      <c r="D149" s="162"/>
      <c r="E149" s="495">
        <f>IF(E148="",0,E148)</f>
        <v>0</v>
      </c>
      <c r="F149" s="495">
        <f>IF(F148="",100,F148)</f>
        <v>100</v>
      </c>
      <c r="G149" s="162"/>
      <c r="H149" s="162"/>
      <c r="I149" s="162"/>
      <c r="J149" s="162"/>
      <c r="K149" s="162"/>
      <c r="L149" s="162"/>
      <c r="M149" s="162"/>
      <c r="N149" s="162"/>
      <c r="O149" s="162"/>
      <c r="P149" s="162"/>
      <c r="Q149" s="162"/>
      <c r="R149" s="162"/>
      <c r="S149" s="162"/>
      <c r="T149" s="162"/>
      <c r="U149" s="162"/>
      <c r="V149" s="162"/>
      <c r="W149" s="162"/>
      <c r="X149" s="162"/>
      <c r="Y149" s="162"/>
      <c r="Z149" s="162"/>
      <c r="AA149" s="162"/>
      <c r="AB149" s="162"/>
      <c r="AC149" s="162"/>
      <c r="AD149" s="162"/>
      <c r="AE149" s="162"/>
      <c r="AF149" s="162"/>
      <c r="AG149" s="162"/>
      <c r="AH149" s="162"/>
      <c r="AI149" s="162"/>
      <c r="AJ149" s="162"/>
      <c r="AK149" s="162"/>
      <c r="AL149" s="162"/>
      <c r="AM149" s="162"/>
      <c r="AN149" s="162"/>
      <c r="AO149" s="162"/>
      <c r="AP149" s="162"/>
      <c r="AQ149" s="162"/>
      <c r="AR149" s="162"/>
      <c r="AS149" s="162"/>
      <c r="AT149" s="162"/>
      <c r="AU149" s="162"/>
      <c r="AV149" s="162"/>
      <c r="AW149" s="162"/>
      <c r="AX149" s="162"/>
      <c r="AY149" s="162"/>
      <c r="AZ149" s="162"/>
      <c r="BA149" s="162"/>
      <c r="BB149" s="162"/>
      <c r="BC149" s="162"/>
      <c r="BD149" s="162"/>
      <c r="BE149" s="162"/>
      <c r="BF149" s="162"/>
      <c r="BG149" s="162"/>
      <c r="BH149" s="162"/>
      <c r="BI149" s="162"/>
      <c r="BJ149" s="162"/>
      <c r="BK149" s="162"/>
      <c r="BL149" s="162"/>
      <c r="BM149" s="162"/>
      <c r="BN149" s="162"/>
      <c r="BO149" s="162"/>
      <c r="BP149" s="162"/>
      <c r="BQ149" s="162"/>
      <c r="BR149" s="162"/>
      <c r="BS149" s="162"/>
      <c r="BT149" s="162"/>
      <c r="BU149" s="162"/>
      <c r="BV149" s="162"/>
      <c r="BW149" s="162"/>
      <c r="BX149" s="162"/>
      <c r="BY149" s="162"/>
      <c r="BZ149" s="162"/>
      <c r="CA149" s="162"/>
      <c r="CB149" s="162"/>
      <c r="CC149" s="162"/>
      <c r="CD149" s="162"/>
      <c r="CE149" s="162"/>
      <c r="CF149" s="162"/>
      <c r="CG149" s="162"/>
      <c r="CH149" s="162"/>
      <c r="CI149" s="162"/>
      <c r="CJ149" s="162"/>
      <c r="CK149" s="162"/>
      <c r="CL149" s="162"/>
      <c r="CM149" s="162"/>
      <c r="CN149" s="162"/>
      <c r="CO149" s="162"/>
      <c r="CP149" s="162"/>
      <c r="CQ149" s="162"/>
      <c r="CR149" s="162"/>
      <c r="CS149" s="162"/>
      <c r="CT149" s="162"/>
      <c r="CU149" s="162"/>
      <c r="CV149" s="162"/>
      <c r="CW149" s="162"/>
      <c r="CX149" s="162"/>
      <c r="CY149" s="162"/>
      <c r="CZ149" s="162"/>
      <c r="DA149" s="162"/>
      <c r="DB149" s="162"/>
      <c r="DC149" s="162"/>
      <c r="DD149" s="162"/>
    </row>
    <row r="150" spans="1:108" hidden="1" outlineLevel="1" x14ac:dyDescent="0.2">
      <c r="A150" s="162"/>
      <c r="B150" s="162"/>
      <c r="C150" s="162"/>
      <c r="D150" s="162"/>
      <c r="E150" s="632" t="s">
        <v>464</v>
      </c>
      <c r="F150" s="632" t="s">
        <v>465</v>
      </c>
      <c r="G150" s="162"/>
      <c r="H150" s="162"/>
      <c r="I150" s="162"/>
      <c r="J150" s="162"/>
      <c r="K150" s="162"/>
      <c r="L150" s="162"/>
      <c r="M150" s="162"/>
      <c r="N150" s="162"/>
      <c r="O150" s="162"/>
      <c r="P150" s="162"/>
      <c r="Q150" s="162"/>
      <c r="R150" s="162"/>
      <c r="S150" s="162"/>
      <c r="T150" s="162"/>
      <c r="U150" s="162"/>
      <c r="V150" s="162"/>
      <c r="W150" s="162"/>
      <c r="X150" s="162"/>
      <c r="Y150" s="162"/>
      <c r="Z150" s="162"/>
      <c r="AA150" s="162"/>
      <c r="AB150" s="162"/>
      <c r="AC150" s="162"/>
      <c r="AD150" s="162"/>
      <c r="AE150" s="162"/>
      <c r="AF150" s="162"/>
      <c r="AG150" s="162"/>
      <c r="AH150" s="162"/>
      <c r="AI150" s="162"/>
      <c r="AJ150" s="162"/>
      <c r="AK150" s="162"/>
      <c r="AL150" s="162"/>
      <c r="AM150" s="162"/>
      <c r="AN150" s="162"/>
      <c r="AO150" s="162"/>
      <c r="AP150" s="162"/>
      <c r="AQ150" s="162"/>
      <c r="AR150" s="162"/>
      <c r="AS150" s="162"/>
      <c r="AT150" s="162"/>
      <c r="AU150" s="162"/>
      <c r="AV150" s="162"/>
      <c r="AW150" s="162"/>
      <c r="AX150" s="162"/>
      <c r="AY150" s="162"/>
      <c r="AZ150" s="162"/>
      <c r="BA150" s="162"/>
      <c r="BB150" s="162"/>
      <c r="BC150" s="162"/>
      <c r="BD150" s="162"/>
      <c r="BE150" s="162"/>
      <c r="BF150" s="162"/>
      <c r="BG150" s="162"/>
      <c r="BH150" s="162"/>
      <c r="BI150" s="162"/>
      <c r="BJ150" s="162"/>
      <c r="BK150" s="162"/>
      <c r="BL150" s="162"/>
      <c r="BM150" s="162"/>
      <c r="BN150" s="162"/>
      <c r="BO150" s="162"/>
      <c r="BP150" s="162"/>
      <c r="BQ150" s="162"/>
      <c r="BR150" s="162"/>
      <c r="BS150" s="162"/>
      <c r="BT150" s="162"/>
      <c r="BU150" s="162"/>
      <c r="BV150" s="162"/>
      <c r="BW150" s="162"/>
      <c r="BX150" s="162"/>
      <c r="BY150" s="162"/>
      <c r="BZ150" s="162"/>
      <c r="CA150" s="162"/>
      <c r="CB150" s="162"/>
      <c r="CC150" s="162"/>
      <c r="CD150" s="162"/>
      <c r="CE150" s="162"/>
      <c r="CF150" s="162"/>
      <c r="CG150" s="162"/>
      <c r="CH150" s="162"/>
      <c r="CI150" s="162"/>
      <c r="CJ150" s="162"/>
      <c r="CK150" s="162"/>
      <c r="CL150" s="162"/>
      <c r="CM150" s="162"/>
      <c r="CN150" s="162"/>
      <c r="CO150" s="162"/>
      <c r="CP150" s="162"/>
      <c r="CQ150" s="162"/>
      <c r="CR150" s="162"/>
      <c r="CS150" s="162"/>
      <c r="CT150" s="162"/>
      <c r="CU150" s="162"/>
      <c r="CV150" s="162"/>
      <c r="CW150" s="162"/>
      <c r="CX150" s="162"/>
      <c r="CY150" s="162"/>
      <c r="CZ150" s="162"/>
      <c r="DA150" s="162"/>
      <c r="DB150" s="162"/>
      <c r="DC150" s="162"/>
      <c r="DD150" s="162"/>
    </row>
    <row r="151" spans="1:108" hidden="1" outlineLevel="1" x14ac:dyDescent="0.2">
      <c r="A151" s="162"/>
      <c r="B151" s="162"/>
      <c r="C151" s="162"/>
      <c r="D151" s="631" t="s">
        <v>463</v>
      </c>
      <c r="E151" s="521"/>
      <c r="F151" s="427"/>
      <c r="G151" s="315">
        <f>IF(AND(E151&lt;&gt;"",F151&lt;&gt;""),E151/F151,1)</f>
        <v>1</v>
      </c>
      <c r="H151" s="162"/>
      <c r="I151" s="42" t="s">
        <v>258</v>
      </c>
      <c r="J151" s="911"/>
      <c r="K151" s="912"/>
      <c r="L151" s="912"/>
      <c r="M151" s="912"/>
      <c r="N151" s="912"/>
      <c r="O151" s="912"/>
      <c r="P151" s="162"/>
      <c r="Q151" s="162"/>
      <c r="R151" s="162"/>
      <c r="S151" s="162"/>
      <c r="T151" s="162"/>
      <c r="U151" s="162"/>
      <c r="V151" s="162"/>
      <c r="W151" s="162"/>
      <c r="X151" s="162"/>
      <c r="Y151" s="162"/>
      <c r="Z151" s="162"/>
      <c r="AA151" s="162"/>
      <c r="AB151" s="162"/>
      <c r="AC151" s="162"/>
      <c r="AD151" s="162"/>
      <c r="AE151" s="162"/>
      <c r="AF151" s="162"/>
      <c r="AG151" s="162"/>
      <c r="AH151" s="162"/>
      <c r="AI151" s="162"/>
      <c r="AJ151" s="162"/>
      <c r="AK151" s="162"/>
      <c r="AL151" s="162"/>
      <c r="AM151" s="162"/>
      <c r="AN151" s="162"/>
      <c r="AO151" s="162"/>
      <c r="AP151" s="162"/>
      <c r="AQ151" s="162"/>
      <c r="AR151" s="162"/>
      <c r="AS151" s="162"/>
      <c r="AT151" s="162"/>
      <c r="AU151" s="162"/>
      <c r="AV151" s="162"/>
      <c r="AW151" s="162"/>
      <c r="AX151" s="162"/>
      <c r="AY151" s="162"/>
      <c r="AZ151" s="162"/>
      <c r="BA151" s="162"/>
      <c r="BB151" s="162"/>
      <c r="BC151" s="162"/>
      <c r="BD151" s="162"/>
      <c r="BE151" s="162"/>
      <c r="BF151" s="162"/>
      <c r="BG151" s="162"/>
      <c r="BH151" s="162"/>
      <c r="BI151" s="162"/>
      <c r="BJ151" s="162"/>
      <c r="BK151" s="162"/>
      <c r="BL151" s="162"/>
      <c r="BM151" s="162"/>
      <c r="BN151" s="162"/>
      <c r="BO151" s="162"/>
      <c r="BP151" s="162"/>
      <c r="BQ151" s="162"/>
      <c r="BR151" s="162"/>
      <c r="BS151" s="162"/>
      <c r="BT151" s="162"/>
      <c r="BU151" s="162"/>
      <c r="BV151" s="162"/>
      <c r="BW151" s="162"/>
      <c r="BX151" s="162"/>
      <c r="BY151" s="162"/>
      <c r="BZ151" s="162"/>
      <c r="CA151" s="162"/>
      <c r="CB151" s="162"/>
      <c r="CC151" s="162"/>
      <c r="CD151" s="162"/>
      <c r="CE151" s="162"/>
      <c r="CF151" s="162"/>
      <c r="CG151" s="162"/>
      <c r="CH151" s="162"/>
      <c r="CI151" s="162"/>
      <c r="CJ151" s="162"/>
      <c r="CK151" s="162"/>
      <c r="CL151" s="162"/>
      <c r="CM151" s="162"/>
      <c r="CN151" s="162"/>
      <c r="CO151" s="162"/>
      <c r="CP151" s="162"/>
      <c r="CQ151" s="162"/>
      <c r="CR151" s="162"/>
      <c r="CS151" s="162"/>
      <c r="CT151" s="162"/>
      <c r="CU151" s="162"/>
      <c r="CV151" s="162"/>
      <c r="CW151" s="162"/>
      <c r="CX151" s="162"/>
      <c r="CY151" s="162"/>
      <c r="CZ151" s="162"/>
      <c r="DA151" s="162"/>
      <c r="DB151" s="162"/>
      <c r="DC151" s="162"/>
      <c r="DD151" s="162"/>
    </row>
    <row r="152" spans="1:108" hidden="1" outlineLevel="1" x14ac:dyDescent="0.2">
      <c r="A152" s="162"/>
      <c r="B152" s="162"/>
      <c r="C152" s="162"/>
      <c r="D152" s="162"/>
      <c r="E152" s="162"/>
      <c r="F152" s="162"/>
      <c r="G152" s="162"/>
      <c r="H152" s="162"/>
      <c r="I152" s="162"/>
      <c r="J152" s="162"/>
      <c r="K152" s="162"/>
      <c r="L152" s="162"/>
      <c r="M152" s="162"/>
      <c r="N152" s="162"/>
      <c r="O152" s="162"/>
      <c r="P152" s="162"/>
      <c r="Q152" s="162"/>
      <c r="R152" s="162"/>
      <c r="S152" s="162"/>
      <c r="T152" s="162"/>
      <c r="U152" s="162"/>
      <c r="V152" s="162"/>
      <c r="W152" s="162"/>
      <c r="X152" s="162"/>
      <c r="Y152" s="162"/>
      <c r="Z152" s="162"/>
      <c r="AA152" s="162"/>
      <c r="AB152" s="162"/>
      <c r="AC152" s="162"/>
      <c r="AD152" s="162"/>
      <c r="AE152" s="162"/>
      <c r="AF152" s="162"/>
      <c r="AG152" s="162"/>
      <c r="AH152" s="162"/>
      <c r="AI152" s="162"/>
      <c r="AJ152" s="162"/>
      <c r="AK152" s="162"/>
      <c r="AL152" s="162"/>
      <c r="AM152" s="162"/>
      <c r="AN152" s="162"/>
      <c r="AO152" s="162"/>
      <c r="AP152" s="162"/>
      <c r="AQ152" s="162"/>
      <c r="AR152" s="162"/>
      <c r="AS152" s="162"/>
      <c r="AT152" s="162"/>
      <c r="AU152" s="162"/>
      <c r="AV152" s="162"/>
      <c r="AW152" s="162"/>
      <c r="AX152" s="162"/>
      <c r="AY152" s="162"/>
      <c r="AZ152" s="162"/>
      <c r="BA152" s="162"/>
      <c r="BB152" s="162"/>
      <c r="BC152" s="162"/>
      <c r="BD152" s="162"/>
      <c r="BE152" s="162"/>
      <c r="BF152" s="162"/>
      <c r="BG152" s="162"/>
      <c r="BH152" s="162"/>
      <c r="BI152" s="162"/>
      <c r="BJ152" s="162"/>
      <c r="BK152" s="162"/>
      <c r="BL152" s="162"/>
      <c r="BM152" s="162"/>
      <c r="BN152" s="162"/>
      <c r="BO152" s="162"/>
      <c r="BP152" s="162"/>
      <c r="BQ152" s="162"/>
      <c r="BR152" s="162"/>
      <c r="BS152" s="162"/>
      <c r="BT152" s="162"/>
      <c r="BU152" s="162"/>
      <c r="BV152" s="162"/>
      <c r="BW152" s="162"/>
      <c r="BX152" s="162"/>
      <c r="BY152" s="162"/>
      <c r="BZ152" s="162"/>
      <c r="CA152" s="162"/>
      <c r="CB152" s="162"/>
      <c r="CC152" s="162"/>
      <c r="CD152" s="162"/>
      <c r="CE152" s="162"/>
      <c r="CF152" s="162"/>
      <c r="CG152" s="162"/>
      <c r="CH152" s="162"/>
      <c r="CI152" s="162"/>
      <c r="CJ152" s="162"/>
      <c r="CK152" s="162"/>
      <c r="CL152" s="162"/>
      <c r="CM152" s="162"/>
      <c r="CN152" s="162"/>
      <c r="CO152" s="162"/>
      <c r="CP152" s="162"/>
      <c r="CQ152" s="162"/>
      <c r="CR152" s="162"/>
      <c r="CS152" s="162"/>
      <c r="CT152" s="162"/>
      <c r="CU152" s="162"/>
      <c r="CV152" s="162"/>
      <c r="CW152" s="162"/>
      <c r="CX152" s="162"/>
      <c r="CY152" s="162"/>
      <c r="CZ152" s="162"/>
      <c r="DA152" s="162"/>
      <c r="DB152" s="162"/>
      <c r="DC152" s="162"/>
      <c r="DD152" s="162"/>
    </row>
    <row r="153" spans="1:108" hidden="1" outlineLevel="1" x14ac:dyDescent="0.2">
      <c r="A153" s="162"/>
      <c r="B153" s="162"/>
      <c r="C153" s="162"/>
      <c r="D153" s="162"/>
      <c r="E153" s="616" t="s">
        <v>255</v>
      </c>
      <c r="F153" s="162"/>
      <c r="G153" s="162"/>
      <c r="H153" s="162"/>
      <c r="I153" s="162"/>
      <c r="J153" s="162"/>
      <c r="K153" s="162"/>
      <c r="L153" s="162"/>
      <c r="M153" s="162"/>
      <c r="N153" s="162"/>
      <c r="O153" s="162"/>
      <c r="P153" s="162"/>
      <c r="Q153" s="162"/>
      <c r="R153" s="162"/>
      <c r="S153" s="162"/>
      <c r="T153" s="162"/>
      <c r="U153" s="162"/>
      <c r="V153" s="162"/>
      <c r="W153" s="162"/>
      <c r="X153" s="162"/>
      <c r="Y153" s="162"/>
      <c r="Z153" s="162"/>
      <c r="AA153" s="162"/>
      <c r="AB153" s="162"/>
      <c r="AC153" s="162"/>
      <c r="AD153" s="162"/>
      <c r="AE153" s="162"/>
      <c r="AF153" s="162"/>
      <c r="AG153" s="162"/>
      <c r="AH153" s="162"/>
      <c r="AI153" s="162"/>
      <c r="AJ153" s="162"/>
      <c r="AK153" s="162"/>
      <c r="AL153" s="162"/>
      <c r="AM153" s="162"/>
      <c r="AN153" s="162"/>
      <c r="AO153" s="162"/>
      <c r="AP153" s="162"/>
      <c r="AQ153" s="162"/>
      <c r="AR153" s="162"/>
      <c r="AS153" s="162"/>
      <c r="AT153" s="162"/>
      <c r="AU153" s="162"/>
      <c r="AV153" s="162"/>
      <c r="AW153" s="162"/>
      <c r="AX153" s="162"/>
      <c r="AY153" s="162"/>
      <c r="AZ153" s="162"/>
      <c r="BA153" s="162"/>
      <c r="BB153" s="162"/>
      <c r="BC153" s="162"/>
      <c r="BD153" s="162"/>
      <c r="BE153" s="162"/>
      <c r="BF153" s="162"/>
      <c r="BG153" s="162"/>
      <c r="BH153" s="162"/>
      <c r="BI153" s="162"/>
      <c r="BJ153" s="162"/>
      <c r="BK153" s="162"/>
      <c r="BL153" s="162"/>
      <c r="BM153" s="162"/>
      <c r="BN153" s="162"/>
      <c r="BO153" s="162"/>
      <c r="BP153" s="162"/>
      <c r="BQ153" s="162"/>
      <c r="BR153" s="162"/>
      <c r="BS153" s="162"/>
      <c r="BT153" s="162"/>
      <c r="BU153" s="162"/>
      <c r="BV153" s="162"/>
      <c r="BW153" s="162"/>
      <c r="BX153" s="162"/>
      <c r="BY153" s="162"/>
      <c r="BZ153" s="162"/>
      <c r="CA153" s="162"/>
      <c r="CB153" s="162"/>
      <c r="CC153" s="162"/>
      <c r="CD153" s="162"/>
      <c r="CE153" s="162"/>
      <c r="CF153" s="162"/>
      <c r="CG153" s="162"/>
      <c r="CH153" s="162"/>
      <c r="CI153" s="162"/>
      <c r="CJ153" s="162"/>
      <c r="CK153" s="162"/>
      <c r="CL153" s="162"/>
      <c r="CM153" s="162"/>
      <c r="CN153" s="162"/>
      <c r="CO153" s="162"/>
      <c r="CP153" s="162"/>
      <c r="CQ153" s="162"/>
      <c r="CR153" s="162"/>
      <c r="CS153" s="162"/>
      <c r="CT153" s="162"/>
      <c r="CU153" s="162"/>
      <c r="CV153" s="162"/>
      <c r="CW153" s="162"/>
      <c r="CX153" s="162"/>
      <c r="CY153" s="162"/>
      <c r="CZ153" s="162"/>
      <c r="DA153" s="162"/>
      <c r="DB153" s="162"/>
      <c r="DC153" s="162"/>
      <c r="DD153" s="162"/>
    </row>
    <row r="154" spans="1:108" hidden="1" outlineLevel="1" x14ac:dyDescent="0.2">
      <c r="A154" s="162"/>
      <c r="B154" s="162"/>
      <c r="C154" s="162"/>
      <c r="D154" s="162"/>
      <c r="E154" s="78">
        <f>IF(J148&lt;&gt;"",J148,FirstYear)</f>
        <v>2021</v>
      </c>
      <c r="F154" s="630">
        <f>E154+1</f>
        <v>2022</v>
      </c>
      <c r="G154" s="630">
        <f>F154+1</f>
        <v>2023</v>
      </c>
      <c r="H154" s="630">
        <f>G154+1</f>
        <v>2024</v>
      </c>
      <c r="I154" s="630">
        <f>H154+1</f>
        <v>2025</v>
      </c>
      <c r="J154" s="630">
        <f>I154+1</f>
        <v>2026</v>
      </c>
      <c r="K154" s="162"/>
      <c r="L154" s="162"/>
      <c r="M154" s="162"/>
      <c r="N154" s="162"/>
      <c r="O154" s="162"/>
      <c r="P154" s="162"/>
      <c r="Q154" s="162"/>
      <c r="R154" s="162"/>
      <c r="S154" s="162"/>
      <c r="T154" s="162"/>
      <c r="U154" s="162"/>
      <c r="V154" s="162"/>
      <c r="W154" s="162"/>
      <c r="X154" s="162"/>
      <c r="Y154" s="162"/>
      <c r="Z154" s="162"/>
      <c r="AA154" s="162"/>
      <c r="AB154" s="162"/>
      <c r="AC154" s="162"/>
      <c r="AD154" s="162"/>
      <c r="AE154" s="162"/>
      <c r="AF154" s="162"/>
      <c r="AG154" s="162"/>
      <c r="AH154" s="162"/>
      <c r="AI154" s="162"/>
      <c r="AJ154" s="162"/>
      <c r="AK154" s="162"/>
      <c r="AL154" s="162"/>
      <c r="AM154" s="162"/>
      <c r="AN154" s="162"/>
      <c r="AO154" s="162"/>
      <c r="AP154" s="162"/>
      <c r="AQ154" s="162"/>
      <c r="AR154" s="162"/>
      <c r="AS154" s="162"/>
      <c r="AT154" s="162"/>
      <c r="AU154" s="162"/>
      <c r="AV154" s="162"/>
      <c r="AW154" s="162"/>
      <c r="AX154" s="162"/>
      <c r="AY154" s="162"/>
      <c r="AZ154" s="162"/>
      <c r="BA154" s="162"/>
      <c r="BB154" s="162"/>
      <c r="BC154" s="162"/>
      <c r="BD154" s="162"/>
      <c r="BE154" s="162"/>
      <c r="BF154" s="162"/>
      <c r="BG154" s="162"/>
      <c r="BH154" s="162"/>
      <c r="BI154" s="162"/>
      <c r="BJ154" s="162"/>
      <c r="BK154" s="162"/>
      <c r="BL154" s="162"/>
      <c r="BM154" s="162"/>
      <c r="BN154" s="162"/>
      <c r="BO154" s="162"/>
      <c r="BP154" s="162"/>
      <c r="BQ154" s="162"/>
      <c r="BR154" s="162"/>
      <c r="BS154" s="162"/>
      <c r="BT154" s="162"/>
      <c r="BU154" s="162"/>
      <c r="BV154" s="162"/>
      <c r="BW154" s="162"/>
      <c r="BX154" s="162"/>
      <c r="BY154" s="162"/>
      <c r="BZ154" s="162"/>
      <c r="CA154" s="162"/>
      <c r="CB154" s="162"/>
      <c r="CC154" s="162"/>
      <c r="CD154" s="162"/>
      <c r="CE154" s="162"/>
      <c r="CF154" s="162"/>
      <c r="CG154" s="162"/>
      <c r="CH154" s="162"/>
      <c r="CI154" s="162"/>
      <c r="CJ154" s="162"/>
      <c r="CK154" s="162"/>
      <c r="CL154" s="162"/>
      <c r="CM154" s="162"/>
      <c r="CN154" s="162"/>
      <c r="CO154" s="162"/>
      <c r="CP154" s="162"/>
      <c r="CQ154" s="162"/>
      <c r="CR154" s="162"/>
      <c r="CS154" s="162"/>
      <c r="CT154" s="162"/>
      <c r="CU154" s="162"/>
      <c r="CV154" s="162"/>
      <c r="CW154" s="162"/>
      <c r="CX154" s="162"/>
      <c r="CY154" s="162"/>
      <c r="CZ154" s="162"/>
      <c r="DA154" s="162"/>
      <c r="DB154" s="162"/>
      <c r="DC154" s="162"/>
      <c r="DD154" s="162"/>
    </row>
    <row r="155" spans="1:108" hidden="1" outlineLevel="1" x14ac:dyDescent="0.2">
      <c r="A155" s="162"/>
      <c r="B155" s="162"/>
      <c r="C155" s="162"/>
      <c r="D155" s="162"/>
      <c r="E155" s="63">
        <f t="shared" ref="E155:J155" si="45">IF($B$145&lt;&gt;0,VLOOKUP($B$145,$C$158:$J$160,E156)*$G151,0)</f>
        <v>0</v>
      </c>
      <c r="F155" s="63">
        <f t="shared" si="45"/>
        <v>0</v>
      </c>
      <c r="G155" s="63">
        <f t="shared" si="45"/>
        <v>0</v>
      </c>
      <c r="H155" s="63">
        <f t="shared" si="45"/>
        <v>0</v>
      </c>
      <c r="I155" s="63">
        <f t="shared" si="45"/>
        <v>0</v>
      </c>
      <c r="J155" s="63">
        <f t="shared" si="45"/>
        <v>0</v>
      </c>
      <c r="K155" s="162"/>
      <c r="L155" s="162"/>
      <c r="M155" s="162"/>
      <c r="N155" s="162"/>
      <c r="O155" s="162"/>
      <c r="P155" s="162"/>
      <c r="Q155" s="162"/>
      <c r="R155" s="162"/>
      <c r="S155" s="162"/>
      <c r="T155" s="162"/>
      <c r="U155" s="162"/>
      <c r="V155" s="162"/>
      <c r="W155" s="162"/>
      <c r="X155" s="162"/>
      <c r="Y155" s="162"/>
      <c r="Z155" s="162"/>
      <c r="AA155" s="162"/>
      <c r="AB155" s="162"/>
      <c r="AC155" s="162"/>
      <c r="AD155" s="162"/>
      <c r="AE155" s="162"/>
      <c r="AF155" s="162"/>
      <c r="AG155" s="162"/>
      <c r="AH155" s="162"/>
      <c r="AI155" s="162"/>
      <c r="AJ155" s="162"/>
      <c r="AK155" s="162"/>
      <c r="AL155" s="162"/>
      <c r="AM155" s="162"/>
      <c r="AN155" s="162"/>
      <c r="AO155" s="162"/>
      <c r="AP155" s="162"/>
      <c r="AQ155" s="162"/>
      <c r="AR155" s="162"/>
      <c r="AS155" s="162"/>
      <c r="AT155" s="162"/>
      <c r="AU155" s="162"/>
      <c r="AV155" s="162"/>
      <c r="AW155" s="162"/>
      <c r="AX155" s="162"/>
      <c r="AY155" s="162"/>
      <c r="AZ155" s="162"/>
      <c r="BA155" s="162"/>
      <c r="BB155" s="162"/>
      <c r="BC155" s="162"/>
      <c r="BD155" s="162"/>
      <c r="BE155" s="162"/>
      <c r="BF155" s="162"/>
      <c r="BG155" s="162"/>
      <c r="BH155" s="162"/>
      <c r="BI155" s="162"/>
      <c r="BJ155" s="162"/>
      <c r="BK155" s="162"/>
      <c r="BL155" s="162"/>
      <c r="BM155" s="162"/>
      <c r="BN155" s="162"/>
      <c r="BO155" s="162"/>
      <c r="BP155" s="162"/>
      <c r="BQ155" s="162"/>
      <c r="BR155" s="162"/>
      <c r="BS155" s="162"/>
      <c r="BT155" s="162"/>
      <c r="BU155" s="162"/>
      <c r="BV155" s="162"/>
      <c r="BW155" s="162"/>
      <c r="BX155" s="162"/>
      <c r="BY155" s="162"/>
      <c r="BZ155" s="162"/>
      <c r="CA155" s="162"/>
      <c r="CB155" s="162"/>
      <c r="CC155" s="162"/>
      <c r="CD155" s="162"/>
      <c r="CE155" s="162"/>
      <c r="CF155" s="162"/>
      <c r="CG155" s="162"/>
      <c r="CH155" s="162"/>
      <c r="CI155" s="162"/>
      <c r="CJ155" s="162"/>
      <c r="CK155" s="162"/>
      <c r="CL155" s="162"/>
      <c r="CM155" s="162"/>
      <c r="CN155" s="162"/>
      <c r="CO155" s="162"/>
      <c r="CP155" s="162"/>
      <c r="CQ155" s="162"/>
      <c r="CR155" s="162"/>
      <c r="CS155" s="162"/>
      <c r="CT155" s="162"/>
      <c r="CU155" s="162"/>
      <c r="CV155" s="162"/>
      <c r="CW155" s="162"/>
      <c r="CX155" s="162"/>
      <c r="CY155" s="162"/>
      <c r="CZ155" s="162"/>
      <c r="DA155" s="162"/>
      <c r="DB155" s="162"/>
      <c r="DC155" s="162"/>
      <c r="DD155" s="162"/>
    </row>
    <row r="156" spans="1:108" hidden="1" outlineLevel="1" x14ac:dyDescent="0.2">
      <c r="A156" s="162"/>
      <c r="B156" s="162"/>
      <c r="C156" s="162"/>
      <c r="D156" s="162"/>
      <c r="E156" s="650">
        <v>3</v>
      </c>
      <c r="F156" s="650">
        <v>4</v>
      </c>
      <c r="G156" s="650">
        <v>5</v>
      </c>
      <c r="H156" s="650">
        <v>6</v>
      </c>
      <c r="I156" s="650">
        <v>7</v>
      </c>
      <c r="J156" s="650">
        <v>8</v>
      </c>
      <c r="K156" s="162"/>
      <c r="L156" s="162"/>
      <c r="M156" s="162"/>
      <c r="N156" s="162"/>
      <c r="O156" s="162"/>
      <c r="P156" s="162"/>
      <c r="Q156" s="162"/>
      <c r="R156" s="162"/>
      <c r="S156" s="162"/>
      <c r="T156" s="162"/>
      <c r="U156" s="162"/>
      <c r="V156" s="162"/>
      <c r="W156" s="162"/>
      <c r="X156" s="162"/>
      <c r="Y156" s="162"/>
      <c r="Z156" s="162"/>
      <c r="AA156" s="162"/>
      <c r="AB156" s="162"/>
      <c r="AC156" s="162"/>
      <c r="AD156" s="162"/>
      <c r="AE156" s="162"/>
      <c r="AF156" s="162"/>
      <c r="AG156" s="162"/>
      <c r="AH156" s="162"/>
      <c r="AI156" s="162"/>
      <c r="AJ156" s="162"/>
      <c r="AK156" s="162"/>
      <c r="AL156" s="162"/>
      <c r="AM156" s="162"/>
      <c r="AN156" s="162"/>
      <c r="AO156" s="162"/>
      <c r="AP156" s="162"/>
      <c r="AQ156" s="162"/>
      <c r="AR156" s="162"/>
      <c r="AS156" s="162"/>
      <c r="AT156" s="162"/>
      <c r="AU156" s="162"/>
      <c r="AV156" s="162"/>
      <c r="AW156" s="162"/>
      <c r="AX156" s="162"/>
      <c r="AY156" s="162"/>
      <c r="AZ156" s="162"/>
      <c r="BA156" s="162"/>
      <c r="BB156" s="162"/>
      <c r="BC156" s="162"/>
      <c r="BD156" s="162"/>
      <c r="BE156" s="162"/>
      <c r="BF156" s="162"/>
      <c r="BG156" s="162"/>
      <c r="BH156" s="162"/>
      <c r="BI156" s="162"/>
      <c r="BJ156" s="162"/>
      <c r="BK156" s="162"/>
      <c r="BL156" s="162"/>
      <c r="BM156" s="162"/>
      <c r="BN156" s="162"/>
      <c r="BO156" s="162"/>
      <c r="BP156" s="162"/>
      <c r="BQ156" s="162"/>
      <c r="BR156" s="162"/>
      <c r="BS156" s="162"/>
      <c r="BT156" s="162"/>
      <c r="BU156" s="162"/>
      <c r="BV156" s="162"/>
      <c r="BW156" s="162"/>
      <c r="BX156" s="162"/>
      <c r="BY156" s="162"/>
      <c r="BZ156" s="162"/>
      <c r="CA156" s="162"/>
      <c r="CB156" s="162"/>
      <c r="CC156" s="162"/>
      <c r="CD156" s="162"/>
      <c r="CE156" s="162"/>
      <c r="CF156" s="162"/>
      <c r="CG156" s="162"/>
      <c r="CH156" s="162"/>
      <c r="CI156" s="162"/>
      <c r="CJ156" s="162"/>
      <c r="CK156" s="162"/>
      <c r="CL156" s="162"/>
      <c r="CM156" s="162"/>
      <c r="CN156" s="162"/>
      <c r="CO156" s="162"/>
      <c r="CP156" s="162"/>
      <c r="CQ156" s="162"/>
      <c r="CR156" s="162"/>
      <c r="CS156" s="162"/>
      <c r="CT156" s="162"/>
      <c r="CU156" s="162"/>
      <c r="CV156" s="162"/>
      <c r="CW156" s="162"/>
      <c r="CX156" s="162"/>
      <c r="CY156" s="162"/>
      <c r="CZ156" s="162"/>
      <c r="DA156" s="162"/>
      <c r="DB156" s="162"/>
      <c r="DC156" s="162"/>
      <c r="DD156" s="162"/>
    </row>
    <row r="157" spans="1:108" hidden="1" outlineLevel="1" x14ac:dyDescent="0.2">
      <c r="A157" s="162"/>
      <c r="B157" s="162"/>
      <c r="C157" s="162"/>
      <c r="D157" s="31" t="s">
        <v>324</v>
      </c>
      <c r="E157" s="78">
        <f t="shared" ref="E157:J157" si="46">E154</f>
        <v>2021</v>
      </c>
      <c r="F157" s="78">
        <f t="shared" si="46"/>
        <v>2022</v>
      </c>
      <c r="G157" s="78">
        <f t="shared" si="46"/>
        <v>2023</v>
      </c>
      <c r="H157" s="78">
        <f t="shared" si="46"/>
        <v>2024</v>
      </c>
      <c r="I157" s="78">
        <f t="shared" si="46"/>
        <v>2025</v>
      </c>
      <c r="J157" s="78">
        <f t="shared" si="46"/>
        <v>2026</v>
      </c>
      <c r="K157" s="162"/>
      <c r="L157" s="162"/>
      <c r="M157" s="162"/>
      <c r="N157" s="162"/>
      <c r="O157" s="162"/>
      <c r="P157" s="162"/>
      <c r="Q157" s="162"/>
      <c r="R157" s="162"/>
      <c r="S157" s="162"/>
      <c r="T157" s="162"/>
      <c r="U157" s="162"/>
      <c r="V157" s="162"/>
      <c r="W157" s="162"/>
      <c r="X157" s="162"/>
      <c r="Y157" s="162"/>
      <c r="Z157" s="162"/>
      <c r="AA157" s="162"/>
      <c r="AB157" s="162"/>
      <c r="AC157" s="162"/>
      <c r="AD157" s="162"/>
      <c r="AE157" s="162"/>
      <c r="AF157" s="162"/>
      <c r="AG157" s="162"/>
      <c r="AH157" s="162"/>
      <c r="AI157" s="162"/>
      <c r="AJ157" s="162"/>
      <c r="AK157" s="162"/>
      <c r="AL157" s="162"/>
      <c r="AM157" s="162"/>
      <c r="AN157" s="162"/>
      <c r="AO157" s="162"/>
      <c r="AP157" s="162"/>
      <c r="AQ157" s="162"/>
      <c r="AR157" s="162"/>
      <c r="AS157" s="162"/>
      <c r="AT157" s="162"/>
      <c r="AU157" s="162"/>
      <c r="AV157" s="162"/>
      <c r="AW157" s="162"/>
      <c r="AX157" s="162"/>
      <c r="AY157" s="162"/>
      <c r="AZ157" s="162"/>
      <c r="BA157" s="162"/>
      <c r="BB157" s="162"/>
      <c r="BC157" s="162"/>
      <c r="BD157" s="162"/>
      <c r="BE157" s="162"/>
      <c r="BF157" s="162"/>
      <c r="BG157" s="162"/>
      <c r="BH157" s="162"/>
      <c r="BI157" s="162"/>
      <c r="BJ157" s="162"/>
      <c r="BK157" s="162"/>
      <c r="BL157" s="162"/>
      <c r="BM157" s="162"/>
      <c r="BN157" s="162"/>
      <c r="BO157" s="162"/>
      <c r="BP157" s="162"/>
      <c r="BQ157" s="162"/>
      <c r="BR157" s="162"/>
      <c r="BS157" s="162"/>
      <c r="BT157" s="162"/>
      <c r="BU157" s="162"/>
      <c r="BV157" s="162"/>
      <c r="BW157" s="162"/>
      <c r="BX157" s="162"/>
      <c r="BY157" s="162"/>
      <c r="BZ157" s="162"/>
      <c r="CA157" s="162"/>
      <c r="CB157" s="162"/>
      <c r="CC157" s="162"/>
      <c r="CD157" s="162"/>
      <c r="CE157" s="162"/>
      <c r="CF157" s="162"/>
      <c r="CG157" s="162"/>
      <c r="CH157" s="162"/>
      <c r="CI157" s="162"/>
      <c r="CJ157" s="162"/>
      <c r="CK157" s="162"/>
      <c r="CL157" s="162"/>
      <c r="CM157" s="162"/>
      <c r="CN157" s="162"/>
      <c r="CO157" s="162"/>
      <c r="CP157" s="162"/>
      <c r="CQ157" s="162"/>
      <c r="CR157" s="162"/>
      <c r="CS157" s="162"/>
      <c r="CT157" s="162"/>
      <c r="CU157" s="162"/>
      <c r="CV157" s="162"/>
      <c r="CW157" s="162"/>
      <c r="CX157" s="162"/>
      <c r="CY157" s="162"/>
      <c r="CZ157" s="162"/>
      <c r="DA157" s="162"/>
      <c r="DB157" s="162"/>
      <c r="DC157" s="162"/>
      <c r="DD157" s="162"/>
    </row>
    <row r="158" spans="1:108" hidden="1" outlineLevel="1" x14ac:dyDescent="0.2">
      <c r="A158" s="162"/>
      <c r="B158" s="162"/>
      <c r="C158" s="58">
        <v>1</v>
      </c>
      <c r="D158" s="177" t="s">
        <v>240</v>
      </c>
      <c r="E158" s="63">
        <f t="shared" ref="E158:J158" si="47">SUMPRODUCT(($D$203:$D$221=E157)*($E$202:$DA$202&gt;=$E$149)*($E$202:$DA$202&lt;=$F$149)*($E$203:$DA$221))</f>
        <v>26301274</v>
      </c>
      <c r="F158" s="63">
        <f t="shared" si="47"/>
        <v>26727025</v>
      </c>
      <c r="G158" s="63">
        <f t="shared" si="47"/>
        <v>27147199</v>
      </c>
      <c r="H158" s="63">
        <f t="shared" si="47"/>
        <v>27562195</v>
      </c>
      <c r="I158" s="63">
        <f t="shared" si="47"/>
        <v>27970435</v>
      </c>
      <c r="J158" s="63">
        <f t="shared" si="47"/>
        <v>28372315</v>
      </c>
      <c r="K158" s="162"/>
      <c r="L158" s="162"/>
      <c r="M158" s="162"/>
      <c r="N158" s="162"/>
      <c r="O158" s="162"/>
      <c r="P158" s="162"/>
      <c r="Q158" s="162"/>
      <c r="R158" s="162"/>
      <c r="S158" s="162"/>
      <c r="T158" s="162"/>
      <c r="U158" s="162"/>
      <c r="V158" s="162"/>
      <c r="W158" s="162"/>
      <c r="X158" s="162"/>
      <c r="Y158" s="162"/>
      <c r="Z158" s="162"/>
      <c r="AA158" s="162"/>
      <c r="AB158" s="162"/>
      <c r="AC158" s="162"/>
      <c r="AD158" s="162"/>
      <c r="AE158" s="162"/>
      <c r="AF158" s="162"/>
      <c r="AG158" s="162"/>
      <c r="AH158" s="162"/>
      <c r="AI158" s="162"/>
      <c r="AJ158" s="162"/>
      <c r="AK158" s="162"/>
      <c r="AL158" s="162"/>
      <c r="AM158" s="162"/>
      <c r="AN158" s="162"/>
      <c r="AO158" s="162"/>
      <c r="AP158" s="162"/>
      <c r="AQ158" s="162"/>
      <c r="AR158" s="162"/>
      <c r="AS158" s="162"/>
      <c r="AT158" s="162"/>
      <c r="AU158" s="162"/>
      <c r="AV158" s="162"/>
      <c r="AW158" s="162"/>
      <c r="AX158" s="162"/>
      <c r="AY158" s="162"/>
      <c r="AZ158" s="162"/>
      <c r="BA158" s="162"/>
      <c r="BB158" s="162"/>
      <c r="BC158" s="162"/>
      <c r="BD158" s="162"/>
      <c r="BE158" s="162"/>
      <c r="BF158" s="162"/>
      <c r="BG158" s="162"/>
      <c r="BH158" s="162"/>
      <c r="BI158" s="162"/>
      <c r="BJ158" s="162"/>
      <c r="BK158" s="162"/>
      <c r="BL158" s="162"/>
      <c r="BM158" s="162"/>
      <c r="BN158" s="162"/>
      <c r="BO158" s="162"/>
      <c r="BP158" s="162"/>
      <c r="BQ158" s="162"/>
      <c r="BR158" s="162"/>
      <c r="BS158" s="162"/>
      <c r="BT158" s="162"/>
      <c r="BU158" s="162"/>
      <c r="BV158" s="162"/>
      <c r="BW158" s="162"/>
      <c r="BX158" s="162"/>
      <c r="BY158" s="162"/>
      <c r="BZ158" s="162"/>
      <c r="CA158" s="162"/>
      <c r="CB158" s="162"/>
      <c r="CC158" s="162"/>
      <c r="CD158" s="162"/>
      <c r="CE158" s="162"/>
      <c r="CF158" s="162"/>
      <c r="CG158" s="162"/>
      <c r="CH158" s="162"/>
      <c r="CI158" s="162"/>
      <c r="CJ158" s="162"/>
      <c r="CK158" s="162"/>
      <c r="CL158" s="162"/>
      <c r="CM158" s="162"/>
      <c r="CN158" s="162"/>
      <c r="CO158" s="162"/>
      <c r="CP158" s="162"/>
      <c r="CQ158" s="162"/>
      <c r="CR158" s="162"/>
      <c r="CS158" s="162"/>
      <c r="CT158" s="162"/>
      <c r="CU158" s="162"/>
      <c r="CV158" s="162"/>
      <c r="CW158" s="162"/>
      <c r="CX158" s="162"/>
      <c r="CY158" s="162"/>
      <c r="CZ158" s="162"/>
      <c r="DA158" s="162"/>
      <c r="DB158" s="162"/>
      <c r="DC158" s="162"/>
      <c r="DD158" s="162"/>
    </row>
    <row r="159" spans="1:108" hidden="1" outlineLevel="1" x14ac:dyDescent="0.2">
      <c r="A159" s="162"/>
      <c r="B159" s="162"/>
      <c r="C159" s="58">
        <v>2</v>
      </c>
      <c r="D159" s="177" t="s">
        <v>243</v>
      </c>
      <c r="E159" s="63">
        <f t="shared" ref="E159:J159" si="48">SUMPRODUCT(($D$228:$D$246=E157)*($E$227:$DA$227&gt;=$E$149)*($E$227:$DA$227&lt;=$F$149)*($E$228:$DA$246))</f>
        <v>13039532</v>
      </c>
      <c r="F159" s="63">
        <f t="shared" si="48"/>
        <v>13248872</v>
      </c>
      <c r="G159" s="63">
        <f t="shared" si="48"/>
        <v>13455403</v>
      </c>
      <c r="H159" s="63">
        <f t="shared" si="48"/>
        <v>13659298</v>
      </c>
      <c r="I159" s="63">
        <f t="shared" si="48"/>
        <v>13859813</v>
      </c>
      <c r="J159" s="63">
        <f t="shared" si="48"/>
        <v>14057138</v>
      </c>
      <c r="K159" s="162"/>
      <c r="L159" s="162"/>
      <c r="M159" s="162"/>
      <c r="N159" s="162"/>
      <c r="O159" s="162"/>
      <c r="P159" s="162"/>
      <c r="Q159" s="162"/>
      <c r="R159" s="162"/>
      <c r="S159" s="162"/>
      <c r="T159" s="162"/>
      <c r="U159" s="162"/>
      <c r="V159" s="162"/>
      <c r="W159" s="162"/>
      <c r="X159" s="162"/>
      <c r="Y159" s="162"/>
      <c r="Z159" s="162"/>
      <c r="AA159" s="162"/>
      <c r="AB159" s="162"/>
      <c r="AC159" s="162"/>
      <c r="AD159" s="162"/>
      <c r="AE159" s="162"/>
      <c r="AF159" s="162"/>
      <c r="AG159" s="162"/>
      <c r="AH159" s="162"/>
      <c r="AI159" s="162"/>
      <c r="AJ159" s="162"/>
      <c r="AK159" s="162"/>
      <c r="AL159" s="162"/>
      <c r="AM159" s="162"/>
      <c r="AN159" s="162"/>
      <c r="AO159" s="162"/>
      <c r="AP159" s="162"/>
      <c r="AQ159" s="162"/>
      <c r="AR159" s="162"/>
      <c r="AS159" s="162"/>
      <c r="AT159" s="162"/>
      <c r="AU159" s="162"/>
      <c r="AV159" s="162"/>
      <c r="AW159" s="162"/>
      <c r="AX159" s="162"/>
      <c r="AY159" s="162"/>
      <c r="AZ159" s="162"/>
      <c r="BA159" s="162"/>
      <c r="BB159" s="162"/>
      <c r="BC159" s="162"/>
      <c r="BD159" s="162"/>
      <c r="BE159" s="162"/>
      <c r="BF159" s="162"/>
      <c r="BG159" s="162"/>
      <c r="BH159" s="162"/>
      <c r="BI159" s="162"/>
      <c r="BJ159" s="162"/>
      <c r="BK159" s="162"/>
      <c r="BL159" s="162"/>
      <c r="BM159" s="162"/>
      <c r="BN159" s="162"/>
      <c r="BO159" s="162"/>
      <c r="BP159" s="162"/>
      <c r="BQ159" s="162"/>
      <c r="BR159" s="162"/>
      <c r="BS159" s="162"/>
      <c r="BT159" s="162"/>
      <c r="BU159" s="162"/>
      <c r="BV159" s="162"/>
      <c r="BW159" s="162"/>
      <c r="BX159" s="162"/>
      <c r="BY159" s="162"/>
      <c r="BZ159" s="162"/>
      <c r="CA159" s="162"/>
      <c r="CB159" s="162"/>
      <c r="CC159" s="162"/>
      <c r="CD159" s="162"/>
      <c r="CE159" s="162"/>
      <c r="CF159" s="162"/>
      <c r="CG159" s="162"/>
      <c r="CH159" s="162"/>
      <c r="CI159" s="162"/>
      <c r="CJ159" s="162"/>
      <c r="CK159" s="162"/>
      <c r="CL159" s="162"/>
      <c r="CM159" s="162"/>
      <c r="CN159" s="162"/>
      <c r="CO159" s="162"/>
      <c r="CP159" s="162"/>
      <c r="CQ159" s="162"/>
      <c r="CR159" s="162"/>
      <c r="CS159" s="162"/>
      <c r="CT159" s="162"/>
      <c r="CU159" s="162"/>
      <c r="CV159" s="162"/>
      <c r="CW159" s="162"/>
      <c r="CX159" s="162"/>
      <c r="CY159" s="162"/>
      <c r="CZ159" s="162"/>
      <c r="DA159" s="162"/>
      <c r="DB159" s="162"/>
      <c r="DC159" s="162"/>
      <c r="DD159" s="162"/>
    </row>
    <row r="160" spans="1:108" hidden="1" outlineLevel="1" x14ac:dyDescent="0.2">
      <c r="A160" s="162"/>
      <c r="B160" s="162"/>
      <c r="C160" s="58">
        <v>3</v>
      </c>
      <c r="D160" s="177" t="s">
        <v>244</v>
      </c>
      <c r="E160" s="63">
        <f t="shared" ref="E160:J160" si="49">SUMPRODUCT(($D$253:$D$271=E157)*($E$252:$DA$252&gt;=$E$149)*($E$252:$DA$252&lt;=$F$149)*($E$253:$DA$271))</f>
        <v>13261742</v>
      </c>
      <c r="F160" s="63">
        <f t="shared" si="49"/>
        <v>13478153</v>
      </c>
      <c r="G160" s="63">
        <f t="shared" si="49"/>
        <v>13691796</v>
      </c>
      <c r="H160" s="63">
        <f t="shared" si="49"/>
        <v>13902897</v>
      </c>
      <c r="I160" s="63">
        <f t="shared" si="49"/>
        <v>14110622</v>
      </c>
      <c r="J160" s="63">
        <f t="shared" si="49"/>
        <v>14315177</v>
      </c>
      <c r="K160" s="162"/>
      <c r="L160" s="162"/>
      <c r="M160" s="162"/>
      <c r="N160" s="162"/>
      <c r="O160" s="162"/>
      <c r="P160" s="162"/>
      <c r="Q160" s="162"/>
      <c r="R160" s="162"/>
      <c r="S160" s="162"/>
      <c r="T160" s="162"/>
      <c r="U160" s="162"/>
      <c r="V160" s="162"/>
      <c r="W160" s="162"/>
      <c r="X160" s="162"/>
      <c r="Y160" s="162"/>
      <c r="Z160" s="162"/>
      <c r="AA160" s="162"/>
      <c r="AB160" s="162"/>
      <c r="AC160" s="162"/>
      <c r="AD160" s="162"/>
      <c r="AE160" s="162"/>
      <c r="AF160" s="162"/>
      <c r="AG160" s="162"/>
      <c r="AH160" s="162"/>
      <c r="AI160" s="162"/>
      <c r="AJ160" s="162"/>
      <c r="AK160" s="162"/>
      <c r="AL160" s="162"/>
      <c r="AM160" s="162"/>
      <c r="AN160" s="162"/>
      <c r="AO160" s="162"/>
      <c r="AP160" s="162"/>
      <c r="AQ160" s="162"/>
      <c r="AR160" s="162"/>
      <c r="AS160" s="162"/>
      <c r="AT160" s="162"/>
      <c r="AU160" s="162"/>
      <c r="AV160" s="162"/>
      <c r="AW160" s="162"/>
      <c r="AX160" s="162"/>
      <c r="AY160" s="162"/>
      <c r="AZ160" s="162"/>
      <c r="BA160" s="162"/>
      <c r="BB160" s="162"/>
      <c r="BC160" s="162"/>
      <c r="BD160" s="162"/>
      <c r="BE160" s="162"/>
      <c r="BF160" s="162"/>
      <c r="BG160" s="162"/>
      <c r="BH160" s="162"/>
      <c r="BI160" s="162"/>
      <c r="BJ160" s="162"/>
      <c r="BK160" s="162"/>
      <c r="BL160" s="162"/>
      <c r="BM160" s="162"/>
      <c r="BN160" s="162"/>
      <c r="BO160" s="162"/>
      <c r="BP160" s="162"/>
      <c r="BQ160" s="162"/>
      <c r="BR160" s="162"/>
      <c r="BS160" s="162"/>
      <c r="BT160" s="162"/>
      <c r="BU160" s="162"/>
      <c r="BV160" s="162"/>
      <c r="BW160" s="162"/>
      <c r="BX160" s="162"/>
      <c r="BY160" s="162"/>
      <c r="BZ160" s="162"/>
      <c r="CA160" s="162"/>
      <c r="CB160" s="162"/>
      <c r="CC160" s="162"/>
      <c r="CD160" s="162"/>
      <c r="CE160" s="162"/>
      <c r="CF160" s="162"/>
      <c r="CG160" s="162"/>
      <c r="CH160" s="162"/>
      <c r="CI160" s="162"/>
      <c r="CJ160" s="162"/>
      <c r="CK160" s="162"/>
      <c r="CL160" s="162"/>
      <c r="CM160" s="162"/>
      <c r="CN160" s="162"/>
      <c r="CO160" s="162"/>
      <c r="CP160" s="162"/>
      <c r="CQ160" s="162"/>
      <c r="CR160" s="162"/>
      <c r="CS160" s="162"/>
      <c r="CT160" s="162"/>
      <c r="CU160" s="162"/>
      <c r="CV160" s="162"/>
      <c r="CW160" s="162"/>
      <c r="CX160" s="162"/>
      <c r="CY160" s="162"/>
      <c r="CZ160" s="162"/>
      <c r="DA160" s="162"/>
      <c r="DB160" s="162"/>
      <c r="DC160" s="162"/>
      <c r="DD160" s="162"/>
    </row>
    <row r="161" spans="1:108" hidden="1" outlineLevel="1" x14ac:dyDescent="0.2">
      <c r="A161" s="162"/>
      <c r="B161" s="162"/>
      <c r="C161" s="162"/>
      <c r="D161" s="162"/>
      <c r="E161" s="162"/>
      <c r="F161" s="162"/>
      <c r="G161" s="162"/>
      <c r="H161" s="162"/>
      <c r="I161" s="162"/>
      <c r="J161" s="162"/>
      <c r="K161" s="162"/>
      <c r="L161" s="162"/>
      <c r="M161" s="162"/>
      <c r="N161" s="162"/>
      <c r="O161" s="162"/>
      <c r="P161" s="162"/>
      <c r="Q161" s="162"/>
      <c r="R161" s="162"/>
      <c r="S161" s="162"/>
      <c r="T161" s="162"/>
      <c r="U161" s="162"/>
      <c r="V161" s="162"/>
      <c r="W161" s="162"/>
      <c r="X161" s="162"/>
      <c r="Y161" s="162"/>
      <c r="Z161" s="162"/>
      <c r="AA161" s="162"/>
      <c r="AB161" s="162"/>
      <c r="AC161" s="162"/>
      <c r="AD161" s="162"/>
      <c r="AE161" s="162"/>
      <c r="AF161" s="162"/>
      <c r="AG161" s="162"/>
      <c r="AH161" s="162"/>
      <c r="AI161" s="162"/>
      <c r="AJ161" s="162"/>
      <c r="AK161" s="162"/>
      <c r="AL161" s="162"/>
      <c r="AM161" s="162"/>
      <c r="AN161" s="162"/>
      <c r="AO161" s="162"/>
      <c r="AP161" s="162"/>
      <c r="AQ161" s="162"/>
      <c r="AR161" s="162"/>
      <c r="AS161" s="162"/>
      <c r="AT161" s="162"/>
      <c r="AU161" s="162"/>
      <c r="AV161" s="162"/>
      <c r="AW161" s="162"/>
      <c r="AX161" s="162"/>
      <c r="AY161" s="162"/>
      <c r="AZ161" s="162"/>
      <c r="BA161" s="162"/>
      <c r="BB161" s="162"/>
      <c r="BC161" s="162"/>
      <c r="BD161" s="162"/>
      <c r="BE161" s="162"/>
      <c r="BF161" s="162"/>
      <c r="BG161" s="162"/>
      <c r="BH161" s="162"/>
      <c r="BI161" s="162"/>
      <c r="BJ161" s="162"/>
      <c r="BK161" s="162"/>
      <c r="BL161" s="162"/>
      <c r="BM161" s="162"/>
      <c r="BN161" s="162"/>
      <c r="BO161" s="162"/>
      <c r="BP161" s="162"/>
      <c r="BQ161" s="162"/>
      <c r="BR161" s="162"/>
      <c r="BS161" s="162"/>
      <c r="BT161" s="162"/>
      <c r="BU161" s="162"/>
      <c r="BV161" s="162"/>
      <c r="BW161" s="162"/>
      <c r="BX161" s="162"/>
      <c r="BY161" s="162"/>
      <c r="BZ161" s="162"/>
      <c r="CA161" s="162"/>
      <c r="CB161" s="162"/>
      <c r="CC161" s="162"/>
      <c r="CD161" s="162"/>
      <c r="CE161" s="162"/>
      <c r="CF161" s="162"/>
      <c r="CG161" s="162"/>
      <c r="CH161" s="162"/>
      <c r="CI161" s="162"/>
      <c r="CJ161" s="162"/>
      <c r="CK161" s="162"/>
      <c r="CL161" s="162"/>
      <c r="CM161" s="162"/>
      <c r="CN161" s="162"/>
      <c r="CO161" s="162"/>
      <c r="CP161" s="162"/>
      <c r="CQ161" s="162"/>
      <c r="CR161" s="162"/>
      <c r="CS161" s="162"/>
      <c r="CT161" s="162"/>
      <c r="CU161" s="162"/>
      <c r="CV161" s="162"/>
      <c r="CW161" s="162"/>
      <c r="CX161" s="162"/>
      <c r="CY161" s="162"/>
      <c r="CZ161" s="162"/>
      <c r="DA161" s="162"/>
      <c r="DB161" s="162"/>
      <c r="DC161" s="162"/>
      <c r="DD161" s="162"/>
    </row>
    <row r="162" spans="1:108" collapsed="1" x14ac:dyDescent="0.2">
      <c r="A162" s="162"/>
      <c r="B162" s="162"/>
      <c r="C162" s="162"/>
      <c r="D162" s="162"/>
      <c r="E162" s="162"/>
      <c r="F162" s="162"/>
      <c r="G162" s="162"/>
      <c r="H162" s="162"/>
      <c r="I162" s="162"/>
      <c r="J162" s="162"/>
      <c r="K162" s="162"/>
      <c r="L162" s="162"/>
      <c r="M162" s="162"/>
      <c r="N162" s="162"/>
      <c r="O162" s="162"/>
      <c r="P162" s="162"/>
      <c r="Q162" s="162"/>
      <c r="R162" s="162"/>
      <c r="S162" s="162"/>
      <c r="T162" s="162"/>
      <c r="U162" s="162"/>
      <c r="V162" s="162"/>
      <c r="W162" s="162"/>
      <c r="X162" s="162"/>
      <c r="Y162" s="162"/>
      <c r="Z162" s="162"/>
      <c r="AA162" s="162"/>
      <c r="AB162" s="162"/>
      <c r="AC162" s="162"/>
      <c r="AD162" s="162"/>
      <c r="AE162" s="162"/>
      <c r="AF162" s="162"/>
      <c r="AG162" s="162"/>
      <c r="AH162" s="162"/>
      <c r="AI162" s="162"/>
      <c r="AJ162" s="162"/>
      <c r="AK162" s="162"/>
      <c r="AL162" s="162"/>
      <c r="AM162" s="162"/>
      <c r="AN162" s="162"/>
      <c r="AO162" s="162"/>
      <c r="AP162" s="162"/>
      <c r="AQ162" s="162"/>
      <c r="AR162" s="162"/>
      <c r="AS162" s="162"/>
      <c r="AT162" s="162"/>
      <c r="AU162" s="162"/>
      <c r="AV162" s="162"/>
      <c r="AW162" s="162"/>
      <c r="AX162" s="162"/>
      <c r="AY162" s="162"/>
      <c r="AZ162" s="162"/>
      <c r="BA162" s="162"/>
      <c r="BB162" s="162"/>
      <c r="BC162" s="162"/>
      <c r="BD162" s="162"/>
      <c r="BE162" s="162"/>
      <c r="BF162" s="162"/>
      <c r="BG162" s="162"/>
      <c r="BH162" s="162"/>
      <c r="BI162" s="162"/>
      <c r="BJ162" s="162"/>
      <c r="BK162" s="162"/>
      <c r="BL162" s="162"/>
      <c r="BM162" s="162"/>
      <c r="BN162" s="162"/>
      <c r="BO162" s="162"/>
      <c r="BP162" s="162"/>
      <c r="BQ162" s="162"/>
      <c r="BR162" s="162"/>
      <c r="BS162" s="162"/>
      <c r="BT162" s="162"/>
      <c r="BU162" s="162"/>
      <c r="BV162" s="162"/>
      <c r="BW162" s="162"/>
      <c r="BX162" s="162"/>
      <c r="BY162" s="162"/>
      <c r="BZ162" s="162"/>
      <c r="CA162" s="162"/>
      <c r="CB162" s="162"/>
      <c r="CC162" s="162"/>
      <c r="CD162" s="162"/>
      <c r="CE162" s="162"/>
      <c r="CF162" s="162"/>
      <c r="CG162" s="162"/>
      <c r="CH162" s="162"/>
      <c r="CI162" s="162"/>
      <c r="CJ162" s="162"/>
      <c r="CK162" s="162"/>
      <c r="CL162" s="162"/>
      <c r="CM162" s="162"/>
      <c r="CN162" s="162"/>
      <c r="CO162" s="162"/>
      <c r="CP162" s="162"/>
      <c r="CQ162" s="162"/>
      <c r="CR162" s="162"/>
      <c r="CS162" s="162"/>
      <c r="CT162" s="162"/>
      <c r="CU162" s="162"/>
      <c r="CV162" s="162"/>
      <c r="CW162" s="162"/>
      <c r="CX162" s="162"/>
      <c r="CY162" s="162"/>
      <c r="CZ162" s="162"/>
      <c r="DA162" s="162"/>
      <c r="DB162" s="162"/>
      <c r="DC162" s="162"/>
      <c r="DD162" s="162"/>
    </row>
    <row r="163" spans="1:108" ht="15.75" x14ac:dyDescent="0.2">
      <c r="A163" s="162"/>
      <c r="B163" s="242">
        <f>IF(H166&lt;&gt;"",VLOOKUP(H166,GenderCode,2,FALSE),0)</f>
        <v>0</v>
      </c>
      <c r="C163" s="58">
        <v>9</v>
      </c>
      <c r="D163" s="79" t="str">
        <f>IF(B163=0,MsgNotUsed, CONCATENATE("ABS ", C163, ": ", H166, " ", E167, " - ", F167, " yrs inclusive (", E172, "-", J172, ")") &amp; IF(E169&lt;&gt;"",CONCATENATE(" - (",D169,")"),""))</f>
        <v>** NOT USED **</v>
      </c>
      <c r="E163" s="127"/>
      <c r="F163" s="127"/>
      <c r="G163" s="127"/>
      <c r="H163" s="127"/>
      <c r="I163" s="175"/>
      <c r="J163" s="127"/>
      <c r="K163" s="127"/>
      <c r="L163" s="127"/>
      <c r="M163" s="127"/>
      <c r="N163" s="127"/>
      <c r="O163" s="127"/>
      <c r="P163" s="162"/>
      <c r="Q163" s="162"/>
      <c r="R163" s="162"/>
      <c r="S163" s="162"/>
      <c r="T163" s="162"/>
      <c r="U163" s="162"/>
      <c r="V163" s="162"/>
      <c r="W163" s="162"/>
      <c r="X163" s="162"/>
      <c r="Y163" s="162"/>
      <c r="Z163" s="162"/>
      <c r="AA163" s="162"/>
      <c r="AB163" s="162"/>
      <c r="AC163" s="162"/>
      <c r="AD163" s="162"/>
      <c r="AE163" s="162"/>
      <c r="AF163" s="162"/>
      <c r="AG163" s="162"/>
      <c r="AH163" s="162"/>
      <c r="AI163" s="162"/>
      <c r="AJ163" s="162"/>
      <c r="AK163" s="162"/>
      <c r="AL163" s="162"/>
      <c r="AM163" s="162"/>
      <c r="AN163" s="162"/>
      <c r="AO163" s="162"/>
      <c r="AP163" s="162"/>
      <c r="AQ163" s="162"/>
      <c r="AR163" s="162"/>
      <c r="AS163" s="162"/>
      <c r="AT163" s="162"/>
      <c r="AU163" s="162"/>
      <c r="AV163" s="162"/>
      <c r="AW163" s="162"/>
      <c r="AX163" s="162"/>
      <c r="AY163" s="162"/>
      <c r="AZ163" s="162"/>
      <c r="BA163" s="162"/>
      <c r="BB163" s="162"/>
      <c r="BC163" s="162"/>
      <c r="BD163" s="162"/>
      <c r="BE163" s="162"/>
      <c r="BF163" s="162"/>
      <c r="BG163" s="162"/>
      <c r="BH163" s="162"/>
      <c r="BI163" s="162"/>
      <c r="BJ163" s="162"/>
      <c r="BK163" s="162"/>
      <c r="BL163" s="162"/>
      <c r="BM163" s="162"/>
      <c r="BN163" s="162"/>
      <c r="BO163" s="162"/>
      <c r="BP163" s="162"/>
      <c r="BQ163" s="162"/>
      <c r="BR163" s="162"/>
      <c r="BS163" s="162"/>
      <c r="BT163" s="162"/>
      <c r="BU163" s="162"/>
      <c r="BV163" s="162"/>
      <c r="BW163" s="162"/>
      <c r="BX163" s="162"/>
      <c r="BY163" s="162"/>
      <c r="BZ163" s="162"/>
      <c r="CA163" s="162"/>
      <c r="CB163" s="162"/>
      <c r="CC163" s="162"/>
      <c r="CD163" s="162"/>
      <c r="CE163" s="162"/>
      <c r="CF163" s="162"/>
      <c r="CG163" s="162"/>
      <c r="CH163" s="162"/>
      <c r="CI163" s="162"/>
      <c r="CJ163" s="162"/>
      <c r="CK163" s="162"/>
      <c r="CL163" s="162"/>
      <c r="CM163" s="162"/>
      <c r="CN163" s="162"/>
      <c r="CO163" s="162"/>
      <c r="CP163" s="162"/>
      <c r="CQ163" s="162"/>
      <c r="CR163" s="162"/>
      <c r="CS163" s="162"/>
      <c r="CT163" s="162"/>
      <c r="CU163" s="162"/>
      <c r="CV163" s="162"/>
      <c r="CW163" s="162"/>
      <c r="CX163" s="162"/>
      <c r="CY163" s="162"/>
      <c r="CZ163" s="162"/>
      <c r="DA163" s="162"/>
      <c r="DB163" s="162"/>
      <c r="DC163" s="162"/>
      <c r="DD163" s="162"/>
    </row>
    <row r="164" spans="1:108" ht="14.25" hidden="1" outlineLevel="1" x14ac:dyDescent="0.2">
      <c r="A164" s="162"/>
      <c r="B164" s="162"/>
      <c r="C164" s="162"/>
      <c r="D164" s="647"/>
      <c r="E164" s="162"/>
      <c r="F164" s="162"/>
      <c r="G164" s="162"/>
      <c r="H164" s="162"/>
      <c r="I164" s="162"/>
      <c r="J164" s="162"/>
      <c r="K164" s="162"/>
      <c r="L164" s="162"/>
      <c r="M164" s="162"/>
      <c r="N164" s="162"/>
      <c r="O164" s="162"/>
      <c r="P164" s="162"/>
      <c r="Q164" s="162"/>
      <c r="R164" s="162"/>
      <c r="S164" s="162"/>
      <c r="T164" s="162"/>
      <c r="U164" s="162"/>
      <c r="V164" s="162"/>
      <c r="W164" s="162"/>
      <c r="X164" s="162"/>
      <c r="Y164" s="162"/>
      <c r="Z164" s="162"/>
      <c r="AA164" s="162"/>
      <c r="AB164" s="162"/>
      <c r="AC164" s="162"/>
      <c r="AD164" s="162"/>
      <c r="AE164" s="162"/>
      <c r="AF164" s="162"/>
      <c r="AG164" s="162"/>
      <c r="AH164" s="162"/>
      <c r="AI164" s="162"/>
      <c r="AJ164" s="162"/>
      <c r="AK164" s="162"/>
      <c r="AL164" s="162"/>
      <c r="AM164" s="162"/>
      <c r="AN164" s="162"/>
      <c r="AO164" s="162"/>
      <c r="AP164" s="162"/>
      <c r="AQ164" s="162"/>
      <c r="AR164" s="162"/>
      <c r="AS164" s="162"/>
      <c r="AT164" s="162"/>
      <c r="AU164" s="162"/>
      <c r="AV164" s="162"/>
      <c r="AW164" s="162"/>
      <c r="AX164" s="162"/>
      <c r="AY164" s="162"/>
      <c r="AZ164" s="162"/>
      <c r="BA164" s="162"/>
      <c r="BB164" s="162"/>
      <c r="BC164" s="162"/>
      <c r="BD164" s="162"/>
      <c r="BE164" s="162"/>
      <c r="BF164" s="162"/>
      <c r="BG164" s="162"/>
      <c r="BH164" s="162"/>
      <c r="BI164" s="162"/>
      <c r="BJ164" s="162"/>
      <c r="BK164" s="162"/>
      <c r="BL164" s="162"/>
      <c r="BM164" s="162"/>
      <c r="BN164" s="162"/>
      <c r="BO164" s="162"/>
      <c r="BP164" s="162"/>
      <c r="BQ164" s="162"/>
      <c r="BR164" s="162"/>
      <c r="BS164" s="162"/>
      <c r="BT164" s="162"/>
      <c r="BU164" s="162"/>
      <c r="BV164" s="162"/>
      <c r="BW164" s="162"/>
      <c r="BX164" s="162"/>
      <c r="BY164" s="162"/>
      <c r="BZ164" s="162"/>
      <c r="CA164" s="162"/>
      <c r="CB164" s="162"/>
      <c r="CC164" s="162"/>
      <c r="CD164" s="162"/>
      <c r="CE164" s="162"/>
      <c r="CF164" s="162"/>
      <c r="CG164" s="162"/>
      <c r="CH164" s="162"/>
      <c r="CI164" s="162"/>
      <c r="CJ164" s="162"/>
      <c r="CK164" s="162"/>
      <c r="CL164" s="162"/>
      <c r="CM164" s="162"/>
      <c r="CN164" s="162"/>
      <c r="CO164" s="162"/>
      <c r="CP164" s="162"/>
      <c r="CQ164" s="162"/>
      <c r="CR164" s="162"/>
      <c r="CS164" s="162"/>
      <c r="CT164" s="162"/>
      <c r="CU164" s="162"/>
      <c r="CV164" s="162"/>
      <c r="CW164" s="162"/>
      <c r="CX164" s="162"/>
      <c r="CY164" s="162"/>
      <c r="CZ164" s="162"/>
      <c r="DA164" s="162"/>
      <c r="DB164" s="162"/>
      <c r="DC164" s="162"/>
      <c r="DD164" s="162"/>
    </row>
    <row r="165" spans="1:108" hidden="1" outlineLevel="1" x14ac:dyDescent="0.2">
      <c r="A165" s="162"/>
      <c r="B165" s="162"/>
      <c r="C165" s="162"/>
      <c r="D165" s="162"/>
      <c r="E165" s="632" t="s">
        <v>245</v>
      </c>
      <c r="F165" s="632" t="s">
        <v>246</v>
      </c>
      <c r="G165" s="162"/>
      <c r="H165" s="632" t="s">
        <v>51</v>
      </c>
      <c r="I165" s="162"/>
      <c r="J165" s="632" t="s">
        <v>365</v>
      </c>
      <c r="K165" s="162"/>
      <c r="L165" s="162"/>
      <c r="M165" s="162"/>
      <c r="N165" s="162"/>
      <c r="O165" s="162"/>
      <c r="P165" s="162"/>
      <c r="Q165" s="162"/>
      <c r="R165" s="162"/>
      <c r="S165" s="162"/>
      <c r="T165" s="162"/>
      <c r="U165" s="162"/>
      <c r="V165" s="162"/>
      <c r="W165" s="162"/>
      <c r="X165" s="162"/>
      <c r="Y165" s="162"/>
      <c r="Z165" s="162"/>
      <c r="AA165" s="162"/>
      <c r="AB165" s="162"/>
      <c r="AC165" s="162"/>
      <c r="AD165" s="162"/>
      <c r="AE165" s="162"/>
      <c r="AF165" s="162"/>
      <c r="AG165" s="162"/>
      <c r="AH165" s="162"/>
      <c r="AI165" s="162"/>
      <c r="AJ165" s="162"/>
      <c r="AK165" s="162"/>
      <c r="AL165" s="162"/>
      <c r="AM165" s="162"/>
      <c r="AN165" s="162"/>
      <c r="AO165" s="162"/>
      <c r="AP165" s="162"/>
      <c r="AQ165" s="162"/>
      <c r="AR165" s="162"/>
      <c r="AS165" s="162"/>
      <c r="AT165" s="162"/>
      <c r="AU165" s="162"/>
      <c r="AV165" s="162"/>
      <c r="AW165" s="162"/>
      <c r="AX165" s="162"/>
      <c r="AY165" s="162"/>
      <c r="AZ165" s="162"/>
      <c r="BA165" s="162"/>
      <c r="BB165" s="162"/>
      <c r="BC165" s="162"/>
      <c r="BD165" s="162"/>
      <c r="BE165" s="162"/>
      <c r="BF165" s="162"/>
      <c r="BG165" s="162"/>
      <c r="BH165" s="162"/>
      <c r="BI165" s="162"/>
      <c r="BJ165" s="162"/>
      <c r="BK165" s="162"/>
      <c r="BL165" s="162"/>
      <c r="BM165" s="162"/>
      <c r="BN165" s="162"/>
      <c r="BO165" s="162"/>
      <c r="BP165" s="162"/>
      <c r="BQ165" s="162"/>
      <c r="BR165" s="162"/>
      <c r="BS165" s="162"/>
      <c r="BT165" s="162"/>
      <c r="BU165" s="162"/>
      <c r="BV165" s="162"/>
      <c r="BW165" s="162"/>
      <c r="BX165" s="162"/>
      <c r="BY165" s="162"/>
      <c r="BZ165" s="162"/>
      <c r="CA165" s="162"/>
      <c r="CB165" s="162"/>
      <c r="CC165" s="162"/>
      <c r="CD165" s="162"/>
      <c r="CE165" s="162"/>
      <c r="CF165" s="162"/>
      <c r="CG165" s="162"/>
      <c r="CH165" s="162"/>
      <c r="CI165" s="162"/>
      <c r="CJ165" s="162"/>
      <c r="CK165" s="162"/>
      <c r="CL165" s="162"/>
      <c r="CM165" s="162"/>
      <c r="CN165" s="162"/>
      <c r="CO165" s="162"/>
      <c r="CP165" s="162"/>
      <c r="CQ165" s="162"/>
      <c r="CR165" s="162"/>
      <c r="CS165" s="162"/>
      <c r="CT165" s="162"/>
      <c r="CU165" s="162"/>
      <c r="CV165" s="162"/>
      <c r="CW165" s="162"/>
      <c r="CX165" s="162"/>
      <c r="CY165" s="162"/>
      <c r="CZ165" s="162"/>
      <c r="DA165" s="162"/>
      <c r="DB165" s="162"/>
      <c r="DC165" s="162"/>
      <c r="DD165" s="162"/>
    </row>
    <row r="166" spans="1:108" hidden="1" outlineLevel="1" x14ac:dyDescent="0.2">
      <c r="A166" s="162"/>
      <c r="B166" s="162"/>
      <c r="C166" s="162"/>
      <c r="D166" s="42" t="s">
        <v>242</v>
      </c>
      <c r="E166" s="427"/>
      <c r="F166" s="427"/>
      <c r="G166" s="162"/>
      <c r="H166" s="360"/>
      <c r="I166" s="162"/>
      <c r="J166" s="360"/>
      <c r="K166" s="162"/>
      <c r="L166" s="162"/>
      <c r="M166" s="162"/>
      <c r="N166" s="162"/>
      <c r="O166" s="162"/>
      <c r="P166" s="162"/>
      <c r="Q166" s="162"/>
      <c r="R166" s="162"/>
      <c r="S166" s="162"/>
      <c r="T166" s="162"/>
      <c r="U166" s="162"/>
      <c r="V166" s="162"/>
      <c r="W166" s="162"/>
      <c r="X166" s="162"/>
      <c r="Y166" s="162"/>
      <c r="Z166" s="162"/>
      <c r="AA166" s="162"/>
      <c r="AB166" s="162"/>
      <c r="AC166" s="162"/>
      <c r="AD166" s="162"/>
      <c r="AE166" s="162"/>
      <c r="AF166" s="162"/>
      <c r="AG166" s="162"/>
      <c r="AH166" s="162"/>
      <c r="AI166" s="162"/>
      <c r="AJ166" s="162"/>
      <c r="AK166" s="162"/>
      <c r="AL166" s="162"/>
      <c r="AM166" s="162"/>
      <c r="AN166" s="162"/>
      <c r="AO166" s="162"/>
      <c r="AP166" s="162"/>
      <c r="AQ166" s="162"/>
      <c r="AR166" s="162"/>
      <c r="AS166" s="162"/>
      <c r="AT166" s="162"/>
      <c r="AU166" s="162"/>
      <c r="AV166" s="162"/>
      <c r="AW166" s="162"/>
      <c r="AX166" s="162"/>
      <c r="AY166" s="162"/>
      <c r="AZ166" s="162"/>
      <c r="BA166" s="162"/>
      <c r="BB166" s="162"/>
      <c r="BC166" s="162"/>
      <c r="BD166" s="162"/>
      <c r="BE166" s="162"/>
      <c r="BF166" s="162"/>
      <c r="BG166" s="162"/>
      <c r="BH166" s="162"/>
      <c r="BI166" s="162"/>
      <c r="BJ166" s="162"/>
      <c r="BK166" s="162"/>
      <c r="BL166" s="162"/>
      <c r="BM166" s="162"/>
      <c r="BN166" s="162"/>
      <c r="BO166" s="162"/>
      <c r="BP166" s="162"/>
      <c r="BQ166" s="162"/>
      <c r="BR166" s="162"/>
      <c r="BS166" s="162"/>
      <c r="BT166" s="162"/>
      <c r="BU166" s="162"/>
      <c r="BV166" s="162"/>
      <c r="BW166" s="162"/>
      <c r="BX166" s="162"/>
      <c r="BY166" s="162"/>
      <c r="BZ166" s="162"/>
      <c r="CA166" s="162"/>
      <c r="CB166" s="162"/>
      <c r="CC166" s="162"/>
      <c r="CD166" s="162"/>
      <c r="CE166" s="162"/>
      <c r="CF166" s="162"/>
      <c r="CG166" s="162"/>
      <c r="CH166" s="162"/>
      <c r="CI166" s="162"/>
      <c r="CJ166" s="162"/>
      <c r="CK166" s="162"/>
      <c r="CL166" s="162"/>
      <c r="CM166" s="162"/>
      <c r="CN166" s="162"/>
      <c r="CO166" s="162"/>
      <c r="CP166" s="162"/>
      <c r="CQ166" s="162"/>
      <c r="CR166" s="162"/>
      <c r="CS166" s="162"/>
      <c r="CT166" s="162"/>
      <c r="CU166" s="162"/>
      <c r="CV166" s="162"/>
      <c r="CW166" s="162"/>
      <c r="CX166" s="162"/>
      <c r="CY166" s="162"/>
      <c r="CZ166" s="162"/>
      <c r="DA166" s="162"/>
      <c r="DB166" s="162"/>
      <c r="DC166" s="162"/>
      <c r="DD166" s="162"/>
    </row>
    <row r="167" spans="1:108" hidden="1" outlineLevel="1" x14ac:dyDescent="0.2">
      <c r="A167" s="162"/>
      <c r="B167" s="162"/>
      <c r="C167" s="162"/>
      <c r="D167" s="162"/>
      <c r="E167" s="495">
        <f>IF(E166="",0,E166)</f>
        <v>0</v>
      </c>
      <c r="F167" s="495">
        <f>IF(F166="",100,F166)</f>
        <v>100</v>
      </c>
      <c r="G167" s="162"/>
      <c r="H167" s="162"/>
      <c r="I167" s="162"/>
      <c r="J167" s="162"/>
      <c r="K167" s="162"/>
      <c r="L167" s="162"/>
      <c r="M167" s="162"/>
      <c r="N167" s="162"/>
      <c r="O167" s="162"/>
      <c r="P167" s="162"/>
      <c r="Q167" s="162"/>
      <c r="R167" s="162"/>
      <c r="S167" s="162"/>
      <c r="T167" s="162"/>
      <c r="U167" s="162"/>
      <c r="V167" s="162"/>
      <c r="W167" s="162"/>
      <c r="X167" s="162"/>
      <c r="Y167" s="162"/>
      <c r="Z167" s="162"/>
      <c r="AA167" s="162"/>
      <c r="AB167" s="162"/>
      <c r="AC167" s="162"/>
      <c r="AD167" s="162"/>
      <c r="AE167" s="162"/>
      <c r="AF167" s="162"/>
      <c r="AG167" s="162"/>
      <c r="AH167" s="162"/>
      <c r="AI167" s="162"/>
      <c r="AJ167" s="162"/>
      <c r="AK167" s="162"/>
      <c r="AL167" s="162"/>
      <c r="AM167" s="162"/>
      <c r="AN167" s="162"/>
      <c r="AO167" s="162"/>
      <c r="AP167" s="162"/>
      <c r="AQ167" s="162"/>
      <c r="AR167" s="162"/>
      <c r="AS167" s="162"/>
      <c r="AT167" s="162"/>
      <c r="AU167" s="162"/>
      <c r="AV167" s="162"/>
      <c r="AW167" s="162"/>
      <c r="AX167" s="162"/>
      <c r="AY167" s="162"/>
      <c r="AZ167" s="162"/>
      <c r="BA167" s="162"/>
      <c r="BB167" s="162"/>
      <c r="BC167" s="162"/>
      <c r="BD167" s="162"/>
      <c r="BE167" s="162"/>
      <c r="BF167" s="162"/>
      <c r="BG167" s="162"/>
      <c r="BH167" s="162"/>
      <c r="BI167" s="162"/>
      <c r="BJ167" s="162"/>
      <c r="BK167" s="162"/>
      <c r="BL167" s="162"/>
      <c r="BM167" s="162"/>
      <c r="BN167" s="162"/>
      <c r="BO167" s="162"/>
      <c r="BP167" s="162"/>
      <c r="BQ167" s="162"/>
      <c r="BR167" s="162"/>
      <c r="BS167" s="162"/>
      <c r="BT167" s="162"/>
      <c r="BU167" s="162"/>
      <c r="BV167" s="162"/>
      <c r="BW167" s="162"/>
      <c r="BX167" s="162"/>
      <c r="BY167" s="162"/>
      <c r="BZ167" s="162"/>
      <c r="CA167" s="162"/>
      <c r="CB167" s="162"/>
      <c r="CC167" s="162"/>
      <c r="CD167" s="162"/>
      <c r="CE167" s="162"/>
      <c r="CF167" s="162"/>
      <c r="CG167" s="162"/>
      <c r="CH167" s="162"/>
      <c r="CI167" s="162"/>
      <c r="CJ167" s="162"/>
      <c r="CK167" s="162"/>
      <c r="CL167" s="162"/>
      <c r="CM167" s="162"/>
      <c r="CN167" s="162"/>
      <c r="CO167" s="162"/>
      <c r="CP167" s="162"/>
      <c r="CQ167" s="162"/>
      <c r="CR167" s="162"/>
      <c r="CS167" s="162"/>
      <c r="CT167" s="162"/>
      <c r="CU167" s="162"/>
      <c r="CV167" s="162"/>
      <c r="CW167" s="162"/>
      <c r="CX167" s="162"/>
      <c r="CY167" s="162"/>
      <c r="CZ167" s="162"/>
      <c r="DA167" s="162"/>
      <c r="DB167" s="162"/>
      <c r="DC167" s="162"/>
      <c r="DD167" s="162"/>
    </row>
    <row r="168" spans="1:108" hidden="1" outlineLevel="1" x14ac:dyDescent="0.2">
      <c r="A168" s="162"/>
      <c r="B168" s="162"/>
      <c r="C168" s="162"/>
      <c r="D168" s="162"/>
      <c r="E168" s="632" t="s">
        <v>464</v>
      </c>
      <c r="F168" s="632" t="s">
        <v>465</v>
      </c>
      <c r="G168" s="162"/>
      <c r="H168" s="162"/>
      <c r="I168" s="162"/>
      <c r="J168" s="162"/>
      <c r="K168" s="162"/>
      <c r="L168" s="162"/>
      <c r="M168" s="162"/>
      <c r="N168" s="162"/>
      <c r="O168" s="162"/>
      <c r="P168" s="162"/>
      <c r="Q168" s="162"/>
      <c r="R168" s="162"/>
      <c r="S168" s="162"/>
      <c r="T168" s="162"/>
      <c r="U168" s="162"/>
      <c r="V168" s="162"/>
      <c r="W168" s="162"/>
      <c r="X168" s="162"/>
      <c r="Y168" s="162"/>
      <c r="Z168" s="162"/>
      <c r="AA168" s="162"/>
      <c r="AB168" s="162"/>
      <c r="AC168" s="162"/>
      <c r="AD168" s="162"/>
      <c r="AE168" s="162"/>
      <c r="AF168" s="162"/>
      <c r="AG168" s="162"/>
      <c r="AH168" s="162"/>
      <c r="AI168" s="162"/>
      <c r="AJ168" s="162"/>
      <c r="AK168" s="162"/>
      <c r="AL168" s="162"/>
      <c r="AM168" s="162"/>
      <c r="AN168" s="162"/>
      <c r="AO168" s="162"/>
      <c r="AP168" s="162"/>
      <c r="AQ168" s="162"/>
      <c r="AR168" s="162"/>
      <c r="AS168" s="162"/>
      <c r="AT168" s="162"/>
      <c r="AU168" s="162"/>
      <c r="AV168" s="162"/>
      <c r="AW168" s="162"/>
      <c r="AX168" s="162"/>
      <c r="AY168" s="162"/>
      <c r="AZ168" s="162"/>
      <c r="BA168" s="162"/>
      <c r="BB168" s="162"/>
      <c r="BC168" s="162"/>
      <c r="BD168" s="162"/>
      <c r="BE168" s="162"/>
      <c r="BF168" s="162"/>
      <c r="BG168" s="162"/>
      <c r="BH168" s="162"/>
      <c r="BI168" s="162"/>
      <c r="BJ168" s="162"/>
      <c r="BK168" s="162"/>
      <c r="BL168" s="162"/>
      <c r="BM168" s="162"/>
      <c r="BN168" s="162"/>
      <c r="BO168" s="162"/>
      <c r="BP168" s="162"/>
      <c r="BQ168" s="162"/>
      <c r="BR168" s="162"/>
      <c r="BS168" s="162"/>
      <c r="BT168" s="162"/>
      <c r="BU168" s="162"/>
      <c r="BV168" s="162"/>
      <c r="BW168" s="162"/>
      <c r="BX168" s="162"/>
      <c r="BY168" s="162"/>
      <c r="BZ168" s="162"/>
      <c r="CA168" s="162"/>
      <c r="CB168" s="162"/>
      <c r="CC168" s="162"/>
      <c r="CD168" s="162"/>
      <c r="CE168" s="162"/>
      <c r="CF168" s="162"/>
      <c r="CG168" s="162"/>
      <c r="CH168" s="162"/>
      <c r="CI168" s="162"/>
      <c r="CJ168" s="162"/>
      <c r="CK168" s="162"/>
      <c r="CL168" s="162"/>
      <c r="CM168" s="162"/>
      <c r="CN168" s="162"/>
      <c r="CO168" s="162"/>
      <c r="CP168" s="162"/>
      <c r="CQ168" s="162"/>
      <c r="CR168" s="162"/>
      <c r="CS168" s="162"/>
      <c r="CT168" s="162"/>
      <c r="CU168" s="162"/>
      <c r="CV168" s="162"/>
      <c r="CW168" s="162"/>
      <c r="CX168" s="162"/>
      <c r="CY168" s="162"/>
      <c r="CZ168" s="162"/>
      <c r="DA168" s="162"/>
      <c r="DB168" s="162"/>
      <c r="DC168" s="162"/>
      <c r="DD168" s="162"/>
    </row>
    <row r="169" spans="1:108" hidden="1" outlineLevel="1" x14ac:dyDescent="0.2">
      <c r="A169" s="162"/>
      <c r="B169" s="162"/>
      <c r="C169" s="162"/>
      <c r="D169" s="631" t="s">
        <v>463</v>
      </c>
      <c r="E169" s="521"/>
      <c r="F169" s="427"/>
      <c r="G169" s="315">
        <f>IF(AND(E169&lt;&gt;"",F169&lt;&gt;""),E169/F169,1)</f>
        <v>1</v>
      </c>
      <c r="H169" s="162"/>
      <c r="I169" s="42" t="s">
        <v>258</v>
      </c>
      <c r="J169" s="911"/>
      <c r="K169" s="912"/>
      <c r="L169" s="912"/>
      <c r="M169" s="912"/>
      <c r="N169" s="912"/>
      <c r="O169" s="912"/>
      <c r="P169" s="162"/>
      <c r="Q169" s="162"/>
      <c r="R169" s="162"/>
      <c r="S169" s="162"/>
      <c r="T169" s="162"/>
      <c r="U169" s="162"/>
      <c r="V169" s="162"/>
      <c r="W169" s="162"/>
      <c r="X169" s="162"/>
      <c r="Y169" s="162"/>
      <c r="Z169" s="162"/>
      <c r="AA169" s="162"/>
      <c r="AB169" s="162"/>
      <c r="AC169" s="162"/>
      <c r="AD169" s="162"/>
      <c r="AE169" s="162"/>
      <c r="AF169" s="162"/>
      <c r="AG169" s="162"/>
      <c r="AH169" s="162"/>
      <c r="AI169" s="162"/>
      <c r="AJ169" s="162"/>
      <c r="AK169" s="162"/>
      <c r="AL169" s="162"/>
      <c r="AM169" s="162"/>
      <c r="AN169" s="162"/>
      <c r="AO169" s="162"/>
      <c r="AP169" s="162"/>
      <c r="AQ169" s="162"/>
      <c r="AR169" s="162"/>
      <c r="AS169" s="162"/>
      <c r="AT169" s="162"/>
      <c r="AU169" s="162"/>
      <c r="AV169" s="162"/>
      <c r="AW169" s="162"/>
      <c r="AX169" s="162"/>
      <c r="AY169" s="162"/>
      <c r="AZ169" s="162"/>
      <c r="BA169" s="162"/>
      <c r="BB169" s="162"/>
      <c r="BC169" s="162"/>
      <c r="BD169" s="162"/>
      <c r="BE169" s="162"/>
      <c r="BF169" s="162"/>
      <c r="BG169" s="162"/>
      <c r="BH169" s="162"/>
      <c r="BI169" s="162"/>
      <c r="BJ169" s="162"/>
      <c r="BK169" s="162"/>
      <c r="BL169" s="162"/>
      <c r="BM169" s="162"/>
      <c r="BN169" s="162"/>
      <c r="BO169" s="162"/>
      <c r="BP169" s="162"/>
      <c r="BQ169" s="162"/>
      <c r="BR169" s="162"/>
      <c r="BS169" s="162"/>
      <c r="BT169" s="162"/>
      <c r="BU169" s="162"/>
      <c r="BV169" s="162"/>
      <c r="BW169" s="162"/>
      <c r="BX169" s="162"/>
      <c r="BY169" s="162"/>
      <c r="BZ169" s="162"/>
      <c r="CA169" s="162"/>
      <c r="CB169" s="162"/>
      <c r="CC169" s="162"/>
      <c r="CD169" s="162"/>
      <c r="CE169" s="162"/>
      <c r="CF169" s="162"/>
      <c r="CG169" s="162"/>
      <c r="CH169" s="162"/>
      <c r="CI169" s="162"/>
      <c r="CJ169" s="162"/>
      <c r="CK169" s="162"/>
      <c r="CL169" s="162"/>
      <c r="CM169" s="162"/>
      <c r="CN169" s="162"/>
      <c r="CO169" s="162"/>
      <c r="CP169" s="162"/>
      <c r="CQ169" s="162"/>
      <c r="CR169" s="162"/>
      <c r="CS169" s="162"/>
      <c r="CT169" s="162"/>
      <c r="CU169" s="162"/>
      <c r="CV169" s="162"/>
      <c r="CW169" s="162"/>
      <c r="CX169" s="162"/>
      <c r="CY169" s="162"/>
      <c r="CZ169" s="162"/>
      <c r="DA169" s="162"/>
      <c r="DB169" s="162"/>
      <c r="DC169" s="162"/>
      <c r="DD169" s="162"/>
    </row>
    <row r="170" spans="1:108" hidden="1" outlineLevel="1" x14ac:dyDescent="0.2">
      <c r="A170" s="162"/>
      <c r="B170" s="162"/>
      <c r="C170" s="162"/>
      <c r="D170" s="162"/>
      <c r="E170" s="162"/>
      <c r="F170" s="162"/>
      <c r="G170" s="162"/>
      <c r="H170" s="162"/>
      <c r="I170" s="162"/>
      <c r="J170" s="162"/>
      <c r="K170" s="162"/>
      <c r="L170" s="162"/>
      <c r="M170" s="162"/>
      <c r="N170" s="162"/>
      <c r="O170" s="162"/>
      <c r="P170" s="162"/>
      <c r="Q170" s="162"/>
      <c r="R170" s="162"/>
      <c r="S170" s="162"/>
      <c r="T170" s="162"/>
      <c r="U170" s="162"/>
      <c r="V170" s="162"/>
      <c r="W170" s="162"/>
      <c r="X170" s="162"/>
      <c r="Y170" s="162"/>
      <c r="Z170" s="162"/>
      <c r="AA170" s="162"/>
      <c r="AB170" s="162"/>
      <c r="AC170" s="162"/>
      <c r="AD170" s="162"/>
      <c r="AE170" s="162"/>
      <c r="AF170" s="162"/>
      <c r="AG170" s="162"/>
      <c r="AH170" s="162"/>
      <c r="AI170" s="162"/>
      <c r="AJ170" s="162"/>
      <c r="AK170" s="162"/>
      <c r="AL170" s="162"/>
      <c r="AM170" s="162"/>
      <c r="AN170" s="162"/>
      <c r="AO170" s="162"/>
      <c r="AP170" s="162"/>
      <c r="AQ170" s="162"/>
      <c r="AR170" s="162"/>
      <c r="AS170" s="162"/>
      <c r="AT170" s="162"/>
      <c r="AU170" s="162"/>
      <c r="AV170" s="162"/>
      <c r="AW170" s="162"/>
      <c r="AX170" s="162"/>
      <c r="AY170" s="162"/>
      <c r="AZ170" s="162"/>
      <c r="BA170" s="162"/>
      <c r="BB170" s="162"/>
      <c r="BC170" s="162"/>
      <c r="BD170" s="162"/>
      <c r="BE170" s="162"/>
      <c r="BF170" s="162"/>
      <c r="BG170" s="162"/>
      <c r="BH170" s="162"/>
      <c r="BI170" s="162"/>
      <c r="BJ170" s="162"/>
      <c r="BK170" s="162"/>
      <c r="BL170" s="162"/>
      <c r="BM170" s="162"/>
      <c r="BN170" s="162"/>
      <c r="BO170" s="162"/>
      <c r="BP170" s="162"/>
      <c r="BQ170" s="162"/>
      <c r="BR170" s="162"/>
      <c r="BS170" s="162"/>
      <c r="BT170" s="162"/>
      <c r="BU170" s="162"/>
      <c r="BV170" s="162"/>
      <c r="BW170" s="162"/>
      <c r="BX170" s="162"/>
      <c r="BY170" s="162"/>
      <c r="BZ170" s="162"/>
      <c r="CA170" s="162"/>
      <c r="CB170" s="162"/>
      <c r="CC170" s="162"/>
      <c r="CD170" s="162"/>
      <c r="CE170" s="162"/>
      <c r="CF170" s="162"/>
      <c r="CG170" s="162"/>
      <c r="CH170" s="162"/>
      <c r="CI170" s="162"/>
      <c r="CJ170" s="162"/>
      <c r="CK170" s="162"/>
      <c r="CL170" s="162"/>
      <c r="CM170" s="162"/>
      <c r="CN170" s="162"/>
      <c r="CO170" s="162"/>
      <c r="CP170" s="162"/>
      <c r="CQ170" s="162"/>
      <c r="CR170" s="162"/>
      <c r="CS170" s="162"/>
      <c r="CT170" s="162"/>
      <c r="CU170" s="162"/>
      <c r="CV170" s="162"/>
      <c r="CW170" s="162"/>
      <c r="CX170" s="162"/>
      <c r="CY170" s="162"/>
      <c r="CZ170" s="162"/>
      <c r="DA170" s="162"/>
      <c r="DB170" s="162"/>
      <c r="DC170" s="162"/>
      <c r="DD170" s="162"/>
    </row>
    <row r="171" spans="1:108" hidden="1" outlineLevel="1" x14ac:dyDescent="0.2">
      <c r="A171" s="162"/>
      <c r="B171" s="162"/>
      <c r="C171" s="162"/>
      <c r="D171" s="162"/>
      <c r="E171" s="616" t="s">
        <v>255</v>
      </c>
      <c r="F171" s="162"/>
      <c r="G171" s="162"/>
      <c r="H171" s="162"/>
      <c r="I171" s="162"/>
      <c r="J171" s="162"/>
      <c r="K171" s="162"/>
      <c r="L171" s="162"/>
      <c r="M171" s="162"/>
      <c r="N171" s="162"/>
      <c r="O171" s="162"/>
      <c r="P171" s="162"/>
      <c r="Q171" s="162"/>
      <c r="R171" s="162"/>
      <c r="S171" s="162"/>
      <c r="T171" s="162"/>
      <c r="U171" s="162"/>
      <c r="V171" s="162"/>
      <c r="W171" s="162"/>
      <c r="X171" s="162"/>
      <c r="Y171" s="162"/>
      <c r="Z171" s="162"/>
      <c r="AA171" s="162"/>
      <c r="AB171" s="162"/>
      <c r="AC171" s="162"/>
      <c r="AD171" s="162"/>
      <c r="AE171" s="162"/>
      <c r="AF171" s="162"/>
      <c r="AG171" s="162"/>
      <c r="AH171" s="162"/>
      <c r="AI171" s="162"/>
      <c r="AJ171" s="162"/>
      <c r="AK171" s="162"/>
      <c r="AL171" s="162"/>
      <c r="AM171" s="162"/>
      <c r="AN171" s="162"/>
      <c r="AO171" s="162"/>
      <c r="AP171" s="162"/>
      <c r="AQ171" s="162"/>
      <c r="AR171" s="162"/>
      <c r="AS171" s="162"/>
      <c r="AT171" s="162"/>
      <c r="AU171" s="162"/>
      <c r="AV171" s="162"/>
      <c r="AW171" s="162"/>
      <c r="AX171" s="162"/>
      <c r="AY171" s="162"/>
      <c r="AZ171" s="162"/>
      <c r="BA171" s="162"/>
      <c r="BB171" s="162"/>
      <c r="BC171" s="162"/>
      <c r="BD171" s="162"/>
      <c r="BE171" s="162"/>
      <c r="BF171" s="162"/>
      <c r="BG171" s="162"/>
      <c r="BH171" s="162"/>
      <c r="BI171" s="162"/>
      <c r="BJ171" s="162"/>
      <c r="BK171" s="162"/>
      <c r="BL171" s="162"/>
      <c r="BM171" s="162"/>
      <c r="BN171" s="162"/>
      <c r="BO171" s="162"/>
      <c r="BP171" s="162"/>
      <c r="BQ171" s="162"/>
      <c r="BR171" s="162"/>
      <c r="BS171" s="162"/>
      <c r="BT171" s="162"/>
      <c r="BU171" s="162"/>
      <c r="BV171" s="162"/>
      <c r="BW171" s="162"/>
      <c r="BX171" s="162"/>
      <c r="BY171" s="162"/>
      <c r="BZ171" s="162"/>
      <c r="CA171" s="162"/>
      <c r="CB171" s="162"/>
      <c r="CC171" s="162"/>
      <c r="CD171" s="162"/>
      <c r="CE171" s="162"/>
      <c r="CF171" s="162"/>
      <c r="CG171" s="162"/>
      <c r="CH171" s="162"/>
      <c r="CI171" s="162"/>
      <c r="CJ171" s="162"/>
      <c r="CK171" s="162"/>
      <c r="CL171" s="162"/>
      <c r="CM171" s="162"/>
      <c r="CN171" s="162"/>
      <c r="CO171" s="162"/>
      <c r="CP171" s="162"/>
      <c r="CQ171" s="162"/>
      <c r="CR171" s="162"/>
      <c r="CS171" s="162"/>
      <c r="CT171" s="162"/>
      <c r="CU171" s="162"/>
      <c r="CV171" s="162"/>
      <c r="CW171" s="162"/>
      <c r="CX171" s="162"/>
      <c r="CY171" s="162"/>
      <c r="CZ171" s="162"/>
      <c r="DA171" s="162"/>
      <c r="DB171" s="162"/>
      <c r="DC171" s="162"/>
      <c r="DD171" s="162"/>
    </row>
    <row r="172" spans="1:108" hidden="1" outlineLevel="1" x14ac:dyDescent="0.2">
      <c r="A172" s="162"/>
      <c r="B172" s="162"/>
      <c r="C172" s="162"/>
      <c r="D172" s="162"/>
      <c r="E172" s="78">
        <f>IF(J163&lt;&gt;"",J163,FirstYear)</f>
        <v>2021</v>
      </c>
      <c r="F172" s="630">
        <f>E172+1</f>
        <v>2022</v>
      </c>
      <c r="G172" s="630">
        <f>F172+1</f>
        <v>2023</v>
      </c>
      <c r="H172" s="630">
        <f>G172+1</f>
        <v>2024</v>
      </c>
      <c r="I172" s="630">
        <f>H172+1</f>
        <v>2025</v>
      </c>
      <c r="J172" s="630">
        <f>I172+1</f>
        <v>2026</v>
      </c>
      <c r="K172" s="162"/>
      <c r="L172" s="162"/>
      <c r="M172" s="162"/>
      <c r="N172" s="162"/>
      <c r="O172" s="162"/>
      <c r="P172" s="162"/>
      <c r="Q172" s="162"/>
      <c r="R172" s="162"/>
      <c r="S172" s="162"/>
      <c r="T172" s="162"/>
      <c r="U172" s="162"/>
      <c r="V172" s="162"/>
      <c r="W172" s="162"/>
      <c r="X172" s="162"/>
      <c r="Y172" s="162"/>
      <c r="Z172" s="162"/>
      <c r="AA172" s="162"/>
      <c r="AB172" s="162"/>
      <c r="AC172" s="162"/>
      <c r="AD172" s="162"/>
      <c r="AE172" s="162"/>
      <c r="AF172" s="162"/>
      <c r="AG172" s="162"/>
      <c r="AH172" s="162"/>
      <c r="AI172" s="162"/>
      <c r="AJ172" s="162"/>
      <c r="AK172" s="162"/>
      <c r="AL172" s="162"/>
      <c r="AM172" s="162"/>
      <c r="AN172" s="162"/>
      <c r="AO172" s="162"/>
      <c r="AP172" s="162"/>
      <c r="AQ172" s="162"/>
      <c r="AR172" s="162"/>
      <c r="AS172" s="162"/>
      <c r="AT172" s="162"/>
      <c r="AU172" s="162"/>
      <c r="AV172" s="162"/>
      <c r="AW172" s="162"/>
      <c r="AX172" s="162"/>
      <c r="AY172" s="162"/>
      <c r="AZ172" s="162"/>
      <c r="BA172" s="162"/>
      <c r="BB172" s="162"/>
      <c r="BC172" s="162"/>
      <c r="BD172" s="162"/>
      <c r="BE172" s="162"/>
      <c r="BF172" s="162"/>
      <c r="BG172" s="162"/>
      <c r="BH172" s="162"/>
      <c r="BI172" s="162"/>
      <c r="BJ172" s="162"/>
      <c r="BK172" s="162"/>
      <c r="BL172" s="162"/>
      <c r="BM172" s="162"/>
      <c r="BN172" s="162"/>
      <c r="BO172" s="162"/>
      <c r="BP172" s="162"/>
      <c r="BQ172" s="162"/>
      <c r="BR172" s="162"/>
      <c r="BS172" s="162"/>
      <c r="BT172" s="162"/>
      <c r="BU172" s="162"/>
      <c r="BV172" s="162"/>
      <c r="BW172" s="162"/>
      <c r="BX172" s="162"/>
      <c r="BY172" s="162"/>
      <c r="BZ172" s="162"/>
      <c r="CA172" s="162"/>
      <c r="CB172" s="162"/>
      <c r="CC172" s="162"/>
      <c r="CD172" s="162"/>
      <c r="CE172" s="162"/>
      <c r="CF172" s="162"/>
      <c r="CG172" s="162"/>
      <c r="CH172" s="162"/>
      <c r="CI172" s="162"/>
      <c r="CJ172" s="162"/>
      <c r="CK172" s="162"/>
      <c r="CL172" s="162"/>
      <c r="CM172" s="162"/>
      <c r="CN172" s="162"/>
      <c r="CO172" s="162"/>
      <c r="CP172" s="162"/>
      <c r="CQ172" s="162"/>
      <c r="CR172" s="162"/>
      <c r="CS172" s="162"/>
      <c r="CT172" s="162"/>
      <c r="CU172" s="162"/>
      <c r="CV172" s="162"/>
      <c r="CW172" s="162"/>
      <c r="CX172" s="162"/>
      <c r="CY172" s="162"/>
      <c r="CZ172" s="162"/>
      <c r="DA172" s="162"/>
      <c r="DB172" s="162"/>
      <c r="DC172" s="162"/>
      <c r="DD172" s="162"/>
    </row>
    <row r="173" spans="1:108" hidden="1" outlineLevel="1" x14ac:dyDescent="0.2">
      <c r="A173" s="162"/>
      <c r="B173" s="162"/>
      <c r="C173" s="162"/>
      <c r="D173" s="162"/>
      <c r="E173" s="63">
        <f t="shared" ref="E173:J173" si="50">IF($B$163&lt;&gt;0,VLOOKUP($B$163,$C$176:$J$178,E174)*$G169,0)</f>
        <v>0</v>
      </c>
      <c r="F173" s="63">
        <f t="shared" si="50"/>
        <v>0</v>
      </c>
      <c r="G173" s="63">
        <f t="shared" si="50"/>
        <v>0</v>
      </c>
      <c r="H173" s="63">
        <f t="shared" si="50"/>
        <v>0</v>
      </c>
      <c r="I173" s="63">
        <f t="shared" si="50"/>
        <v>0</v>
      </c>
      <c r="J173" s="63">
        <f t="shared" si="50"/>
        <v>0</v>
      </c>
      <c r="K173" s="162"/>
      <c r="L173" s="162"/>
      <c r="M173" s="162"/>
      <c r="N173" s="162"/>
      <c r="O173" s="162"/>
      <c r="P173" s="162"/>
      <c r="Q173" s="162"/>
      <c r="R173" s="162"/>
      <c r="S173" s="162"/>
      <c r="T173" s="162"/>
      <c r="U173" s="162"/>
      <c r="V173" s="162"/>
      <c r="W173" s="162"/>
      <c r="X173" s="162"/>
      <c r="Y173" s="162"/>
      <c r="Z173" s="162"/>
      <c r="AA173" s="162"/>
      <c r="AB173" s="162"/>
      <c r="AC173" s="162"/>
      <c r="AD173" s="162"/>
      <c r="AE173" s="162"/>
      <c r="AF173" s="162"/>
      <c r="AG173" s="162"/>
      <c r="AH173" s="162"/>
      <c r="AI173" s="162"/>
      <c r="AJ173" s="162"/>
      <c r="AK173" s="162"/>
      <c r="AL173" s="162"/>
      <c r="AM173" s="162"/>
      <c r="AN173" s="162"/>
      <c r="AO173" s="162"/>
      <c r="AP173" s="162"/>
      <c r="AQ173" s="162"/>
      <c r="AR173" s="162"/>
      <c r="AS173" s="162"/>
      <c r="AT173" s="162"/>
      <c r="AU173" s="162"/>
      <c r="AV173" s="162"/>
      <c r="AW173" s="162"/>
      <c r="AX173" s="162"/>
      <c r="AY173" s="162"/>
      <c r="AZ173" s="162"/>
      <c r="BA173" s="162"/>
      <c r="BB173" s="162"/>
      <c r="BC173" s="162"/>
      <c r="BD173" s="162"/>
      <c r="BE173" s="162"/>
      <c r="BF173" s="162"/>
      <c r="BG173" s="162"/>
      <c r="BH173" s="162"/>
      <c r="BI173" s="162"/>
      <c r="BJ173" s="162"/>
      <c r="BK173" s="162"/>
      <c r="BL173" s="162"/>
      <c r="BM173" s="162"/>
      <c r="BN173" s="162"/>
      <c r="BO173" s="162"/>
      <c r="BP173" s="162"/>
      <c r="BQ173" s="162"/>
      <c r="BR173" s="162"/>
      <c r="BS173" s="162"/>
      <c r="BT173" s="162"/>
      <c r="BU173" s="162"/>
      <c r="BV173" s="162"/>
      <c r="BW173" s="162"/>
      <c r="BX173" s="162"/>
      <c r="BY173" s="162"/>
      <c r="BZ173" s="162"/>
      <c r="CA173" s="162"/>
      <c r="CB173" s="162"/>
      <c r="CC173" s="162"/>
      <c r="CD173" s="162"/>
      <c r="CE173" s="162"/>
      <c r="CF173" s="162"/>
      <c r="CG173" s="162"/>
      <c r="CH173" s="162"/>
      <c r="CI173" s="162"/>
      <c r="CJ173" s="162"/>
      <c r="CK173" s="162"/>
      <c r="CL173" s="162"/>
      <c r="CM173" s="162"/>
      <c r="CN173" s="162"/>
      <c r="CO173" s="162"/>
      <c r="CP173" s="162"/>
      <c r="CQ173" s="162"/>
      <c r="CR173" s="162"/>
      <c r="CS173" s="162"/>
      <c r="CT173" s="162"/>
      <c r="CU173" s="162"/>
      <c r="CV173" s="162"/>
      <c r="CW173" s="162"/>
      <c r="CX173" s="162"/>
      <c r="CY173" s="162"/>
      <c r="CZ173" s="162"/>
      <c r="DA173" s="162"/>
      <c r="DB173" s="162"/>
      <c r="DC173" s="162"/>
      <c r="DD173" s="162"/>
    </row>
    <row r="174" spans="1:108" hidden="1" outlineLevel="1" x14ac:dyDescent="0.2">
      <c r="A174" s="162"/>
      <c r="B174" s="162"/>
      <c r="C174" s="162"/>
      <c r="D174" s="162"/>
      <c r="E174" s="650">
        <v>3</v>
      </c>
      <c r="F174" s="650">
        <v>4</v>
      </c>
      <c r="G174" s="650">
        <v>5</v>
      </c>
      <c r="H174" s="650">
        <v>6</v>
      </c>
      <c r="I174" s="650">
        <v>7</v>
      </c>
      <c r="J174" s="650">
        <v>8</v>
      </c>
      <c r="K174" s="162"/>
      <c r="L174" s="162"/>
      <c r="M174" s="162"/>
      <c r="N174" s="162"/>
      <c r="O174" s="162"/>
      <c r="P174" s="162"/>
      <c r="Q174" s="162"/>
      <c r="R174" s="162"/>
      <c r="S174" s="162"/>
      <c r="T174" s="162"/>
      <c r="U174" s="162"/>
      <c r="V174" s="162"/>
      <c r="W174" s="162"/>
      <c r="X174" s="162"/>
      <c r="Y174" s="162"/>
      <c r="Z174" s="162"/>
      <c r="AA174" s="162"/>
      <c r="AB174" s="162"/>
      <c r="AC174" s="162"/>
      <c r="AD174" s="162"/>
      <c r="AE174" s="162"/>
      <c r="AF174" s="162"/>
      <c r="AG174" s="162"/>
      <c r="AH174" s="162"/>
      <c r="AI174" s="162"/>
      <c r="AJ174" s="162"/>
      <c r="AK174" s="162"/>
      <c r="AL174" s="162"/>
      <c r="AM174" s="162"/>
      <c r="AN174" s="162"/>
      <c r="AO174" s="162"/>
      <c r="AP174" s="162"/>
      <c r="AQ174" s="162"/>
      <c r="AR174" s="162"/>
      <c r="AS174" s="162"/>
      <c r="AT174" s="162"/>
      <c r="AU174" s="162"/>
      <c r="AV174" s="162"/>
      <c r="AW174" s="162"/>
      <c r="AX174" s="162"/>
      <c r="AY174" s="162"/>
      <c r="AZ174" s="162"/>
      <c r="BA174" s="162"/>
      <c r="BB174" s="162"/>
      <c r="BC174" s="162"/>
      <c r="BD174" s="162"/>
      <c r="BE174" s="162"/>
      <c r="BF174" s="162"/>
      <c r="BG174" s="162"/>
      <c r="BH174" s="162"/>
      <c r="BI174" s="162"/>
      <c r="BJ174" s="162"/>
      <c r="BK174" s="162"/>
      <c r="BL174" s="162"/>
      <c r="BM174" s="162"/>
      <c r="BN174" s="162"/>
      <c r="BO174" s="162"/>
      <c r="BP174" s="162"/>
      <c r="BQ174" s="162"/>
      <c r="BR174" s="162"/>
      <c r="BS174" s="162"/>
      <c r="BT174" s="162"/>
      <c r="BU174" s="162"/>
      <c r="BV174" s="162"/>
      <c r="BW174" s="162"/>
      <c r="BX174" s="162"/>
      <c r="BY174" s="162"/>
      <c r="BZ174" s="162"/>
      <c r="CA174" s="162"/>
      <c r="CB174" s="162"/>
      <c r="CC174" s="162"/>
      <c r="CD174" s="162"/>
      <c r="CE174" s="162"/>
      <c r="CF174" s="162"/>
      <c r="CG174" s="162"/>
      <c r="CH174" s="162"/>
      <c r="CI174" s="162"/>
      <c r="CJ174" s="162"/>
      <c r="CK174" s="162"/>
      <c r="CL174" s="162"/>
      <c r="CM174" s="162"/>
      <c r="CN174" s="162"/>
      <c r="CO174" s="162"/>
      <c r="CP174" s="162"/>
      <c r="CQ174" s="162"/>
      <c r="CR174" s="162"/>
      <c r="CS174" s="162"/>
      <c r="CT174" s="162"/>
      <c r="CU174" s="162"/>
      <c r="CV174" s="162"/>
      <c r="CW174" s="162"/>
      <c r="CX174" s="162"/>
      <c r="CY174" s="162"/>
      <c r="CZ174" s="162"/>
      <c r="DA174" s="162"/>
      <c r="DB174" s="162"/>
      <c r="DC174" s="162"/>
      <c r="DD174" s="162"/>
    </row>
    <row r="175" spans="1:108" hidden="1" outlineLevel="1" x14ac:dyDescent="0.2">
      <c r="A175" s="162"/>
      <c r="B175" s="162"/>
      <c r="C175" s="162"/>
      <c r="D175" s="31" t="s">
        <v>324</v>
      </c>
      <c r="E175" s="78">
        <f t="shared" ref="E175:J175" si="51">E172</f>
        <v>2021</v>
      </c>
      <c r="F175" s="78">
        <f t="shared" si="51"/>
        <v>2022</v>
      </c>
      <c r="G175" s="78">
        <f t="shared" si="51"/>
        <v>2023</v>
      </c>
      <c r="H175" s="78">
        <f t="shared" si="51"/>
        <v>2024</v>
      </c>
      <c r="I175" s="78">
        <f t="shared" si="51"/>
        <v>2025</v>
      </c>
      <c r="J175" s="78">
        <f t="shared" si="51"/>
        <v>2026</v>
      </c>
      <c r="K175" s="162"/>
      <c r="L175" s="162"/>
      <c r="M175" s="162"/>
      <c r="N175" s="162"/>
      <c r="O175" s="162"/>
      <c r="P175" s="162"/>
      <c r="Q175" s="162"/>
      <c r="R175" s="162"/>
      <c r="S175" s="162"/>
      <c r="T175" s="162"/>
      <c r="U175" s="162"/>
      <c r="V175" s="162"/>
      <c r="W175" s="162"/>
      <c r="X175" s="162"/>
      <c r="Y175" s="162"/>
      <c r="Z175" s="162"/>
      <c r="AA175" s="162"/>
      <c r="AB175" s="162"/>
      <c r="AC175" s="162"/>
      <c r="AD175" s="162"/>
      <c r="AE175" s="162"/>
      <c r="AF175" s="162"/>
      <c r="AG175" s="162"/>
      <c r="AH175" s="162"/>
      <c r="AI175" s="162"/>
      <c r="AJ175" s="162"/>
      <c r="AK175" s="162"/>
      <c r="AL175" s="162"/>
      <c r="AM175" s="162"/>
      <c r="AN175" s="162"/>
      <c r="AO175" s="162"/>
      <c r="AP175" s="162"/>
      <c r="AQ175" s="162"/>
      <c r="AR175" s="162"/>
      <c r="AS175" s="162"/>
      <c r="AT175" s="162"/>
      <c r="AU175" s="162"/>
      <c r="AV175" s="162"/>
      <c r="AW175" s="162"/>
      <c r="AX175" s="162"/>
      <c r="AY175" s="162"/>
      <c r="AZ175" s="162"/>
      <c r="BA175" s="162"/>
      <c r="BB175" s="162"/>
      <c r="BC175" s="162"/>
      <c r="BD175" s="162"/>
      <c r="BE175" s="162"/>
      <c r="BF175" s="162"/>
      <c r="BG175" s="162"/>
      <c r="BH175" s="162"/>
      <c r="BI175" s="162"/>
      <c r="BJ175" s="162"/>
      <c r="BK175" s="162"/>
      <c r="BL175" s="162"/>
      <c r="BM175" s="162"/>
      <c r="BN175" s="162"/>
      <c r="BO175" s="162"/>
      <c r="BP175" s="162"/>
      <c r="BQ175" s="162"/>
      <c r="BR175" s="162"/>
      <c r="BS175" s="162"/>
      <c r="BT175" s="162"/>
      <c r="BU175" s="162"/>
      <c r="BV175" s="162"/>
      <c r="BW175" s="162"/>
      <c r="BX175" s="162"/>
      <c r="BY175" s="162"/>
      <c r="BZ175" s="162"/>
      <c r="CA175" s="162"/>
      <c r="CB175" s="162"/>
      <c r="CC175" s="162"/>
      <c r="CD175" s="162"/>
      <c r="CE175" s="162"/>
      <c r="CF175" s="162"/>
      <c r="CG175" s="162"/>
      <c r="CH175" s="162"/>
      <c r="CI175" s="162"/>
      <c r="CJ175" s="162"/>
      <c r="CK175" s="162"/>
      <c r="CL175" s="162"/>
      <c r="CM175" s="162"/>
      <c r="CN175" s="162"/>
      <c r="CO175" s="162"/>
      <c r="CP175" s="162"/>
      <c r="CQ175" s="162"/>
      <c r="CR175" s="162"/>
      <c r="CS175" s="162"/>
      <c r="CT175" s="162"/>
      <c r="CU175" s="162"/>
      <c r="CV175" s="162"/>
      <c r="CW175" s="162"/>
      <c r="CX175" s="162"/>
      <c r="CY175" s="162"/>
      <c r="CZ175" s="162"/>
      <c r="DA175" s="162"/>
      <c r="DB175" s="162"/>
      <c r="DC175" s="162"/>
      <c r="DD175" s="162"/>
    </row>
    <row r="176" spans="1:108" hidden="1" outlineLevel="1" x14ac:dyDescent="0.2">
      <c r="A176" s="162"/>
      <c r="B176" s="162"/>
      <c r="C176" s="58">
        <v>1</v>
      </c>
      <c r="D176" s="177" t="s">
        <v>240</v>
      </c>
      <c r="E176" s="63">
        <f t="shared" ref="E176:J176" si="52">SUMPRODUCT(($D$203:$D$221=E175)*($E$202:$DA$202&gt;=$E$167)*($E$202:$DA$202&lt;=$F$167)*($E$203:$DA$221))</f>
        <v>26301274</v>
      </c>
      <c r="F176" s="63">
        <f t="shared" si="52"/>
        <v>26727025</v>
      </c>
      <c r="G176" s="63">
        <f t="shared" si="52"/>
        <v>27147199</v>
      </c>
      <c r="H176" s="63">
        <f t="shared" si="52"/>
        <v>27562195</v>
      </c>
      <c r="I176" s="63">
        <f t="shared" si="52"/>
        <v>27970435</v>
      </c>
      <c r="J176" s="63">
        <f t="shared" si="52"/>
        <v>28372315</v>
      </c>
      <c r="K176" s="162"/>
      <c r="L176" s="162"/>
      <c r="M176" s="162"/>
      <c r="N176" s="162"/>
      <c r="O176" s="162"/>
      <c r="P176" s="162"/>
      <c r="Q176" s="162"/>
      <c r="R176" s="162"/>
      <c r="S176" s="162"/>
      <c r="T176" s="162"/>
      <c r="U176" s="162"/>
      <c r="V176" s="162"/>
      <c r="W176" s="162"/>
      <c r="X176" s="162"/>
      <c r="Y176" s="162"/>
      <c r="Z176" s="162"/>
      <c r="AA176" s="162"/>
      <c r="AB176" s="162"/>
      <c r="AC176" s="162"/>
      <c r="AD176" s="162"/>
      <c r="AE176" s="162"/>
      <c r="AF176" s="162"/>
      <c r="AG176" s="162"/>
      <c r="AH176" s="162"/>
      <c r="AI176" s="162"/>
      <c r="AJ176" s="162"/>
      <c r="AK176" s="162"/>
      <c r="AL176" s="162"/>
      <c r="AM176" s="162"/>
      <c r="AN176" s="162"/>
      <c r="AO176" s="162"/>
      <c r="AP176" s="162"/>
      <c r="AQ176" s="162"/>
      <c r="AR176" s="162"/>
      <c r="AS176" s="162"/>
      <c r="AT176" s="162"/>
      <c r="AU176" s="162"/>
      <c r="AV176" s="162"/>
      <c r="AW176" s="162"/>
      <c r="AX176" s="162"/>
      <c r="AY176" s="162"/>
      <c r="AZ176" s="162"/>
      <c r="BA176" s="162"/>
      <c r="BB176" s="162"/>
      <c r="BC176" s="162"/>
      <c r="BD176" s="162"/>
      <c r="BE176" s="162"/>
      <c r="BF176" s="162"/>
      <c r="BG176" s="162"/>
      <c r="BH176" s="162"/>
      <c r="BI176" s="162"/>
      <c r="BJ176" s="162"/>
      <c r="BK176" s="162"/>
      <c r="BL176" s="162"/>
      <c r="BM176" s="162"/>
      <c r="BN176" s="162"/>
      <c r="BO176" s="162"/>
      <c r="BP176" s="162"/>
      <c r="BQ176" s="162"/>
      <c r="BR176" s="162"/>
      <c r="BS176" s="162"/>
      <c r="BT176" s="162"/>
      <c r="BU176" s="162"/>
      <c r="BV176" s="162"/>
      <c r="BW176" s="162"/>
      <c r="BX176" s="162"/>
      <c r="BY176" s="162"/>
      <c r="BZ176" s="162"/>
      <c r="CA176" s="162"/>
      <c r="CB176" s="162"/>
      <c r="CC176" s="162"/>
      <c r="CD176" s="162"/>
      <c r="CE176" s="162"/>
      <c r="CF176" s="162"/>
      <c r="CG176" s="162"/>
      <c r="CH176" s="162"/>
      <c r="CI176" s="162"/>
      <c r="CJ176" s="162"/>
      <c r="CK176" s="162"/>
      <c r="CL176" s="162"/>
      <c r="CM176" s="162"/>
      <c r="CN176" s="162"/>
      <c r="CO176" s="162"/>
      <c r="CP176" s="162"/>
      <c r="CQ176" s="162"/>
      <c r="CR176" s="162"/>
      <c r="CS176" s="162"/>
      <c r="CT176" s="162"/>
      <c r="CU176" s="162"/>
      <c r="CV176" s="162"/>
      <c r="CW176" s="162"/>
      <c r="CX176" s="162"/>
      <c r="CY176" s="162"/>
      <c r="CZ176" s="162"/>
      <c r="DA176" s="162"/>
      <c r="DB176" s="162"/>
      <c r="DC176" s="162"/>
      <c r="DD176" s="162"/>
    </row>
    <row r="177" spans="1:108" hidden="1" outlineLevel="1" x14ac:dyDescent="0.2">
      <c r="A177" s="162"/>
      <c r="B177" s="162"/>
      <c r="C177" s="58">
        <v>2</v>
      </c>
      <c r="D177" s="177" t="s">
        <v>243</v>
      </c>
      <c r="E177" s="63">
        <f t="shared" ref="E177:J177" si="53">SUMPRODUCT(($D$228:$D$246=E175)*($E$227:$DA$227&gt;=$E$167)*($E$227:$DA$227&lt;=$F$167)*($E$228:$DA$246))</f>
        <v>13039532</v>
      </c>
      <c r="F177" s="63">
        <f t="shared" si="53"/>
        <v>13248872</v>
      </c>
      <c r="G177" s="63">
        <f t="shared" si="53"/>
        <v>13455403</v>
      </c>
      <c r="H177" s="63">
        <f t="shared" si="53"/>
        <v>13659298</v>
      </c>
      <c r="I177" s="63">
        <f t="shared" si="53"/>
        <v>13859813</v>
      </c>
      <c r="J177" s="63">
        <f t="shared" si="53"/>
        <v>14057138</v>
      </c>
      <c r="K177" s="162"/>
      <c r="L177" s="162"/>
      <c r="M177" s="162"/>
      <c r="N177" s="162"/>
      <c r="O177" s="162"/>
      <c r="P177" s="162"/>
      <c r="Q177" s="162"/>
      <c r="R177" s="162"/>
      <c r="S177" s="162"/>
      <c r="T177" s="162"/>
      <c r="U177" s="162"/>
      <c r="V177" s="162"/>
      <c r="W177" s="162"/>
      <c r="X177" s="162"/>
      <c r="Y177" s="162"/>
      <c r="Z177" s="162"/>
      <c r="AA177" s="162"/>
      <c r="AB177" s="162"/>
      <c r="AC177" s="162"/>
      <c r="AD177" s="162"/>
      <c r="AE177" s="162"/>
      <c r="AF177" s="162"/>
      <c r="AG177" s="162"/>
      <c r="AH177" s="162"/>
      <c r="AI177" s="162"/>
      <c r="AJ177" s="162"/>
      <c r="AK177" s="162"/>
      <c r="AL177" s="162"/>
      <c r="AM177" s="162"/>
      <c r="AN177" s="162"/>
      <c r="AO177" s="162"/>
      <c r="AP177" s="162"/>
      <c r="AQ177" s="162"/>
      <c r="AR177" s="162"/>
      <c r="AS177" s="162"/>
      <c r="AT177" s="162"/>
      <c r="AU177" s="162"/>
      <c r="AV177" s="162"/>
      <c r="AW177" s="162"/>
      <c r="AX177" s="162"/>
      <c r="AY177" s="162"/>
      <c r="AZ177" s="162"/>
      <c r="BA177" s="162"/>
      <c r="BB177" s="162"/>
      <c r="BC177" s="162"/>
      <c r="BD177" s="162"/>
      <c r="BE177" s="162"/>
      <c r="BF177" s="162"/>
      <c r="BG177" s="162"/>
      <c r="BH177" s="162"/>
      <c r="BI177" s="162"/>
      <c r="BJ177" s="162"/>
      <c r="BK177" s="162"/>
      <c r="BL177" s="162"/>
      <c r="BM177" s="162"/>
      <c r="BN177" s="162"/>
      <c r="BO177" s="162"/>
      <c r="BP177" s="162"/>
      <c r="BQ177" s="162"/>
      <c r="BR177" s="162"/>
      <c r="BS177" s="162"/>
      <c r="BT177" s="162"/>
      <c r="BU177" s="162"/>
      <c r="BV177" s="162"/>
      <c r="BW177" s="162"/>
      <c r="BX177" s="162"/>
      <c r="BY177" s="162"/>
      <c r="BZ177" s="162"/>
      <c r="CA177" s="162"/>
      <c r="CB177" s="162"/>
      <c r="CC177" s="162"/>
      <c r="CD177" s="162"/>
      <c r="CE177" s="162"/>
      <c r="CF177" s="162"/>
      <c r="CG177" s="162"/>
      <c r="CH177" s="162"/>
      <c r="CI177" s="162"/>
      <c r="CJ177" s="162"/>
      <c r="CK177" s="162"/>
      <c r="CL177" s="162"/>
      <c r="CM177" s="162"/>
      <c r="CN177" s="162"/>
      <c r="CO177" s="162"/>
      <c r="CP177" s="162"/>
      <c r="CQ177" s="162"/>
      <c r="CR177" s="162"/>
      <c r="CS177" s="162"/>
      <c r="CT177" s="162"/>
      <c r="CU177" s="162"/>
      <c r="CV177" s="162"/>
      <c r="CW177" s="162"/>
      <c r="CX177" s="162"/>
      <c r="CY177" s="162"/>
      <c r="CZ177" s="162"/>
      <c r="DA177" s="162"/>
      <c r="DB177" s="162"/>
      <c r="DC177" s="162"/>
      <c r="DD177" s="162"/>
    </row>
    <row r="178" spans="1:108" hidden="1" outlineLevel="1" x14ac:dyDescent="0.2">
      <c r="A178" s="162"/>
      <c r="B178" s="162"/>
      <c r="C178" s="58">
        <v>3</v>
      </c>
      <c r="D178" s="177" t="s">
        <v>244</v>
      </c>
      <c r="E178" s="63">
        <f t="shared" ref="E178:J178" si="54">SUMPRODUCT(($D$253:$D$271=E175)*($E$252:$DA$252&gt;=$E$167)*($E$252:$DA$252&lt;=$F$167)*($E$253:$DA$271))</f>
        <v>13261742</v>
      </c>
      <c r="F178" s="63">
        <f t="shared" si="54"/>
        <v>13478153</v>
      </c>
      <c r="G178" s="63">
        <f t="shared" si="54"/>
        <v>13691796</v>
      </c>
      <c r="H178" s="63">
        <f t="shared" si="54"/>
        <v>13902897</v>
      </c>
      <c r="I178" s="63">
        <f t="shared" si="54"/>
        <v>14110622</v>
      </c>
      <c r="J178" s="63">
        <f t="shared" si="54"/>
        <v>14315177</v>
      </c>
      <c r="K178" s="162"/>
      <c r="L178" s="162"/>
      <c r="M178" s="162"/>
      <c r="N178" s="162"/>
      <c r="O178" s="162"/>
      <c r="P178" s="162"/>
      <c r="Q178" s="162"/>
      <c r="R178" s="162"/>
      <c r="S178" s="162"/>
      <c r="T178" s="162"/>
      <c r="U178" s="162"/>
      <c r="V178" s="162"/>
      <c r="W178" s="162"/>
      <c r="X178" s="162"/>
      <c r="Y178" s="162"/>
      <c r="Z178" s="162"/>
      <c r="AA178" s="162"/>
      <c r="AB178" s="162"/>
      <c r="AC178" s="162"/>
      <c r="AD178" s="162"/>
      <c r="AE178" s="162"/>
      <c r="AF178" s="162"/>
      <c r="AG178" s="162"/>
      <c r="AH178" s="162"/>
      <c r="AI178" s="162"/>
      <c r="AJ178" s="162"/>
      <c r="AK178" s="162"/>
      <c r="AL178" s="162"/>
      <c r="AM178" s="162"/>
      <c r="AN178" s="162"/>
      <c r="AO178" s="162"/>
      <c r="AP178" s="162"/>
      <c r="AQ178" s="162"/>
      <c r="AR178" s="162"/>
      <c r="AS178" s="162"/>
      <c r="AT178" s="162"/>
      <c r="AU178" s="162"/>
      <c r="AV178" s="162"/>
      <c r="AW178" s="162"/>
      <c r="AX178" s="162"/>
      <c r="AY178" s="162"/>
      <c r="AZ178" s="162"/>
      <c r="BA178" s="162"/>
      <c r="BB178" s="162"/>
      <c r="BC178" s="162"/>
      <c r="BD178" s="162"/>
      <c r="BE178" s="162"/>
      <c r="BF178" s="162"/>
      <c r="BG178" s="162"/>
      <c r="BH178" s="162"/>
      <c r="BI178" s="162"/>
      <c r="BJ178" s="162"/>
      <c r="BK178" s="162"/>
      <c r="BL178" s="162"/>
      <c r="BM178" s="162"/>
      <c r="BN178" s="162"/>
      <c r="BO178" s="162"/>
      <c r="BP178" s="162"/>
      <c r="BQ178" s="162"/>
      <c r="BR178" s="162"/>
      <c r="BS178" s="162"/>
      <c r="BT178" s="162"/>
      <c r="BU178" s="162"/>
      <c r="BV178" s="162"/>
      <c r="BW178" s="162"/>
      <c r="BX178" s="162"/>
      <c r="BY178" s="162"/>
      <c r="BZ178" s="162"/>
      <c r="CA178" s="162"/>
      <c r="CB178" s="162"/>
      <c r="CC178" s="162"/>
      <c r="CD178" s="162"/>
      <c r="CE178" s="162"/>
      <c r="CF178" s="162"/>
      <c r="CG178" s="162"/>
      <c r="CH178" s="162"/>
      <c r="CI178" s="162"/>
      <c r="CJ178" s="162"/>
      <c r="CK178" s="162"/>
      <c r="CL178" s="162"/>
      <c r="CM178" s="162"/>
      <c r="CN178" s="162"/>
      <c r="CO178" s="162"/>
      <c r="CP178" s="162"/>
      <c r="CQ178" s="162"/>
      <c r="CR178" s="162"/>
      <c r="CS178" s="162"/>
      <c r="CT178" s="162"/>
      <c r="CU178" s="162"/>
      <c r="CV178" s="162"/>
      <c r="CW178" s="162"/>
      <c r="CX178" s="162"/>
      <c r="CY178" s="162"/>
      <c r="CZ178" s="162"/>
      <c r="DA178" s="162"/>
      <c r="DB178" s="162"/>
      <c r="DC178" s="162"/>
      <c r="DD178" s="162"/>
    </row>
    <row r="179" spans="1:108" hidden="1" outlineLevel="1" x14ac:dyDescent="0.2">
      <c r="A179" s="162"/>
      <c r="B179" s="162"/>
      <c r="C179" s="162"/>
      <c r="D179" s="162"/>
      <c r="E179" s="162"/>
      <c r="F179" s="162"/>
      <c r="G179" s="162"/>
      <c r="H179" s="162"/>
      <c r="I179" s="162"/>
      <c r="J179" s="162"/>
      <c r="K179" s="162"/>
      <c r="L179" s="162"/>
      <c r="M179" s="162"/>
      <c r="N179" s="162"/>
      <c r="O179" s="162"/>
      <c r="P179" s="162"/>
      <c r="Q179" s="162"/>
      <c r="R179" s="162"/>
      <c r="S179" s="162"/>
      <c r="T179" s="162"/>
      <c r="U179" s="162"/>
      <c r="V179" s="162"/>
      <c r="W179" s="162"/>
      <c r="X179" s="162"/>
      <c r="Y179" s="162"/>
      <c r="Z179" s="162"/>
      <c r="AA179" s="162"/>
      <c r="AB179" s="162"/>
      <c r="AC179" s="162"/>
      <c r="AD179" s="162"/>
      <c r="AE179" s="162"/>
      <c r="AF179" s="162"/>
      <c r="AG179" s="162"/>
      <c r="AH179" s="162"/>
      <c r="AI179" s="162"/>
      <c r="AJ179" s="162"/>
      <c r="AK179" s="162"/>
      <c r="AL179" s="162"/>
      <c r="AM179" s="162"/>
      <c r="AN179" s="162"/>
      <c r="AO179" s="162"/>
      <c r="AP179" s="162"/>
      <c r="AQ179" s="162"/>
      <c r="AR179" s="162"/>
      <c r="AS179" s="162"/>
      <c r="AT179" s="162"/>
      <c r="AU179" s="162"/>
      <c r="AV179" s="162"/>
      <c r="AW179" s="162"/>
      <c r="AX179" s="162"/>
      <c r="AY179" s="162"/>
      <c r="AZ179" s="162"/>
      <c r="BA179" s="162"/>
      <c r="BB179" s="162"/>
      <c r="BC179" s="162"/>
      <c r="BD179" s="162"/>
      <c r="BE179" s="162"/>
      <c r="BF179" s="162"/>
      <c r="BG179" s="162"/>
      <c r="BH179" s="162"/>
      <c r="BI179" s="162"/>
      <c r="BJ179" s="162"/>
      <c r="BK179" s="162"/>
      <c r="BL179" s="162"/>
      <c r="BM179" s="162"/>
      <c r="BN179" s="162"/>
      <c r="BO179" s="162"/>
      <c r="BP179" s="162"/>
      <c r="BQ179" s="162"/>
      <c r="BR179" s="162"/>
      <c r="BS179" s="162"/>
      <c r="BT179" s="162"/>
      <c r="BU179" s="162"/>
      <c r="BV179" s="162"/>
      <c r="BW179" s="162"/>
      <c r="BX179" s="162"/>
      <c r="BY179" s="162"/>
      <c r="BZ179" s="162"/>
      <c r="CA179" s="162"/>
      <c r="CB179" s="162"/>
      <c r="CC179" s="162"/>
      <c r="CD179" s="162"/>
      <c r="CE179" s="162"/>
      <c r="CF179" s="162"/>
      <c r="CG179" s="162"/>
      <c r="CH179" s="162"/>
      <c r="CI179" s="162"/>
      <c r="CJ179" s="162"/>
      <c r="CK179" s="162"/>
      <c r="CL179" s="162"/>
      <c r="CM179" s="162"/>
      <c r="CN179" s="162"/>
      <c r="CO179" s="162"/>
      <c r="CP179" s="162"/>
      <c r="CQ179" s="162"/>
      <c r="CR179" s="162"/>
      <c r="CS179" s="162"/>
      <c r="CT179" s="162"/>
      <c r="CU179" s="162"/>
      <c r="CV179" s="162"/>
      <c r="CW179" s="162"/>
      <c r="CX179" s="162"/>
      <c r="CY179" s="162"/>
      <c r="CZ179" s="162"/>
      <c r="DA179" s="162"/>
      <c r="DB179" s="162"/>
      <c r="DC179" s="162"/>
      <c r="DD179" s="162"/>
    </row>
    <row r="180" spans="1:108" collapsed="1" x14ac:dyDescent="0.2">
      <c r="A180" s="162"/>
      <c r="B180" s="162"/>
      <c r="C180" s="162"/>
      <c r="D180" s="162"/>
      <c r="E180" s="162"/>
      <c r="F180" s="162"/>
      <c r="G180" s="162"/>
      <c r="H180" s="162"/>
      <c r="I180" s="162"/>
      <c r="J180" s="162"/>
      <c r="K180" s="162"/>
      <c r="L180" s="162"/>
      <c r="M180" s="162"/>
      <c r="N180" s="162"/>
      <c r="O180" s="162"/>
      <c r="P180" s="162"/>
      <c r="Q180" s="162"/>
      <c r="R180" s="162"/>
      <c r="S180" s="162"/>
      <c r="T180" s="162"/>
      <c r="U180" s="162"/>
      <c r="V180" s="162"/>
      <c r="W180" s="162"/>
      <c r="X180" s="162"/>
      <c r="Y180" s="162"/>
      <c r="Z180" s="162"/>
      <c r="AA180" s="162"/>
      <c r="AB180" s="162"/>
      <c r="AC180" s="162"/>
      <c r="AD180" s="162"/>
      <c r="AE180" s="162"/>
      <c r="AF180" s="162"/>
      <c r="AG180" s="162"/>
      <c r="AH180" s="162"/>
      <c r="AI180" s="162"/>
      <c r="AJ180" s="162"/>
      <c r="AK180" s="162"/>
      <c r="AL180" s="162"/>
      <c r="AM180" s="162"/>
      <c r="AN180" s="162"/>
      <c r="AO180" s="162"/>
      <c r="AP180" s="162"/>
      <c r="AQ180" s="162"/>
      <c r="AR180" s="162"/>
      <c r="AS180" s="162"/>
      <c r="AT180" s="162"/>
      <c r="AU180" s="162"/>
      <c r="AV180" s="162"/>
      <c r="AW180" s="162"/>
      <c r="AX180" s="162"/>
      <c r="AY180" s="162"/>
      <c r="AZ180" s="162"/>
      <c r="BA180" s="162"/>
      <c r="BB180" s="162"/>
      <c r="BC180" s="162"/>
      <c r="BD180" s="162"/>
      <c r="BE180" s="162"/>
      <c r="BF180" s="162"/>
      <c r="BG180" s="162"/>
      <c r="BH180" s="162"/>
      <c r="BI180" s="162"/>
      <c r="BJ180" s="162"/>
      <c r="BK180" s="162"/>
      <c r="BL180" s="162"/>
      <c r="BM180" s="162"/>
      <c r="BN180" s="162"/>
      <c r="BO180" s="162"/>
      <c r="BP180" s="162"/>
      <c r="BQ180" s="162"/>
      <c r="BR180" s="162"/>
      <c r="BS180" s="162"/>
      <c r="BT180" s="162"/>
      <c r="BU180" s="162"/>
      <c r="BV180" s="162"/>
      <c r="BW180" s="162"/>
      <c r="BX180" s="162"/>
      <c r="BY180" s="162"/>
      <c r="BZ180" s="162"/>
      <c r="CA180" s="162"/>
      <c r="CB180" s="162"/>
      <c r="CC180" s="162"/>
      <c r="CD180" s="162"/>
      <c r="CE180" s="162"/>
      <c r="CF180" s="162"/>
      <c r="CG180" s="162"/>
      <c r="CH180" s="162"/>
      <c r="CI180" s="162"/>
      <c r="CJ180" s="162"/>
      <c r="CK180" s="162"/>
      <c r="CL180" s="162"/>
      <c r="CM180" s="162"/>
      <c r="CN180" s="162"/>
      <c r="CO180" s="162"/>
      <c r="CP180" s="162"/>
      <c r="CQ180" s="162"/>
      <c r="CR180" s="162"/>
      <c r="CS180" s="162"/>
      <c r="CT180" s="162"/>
      <c r="CU180" s="162"/>
      <c r="CV180" s="162"/>
      <c r="CW180" s="162"/>
      <c r="CX180" s="162"/>
      <c r="CY180" s="162"/>
      <c r="CZ180" s="162"/>
      <c r="DA180" s="162"/>
      <c r="DB180" s="162"/>
      <c r="DC180" s="162"/>
      <c r="DD180" s="162"/>
    </row>
    <row r="181" spans="1:108" ht="15.75" x14ac:dyDescent="0.2">
      <c r="A181" s="162"/>
      <c r="B181" s="242">
        <f>IF(H184&lt;&gt;"",VLOOKUP(H184,GenderCode,2,FALSE),0)</f>
        <v>0</v>
      </c>
      <c r="C181" s="58">
        <v>10</v>
      </c>
      <c r="D181" s="79" t="str">
        <f>IF(B181=0,MsgNotUsed, CONCATENATE("ABS ", C181, ": ", H184, " ", E185, " - ", F185, " yrs inclusive (", E190, "-", J190, ")") &amp; IF(E187&lt;&gt;"",CONCATENATE(" - (",D187,")"),""))</f>
        <v>** NOT USED **</v>
      </c>
      <c r="E181" s="127"/>
      <c r="F181" s="127"/>
      <c r="G181" s="127"/>
      <c r="H181" s="127"/>
      <c r="I181" s="175"/>
      <c r="J181" s="127"/>
      <c r="K181" s="127"/>
      <c r="L181" s="127"/>
      <c r="M181" s="127"/>
      <c r="N181" s="127"/>
      <c r="O181" s="127"/>
      <c r="P181" s="162"/>
      <c r="Q181" s="162"/>
      <c r="R181" s="162"/>
      <c r="S181" s="162"/>
      <c r="T181" s="162"/>
      <c r="U181" s="162"/>
      <c r="V181" s="162"/>
      <c r="W181" s="162"/>
      <c r="X181" s="162"/>
      <c r="Y181" s="162"/>
      <c r="Z181" s="162"/>
      <c r="AA181" s="162"/>
      <c r="AB181" s="162"/>
      <c r="AC181" s="162"/>
      <c r="AD181" s="162"/>
      <c r="AE181" s="162"/>
      <c r="AF181" s="162"/>
      <c r="AG181" s="162"/>
      <c r="AH181" s="162"/>
      <c r="AI181" s="162"/>
      <c r="AJ181" s="162"/>
      <c r="AK181" s="162"/>
      <c r="AL181" s="162"/>
      <c r="AM181" s="162"/>
      <c r="AN181" s="162"/>
      <c r="AO181" s="162"/>
      <c r="AP181" s="162"/>
      <c r="AQ181" s="162"/>
      <c r="AR181" s="162"/>
      <c r="AS181" s="162"/>
      <c r="AT181" s="162"/>
      <c r="AU181" s="162"/>
      <c r="AV181" s="162"/>
      <c r="AW181" s="162"/>
      <c r="AX181" s="162"/>
      <c r="AY181" s="162"/>
      <c r="AZ181" s="162"/>
      <c r="BA181" s="162"/>
      <c r="BB181" s="162"/>
      <c r="BC181" s="162"/>
      <c r="BD181" s="162"/>
      <c r="BE181" s="162"/>
      <c r="BF181" s="162"/>
      <c r="BG181" s="162"/>
      <c r="BH181" s="162"/>
      <c r="BI181" s="162"/>
      <c r="BJ181" s="162"/>
      <c r="BK181" s="162"/>
      <c r="BL181" s="162"/>
      <c r="BM181" s="162"/>
      <c r="BN181" s="162"/>
      <c r="BO181" s="162"/>
      <c r="BP181" s="162"/>
      <c r="BQ181" s="162"/>
      <c r="BR181" s="162"/>
      <c r="BS181" s="162"/>
      <c r="BT181" s="162"/>
      <c r="BU181" s="162"/>
      <c r="BV181" s="162"/>
      <c r="BW181" s="162"/>
      <c r="BX181" s="162"/>
      <c r="BY181" s="162"/>
      <c r="BZ181" s="162"/>
      <c r="CA181" s="162"/>
      <c r="CB181" s="162"/>
      <c r="CC181" s="162"/>
      <c r="CD181" s="162"/>
      <c r="CE181" s="162"/>
      <c r="CF181" s="162"/>
      <c r="CG181" s="162"/>
      <c r="CH181" s="162"/>
      <c r="CI181" s="162"/>
      <c r="CJ181" s="162"/>
      <c r="CK181" s="162"/>
      <c r="CL181" s="162"/>
      <c r="CM181" s="162"/>
      <c r="CN181" s="162"/>
      <c r="CO181" s="162"/>
      <c r="CP181" s="162"/>
      <c r="CQ181" s="162"/>
      <c r="CR181" s="162"/>
      <c r="CS181" s="162"/>
      <c r="CT181" s="162"/>
      <c r="CU181" s="162"/>
      <c r="CV181" s="162"/>
      <c r="CW181" s="162"/>
      <c r="CX181" s="162"/>
      <c r="CY181" s="162"/>
      <c r="CZ181" s="162"/>
      <c r="DA181" s="162"/>
      <c r="DB181" s="162"/>
      <c r="DC181" s="162"/>
      <c r="DD181" s="162"/>
    </row>
    <row r="182" spans="1:108" ht="14.25" hidden="1" outlineLevel="1" x14ac:dyDescent="0.2">
      <c r="A182" s="162"/>
      <c r="B182" s="162"/>
      <c r="C182" s="162"/>
      <c r="D182" s="647"/>
      <c r="E182" s="162"/>
      <c r="F182" s="162"/>
      <c r="G182" s="162"/>
      <c r="H182" s="162"/>
      <c r="I182" s="162"/>
      <c r="J182" s="162"/>
      <c r="K182" s="162"/>
      <c r="L182" s="162"/>
      <c r="M182" s="162"/>
      <c r="N182" s="162"/>
      <c r="O182" s="162"/>
      <c r="P182" s="162"/>
      <c r="Q182" s="162"/>
      <c r="R182" s="162"/>
      <c r="S182" s="162"/>
      <c r="T182" s="162"/>
      <c r="U182" s="162"/>
      <c r="V182" s="162"/>
      <c r="W182" s="162"/>
      <c r="X182" s="162"/>
      <c r="Y182" s="162"/>
      <c r="Z182" s="162"/>
      <c r="AA182" s="162"/>
      <c r="AB182" s="162"/>
      <c r="AC182" s="162"/>
      <c r="AD182" s="162"/>
      <c r="AE182" s="162"/>
      <c r="AF182" s="162"/>
      <c r="AG182" s="162"/>
      <c r="AH182" s="162"/>
      <c r="AI182" s="162"/>
      <c r="AJ182" s="162"/>
      <c r="AK182" s="162"/>
      <c r="AL182" s="162"/>
      <c r="AM182" s="162"/>
      <c r="AN182" s="162"/>
      <c r="AO182" s="162"/>
      <c r="AP182" s="162"/>
      <c r="AQ182" s="162"/>
      <c r="AR182" s="162"/>
      <c r="AS182" s="162"/>
      <c r="AT182" s="162"/>
      <c r="AU182" s="162"/>
      <c r="AV182" s="162"/>
      <c r="AW182" s="162"/>
      <c r="AX182" s="162"/>
      <c r="AY182" s="162"/>
      <c r="AZ182" s="162"/>
      <c r="BA182" s="162"/>
      <c r="BB182" s="162"/>
      <c r="BC182" s="162"/>
      <c r="BD182" s="162"/>
      <c r="BE182" s="162"/>
      <c r="BF182" s="162"/>
      <c r="BG182" s="162"/>
      <c r="BH182" s="162"/>
      <c r="BI182" s="162"/>
      <c r="BJ182" s="162"/>
      <c r="BK182" s="162"/>
      <c r="BL182" s="162"/>
      <c r="BM182" s="162"/>
      <c r="BN182" s="162"/>
      <c r="BO182" s="162"/>
      <c r="BP182" s="162"/>
      <c r="BQ182" s="162"/>
      <c r="BR182" s="162"/>
      <c r="BS182" s="162"/>
      <c r="BT182" s="162"/>
      <c r="BU182" s="162"/>
      <c r="BV182" s="162"/>
      <c r="BW182" s="162"/>
      <c r="BX182" s="162"/>
      <c r="BY182" s="162"/>
      <c r="BZ182" s="162"/>
      <c r="CA182" s="162"/>
      <c r="CB182" s="162"/>
      <c r="CC182" s="162"/>
      <c r="CD182" s="162"/>
      <c r="CE182" s="162"/>
      <c r="CF182" s="162"/>
      <c r="CG182" s="162"/>
      <c r="CH182" s="162"/>
      <c r="CI182" s="162"/>
      <c r="CJ182" s="162"/>
      <c r="CK182" s="162"/>
      <c r="CL182" s="162"/>
      <c r="CM182" s="162"/>
      <c r="CN182" s="162"/>
      <c r="CO182" s="162"/>
      <c r="CP182" s="162"/>
      <c r="CQ182" s="162"/>
      <c r="CR182" s="162"/>
      <c r="CS182" s="162"/>
      <c r="CT182" s="162"/>
      <c r="CU182" s="162"/>
      <c r="CV182" s="162"/>
      <c r="CW182" s="162"/>
      <c r="CX182" s="162"/>
      <c r="CY182" s="162"/>
      <c r="CZ182" s="162"/>
      <c r="DA182" s="162"/>
      <c r="DB182" s="162"/>
      <c r="DC182" s="162"/>
      <c r="DD182" s="162"/>
    </row>
    <row r="183" spans="1:108" hidden="1" outlineLevel="1" x14ac:dyDescent="0.2">
      <c r="A183" s="162"/>
      <c r="B183" s="162"/>
      <c r="C183" s="162"/>
      <c r="D183" s="162"/>
      <c r="E183" s="632" t="s">
        <v>245</v>
      </c>
      <c r="F183" s="632" t="s">
        <v>246</v>
      </c>
      <c r="G183" s="162"/>
      <c r="H183" s="632" t="s">
        <v>51</v>
      </c>
      <c r="I183" s="162"/>
      <c r="J183" s="632" t="s">
        <v>365</v>
      </c>
      <c r="K183" s="162"/>
      <c r="L183" s="162"/>
      <c r="M183" s="162"/>
      <c r="N183" s="162"/>
      <c r="O183" s="162"/>
      <c r="P183" s="162"/>
      <c r="Q183" s="162"/>
      <c r="R183" s="162"/>
      <c r="S183" s="162"/>
      <c r="T183" s="162"/>
      <c r="U183" s="162"/>
      <c r="V183" s="162"/>
      <c r="W183" s="162"/>
      <c r="X183" s="162"/>
      <c r="Y183" s="162"/>
      <c r="Z183" s="162"/>
      <c r="AA183" s="162"/>
      <c r="AB183" s="162"/>
      <c r="AC183" s="162"/>
      <c r="AD183" s="162"/>
      <c r="AE183" s="162"/>
      <c r="AF183" s="162"/>
      <c r="AG183" s="162"/>
      <c r="AH183" s="162"/>
      <c r="AI183" s="162"/>
      <c r="AJ183" s="162"/>
      <c r="AK183" s="162"/>
      <c r="AL183" s="162"/>
      <c r="AM183" s="162"/>
      <c r="AN183" s="162"/>
      <c r="AO183" s="162"/>
      <c r="AP183" s="162"/>
      <c r="AQ183" s="162"/>
      <c r="AR183" s="162"/>
      <c r="AS183" s="162"/>
      <c r="AT183" s="162"/>
      <c r="AU183" s="162"/>
      <c r="AV183" s="162"/>
      <c r="AW183" s="162"/>
      <c r="AX183" s="162"/>
      <c r="AY183" s="162"/>
      <c r="AZ183" s="162"/>
      <c r="BA183" s="162"/>
      <c r="BB183" s="162"/>
      <c r="BC183" s="162"/>
      <c r="BD183" s="162"/>
      <c r="BE183" s="162"/>
      <c r="BF183" s="162"/>
      <c r="BG183" s="162"/>
      <c r="BH183" s="162"/>
      <c r="BI183" s="162"/>
      <c r="BJ183" s="162"/>
      <c r="BK183" s="162"/>
      <c r="BL183" s="162"/>
      <c r="BM183" s="162"/>
      <c r="BN183" s="162"/>
      <c r="BO183" s="162"/>
      <c r="BP183" s="162"/>
      <c r="BQ183" s="162"/>
      <c r="BR183" s="162"/>
      <c r="BS183" s="162"/>
      <c r="BT183" s="162"/>
      <c r="BU183" s="162"/>
      <c r="BV183" s="162"/>
      <c r="BW183" s="162"/>
      <c r="BX183" s="162"/>
      <c r="BY183" s="162"/>
      <c r="BZ183" s="162"/>
      <c r="CA183" s="162"/>
      <c r="CB183" s="162"/>
      <c r="CC183" s="162"/>
      <c r="CD183" s="162"/>
      <c r="CE183" s="162"/>
      <c r="CF183" s="162"/>
      <c r="CG183" s="162"/>
      <c r="CH183" s="162"/>
      <c r="CI183" s="162"/>
      <c r="CJ183" s="162"/>
      <c r="CK183" s="162"/>
      <c r="CL183" s="162"/>
      <c r="CM183" s="162"/>
      <c r="CN183" s="162"/>
      <c r="CO183" s="162"/>
      <c r="CP183" s="162"/>
      <c r="CQ183" s="162"/>
      <c r="CR183" s="162"/>
      <c r="CS183" s="162"/>
      <c r="CT183" s="162"/>
      <c r="CU183" s="162"/>
      <c r="CV183" s="162"/>
      <c r="CW183" s="162"/>
      <c r="CX183" s="162"/>
      <c r="CY183" s="162"/>
      <c r="CZ183" s="162"/>
      <c r="DA183" s="162"/>
      <c r="DB183" s="162"/>
      <c r="DC183" s="162"/>
      <c r="DD183" s="162"/>
    </row>
    <row r="184" spans="1:108" hidden="1" outlineLevel="1" x14ac:dyDescent="0.2">
      <c r="A184" s="162"/>
      <c r="B184" s="162"/>
      <c r="C184" s="162"/>
      <c r="D184" s="42" t="s">
        <v>242</v>
      </c>
      <c r="E184" s="427"/>
      <c r="F184" s="427"/>
      <c r="G184" s="162"/>
      <c r="H184" s="360"/>
      <c r="I184" s="162"/>
      <c r="J184" s="360"/>
      <c r="K184" s="162"/>
      <c r="L184" s="162"/>
      <c r="M184" s="162"/>
      <c r="N184" s="162"/>
      <c r="O184" s="162"/>
      <c r="P184" s="162"/>
      <c r="Q184" s="162"/>
      <c r="R184" s="162"/>
      <c r="S184" s="162"/>
      <c r="T184" s="162"/>
      <c r="U184" s="162"/>
      <c r="V184" s="162"/>
      <c r="W184" s="162"/>
      <c r="X184" s="162"/>
      <c r="Y184" s="162"/>
      <c r="Z184" s="162"/>
      <c r="AA184" s="162"/>
      <c r="AB184" s="162"/>
      <c r="AC184" s="162"/>
      <c r="AD184" s="162"/>
      <c r="AE184" s="162"/>
      <c r="AF184" s="162"/>
      <c r="AG184" s="162"/>
      <c r="AH184" s="162"/>
      <c r="AI184" s="162"/>
      <c r="AJ184" s="162"/>
      <c r="AK184" s="162"/>
      <c r="AL184" s="162"/>
      <c r="AM184" s="162"/>
      <c r="AN184" s="162"/>
      <c r="AO184" s="162"/>
      <c r="AP184" s="162"/>
      <c r="AQ184" s="162"/>
      <c r="AR184" s="162"/>
      <c r="AS184" s="162"/>
      <c r="AT184" s="162"/>
      <c r="AU184" s="162"/>
      <c r="AV184" s="162"/>
      <c r="AW184" s="162"/>
      <c r="AX184" s="162"/>
      <c r="AY184" s="162"/>
      <c r="AZ184" s="162"/>
      <c r="BA184" s="162"/>
      <c r="BB184" s="162"/>
      <c r="BC184" s="162"/>
      <c r="BD184" s="162"/>
      <c r="BE184" s="162"/>
      <c r="BF184" s="162"/>
      <c r="BG184" s="162"/>
      <c r="BH184" s="162"/>
      <c r="BI184" s="162"/>
      <c r="BJ184" s="162"/>
      <c r="BK184" s="162"/>
      <c r="BL184" s="162"/>
      <c r="BM184" s="162"/>
      <c r="BN184" s="162"/>
      <c r="BO184" s="162"/>
      <c r="BP184" s="162"/>
      <c r="BQ184" s="162"/>
      <c r="BR184" s="162"/>
      <c r="BS184" s="162"/>
      <c r="BT184" s="162"/>
      <c r="BU184" s="162"/>
      <c r="BV184" s="162"/>
      <c r="BW184" s="162"/>
      <c r="BX184" s="162"/>
      <c r="BY184" s="162"/>
      <c r="BZ184" s="162"/>
      <c r="CA184" s="162"/>
      <c r="CB184" s="162"/>
      <c r="CC184" s="162"/>
      <c r="CD184" s="162"/>
      <c r="CE184" s="162"/>
      <c r="CF184" s="162"/>
      <c r="CG184" s="162"/>
      <c r="CH184" s="162"/>
      <c r="CI184" s="162"/>
      <c r="CJ184" s="162"/>
      <c r="CK184" s="162"/>
      <c r="CL184" s="162"/>
      <c r="CM184" s="162"/>
      <c r="CN184" s="162"/>
      <c r="CO184" s="162"/>
      <c r="CP184" s="162"/>
      <c r="CQ184" s="162"/>
      <c r="CR184" s="162"/>
      <c r="CS184" s="162"/>
      <c r="CT184" s="162"/>
      <c r="CU184" s="162"/>
      <c r="CV184" s="162"/>
      <c r="CW184" s="162"/>
      <c r="CX184" s="162"/>
      <c r="CY184" s="162"/>
      <c r="CZ184" s="162"/>
      <c r="DA184" s="162"/>
      <c r="DB184" s="162"/>
      <c r="DC184" s="162"/>
      <c r="DD184" s="162"/>
    </row>
    <row r="185" spans="1:108" hidden="1" outlineLevel="1" x14ac:dyDescent="0.2">
      <c r="A185" s="162"/>
      <c r="B185" s="162"/>
      <c r="C185" s="162"/>
      <c r="D185" s="162"/>
      <c r="E185" s="495">
        <f>IF(E184="",0,E184)</f>
        <v>0</v>
      </c>
      <c r="F185" s="495">
        <f>IF(F184="",100,F184)</f>
        <v>100</v>
      </c>
      <c r="G185" s="162"/>
      <c r="H185" s="162"/>
      <c r="I185" s="162"/>
      <c r="J185" s="162"/>
      <c r="K185" s="162"/>
      <c r="L185" s="162"/>
      <c r="M185" s="162"/>
      <c r="N185" s="162"/>
      <c r="O185" s="162"/>
      <c r="P185" s="162"/>
      <c r="Q185" s="162"/>
      <c r="R185" s="162"/>
      <c r="S185" s="162"/>
      <c r="T185" s="162"/>
      <c r="U185" s="162"/>
      <c r="V185" s="162"/>
      <c r="W185" s="162"/>
      <c r="X185" s="162"/>
      <c r="Y185" s="162"/>
      <c r="Z185" s="162"/>
      <c r="AA185" s="162"/>
      <c r="AB185" s="162"/>
      <c r="AC185" s="162"/>
      <c r="AD185" s="162"/>
      <c r="AE185" s="162"/>
      <c r="AF185" s="162"/>
      <c r="AG185" s="162"/>
      <c r="AH185" s="162"/>
      <c r="AI185" s="162"/>
      <c r="AJ185" s="162"/>
      <c r="AK185" s="162"/>
      <c r="AL185" s="162"/>
      <c r="AM185" s="162"/>
      <c r="AN185" s="162"/>
      <c r="AO185" s="162"/>
      <c r="AP185" s="162"/>
      <c r="AQ185" s="162"/>
      <c r="AR185" s="162"/>
      <c r="AS185" s="162"/>
      <c r="AT185" s="162"/>
      <c r="AU185" s="162"/>
      <c r="AV185" s="162"/>
      <c r="AW185" s="162"/>
      <c r="AX185" s="162"/>
      <c r="AY185" s="162"/>
      <c r="AZ185" s="162"/>
      <c r="BA185" s="162"/>
      <c r="BB185" s="162"/>
      <c r="BC185" s="162"/>
      <c r="BD185" s="162"/>
      <c r="BE185" s="162"/>
      <c r="BF185" s="162"/>
      <c r="BG185" s="162"/>
      <c r="BH185" s="162"/>
      <c r="BI185" s="162"/>
      <c r="BJ185" s="162"/>
      <c r="BK185" s="162"/>
      <c r="BL185" s="162"/>
      <c r="BM185" s="162"/>
      <c r="BN185" s="162"/>
      <c r="BO185" s="162"/>
      <c r="BP185" s="162"/>
      <c r="BQ185" s="162"/>
      <c r="BR185" s="162"/>
      <c r="BS185" s="162"/>
      <c r="BT185" s="162"/>
      <c r="BU185" s="162"/>
      <c r="BV185" s="162"/>
      <c r="BW185" s="162"/>
      <c r="BX185" s="162"/>
      <c r="BY185" s="162"/>
      <c r="BZ185" s="162"/>
      <c r="CA185" s="162"/>
      <c r="CB185" s="162"/>
      <c r="CC185" s="162"/>
      <c r="CD185" s="162"/>
      <c r="CE185" s="162"/>
      <c r="CF185" s="162"/>
      <c r="CG185" s="162"/>
      <c r="CH185" s="162"/>
      <c r="CI185" s="162"/>
      <c r="CJ185" s="162"/>
      <c r="CK185" s="162"/>
      <c r="CL185" s="162"/>
      <c r="CM185" s="162"/>
      <c r="CN185" s="162"/>
      <c r="CO185" s="162"/>
      <c r="CP185" s="162"/>
      <c r="CQ185" s="162"/>
      <c r="CR185" s="162"/>
      <c r="CS185" s="162"/>
      <c r="CT185" s="162"/>
      <c r="CU185" s="162"/>
      <c r="CV185" s="162"/>
      <c r="CW185" s="162"/>
      <c r="CX185" s="162"/>
      <c r="CY185" s="162"/>
      <c r="CZ185" s="162"/>
      <c r="DA185" s="162"/>
      <c r="DB185" s="162"/>
      <c r="DC185" s="162"/>
      <c r="DD185" s="162"/>
    </row>
    <row r="186" spans="1:108" hidden="1" outlineLevel="1" x14ac:dyDescent="0.2">
      <c r="A186" s="162"/>
      <c r="B186" s="162"/>
      <c r="C186" s="162"/>
      <c r="D186" s="162"/>
      <c r="E186" s="632" t="s">
        <v>464</v>
      </c>
      <c r="F186" s="632" t="s">
        <v>465</v>
      </c>
      <c r="G186" s="162"/>
      <c r="H186" s="162"/>
      <c r="I186" s="162"/>
      <c r="J186" s="162"/>
      <c r="K186" s="162"/>
      <c r="L186" s="162"/>
      <c r="M186" s="162"/>
      <c r="N186" s="162"/>
      <c r="O186" s="162"/>
      <c r="P186" s="162"/>
      <c r="Q186" s="162"/>
      <c r="R186" s="162"/>
      <c r="S186" s="162"/>
      <c r="T186" s="162"/>
      <c r="U186" s="162"/>
      <c r="V186" s="162"/>
      <c r="W186" s="162"/>
      <c r="X186" s="162"/>
      <c r="Y186" s="162"/>
      <c r="Z186" s="162"/>
      <c r="AA186" s="162"/>
      <c r="AB186" s="162"/>
      <c r="AC186" s="162"/>
      <c r="AD186" s="162"/>
      <c r="AE186" s="162"/>
      <c r="AF186" s="162"/>
      <c r="AG186" s="162"/>
      <c r="AH186" s="162"/>
      <c r="AI186" s="162"/>
      <c r="AJ186" s="162"/>
      <c r="AK186" s="162"/>
      <c r="AL186" s="162"/>
      <c r="AM186" s="162"/>
      <c r="AN186" s="162"/>
      <c r="AO186" s="162"/>
      <c r="AP186" s="162"/>
      <c r="AQ186" s="162"/>
      <c r="AR186" s="162"/>
      <c r="AS186" s="162"/>
      <c r="AT186" s="162"/>
      <c r="AU186" s="162"/>
      <c r="AV186" s="162"/>
      <c r="AW186" s="162"/>
      <c r="AX186" s="162"/>
      <c r="AY186" s="162"/>
      <c r="AZ186" s="162"/>
      <c r="BA186" s="162"/>
      <c r="BB186" s="162"/>
      <c r="BC186" s="162"/>
      <c r="BD186" s="162"/>
      <c r="BE186" s="162"/>
      <c r="BF186" s="162"/>
      <c r="BG186" s="162"/>
      <c r="BH186" s="162"/>
      <c r="BI186" s="162"/>
      <c r="BJ186" s="162"/>
      <c r="BK186" s="162"/>
      <c r="BL186" s="162"/>
      <c r="BM186" s="162"/>
      <c r="BN186" s="162"/>
      <c r="BO186" s="162"/>
      <c r="BP186" s="162"/>
      <c r="BQ186" s="162"/>
      <c r="BR186" s="162"/>
      <c r="BS186" s="162"/>
      <c r="BT186" s="162"/>
      <c r="BU186" s="162"/>
      <c r="BV186" s="162"/>
      <c r="BW186" s="162"/>
      <c r="BX186" s="162"/>
      <c r="BY186" s="162"/>
      <c r="BZ186" s="162"/>
      <c r="CA186" s="162"/>
      <c r="CB186" s="162"/>
      <c r="CC186" s="162"/>
      <c r="CD186" s="162"/>
      <c r="CE186" s="162"/>
      <c r="CF186" s="162"/>
      <c r="CG186" s="162"/>
      <c r="CH186" s="162"/>
      <c r="CI186" s="162"/>
      <c r="CJ186" s="162"/>
      <c r="CK186" s="162"/>
      <c r="CL186" s="162"/>
      <c r="CM186" s="162"/>
      <c r="CN186" s="162"/>
      <c r="CO186" s="162"/>
      <c r="CP186" s="162"/>
      <c r="CQ186" s="162"/>
      <c r="CR186" s="162"/>
      <c r="CS186" s="162"/>
      <c r="CT186" s="162"/>
      <c r="CU186" s="162"/>
      <c r="CV186" s="162"/>
      <c r="CW186" s="162"/>
      <c r="CX186" s="162"/>
      <c r="CY186" s="162"/>
      <c r="CZ186" s="162"/>
      <c r="DA186" s="162"/>
      <c r="DB186" s="162"/>
      <c r="DC186" s="162"/>
      <c r="DD186" s="162"/>
    </row>
    <row r="187" spans="1:108" hidden="1" outlineLevel="1" x14ac:dyDescent="0.2">
      <c r="A187" s="162"/>
      <c r="B187" s="162"/>
      <c r="C187" s="162"/>
      <c r="D187" s="631" t="s">
        <v>463</v>
      </c>
      <c r="E187" s="521"/>
      <c r="F187" s="427"/>
      <c r="G187" s="315">
        <f>IF(AND(E187&lt;&gt;"",F187&lt;&gt;""),E187/F187,1)</f>
        <v>1</v>
      </c>
      <c r="H187" s="162"/>
      <c r="I187" s="42" t="s">
        <v>258</v>
      </c>
      <c r="J187" s="911"/>
      <c r="K187" s="912"/>
      <c r="L187" s="912"/>
      <c r="M187" s="912"/>
      <c r="N187" s="912"/>
      <c r="O187" s="912"/>
      <c r="P187" s="162"/>
      <c r="Q187" s="162"/>
      <c r="R187" s="162"/>
      <c r="S187" s="162"/>
      <c r="T187" s="162"/>
      <c r="U187" s="162"/>
      <c r="V187" s="162"/>
      <c r="W187" s="162"/>
      <c r="X187" s="162"/>
      <c r="Y187" s="162"/>
      <c r="Z187" s="162"/>
      <c r="AA187" s="162"/>
      <c r="AB187" s="162"/>
      <c r="AC187" s="162"/>
      <c r="AD187" s="162"/>
      <c r="AE187" s="162"/>
      <c r="AF187" s="162"/>
      <c r="AG187" s="162"/>
      <c r="AH187" s="162"/>
      <c r="AI187" s="162"/>
      <c r="AJ187" s="162"/>
      <c r="AK187" s="162"/>
      <c r="AL187" s="162"/>
      <c r="AM187" s="162"/>
      <c r="AN187" s="162"/>
      <c r="AO187" s="162"/>
      <c r="AP187" s="162"/>
      <c r="AQ187" s="162"/>
      <c r="AR187" s="162"/>
      <c r="AS187" s="162"/>
      <c r="AT187" s="162"/>
      <c r="AU187" s="162"/>
      <c r="AV187" s="162"/>
      <c r="AW187" s="162"/>
      <c r="AX187" s="162"/>
      <c r="AY187" s="162"/>
      <c r="AZ187" s="162"/>
      <c r="BA187" s="162"/>
      <c r="BB187" s="162"/>
      <c r="BC187" s="162"/>
      <c r="BD187" s="162"/>
      <c r="BE187" s="162"/>
      <c r="BF187" s="162"/>
      <c r="BG187" s="162"/>
      <c r="BH187" s="162"/>
      <c r="BI187" s="162"/>
      <c r="BJ187" s="162"/>
      <c r="BK187" s="162"/>
      <c r="BL187" s="162"/>
      <c r="BM187" s="162"/>
      <c r="BN187" s="162"/>
      <c r="BO187" s="162"/>
      <c r="BP187" s="162"/>
      <c r="BQ187" s="162"/>
      <c r="BR187" s="162"/>
      <c r="BS187" s="162"/>
      <c r="BT187" s="162"/>
      <c r="BU187" s="162"/>
      <c r="BV187" s="162"/>
      <c r="BW187" s="162"/>
      <c r="BX187" s="162"/>
      <c r="BY187" s="162"/>
      <c r="BZ187" s="162"/>
      <c r="CA187" s="162"/>
      <c r="CB187" s="162"/>
      <c r="CC187" s="162"/>
      <c r="CD187" s="162"/>
      <c r="CE187" s="162"/>
      <c r="CF187" s="162"/>
      <c r="CG187" s="162"/>
      <c r="CH187" s="162"/>
      <c r="CI187" s="162"/>
      <c r="CJ187" s="162"/>
      <c r="CK187" s="162"/>
      <c r="CL187" s="162"/>
      <c r="CM187" s="162"/>
      <c r="CN187" s="162"/>
      <c r="CO187" s="162"/>
      <c r="CP187" s="162"/>
      <c r="CQ187" s="162"/>
      <c r="CR187" s="162"/>
      <c r="CS187" s="162"/>
      <c r="CT187" s="162"/>
      <c r="CU187" s="162"/>
      <c r="CV187" s="162"/>
      <c r="CW187" s="162"/>
      <c r="CX187" s="162"/>
      <c r="CY187" s="162"/>
      <c r="CZ187" s="162"/>
      <c r="DA187" s="162"/>
      <c r="DB187" s="162"/>
      <c r="DC187" s="162"/>
      <c r="DD187" s="162"/>
    </row>
    <row r="188" spans="1:108" hidden="1" outlineLevel="1" x14ac:dyDescent="0.2">
      <c r="A188" s="162"/>
      <c r="B188" s="162"/>
      <c r="C188" s="162"/>
      <c r="D188" s="162"/>
      <c r="E188" s="162"/>
      <c r="F188" s="162"/>
      <c r="G188" s="162"/>
      <c r="H188" s="162"/>
      <c r="I188" s="162"/>
      <c r="J188" s="162"/>
      <c r="K188" s="162"/>
      <c r="L188" s="162"/>
      <c r="M188" s="162"/>
      <c r="N188" s="162"/>
      <c r="O188" s="162"/>
      <c r="P188" s="162"/>
      <c r="Q188" s="162"/>
      <c r="R188" s="162"/>
      <c r="S188" s="162"/>
      <c r="T188" s="162"/>
      <c r="U188" s="162"/>
      <c r="V188" s="162"/>
      <c r="W188" s="162"/>
      <c r="X188" s="162"/>
      <c r="Y188" s="162"/>
      <c r="Z188" s="162"/>
      <c r="AA188" s="162"/>
      <c r="AB188" s="162"/>
      <c r="AC188" s="162"/>
      <c r="AD188" s="162"/>
      <c r="AE188" s="162"/>
      <c r="AF188" s="162"/>
      <c r="AG188" s="162"/>
      <c r="AH188" s="162"/>
      <c r="AI188" s="162"/>
      <c r="AJ188" s="162"/>
      <c r="AK188" s="162"/>
      <c r="AL188" s="162"/>
      <c r="AM188" s="162"/>
      <c r="AN188" s="162"/>
      <c r="AO188" s="162"/>
      <c r="AP188" s="162"/>
      <c r="AQ188" s="162"/>
      <c r="AR188" s="162"/>
      <c r="AS188" s="162"/>
      <c r="AT188" s="162"/>
      <c r="AU188" s="162"/>
      <c r="AV188" s="162"/>
      <c r="AW188" s="162"/>
      <c r="AX188" s="162"/>
      <c r="AY188" s="162"/>
      <c r="AZ188" s="162"/>
      <c r="BA188" s="162"/>
      <c r="BB188" s="162"/>
      <c r="BC188" s="162"/>
      <c r="BD188" s="162"/>
      <c r="BE188" s="162"/>
      <c r="BF188" s="162"/>
      <c r="BG188" s="162"/>
      <c r="BH188" s="162"/>
      <c r="BI188" s="162"/>
      <c r="BJ188" s="162"/>
      <c r="BK188" s="162"/>
      <c r="BL188" s="162"/>
      <c r="BM188" s="162"/>
      <c r="BN188" s="162"/>
      <c r="BO188" s="162"/>
      <c r="BP188" s="162"/>
      <c r="BQ188" s="162"/>
      <c r="BR188" s="162"/>
      <c r="BS188" s="162"/>
      <c r="BT188" s="162"/>
      <c r="BU188" s="162"/>
      <c r="BV188" s="162"/>
      <c r="BW188" s="162"/>
      <c r="BX188" s="162"/>
      <c r="BY188" s="162"/>
      <c r="BZ188" s="162"/>
      <c r="CA188" s="162"/>
      <c r="CB188" s="162"/>
      <c r="CC188" s="162"/>
      <c r="CD188" s="162"/>
      <c r="CE188" s="162"/>
      <c r="CF188" s="162"/>
      <c r="CG188" s="162"/>
      <c r="CH188" s="162"/>
      <c r="CI188" s="162"/>
      <c r="CJ188" s="162"/>
      <c r="CK188" s="162"/>
      <c r="CL188" s="162"/>
      <c r="CM188" s="162"/>
      <c r="CN188" s="162"/>
      <c r="CO188" s="162"/>
      <c r="CP188" s="162"/>
      <c r="CQ188" s="162"/>
      <c r="CR188" s="162"/>
      <c r="CS188" s="162"/>
      <c r="CT188" s="162"/>
      <c r="CU188" s="162"/>
      <c r="CV188" s="162"/>
      <c r="CW188" s="162"/>
      <c r="CX188" s="162"/>
      <c r="CY188" s="162"/>
      <c r="CZ188" s="162"/>
      <c r="DA188" s="162"/>
      <c r="DB188" s="162"/>
      <c r="DC188" s="162"/>
      <c r="DD188" s="162"/>
    </row>
    <row r="189" spans="1:108" hidden="1" outlineLevel="1" x14ac:dyDescent="0.2">
      <c r="A189" s="162"/>
      <c r="B189" s="162"/>
      <c r="C189" s="162"/>
      <c r="D189" s="162"/>
      <c r="E189" s="616" t="s">
        <v>255</v>
      </c>
      <c r="F189" s="162"/>
      <c r="G189" s="162"/>
      <c r="H189" s="162"/>
      <c r="I189" s="162"/>
      <c r="J189" s="162"/>
      <c r="K189" s="162"/>
      <c r="L189" s="162"/>
      <c r="M189" s="162"/>
      <c r="N189" s="162"/>
      <c r="O189" s="162"/>
      <c r="P189" s="162"/>
      <c r="Q189" s="162"/>
      <c r="R189" s="162"/>
      <c r="S189" s="162"/>
      <c r="T189" s="162"/>
      <c r="U189" s="162"/>
      <c r="V189" s="162"/>
      <c r="W189" s="162"/>
      <c r="X189" s="162"/>
      <c r="Y189" s="162"/>
      <c r="Z189" s="162"/>
      <c r="AA189" s="162"/>
      <c r="AB189" s="162"/>
      <c r="AC189" s="162"/>
      <c r="AD189" s="162"/>
      <c r="AE189" s="162"/>
      <c r="AF189" s="162"/>
      <c r="AG189" s="162"/>
      <c r="AH189" s="162"/>
      <c r="AI189" s="162"/>
      <c r="AJ189" s="162"/>
      <c r="AK189" s="162"/>
      <c r="AL189" s="162"/>
      <c r="AM189" s="162"/>
      <c r="AN189" s="162"/>
      <c r="AO189" s="162"/>
      <c r="AP189" s="162"/>
      <c r="AQ189" s="162"/>
      <c r="AR189" s="162"/>
      <c r="AS189" s="162"/>
      <c r="AT189" s="162"/>
      <c r="AU189" s="162"/>
      <c r="AV189" s="162"/>
      <c r="AW189" s="162"/>
      <c r="AX189" s="162"/>
      <c r="AY189" s="162"/>
      <c r="AZ189" s="162"/>
      <c r="BA189" s="162"/>
      <c r="BB189" s="162"/>
      <c r="BC189" s="162"/>
      <c r="BD189" s="162"/>
      <c r="BE189" s="162"/>
      <c r="BF189" s="162"/>
      <c r="BG189" s="162"/>
      <c r="BH189" s="162"/>
      <c r="BI189" s="162"/>
      <c r="BJ189" s="162"/>
      <c r="BK189" s="162"/>
      <c r="BL189" s="162"/>
      <c r="BM189" s="162"/>
      <c r="BN189" s="162"/>
      <c r="BO189" s="162"/>
      <c r="BP189" s="162"/>
      <c r="BQ189" s="162"/>
      <c r="BR189" s="162"/>
      <c r="BS189" s="162"/>
      <c r="BT189" s="162"/>
      <c r="BU189" s="162"/>
      <c r="BV189" s="162"/>
      <c r="BW189" s="162"/>
      <c r="BX189" s="162"/>
      <c r="BY189" s="162"/>
      <c r="BZ189" s="162"/>
      <c r="CA189" s="162"/>
      <c r="CB189" s="162"/>
      <c r="CC189" s="162"/>
      <c r="CD189" s="162"/>
      <c r="CE189" s="162"/>
      <c r="CF189" s="162"/>
      <c r="CG189" s="162"/>
      <c r="CH189" s="162"/>
      <c r="CI189" s="162"/>
      <c r="CJ189" s="162"/>
      <c r="CK189" s="162"/>
      <c r="CL189" s="162"/>
      <c r="CM189" s="162"/>
      <c r="CN189" s="162"/>
      <c r="CO189" s="162"/>
      <c r="CP189" s="162"/>
      <c r="CQ189" s="162"/>
      <c r="CR189" s="162"/>
      <c r="CS189" s="162"/>
      <c r="CT189" s="162"/>
      <c r="CU189" s="162"/>
      <c r="CV189" s="162"/>
      <c r="CW189" s="162"/>
      <c r="CX189" s="162"/>
      <c r="CY189" s="162"/>
      <c r="CZ189" s="162"/>
      <c r="DA189" s="162"/>
      <c r="DB189" s="162"/>
      <c r="DC189" s="162"/>
      <c r="DD189" s="162"/>
    </row>
    <row r="190" spans="1:108" hidden="1" outlineLevel="1" x14ac:dyDescent="0.2">
      <c r="A190" s="162"/>
      <c r="B190" s="162"/>
      <c r="C190" s="162"/>
      <c r="D190" s="162"/>
      <c r="E190" s="78">
        <f>IF(J181&lt;&gt;"",J181,FirstYear)</f>
        <v>2021</v>
      </c>
      <c r="F190" s="630">
        <f>E190+1</f>
        <v>2022</v>
      </c>
      <c r="G190" s="630">
        <f>F190+1</f>
        <v>2023</v>
      </c>
      <c r="H190" s="630">
        <f>G190+1</f>
        <v>2024</v>
      </c>
      <c r="I190" s="630">
        <f>H190+1</f>
        <v>2025</v>
      </c>
      <c r="J190" s="630">
        <f>I190+1</f>
        <v>2026</v>
      </c>
      <c r="K190" s="162"/>
      <c r="L190" s="162"/>
      <c r="M190" s="162"/>
      <c r="N190" s="162"/>
      <c r="O190" s="162"/>
      <c r="P190" s="162"/>
      <c r="Q190" s="162"/>
      <c r="R190" s="162"/>
      <c r="S190" s="162"/>
      <c r="T190" s="162"/>
      <c r="U190" s="162"/>
      <c r="V190" s="162"/>
      <c r="W190" s="162"/>
      <c r="X190" s="162"/>
      <c r="Y190" s="162"/>
      <c r="Z190" s="162"/>
      <c r="AA190" s="162"/>
      <c r="AB190" s="162"/>
      <c r="AC190" s="162"/>
      <c r="AD190" s="162"/>
      <c r="AE190" s="162"/>
      <c r="AF190" s="162"/>
      <c r="AG190" s="162"/>
      <c r="AH190" s="162"/>
      <c r="AI190" s="162"/>
      <c r="AJ190" s="162"/>
      <c r="AK190" s="162"/>
      <c r="AL190" s="162"/>
      <c r="AM190" s="162"/>
      <c r="AN190" s="162"/>
      <c r="AO190" s="162"/>
      <c r="AP190" s="162"/>
      <c r="AQ190" s="162"/>
      <c r="AR190" s="162"/>
      <c r="AS190" s="162"/>
      <c r="AT190" s="162"/>
      <c r="AU190" s="162"/>
      <c r="AV190" s="162"/>
      <c r="AW190" s="162"/>
      <c r="AX190" s="162"/>
      <c r="AY190" s="162"/>
      <c r="AZ190" s="162"/>
      <c r="BA190" s="162"/>
      <c r="BB190" s="162"/>
      <c r="BC190" s="162"/>
      <c r="BD190" s="162"/>
      <c r="BE190" s="162"/>
      <c r="BF190" s="162"/>
      <c r="BG190" s="162"/>
      <c r="BH190" s="162"/>
      <c r="BI190" s="162"/>
      <c r="BJ190" s="162"/>
      <c r="BK190" s="162"/>
      <c r="BL190" s="162"/>
      <c r="BM190" s="162"/>
      <c r="BN190" s="162"/>
      <c r="BO190" s="162"/>
      <c r="BP190" s="162"/>
      <c r="BQ190" s="162"/>
      <c r="BR190" s="162"/>
      <c r="BS190" s="162"/>
      <c r="BT190" s="162"/>
      <c r="BU190" s="162"/>
      <c r="BV190" s="162"/>
      <c r="BW190" s="162"/>
      <c r="BX190" s="162"/>
      <c r="BY190" s="162"/>
      <c r="BZ190" s="162"/>
      <c r="CA190" s="162"/>
      <c r="CB190" s="162"/>
      <c r="CC190" s="162"/>
      <c r="CD190" s="162"/>
      <c r="CE190" s="162"/>
      <c r="CF190" s="162"/>
      <c r="CG190" s="162"/>
      <c r="CH190" s="162"/>
      <c r="CI190" s="162"/>
      <c r="CJ190" s="162"/>
      <c r="CK190" s="162"/>
      <c r="CL190" s="162"/>
      <c r="CM190" s="162"/>
      <c r="CN190" s="162"/>
      <c r="CO190" s="162"/>
      <c r="CP190" s="162"/>
      <c r="CQ190" s="162"/>
      <c r="CR190" s="162"/>
      <c r="CS190" s="162"/>
      <c r="CT190" s="162"/>
      <c r="CU190" s="162"/>
      <c r="CV190" s="162"/>
      <c r="CW190" s="162"/>
      <c r="CX190" s="162"/>
      <c r="CY190" s="162"/>
      <c r="CZ190" s="162"/>
      <c r="DA190" s="162"/>
      <c r="DB190" s="162"/>
      <c r="DC190" s="162"/>
      <c r="DD190" s="162"/>
    </row>
    <row r="191" spans="1:108" hidden="1" outlineLevel="1" x14ac:dyDescent="0.2">
      <c r="A191" s="162"/>
      <c r="B191" s="162"/>
      <c r="C191" s="162"/>
      <c r="D191" s="162"/>
      <c r="E191" s="63">
        <f t="shared" ref="E191:J191" si="55">IF($B$181&lt;&gt;0,VLOOKUP($B$181,$C$194:$J$196,E192)*$G187,0)</f>
        <v>0</v>
      </c>
      <c r="F191" s="63">
        <f t="shared" si="55"/>
        <v>0</v>
      </c>
      <c r="G191" s="63">
        <f t="shared" si="55"/>
        <v>0</v>
      </c>
      <c r="H191" s="63">
        <f t="shared" si="55"/>
        <v>0</v>
      </c>
      <c r="I191" s="63">
        <f t="shared" si="55"/>
        <v>0</v>
      </c>
      <c r="J191" s="63">
        <f t="shared" si="55"/>
        <v>0</v>
      </c>
      <c r="K191" s="162"/>
      <c r="L191" s="162"/>
      <c r="M191" s="162"/>
      <c r="N191" s="162"/>
      <c r="O191" s="162"/>
      <c r="P191" s="162"/>
      <c r="Q191" s="162"/>
      <c r="R191" s="162"/>
      <c r="S191" s="162"/>
      <c r="T191" s="162"/>
      <c r="U191" s="162"/>
      <c r="V191" s="162"/>
      <c r="W191" s="162"/>
      <c r="X191" s="162"/>
      <c r="Y191" s="162"/>
      <c r="Z191" s="162"/>
      <c r="AA191" s="162"/>
      <c r="AB191" s="162"/>
      <c r="AC191" s="162"/>
      <c r="AD191" s="162"/>
      <c r="AE191" s="162"/>
      <c r="AF191" s="162"/>
      <c r="AG191" s="162"/>
      <c r="AH191" s="162"/>
      <c r="AI191" s="162"/>
      <c r="AJ191" s="162"/>
      <c r="AK191" s="162"/>
      <c r="AL191" s="162"/>
      <c r="AM191" s="162"/>
      <c r="AN191" s="162"/>
      <c r="AO191" s="162"/>
      <c r="AP191" s="162"/>
      <c r="AQ191" s="162"/>
      <c r="AR191" s="162"/>
      <c r="AS191" s="162"/>
      <c r="AT191" s="162"/>
      <c r="AU191" s="162"/>
      <c r="AV191" s="162"/>
      <c r="AW191" s="162"/>
      <c r="AX191" s="162"/>
      <c r="AY191" s="162"/>
      <c r="AZ191" s="162"/>
      <c r="BA191" s="162"/>
      <c r="BB191" s="162"/>
      <c r="BC191" s="162"/>
      <c r="BD191" s="162"/>
      <c r="BE191" s="162"/>
      <c r="BF191" s="162"/>
      <c r="BG191" s="162"/>
      <c r="BH191" s="162"/>
      <c r="BI191" s="162"/>
      <c r="BJ191" s="162"/>
      <c r="BK191" s="162"/>
      <c r="BL191" s="162"/>
      <c r="BM191" s="162"/>
      <c r="BN191" s="162"/>
      <c r="BO191" s="162"/>
      <c r="BP191" s="162"/>
      <c r="BQ191" s="162"/>
      <c r="BR191" s="162"/>
      <c r="BS191" s="162"/>
      <c r="BT191" s="162"/>
      <c r="BU191" s="162"/>
      <c r="BV191" s="162"/>
      <c r="BW191" s="162"/>
      <c r="BX191" s="162"/>
      <c r="BY191" s="162"/>
      <c r="BZ191" s="162"/>
      <c r="CA191" s="162"/>
      <c r="CB191" s="162"/>
      <c r="CC191" s="162"/>
      <c r="CD191" s="162"/>
      <c r="CE191" s="162"/>
      <c r="CF191" s="162"/>
      <c r="CG191" s="162"/>
      <c r="CH191" s="162"/>
      <c r="CI191" s="162"/>
      <c r="CJ191" s="162"/>
      <c r="CK191" s="162"/>
      <c r="CL191" s="162"/>
      <c r="CM191" s="162"/>
      <c r="CN191" s="162"/>
      <c r="CO191" s="162"/>
      <c r="CP191" s="162"/>
      <c r="CQ191" s="162"/>
      <c r="CR191" s="162"/>
      <c r="CS191" s="162"/>
      <c r="CT191" s="162"/>
      <c r="CU191" s="162"/>
      <c r="CV191" s="162"/>
      <c r="CW191" s="162"/>
      <c r="CX191" s="162"/>
      <c r="CY191" s="162"/>
      <c r="CZ191" s="162"/>
      <c r="DA191" s="162"/>
      <c r="DB191" s="162"/>
      <c r="DC191" s="162"/>
      <c r="DD191" s="162"/>
    </row>
    <row r="192" spans="1:108" hidden="1" outlineLevel="1" x14ac:dyDescent="0.2">
      <c r="A192" s="162"/>
      <c r="B192" s="162"/>
      <c r="C192" s="162"/>
      <c r="D192" s="162"/>
      <c r="E192" s="650">
        <v>3</v>
      </c>
      <c r="F192" s="650">
        <v>4</v>
      </c>
      <c r="G192" s="650">
        <v>5</v>
      </c>
      <c r="H192" s="650">
        <v>6</v>
      </c>
      <c r="I192" s="650">
        <v>7</v>
      </c>
      <c r="J192" s="650">
        <v>8</v>
      </c>
      <c r="K192" s="162"/>
      <c r="L192" s="162"/>
      <c r="M192" s="162"/>
      <c r="N192" s="162"/>
      <c r="O192" s="162"/>
      <c r="P192" s="162"/>
      <c r="Q192" s="162"/>
      <c r="R192" s="162"/>
      <c r="S192" s="162"/>
      <c r="T192" s="162"/>
      <c r="U192" s="162"/>
      <c r="V192" s="162"/>
      <c r="W192" s="162"/>
      <c r="X192" s="162"/>
      <c r="Y192" s="162"/>
      <c r="Z192" s="162"/>
      <c r="AA192" s="162"/>
      <c r="AB192" s="162"/>
      <c r="AC192" s="162"/>
      <c r="AD192" s="162"/>
      <c r="AE192" s="162"/>
      <c r="AF192" s="162"/>
      <c r="AG192" s="162"/>
      <c r="AH192" s="162"/>
      <c r="AI192" s="162"/>
      <c r="AJ192" s="162"/>
      <c r="AK192" s="162"/>
      <c r="AL192" s="162"/>
      <c r="AM192" s="162"/>
      <c r="AN192" s="162"/>
      <c r="AO192" s="162"/>
      <c r="AP192" s="162"/>
      <c r="AQ192" s="162"/>
      <c r="AR192" s="162"/>
      <c r="AS192" s="162"/>
      <c r="AT192" s="162"/>
      <c r="AU192" s="162"/>
      <c r="AV192" s="162"/>
      <c r="AW192" s="162"/>
      <c r="AX192" s="162"/>
      <c r="AY192" s="162"/>
      <c r="AZ192" s="162"/>
      <c r="BA192" s="162"/>
      <c r="BB192" s="162"/>
      <c r="BC192" s="162"/>
      <c r="BD192" s="162"/>
      <c r="BE192" s="162"/>
      <c r="BF192" s="162"/>
      <c r="BG192" s="162"/>
      <c r="BH192" s="162"/>
      <c r="BI192" s="162"/>
      <c r="BJ192" s="162"/>
      <c r="BK192" s="162"/>
      <c r="BL192" s="162"/>
      <c r="BM192" s="162"/>
      <c r="BN192" s="162"/>
      <c r="BO192" s="162"/>
      <c r="BP192" s="162"/>
      <c r="BQ192" s="162"/>
      <c r="BR192" s="162"/>
      <c r="BS192" s="162"/>
      <c r="BT192" s="162"/>
      <c r="BU192" s="162"/>
      <c r="BV192" s="162"/>
      <c r="BW192" s="162"/>
      <c r="BX192" s="162"/>
      <c r="BY192" s="162"/>
      <c r="BZ192" s="162"/>
      <c r="CA192" s="162"/>
      <c r="CB192" s="162"/>
      <c r="CC192" s="162"/>
      <c r="CD192" s="162"/>
      <c r="CE192" s="162"/>
      <c r="CF192" s="162"/>
      <c r="CG192" s="162"/>
      <c r="CH192" s="162"/>
      <c r="CI192" s="162"/>
      <c r="CJ192" s="162"/>
      <c r="CK192" s="162"/>
      <c r="CL192" s="162"/>
      <c r="CM192" s="162"/>
      <c r="CN192" s="162"/>
      <c r="CO192" s="162"/>
      <c r="CP192" s="162"/>
      <c r="CQ192" s="162"/>
      <c r="CR192" s="162"/>
      <c r="CS192" s="162"/>
      <c r="CT192" s="162"/>
      <c r="CU192" s="162"/>
      <c r="CV192" s="162"/>
      <c r="CW192" s="162"/>
      <c r="CX192" s="162"/>
      <c r="CY192" s="162"/>
      <c r="CZ192" s="162"/>
      <c r="DA192" s="162"/>
      <c r="DB192" s="162"/>
      <c r="DC192" s="162"/>
      <c r="DD192" s="162"/>
    </row>
    <row r="193" spans="1:108" hidden="1" outlineLevel="1" x14ac:dyDescent="0.2">
      <c r="A193" s="162"/>
      <c r="B193" s="162"/>
      <c r="C193" s="162"/>
      <c r="D193" s="31" t="s">
        <v>324</v>
      </c>
      <c r="E193" s="78">
        <f t="shared" ref="E193:J193" si="56">E190</f>
        <v>2021</v>
      </c>
      <c r="F193" s="78">
        <f t="shared" si="56"/>
        <v>2022</v>
      </c>
      <c r="G193" s="78">
        <f t="shared" si="56"/>
        <v>2023</v>
      </c>
      <c r="H193" s="78">
        <f t="shared" si="56"/>
        <v>2024</v>
      </c>
      <c r="I193" s="78">
        <f t="shared" si="56"/>
        <v>2025</v>
      </c>
      <c r="J193" s="78">
        <f t="shared" si="56"/>
        <v>2026</v>
      </c>
      <c r="K193" s="162"/>
      <c r="L193" s="162"/>
      <c r="M193" s="162"/>
      <c r="N193" s="162"/>
      <c r="O193" s="162"/>
      <c r="P193" s="162"/>
      <c r="Q193" s="162"/>
      <c r="R193" s="162"/>
      <c r="S193" s="162"/>
      <c r="T193" s="162"/>
      <c r="U193" s="162"/>
      <c r="V193" s="162"/>
      <c r="W193" s="162"/>
      <c r="X193" s="162"/>
      <c r="Y193" s="162"/>
      <c r="Z193" s="162"/>
      <c r="AA193" s="162"/>
      <c r="AB193" s="162"/>
      <c r="AC193" s="162"/>
      <c r="AD193" s="162"/>
      <c r="AE193" s="162"/>
      <c r="AF193" s="162"/>
      <c r="AG193" s="162"/>
      <c r="AH193" s="162"/>
      <c r="AI193" s="162"/>
      <c r="AJ193" s="162"/>
      <c r="AK193" s="162"/>
      <c r="AL193" s="162"/>
      <c r="AM193" s="162"/>
      <c r="AN193" s="162"/>
      <c r="AO193" s="162"/>
      <c r="AP193" s="162"/>
      <c r="AQ193" s="162"/>
      <c r="AR193" s="162"/>
      <c r="AS193" s="162"/>
      <c r="AT193" s="162"/>
      <c r="AU193" s="162"/>
      <c r="AV193" s="162"/>
      <c r="AW193" s="162"/>
      <c r="AX193" s="162"/>
      <c r="AY193" s="162"/>
      <c r="AZ193" s="162"/>
      <c r="BA193" s="162"/>
      <c r="BB193" s="162"/>
      <c r="BC193" s="162"/>
      <c r="BD193" s="162"/>
      <c r="BE193" s="162"/>
      <c r="BF193" s="162"/>
      <c r="BG193" s="162"/>
      <c r="BH193" s="162"/>
      <c r="BI193" s="162"/>
      <c r="BJ193" s="162"/>
      <c r="BK193" s="162"/>
      <c r="BL193" s="162"/>
      <c r="BM193" s="162"/>
      <c r="BN193" s="162"/>
      <c r="BO193" s="162"/>
      <c r="BP193" s="162"/>
      <c r="BQ193" s="162"/>
      <c r="BR193" s="162"/>
      <c r="BS193" s="162"/>
      <c r="BT193" s="162"/>
      <c r="BU193" s="162"/>
      <c r="BV193" s="162"/>
      <c r="BW193" s="162"/>
      <c r="BX193" s="162"/>
      <c r="BY193" s="162"/>
      <c r="BZ193" s="162"/>
      <c r="CA193" s="162"/>
      <c r="CB193" s="162"/>
      <c r="CC193" s="162"/>
      <c r="CD193" s="162"/>
      <c r="CE193" s="162"/>
      <c r="CF193" s="162"/>
      <c r="CG193" s="162"/>
      <c r="CH193" s="162"/>
      <c r="CI193" s="162"/>
      <c r="CJ193" s="162"/>
      <c r="CK193" s="162"/>
      <c r="CL193" s="162"/>
      <c r="CM193" s="162"/>
      <c r="CN193" s="162"/>
      <c r="CO193" s="162"/>
      <c r="CP193" s="162"/>
      <c r="CQ193" s="162"/>
      <c r="CR193" s="162"/>
      <c r="CS193" s="162"/>
      <c r="CT193" s="162"/>
      <c r="CU193" s="162"/>
      <c r="CV193" s="162"/>
      <c r="CW193" s="162"/>
      <c r="CX193" s="162"/>
      <c r="CY193" s="162"/>
      <c r="CZ193" s="162"/>
      <c r="DA193" s="162"/>
      <c r="DB193" s="162"/>
      <c r="DC193" s="162"/>
      <c r="DD193" s="162"/>
    </row>
    <row r="194" spans="1:108" hidden="1" outlineLevel="1" x14ac:dyDescent="0.2">
      <c r="A194" s="162"/>
      <c r="B194" s="162"/>
      <c r="C194" s="58">
        <v>1</v>
      </c>
      <c r="D194" s="177" t="s">
        <v>240</v>
      </c>
      <c r="E194" s="63">
        <f t="shared" ref="E194:J194" si="57">SUMPRODUCT(($D$203:$D$221=E193)*($E$202:$DA$202&gt;=$E$185)*($E$202:$DA$202&lt;=$F$185)*($E$203:$DA$221))</f>
        <v>26301274</v>
      </c>
      <c r="F194" s="63">
        <f t="shared" si="57"/>
        <v>26727025</v>
      </c>
      <c r="G194" s="63">
        <f t="shared" si="57"/>
        <v>27147199</v>
      </c>
      <c r="H194" s="63">
        <f t="shared" si="57"/>
        <v>27562195</v>
      </c>
      <c r="I194" s="63">
        <f t="shared" si="57"/>
        <v>27970435</v>
      </c>
      <c r="J194" s="63">
        <f t="shared" si="57"/>
        <v>28372315</v>
      </c>
      <c r="K194" s="162"/>
      <c r="L194" s="162"/>
      <c r="M194" s="162"/>
      <c r="N194" s="162"/>
      <c r="O194" s="162"/>
      <c r="P194" s="162"/>
      <c r="Q194" s="162"/>
      <c r="R194" s="162"/>
      <c r="S194" s="162"/>
      <c r="T194" s="162"/>
      <c r="U194" s="162"/>
      <c r="V194" s="162"/>
      <c r="W194" s="162"/>
      <c r="X194" s="162"/>
      <c r="Y194" s="162"/>
      <c r="Z194" s="162"/>
      <c r="AA194" s="162"/>
      <c r="AB194" s="162"/>
      <c r="AC194" s="162"/>
      <c r="AD194" s="162"/>
      <c r="AE194" s="162"/>
      <c r="AF194" s="162"/>
      <c r="AG194" s="162"/>
      <c r="AH194" s="162"/>
      <c r="AI194" s="162"/>
      <c r="AJ194" s="162"/>
      <c r="AK194" s="162"/>
      <c r="AL194" s="162"/>
      <c r="AM194" s="162"/>
      <c r="AN194" s="162"/>
      <c r="AO194" s="162"/>
      <c r="AP194" s="162"/>
      <c r="AQ194" s="162"/>
      <c r="AR194" s="162"/>
      <c r="AS194" s="162"/>
      <c r="AT194" s="162"/>
      <c r="AU194" s="162"/>
      <c r="AV194" s="162"/>
      <c r="AW194" s="162"/>
      <c r="AX194" s="162"/>
      <c r="AY194" s="162"/>
      <c r="AZ194" s="162"/>
      <c r="BA194" s="162"/>
      <c r="BB194" s="162"/>
      <c r="BC194" s="162"/>
      <c r="BD194" s="162"/>
      <c r="BE194" s="162"/>
      <c r="BF194" s="162"/>
      <c r="BG194" s="162"/>
      <c r="BH194" s="162"/>
      <c r="BI194" s="162"/>
      <c r="BJ194" s="162"/>
      <c r="BK194" s="162"/>
      <c r="BL194" s="162"/>
      <c r="BM194" s="162"/>
      <c r="BN194" s="162"/>
      <c r="BO194" s="162"/>
      <c r="BP194" s="162"/>
      <c r="BQ194" s="162"/>
      <c r="BR194" s="162"/>
      <c r="BS194" s="162"/>
      <c r="BT194" s="162"/>
      <c r="BU194" s="162"/>
      <c r="BV194" s="162"/>
      <c r="BW194" s="162"/>
      <c r="BX194" s="162"/>
      <c r="BY194" s="162"/>
      <c r="BZ194" s="162"/>
      <c r="CA194" s="162"/>
      <c r="CB194" s="162"/>
      <c r="CC194" s="162"/>
      <c r="CD194" s="162"/>
      <c r="CE194" s="162"/>
      <c r="CF194" s="162"/>
      <c r="CG194" s="162"/>
      <c r="CH194" s="162"/>
      <c r="CI194" s="162"/>
      <c r="CJ194" s="162"/>
      <c r="CK194" s="162"/>
      <c r="CL194" s="162"/>
      <c r="CM194" s="162"/>
      <c r="CN194" s="162"/>
      <c r="CO194" s="162"/>
      <c r="CP194" s="162"/>
      <c r="CQ194" s="162"/>
      <c r="CR194" s="162"/>
      <c r="CS194" s="162"/>
      <c r="CT194" s="162"/>
      <c r="CU194" s="162"/>
      <c r="CV194" s="162"/>
      <c r="CW194" s="162"/>
      <c r="CX194" s="162"/>
      <c r="CY194" s="162"/>
      <c r="CZ194" s="162"/>
      <c r="DA194" s="162"/>
      <c r="DB194" s="162"/>
      <c r="DC194" s="162"/>
      <c r="DD194" s="162"/>
    </row>
    <row r="195" spans="1:108" hidden="1" outlineLevel="1" x14ac:dyDescent="0.2">
      <c r="A195" s="162"/>
      <c r="B195" s="162"/>
      <c r="C195" s="58">
        <v>2</v>
      </c>
      <c r="D195" s="177" t="s">
        <v>243</v>
      </c>
      <c r="E195" s="63">
        <f t="shared" ref="E195:J195" si="58">SUMPRODUCT(($D$228:$D$246=E193)*($E$227:$DA$227&gt;=$E$185)*($E$227:$DA$227&lt;=$F$185)*($E$228:$DA$246))</f>
        <v>13039532</v>
      </c>
      <c r="F195" s="63">
        <f t="shared" si="58"/>
        <v>13248872</v>
      </c>
      <c r="G195" s="63">
        <f t="shared" si="58"/>
        <v>13455403</v>
      </c>
      <c r="H195" s="63">
        <f t="shared" si="58"/>
        <v>13659298</v>
      </c>
      <c r="I195" s="63">
        <f t="shared" si="58"/>
        <v>13859813</v>
      </c>
      <c r="J195" s="63">
        <f t="shared" si="58"/>
        <v>14057138</v>
      </c>
      <c r="K195" s="162"/>
      <c r="L195" s="162"/>
      <c r="M195" s="162"/>
      <c r="N195" s="162"/>
      <c r="O195" s="162"/>
      <c r="P195" s="162"/>
      <c r="Q195" s="162"/>
      <c r="R195" s="162"/>
      <c r="S195" s="162"/>
      <c r="T195" s="162"/>
      <c r="U195" s="162"/>
      <c r="V195" s="162"/>
      <c r="W195" s="162"/>
      <c r="X195" s="162"/>
      <c r="Y195" s="162"/>
      <c r="Z195" s="162"/>
      <c r="AA195" s="162"/>
      <c r="AB195" s="162"/>
      <c r="AC195" s="162"/>
      <c r="AD195" s="162"/>
      <c r="AE195" s="162"/>
      <c r="AF195" s="162"/>
      <c r="AG195" s="162"/>
      <c r="AH195" s="162"/>
      <c r="AI195" s="162"/>
      <c r="AJ195" s="162"/>
      <c r="AK195" s="162"/>
      <c r="AL195" s="162"/>
      <c r="AM195" s="162"/>
      <c r="AN195" s="162"/>
      <c r="AO195" s="162"/>
      <c r="AP195" s="162"/>
      <c r="AQ195" s="162"/>
      <c r="AR195" s="162"/>
      <c r="AS195" s="162"/>
      <c r="AT195" s="162"/>
      <c r="AU195" s="162"/>
      <c r="AV195" s="162"/>
      <c r="AW195" s="162"/>
      <c r="AX195" s="162"/>
      <c r="AY195" s="162"/>
      <c r="AZ195" s="162"/>
      <c r="BA195" s="162"/>
      <c r="BB195" s="162"/>
      <c r="BC195" s="162"/>
      <c r="BD195" s="162"/>
      <c r="BE195" s="162"/>
      <c r="BF195" s="162"/>
      <c r="BG195" s="162"/>
      <c r="BH195" s="162"/>
      <c r="BI195" s="162"/>
      <c r="BJ195" s="162"/>
      <c r="BK195" s="162"/>
      <c r="BL195" s="162"/>
      <c r="BM195" s="162"/>
      <c r="BN195" s="162"/>
      <c r="BO195" s="162"/>
      <c r="BP195" s="162"/>
      <c r="BQ195" s="162"/>
      <c r="BR195" s="162"/>
      <c r="BS195" s="162"/>
      <c r="BT195" s="162"/>
      <c r="BU195" s="162"/>
      <c r="BV195" s="162"/>
      <c r="BW195" s="162"/>
      <c r="BX195" s="162"/>
      <c r="BY195" s="162"/>
      <c r="BZ195" s="162"/>
      <c r="CA195" s="162"/>
      <c r="CB195" s="162"/>
      <c r="CC195" s="162"/>
      <c r="CD195" s="162"/>
      <c r="CE195" s="162"/>
      <c r="CF195" s="162"/>
      <c r="CG195" s="162"/>
      <c r="CH195" s="162"/>
      <c r="CI195" s="162"/>
      <c r="CJ195" s="162"/>
      <c r="CK195" s="162"/>
      <c r="CL195" s="162"/>
      <c r="CM195" s="162"/>
      <c r="CN195" s="162"/>
      <c r="CO195" s="162"/>
      <c r="CP195" s="162"/>
      <c r="CQ195" s="162"/>
      <c r="CR195" s="162"/>
      <c r="CS195" s="162"/>
      <c r="CT195" s="162"/>
      <c r="CU195" s="162"/>
      <c r="CV195" s="162"/>
      <c r="CW195" s="162"/>
      <c r="CX195" s="162"/>
      <c r="CY195" s="162"/>
      <c r="CZ195" s="162"/>
      <c r="DA195" s="162"/>
      <c r="DB195" s="162"/>
      <c r="DC195" s="162"/>
      <c r="DD195" s="162"/>
    </row>
    <row r="196" spans="1:108" hidden="1" outlineLevel="1" x14ac:dyDescent="0.2">
      <c r="A196" s="162"/>
      <c r="B196" s="162"/>
      <c r="C196" s="58">
        <v>3</v>
      </c>
      <c r="D196" s="177" t="s">
        <v>244</v>
      </c>
      <c r="E196" s="63">
        <f t="shared" ref="E196:J196" si="59">SUMPRODUCT(($D$253:$D$271=E193)*($E$252:$DA$252&gt;=$E$185)*($E$252:$DA$252&lt;=$F$185)*($E$253:$DA$271))</f>
        <v>13261742</v>
      </c>
      <c r="F196" s="63">
        <f t="shared" si="59"/>
        <v>13478153</v>
      </c>
      <c r="G196" s="63">
        <f t="shared" si="59"/>
        <v>13691796</v>
      </c>
      <c r="H196" s="63">
        <f t="shared" si="59"/>
        <v>13902897</v>
      </c>
      <c r="I196" s="63">
        <f t="shared" si="59"/>
        <v>14110622</v>
      </c>
      <c r="J196" s="63">
        <f t="shared" si="59"/>
        <v>14315177</v>
      </c>
      <c r="K196" s="162"/>
      <c r="L196" s="162"/>
      <c r="M196" s="162"/>
      <c r="N196" s="162"/>
      <c r="O196" s="162"/>
      <c r="P196" s="162"/>
      <c r="Q196" s="162"/>
      <c r="R196" s="162"/>
      <c r="S196" s="162"/>
      <c r="T196" s="162"/>
      <c r="U196" s="162"/>
      <c r="V196" s="162"/>
      <c r="W196" s="162"/>
      <c r="X196" s="162"/>
      <c r="Y196" s="162"/>
      <c r="Z196" s="162"/>
      <c r="AA196" s="162"/>
      <c r="AB196" s="162"/>
      <c r="AC196" s="162"/>
      <c r="AD196" s="162"/>
      <c r="AE196" s="162"/>
      <c r="AF196" s="162"/>
      <c r="AG196" s="162"/>
      <c r="AH196" s="162"/>
      <c r="AI196" s="162"/>
      <c r="AJ196" s="162"/>
      <c r="AK196" s="162"/>
      <c r="AL196" s="162"/>
      <c r="AM196" s="162"/>
      <c r="AN196" s="162"/>
      <c r="AO196" s="162"/>
      <c r="AP196" s="162"/>
      <c r="AQ196" s="162"/>
      <c r="AR196" s="162"/>
      <c r="AS196" s="162"/>
      <c r="AT196" s="162"/>
      <c r="AU196" s="162"/>
      <c r="AV196" s="162"/>
      <c r="AW196" s="162"/>
      <c r="AX196" s="162"/>
      <c r="AY196" s="162"/>
      <c r="AZ196" s="162"/>
      <c r="BA196" s="162"/>
      <c r="BB196" s="162"/>
      <c r="BC196" s="162"/>
      <c r="BD196" s="162"/>
      <c r="BE196" s="162"/>
      <c r="BF196" s="162"/>
      <c r="BG196" s="162"/>
      <c r="BH196" s="162"/>
      <c r="BI196" s="162"/>
      <c r="BJ196" s="162"/>
      <c r="BK196" s="162"/>
      <c r="BL196" s="162"/>
      <c r="BM196" s="162"/>
      <c r="BN196" s="162"/>
      <c r="BO196" s="162"/>
      <c r="BP196" s="162"/>
      <c r="BQ196" s="162"/>
      <c r="BR196" s="162"/>
      <c r="BS196" s="162"/>
      <c r="BT196" s="162"/>
      <c r="BU196" s="162"/>
      <c r="BV196" s="162"/>
      <c r="BW196" s="162"/>
      <c r="BX196" s="162"/>
      <c r="BY196" s="162"/>
      <c r="BZ196" s="162"/>
      <c r="CA196" s="162"/>
      <c r="CB196" s="162"/>
      <c r="CC196" s="162"/>
      <c r="CD196" s="162"/>
      <c r="CE196" s="162"/>
      <c r="CF196" s="162"/>
      <c r="CG196" s="162"/>
      <c r="CH196" s="162"/>
      <c r="CI196" s="162"/>
      <c r="CJ196" s="162"/>
      <c r="CK196" s="162"/>
      <c r="CL196" s="162"/>
      <c r="CM196" s="162"/>
      <c r="CN196" s="162"/>
      <c r="CO196" s="162"/>
      <c r="CP196" s="162"/>
      <c r="CQ196" s="162"/>
      <c r="CR196" s="162"/>
      <c r="CS196" s="162"/>
      <c r="CT196" s="162"/>
      <c r="CU196" s="162"/>
      <c r="CV196" s="162"/>
      <c r="CW196" s="162"/>
      <c r="CX196" s="162"/>
      <c r="CY196" s="162"/>
      <c r="CZ196" s="162"/>
      <c r="DA196" s="162"/>
      <c r="DB196" s="162"/>
      <c r="DC196" s="162"/>
      <c r="DD196" s="162"/>
    </row>
    <row r="197" spans="1:108" hidden="1" outlineLevel="1" x14ac:dyDescent="0.2">
      <c r="A197" s="162"/>
      <c r="B197" s="162"/>
      <c r="C197" s="162"/>
      <c r="D197" s="162"/>
      <c r="E197" s="162"/>
      <c r="F197" s="162"/>
      <c r="G197" s="162"/>
      <c r="H197" s="162"/>
      <c r="I197" s="162"/>
      <c r="J197" s="162"/>
      <c r="K197" s="162"/>
      <c r="L197" s="162"/>
      <c r="M197" s="162"/>
      <c r="N197" s="162"/>
      <c r="O197" s="162"/>
      <c r="P197" s="162"/>
      <c r="Q197" s="162"/>
      <c r="R197" s="162"/>
      <c r="S197" s="162"/>
      <c r="T197" s="162"/>
      <c r="U197" s="162"/>
      <c r="V197" s="162"/>
      <c r="W197" s="162"/>
      <c r="X197" s="162"/>
      <c r="Y197" s="162"/>
      <c r="Z197" s="162"/>
      <c r="AA197" s="162"/>
      <c r="AB197" s="162"/>
      <c r="AC197" s="162"/>
      <c r="AD197" s="162"/>
      <c r="AE197" s="162"/>
      <c r="AF197" s="162"/>
      <c r="AG197" s="162"/>
      <c r="AH197" s="162"/>
      <c r="AI197" s="162"/>
      <c r="AJ197" s="162"/>
      <c r="AK197" s="162"/>
      <c r="AL197" s="162"/>
      <c r="AM197" s="162"/>
      <c r="AN197" s="162"/>
      <c r="AO197" s="162"/>
      <c r="AP197" s="162"/>
      <c r="AQ197" s="162"/>
      <c r="AR197" s="162"/>
      <c r="AS197" s="162"/>
      <c r="AT197" s="162"/>
      <c r="AU197" s="162"/>
      <c r="AV197" s="162"/>
      <c r="AW197" s="162"/>
      <c r="AX197" s="162"/>
      <c r="AY197" s="162"/>
      <c r="AZ197" s="162"/>
      <c r="BA197" s="162"/>
      <c r="BB197" s="162"/>
      <c r="BC197" s="162"/>
      <c r="BD197" s="162"/>
      <c r="BE197" s="162"/>
      <c r="BF197" s="162"/>
      <c r="BG197" s="162"/>
      <c r="BH197" s="162"/>
      <c r="BI197" s="162"/>
      <c r="BJ197" s="162"/>
      <c r="BK197" s="162"/>
      <c r="BL197" s="162"/>
      <c r="BM197" s="162"/>
      <c r="BN197" s="162"/>
      <c r="BO197" s="162"/>
      <c r="BP197" s="162"/>
      <c r="BQ197" s="162"/>
      <c r="BR197" s="162"/>
      <c r="BS197" s="162"/>
      <c r="BT197" s="162"/>
      <c r="BU197" s="162"/>
      <c r="BV197" s="162"/>
      <c r="BW197" s="162"/>
      <c r="BX197" s="162"/>
      <c r="BY197" s="162"/>
      <c r="BZ197" s="162"/>
      <c r="CA197" s="162"/>
      <c r="CB197" s="162"/>
      <c r="CC197" s="162"/>
      <c r="CD197" s="162"/>
      <c r="CE197" s="162"/>
      <c r="CF197" s="162"/>
      <c r="CG197" s="162"/>
      <c r="CH197" s="162"/>
      <c r="CI197" s="162"/>
      <c r="CJ197" s="162"/>
      <c r="CK197" s="162"/>
      <c r="CL197" s="162"/>
      <c r="CM197" s="162"/>
      <c r="CN197" s="162"/>
      <c r="CO197" s="162"/>
      <c r="CP197" s="162"/>
      <c r="CQ197" s="162"/>
      <c r="CR197" s="162"/>
      <c r="CS197" s="162"/>
      <c r="CT197" s="162"/>
      <c r="CU197" s="162"/>
      <c r="CV197" s="162"/>
      <c r="CW197" s="162"/>
      <c r="CX197" s="162"/>
      <c r="CY197" s="162"/>
      <c r="CZ197" s="162"/>
      <c r="DA197" s="162"/>
      <c r="DB197" s="162"/>
      <c r="DC197" s="162"/>
      <c r="DD197" s="162"/>
    </row>
    <row r="198" spans="1:108" collapsed="1" x14ac:dyDescent="0.2">
      <c r="A198" s="162"/>
      <c r="B198" s="162"/>
      <c r="C198" s="162"/>
      <c r="D198" s="162"/>
      <c r="E198" s="162"/>
      <c r="F198" s="162"/>
      <c r="G198" s="162"/>
      <c r="H198" s="162"/>
      <c r="I198" s="162"/>
      <c r="J198" s="162"/>
      <c r="K198" s="162"/>
      <c r="L198" s="162"/>
      <c r="M198" s="162"/>
      <c r="N198" s="162"/>
      <c r="O198" s="162"/>
      <c r="P198" s="162"/>
      <c r="Q198" s="162"/>
      <c r="R198" s="162"/>
      <c r="S198" s="162"/>
      <c r="T198" s="162"/>
      <c r="U198" s="162"/>
      <c r="V198" s="162"/>
      <c r="W198" s="162"/>
      <c r="X198" s="162"/>
      <c r="Y198" s="162"/>
      <c r="Z198" s="162"/>
      <c r="AA198" s="162"/>
      <c r="AB198" s="162"/>
      <c r="AC198" s="162"/>
      <c r="AD198" s="162"/>
      <c r="AE198" s="162"/>
      <c r="AF198" s="162"/>
      <c r="AG198" s="162"/>
      <c r="AH198" s="162"/>
      <c r="AI198" s="162"/>
      <c r="AJ198" s="162"/>
      <c r="AK198" s="162"/>
      <c r="AL198" s="162"/>
      <c r="AM198" s="162"/>
      <c r="AN198" s="162"/>
      <c r="AO198" s="162"/>
      <c r="AP198" s="162"/>
      <c r="AQ198" s="162"/>
      <c r="AR198" s="162"/>
      <c r="AS198" s="162"/>
      <c r="AT198" s="162"/>
      <c r="AU198" s="162"/>
      <c r="AV198" s="162"/>
      <c r="AW198" s="162"/>
      <c r="AX198" s="162"/>
      <c r="AY198" s="162"/>
      <c r="AZ198" s="162"/>
      <c r="BA198" s="162"/>
      <c r="BB198" s="162"/>
      <c r="BC198" s="162"/>
      <c r="BD198" s="162"/>
      <c r="BE198" s="162"/>
      <c r="BF198" s="162"/>
      <c r="BG198" s="162"/>
      <c r="BH198" s="162"/>
      <c r="BI198" s="162"/>
      <c r="BJ198" s="162"/>
      <c r="BK198" s="162"/>
      <c r="BL198" s="162"/>
      <c r="BM198" s="162"/>
      <c r="BN198" s="162"/>
      <c r="BO198" s="162"/>
      <c r="BP198" s="162"/>
      <c r="BQ198" s="162"/>
      <c r="BR198" s="162"/>
      <c r="BS198" s="162"/>
      <c r="BT198" s="162"/>
      <c r="BU198" s="162"/>
      <c r="BV198" s="162"/>
      <c r="BW198" s="162"/>
      <c r="BX198" s="162"/>
      <c r="BY198" s="162"/>
      <c r="BZ198" s="162"/>
      <c r="CA198" s="162"/>
      <c r="CB198" s="162"/>
      <c r="CC198" s="162"/>
      <c r="CD198" s="162"/>
      <c r="CE198" s="162"/>
      <c r="CF198" s="162"/>
      <c r="CG198" s="162"/>
      <c r="CH198" s="162"/>
      <c r="CI198" s="162"/>
      <c r="CJ198" s="162"/>
      <c r="CK198" s="162"/>
      <c r="CL198" s="162"/>
      <c r="CM198" s="162"/>
      <c r="CN198" s="162"/>
      <c r="CO198" s="162"/>
      <c r="CP198" s="162"/>
      <c r="CQ198" s="162"/>
      <c r="CR198" s="162"/>
      <c r="CS198" s="162"/>
      <c r="CT198" s="162"/>
      <c r="CU198" s="162"/>
      <c r="CV198" s="162"/>
      <c r="CW198" s="162"/>
      <c r="CX198" s="162"/>
      <c r="CY198" s="162"/>
      <c r="CZ198" s="162"/>
      <c r="DA198" s="162"/>
      <c r="DB198" s="162"/>
      <c r="DC198" s="162"/>
      <c r="DD198" s="162"/>
    </row>
    <row r="199" spans="1:108" ht="15.75" x14ac:dyDescent="0.2">
      <c r="A199" s="162"/>
      <c r="B199" s="162"/>
      <c r="C199" s="162"/>
      <c r="D199" s="123" t="s">
        <v>880</v>
      </c>
      <c r="E199" s="127"/>
      <c r="F199" s="127"/>
      <c r="G199" s="127"/>
      <c r="H199" s="127"/>
      <c r="I199" s="127"/>
      <c r="J199" s="127"/>
      <c r="K199" s="127"/>
      <c r="L199" s="127"/>
      <c r="M199" s="127"/>
      <c r="N199" s="127"/>
      <c r="O199" s="127"/>
      <c r="P199" s="127"/>
      <c r="Q199" s="127"/>
      <c r="R199" s="127"/>
      <c r="S199" s="127"/>
      <c r="T199" s="127"/>
      <c r="U199" s="127"/>
      <c r="V199" s="127"/>
      <c r="W199" s="127"/>
      <c r="X199" s="127"/>
      <c r="Y199" s="127"/>
      <c r="Z199" s="127"/>
      <c r="AA199" s="127"/>
      <c r="AB199" s="127"/>
      <c r="AC199" s="127"/>
      <c r="AD199" s="127"/>
      <c r="AE199" s="127"/>
      <c r="AF199" s="127"/>
      <c r="AG199" s="127"/>
      <c r="AH199" s="127"/>
      <c r="AI199" s="127"/>
      <c r="AJ199" s="127"/>
      <c r="AK199" s="127"/>
      <c r="AL199" s="127"/>
      <c r="AM199" s="127"/>
      <c r="AN199" s="127"/>
      <c r="AO199" s="127"/>
      <c r="AP199" s="127"/>
      <c r="AQ199" s="127"/>
      <c r="AR199" s="127"/>
      <c r="AS199" s="127"/>
      <c r="AT199" s="127"/>
      <c r="AU199" s="127"/>
      <c r="AV199" s="127"/>
      <c r="AW199" s="127"/>
      <c r="AX199" s="127"/>
      <c r="AY199" s="127"/>
      <c r="AZ199" s="127"/>
      <c r="BA199" s="127"/>
      <c r="BB199" s="127"/>
      <c r="BC199" s="127"/>
      <c r="BD199" s="127"/>
      <c r="BE199" s="127"/>
      <c r="BF199" s="127"/>
      <c r="BG199" s="127"/>
      <c r="BH199" s="127"/>
      <c r="BI199" s="127"/>
      <c r="BJ199" s="127"/>
      <c r="BK199" s="127"/>
      <c r="BL199" s="127"/>
      <c r="BM199" s="127"/>
      <c r="BN199" s="127"/>
      <c r="BO199" s="127"/>
      <c r="BP199" s="127"/>
      <c r="BQ199" s="127"/>
      <c r="BR199" s="127"/>
      <c r="BS199" s="127"/>
      <c r="BT199" s="127"/>
      <c r="BU199" s="127"/>
      <c r="BV199" s="127"/>
      <c r="BW199" s="127"/>
      <c r="BX199" s="127"/>
      <c r="BY199" s="127"/>
      <c r="BZ199" s="127"/>
      <c r="CA199" s="127"/>
      <c r="CB199" s="127"/>
      <c r="CC199" s="127"/>
      <c r="CD199" s="127"/>
      <c r="CE199" s="127"/>
      <c r="CF199" s="127"/>
      <c r="CG199" s="127"/>
      <c r="CH199" s="127"/>
      <c r="CI199" s="127"/>
      <c r="CJ199" s="127"/>
      <c r="CK199" s="127"/>
      <c r="CL199" s="127"/>
      <c r="CM199" s="127"/>
      <c r="CN199" s="127"/>
      <c r="CO199" s="127"/>
      <c r="CP199" s="127"/>
      <c r="CQ199" s="127"/>
      <c r="CR199" s="127"/>
      <c r="CS199" s="127"/>
      <c r="CT199" s="127"/>
      <c r="CU199" s="127"/>
      <c r="CV199" s="127"/>
      <c r="CW199" s="127"/>
      <c r="CX199" s="127"/>
      <c r="CY199" s="127"/>
      <c r="CZ199" s="127"/>
      <c r="DA199" s="127"/>
      <c r="DB199" s="127"/>
      <c r="DC199" s="127"/>
      <c r="DD199" s="127"/>
    </row>
    <row r="200" spans="1:108" x14ac:dyDescent="0.2">
      <c r="A200" s="125"/>
      <c r="B200" s="121"/>
      <c r="C200" s="121"/>
      <c r="D200" s="121"/>
      <c r="E200" s="121"/>
      <c r="F200" s="121"/>
      <c r="G200" s="121"/>
      <c r="H200" s="121"/>
      <c r="I200" s="121"/>
      <c r="J200" s="121"/>
      <c r="K200" s="121"/>
      <c r="L200" s="121"/>
      <c r="M200" s="121"/>
      <c r="N200" s="121"/>
      <c r="O200" s="121"/>
      <c r="P200" s="121"/>
      <c r="Q200" s="121"/>
      <c r="R200" s="121"/>
      <c r="S200" s="121"/>
      <c r="T200" s="121"/>
      <c r="U200" s="121"/>
      <c r="V200" s="121"/>
      <c r="W200" s="121"/>
      <c r="X200" s="121"/>
      <c r="Y200" s="121"/>
      <c r="Z200" s="121"/>
      <c r="AA200" s="121"/>
      <c r="AB200" s="121"/>
      <c r="AC200" s="121"/>
      <c r="AD200" s="121"/>
      <c r="AE200" s="121"/>
      <c r="AF200" s="121"/>
      <c r="AG200" s="121"/>
      <c r="AH200" s="121"/>
      <c r="AI200" s="121"/>
      <c r="AJ200" s="121"/>
      <c r="AK200" s="121"/>
      <c r="AL200" s="121"/>
      <c r="AM200" s="121"/>
      <c r="AN200" s="121"/>
      <c r="AO200" s="121"/>
      <c r="AP200" s="121"/>
      <c r="AQ200" s="121"/>
      <c r="AR200" s="121"/>
      <c r="AS200" s="121"/>
      <c r="AT200" s="121"/>
      <c r="AU200" s="121"/>
      <c r="AV200" s="121"/>
      <c r="AW200" s="121"/>
      <c r="AX200" s="121"/>
      <c r="AY200" s="121"/>
      <c r="AZ200" s="121"/>
      <c r="BA200" s="121"/>
      <c r="BB200" s="121"/>
      <c r="BC200" s="121"/>
      <c r="BD200" s="121"/>
      <c r="BE200" s="121"/>
      <c r="BF200" s="121"/>
      <c r="BG200" s="121"/>
      <c r="BH200" s="121"/>
      <c r="BI200" s="121"/>
      <c r="BJ200" s="121"/>
      <c r="BK200" s="121"/>
      <c r="BL200" s="121"/>
      <c r="BM200" s="121"/>
      <c r="BN200" s="121"/>
      <c r="BO200" s="121"/>
      <c r="BP200" s="121"/>
      <c r="BQ200" s="121"/>
      <c r="BR200" s="121"/>
      <c r="BS200" s="121"/>
      <c r="BT200" s="121"/>
      <c r="BU200" s="121"/>
      <c r="BV200" s="121"/>
      <c r="BW200" s="121"/>
      <c r="BX200" s="121"/>
      <c r="BY200" s="121"/>
      <c r="BZ200" s="121"/>
      <c r="CA200" s="121"/>
      <c r="CB200" s="121"/>
      <c r="CC200" s="121"/>
      <c r="CD200" s="121"/>
      <c r="CE200" s="121"/>
      <c r="CF200" s="121"/>
      <c r="CG200" s="121"/>
      <c r="CH200" s="121"/>
      <c r="CI200" s="121"/>
      <c r="CJ200" s="121"/>
      <c r="CK200" s="121"/>
      <c r="CL200" s="121"/>
      <c r="CM200" s="121"/>
      <c r="CN200" s="121"/>
      <c r="CO200" s="121"/>
      <c r="CP200" s="121"/>
      <c r="CQ200" s="121"/>
      <c r="CR200" s="121"/>
      <c r="CS200" s="121"/>
      <c r="CT200" s="121"/>
      <c r="CU200" s="121"/>
      <c r="CV200" s="121"/>
      <c r="CW200" s="121"/>
      <c r="CX200" s="121"/>
      <c r="CY200" s="121"/>
      <c r="CZ200" s="121"/>
      <c r="DA200" s="121"/>
      <c r="DB200" s="121"/>
      <c r="DC200" s="121"/>
      <c r="DD200" s="121"/>
    </row>
    <row r="201" spans="1:108" x14ac:dyDescent="0.2">
      <c r="A201" s="125"/>
      <c r="B201" s="121"/>
      <c r="C201" s="121"/>
      <c r="D201" s="121"/>
      <c r="E201" s="178" t="s">
        <v>241</v>
      </c>
      <c r="F201" s="121"/>
      <c r="G201" s="121"/>
      <c r="H201" s="121"/>
      <c r="I201" s="121"/>
      <c r="J201" s="121"/>
      <c r="K201" s="121"/>
      <c r="L201" s="121"/>
      <c r="M201" s="121"/>
      <c r="N201" s="121"/>
      <c r="O201" s="121"/>
      <c r="P201" s="121"/>
      <c r="Q201" s="121"/>
      <c r="R201" s="121"/>
      <c r="S201" s="121"/>
      <c r="T201" s="121"/>
      <c r="U201" s="121"/>
      <c r="V201" s="121"/>
      <c r="W201" s="121"/>
      <c r="X201" s="121"/>
      <c r="Y201" s="121"/>
      <c r="Z201" s="121"/>
      <c r="AA201" s="121"/>
      <c r="AB201" s="121"/>
      <c r="AC201" s="121"/>
      <c r="AD201" s="121"/>
      <c r="AE201" s="121"/>
      <c r="AF201" s="121"/>
      <c r="AG201" s="121"/>
      <c r="AH201" s="121"/>
      <c r="AI201" s="121"/>
      <c r="AJ201" s="121"/>
      <c r="AK201" s="121"/>
      <c r="AL201" s="121"/>
      <c r="AM201" s="121"/>
      <c r="AN201" s="121"/>
      <c r="AO201" s="121"/>
      <c r="AP201" s="121"/>
      <c r="AQ201" s="121"/>
      <c r="AR201" s="121"/>
      <c r="AS201" s="121"/>
      <c r="AT201" s="121"/>
      <c r="AU201" s="121"/>
      <c r="AV201" s="121"/>
      <c r="AW201" s="121"/>
      <c r="AX201" s="121"/>
      <c r="AY201" s="121"/>
      <c r="AZ201" s="121"/>
      <c r="BA201" s="121"/>
      <c r="BB201" s="121"/>
      <c r="BC201" s="121"/>
      <c r="BD201" s="121"/>
      <c r="BE201" s="121"/>
      <c r="BF201" s="121"/>
      <c r="BG201" s="121"/>
      <c r="BH201" s="121"/>
      <c r="BI201" s="121"/>
      <c r="BJ201" s="121"/>
      <c r="BK201" s="121"/>
      <c r="BL201" s="121"/>
      <c r="BM201" s="121"/>
      <c r="BN201" s="121"/>
      <c r="BO201" s="121"/>
      <c r="BP201" s="121"/>
      <c r="BQ201" s="121"/>
      <c r="BR201" s="121"/>
      <c r="BS201" s="121"/>
      <c r="BT201" s="121"/>
      <c r="BU201" s="121"/>
      <c r="BV201" s="121"/>
      <c r="BW201" s="121"/>
      <c r="BX201" s="121"/>
      <c r="BY201" s="121"/>
      <c r="BZ201" s="121"/>
      <c r="CA201" s="121"/>
      <c r="CB201" s="121"/>
      <c r="CC201" s="121"/>
      <c r="CD201" s="121"/>
      <c r="CE201" s="121"/>
      <c r="CF201" s="121"/>
      <c r="CG201" s="121"/>
      <c r="CH201" s="121"/>
      <c r="CI201" s="121"/>
      <c r="CJ201" s="121"/>
      <c r="CK201" s="121"/>
      <c r="CL201" s="121"/>
      <c r="CM201" s="121"/>
      <c r="CN201" s="121"/>
      <c r="CO201" s="121"/>
      <c r="CP201" s="121"/>
      <c r="CQ201" s="121"/>
      <c r="CR201" s="121"/>
      <c r="CS201" s="121"/>
      <c r="CT201" s="121"/>
      <c r="CU201" s="121"/>
      <c r="CV201" s="121"/>
      <c r="CW201" s="121"/>
      <c r="CX201" s="121"/>
      <c r="CY201" s="121"/>
      <c r="CZ201" s="121"/>
      <c r="DA201" s="121"/>
      <c r="DB201" s="121"/>
      <c r="DC201" s="121"/>
      <c r="DD201" s="121"/>
    </row>
    <row r="202" spans="1:108" x14ac:dyDescent="0.2">
      <c r="A202" s="651"/>
      <c r="B202" s="179"/>
      <c r="C202" s="179"/>
      <c r="D202" s="179"/>
      <c r="E202" s="37">
        <v>0</v>
      </c>
      <c r="F202" s="37">
        <v>1</v>
      </c>
      <c r="G202" s="37">
        <v>2</v>
      </c>
      <c r="H202" s="37">
        <v>3</v>
      </c>
      <c r="I202" s="37">
        <v>4</v>
      </c>
      <c r="J202" s="37">
        <v>5</v>
      </c>
      <c r="K202" s="37">
        <v>6</v>
      </c>
      <c r="L202" s="37">
        <v>7</v>
      </c>
      <c r="M202" s="37">
        <v>8</v>
      </c>
      <c r="N202" s="37">
        <v>9</v>
      </c>
      <c r="O202" s="37">
        <v>10</v>
      </c>
      <c r="P202" s="37">
        <v>11</v>
      </c>
      <c r="Q202" s="37">
        <v>12</v>
      </c>
      <c r="R202" s="37">
        <v>13</v>
      </c>
      <c r="S202" s="37">
        <v>14</v>
      </c>
      <c r="T202" s="37">
        <v>15</v>
      </c>
      <c r="U202" s="37">
        <v>16</v>
      </c>
      <c r="V202" s="37">
        <v>17</v>
      </c>
      <c r="W202" s="37">
        <v>18</v>
      </c>
      <c r="X202" s="37">
        <v>19</v>
      </c>
      <c r="Y202" s="37">
        <v>20</v>
      </c>
      <c r="Z202" s="37">
        <v>21</v>
      </c>
      <c r="AA202" s="37">
        <v>22</v>
      </c>
      <c r="AB202" s="37">
        <v>23</v>
      </c>
      <c r="AC202" s="37">
        <v>24</v>
      </c>
      <c r="AD202" s="37">
        <v>25</v>
      </c>
      <c r="AE202" s="37">
        <v>26</v>
      </c>
      <c r="AF202" s="37">
        <v>27</v>
      </c>
      <c r="AG202" s="37">
        <v>28</v>
      </c>
      <c r="AH202" s="37">
        <v>29</v>
      </c>
      <c r="AI202" s="37">
        <v>30</v>
      </c>
      <c r="AJ202" s="37">
        <v>31</v>
      </c>
      <c r="AK202" s="37">
        <v>32</v>
      </c>
      <c r="AL202" s="37">
        <v>33</v>
      </c>
      <c r="AM202" s="37">
        <v>34</v>
      </c>
      <c r="AN202" s="37">
        <v>35</v>
      </c>
      <c r="AO202" s="37">
        <v>36</v>
      </c>
      <c r="AP202" s="37">
        <v>37</v>
      </c>
      <c r="AQ202" s="37">
        <v>38</v>
      </c>
      <c r="AR202" s="37">
        <v>39</v>
      </c>
      <c r="AS202" s="37">
        <v>40</v>
      </c>
      <c r="AT202" s="37">
        <v>41</v>
      </c>
      <c r="AU202" s="37">
        <v>42</v>
      </c>
      <c r="AV202" s="37">
        <v>43</v>
      </c>
      <c r="AW202" s="37">
        <v>44</v>
      </c>
      <c r="AX202" s="37">
        <v>45</v>
      </c>
      <c r="AY202" s="37">
        <v>46</v>
      </c>
      <c r="AZ202" s="37">
        <v>47</v>
      </c>
      <c r="BA202" s="37">
        <v>48</v>
      </c>
      <c r="BB202" s="37">
        <v>49</v>
      </c>
      <c r="BC202" s="37">
        <v>50</v>
      </c>
      <c r="BD202" s="37">
        <v>51</v>
      </c>
      <c r="BE202" s="37">
        <v>52</v>
      </c>
      <c r="BF202" s="37">
        <v>53</v>
      </c>
      <c r="BG202" s="37">
        <v>54</v>
      </c>
      <c r="BH202" s="37">
        <v>55</v>
      </c>
      <c r="BI202" s="37">
        <v>56</v>
      </c>
      <c r="BJ202" s="37">
        <v>57</v>
      </c>
      <c r="BK202" s="37">
        <v>58</v>
      </c>
      <c r="BL202" s="37">
        <v>59</v>
      </c>
      <c r="BM202" s="37">
        <v>60</v>
      </c>
      <c r="BN202" s="37">
        <v>61</v>
      </c>
      <c r="BO202" s="37">
        <v>62</v>
      </c>
      <c r="BP202" s="37">
        <v>63</v>
      </c>
      <c r="BQ202" s="37">
        <v>64</v>
      </c>
      <c r="BR202" s="37">
        <v>65</v>
      </c>
      <c r="BS202" s="37">
        <v>66</v>
      </c>
      <c r="BT202" s="37">
        <v>67</v>
      </c>
      <c r="BU202" s="37">
        <v>68</v>
      </c>
      <c r="BV202" s="37">
        <v>69</v>
      </c>
      <c r="BW202" s="37">
        <v>70</v>
      </c>
      <c r="BX202" s="37">
        <v>71</v>
      </c>
      <c r="BY202" s="37">
        <v>72</v>
      </c>
      <c r="BZ202" s="37">
        <v>73</v>
      </c>
      <c r="CA202" s="37">
        <v>74</v>
      </c>
      <c r="CB202" s="37">
        <v>75</v>
      </c>
      <c r="CC202" s="37">
        <v>76</v>
      </c>
      <c r="CD202" s="37">
        <v>77</v>
      </c>
      <c r="CE202" s="37">
        <v>78</v>
      </c>
      <c r="CF202" s="37">
        <v>79</v>
      </c>
      <c r="CG202" s="37">
        <v>80</v>
      </c>
      <c r="CH202" s="37">
        <v>81</v>
      </c>
      <c r="CI202" s="37">
        <v>82</v>
      </c>
      <c r="CJ202" s="37">
        <v>83</v>
      </c>
      <c r="CK202" s="37">
        <v>84</v>
      </c>
      <c r="CL202" s="37">
        <v>85</v>
      </c>
      <c r="CM202" s="37">
        <v>86</v>
      </c>
      <c r="CN202" s="37">
        <v>87</v>
      </c>
      <c r="CO202" s="37">
        <v>88</v>
      </c>
      <c r="CP202" s="37">
        <v>89</v>
      </c>
      <c r="CQ202" s="37">
        <v>90</v>
      </c>
      <c r="CR202" s="37">
        <v>91</v>
      </c>
      <c r="CS202" s="37">
        <v>92</v>
      </c>
      <c r="CT202" s="37">
        <v>93</v>
      </c>
      <c r="CU202" s="37">
        <v>94</v>
      </c>
      <c r="CV202" s="37">
        <v>95</v>
      </c>
      <c r="CW202" s="37">
        <v>96</v>
      </c>
      <c r="CX202" s="37">
        <v>97</v>
      </c>
      <c r="CY202" s="37">
        <v>98</v>
      </c>
      <c r="CZ202" s="37">
        <v>99</v>
      </c>
      <c r="DA202" s="37">
        <v>100</v>
      </c>
      <c r="DB202" s="52" t="s">
        <v>73</v>
      </c>
      <c r="DC202" s="52" t="s">
        <v>300</v>
      </c>
      <c r="DD202" s="52" t="s">
        <v>301</v>
      </c>
    </row>
    <row r="203" spans="1:108" x14ac:dyDescent="0.2">
      <c r="A203" s="652"/>
      <c r="B203" s="180"/>
      <c r="C203" s="180"/>
      <c r="D203" s="181">
        <v>2012</v>
      </c>
      <c r="E203" s="182">
        <v>305419</v>
      </c>
      <c r="F203" s="182">
        <v>293012</v>
      </c>
      <c r="G203" s="182">
        <v>298350</v>
      </c>
      <c r="H203" s="182">
        <v>296633</v>
      </c>
      <c r="I203" s="182">
        <v>295674</v>
      </c>
      <c r="J203" s="182">
        <v>291774</v>
      </c>
      <c r="K203" s="182">
        <v>291906</v>
      </c>
      <c r="L203" s="182">
        <v>282712</v>
      </c>
      <c r="M203" s="182">
        <v>277950</v>
      </c>
      <c r="N203" s="182">
        <v>274995</v>
      </c>
      <c r="O203" s="182">
        <v>274415</v>
      </c>
      <c r="P203" s="182">
        <v>278213</v>
      </c>
      <c r="Q203" s="182">
        <v>279033</v>
      </c>
      <c r="R203" s="182">
        <v>279919</v>
      </c>
      <c r="S203" s="182">
        <v>279873</v>
      </c>
      <c r="T203" s="182">
        <v>283704</v>
      </c>
      <c r="U203" s="182">
        <v>286174</v>
      </c>
      <c r="V203" s="182">
        <v>293708</v>
      </c>
      <c r="W203" s="182">
        <v>294816</v>
      </c>
      <c r="X203" s="182">
        <v>300581</v>
      </c>
      <c r="Y203" s="182">
        <v>307540</v>
      </c>
      <c r="Z203" s="182">
        <v>319846</v>
      </c>
      <c r="AA203" s="182">
        <v>331610</v>
      </c>
      <c r="AB203" s="182">
        <v>332289</v>
      </c>
      <c r="AC203" s="182">
        <v>332887</v>
      </c>
      <c r="AD203" s="182">
        <v>334337</v>
      </c>
      <c r="AE203" s="182">
        <v>338460</v>
      </c>
      <c r="AF203" s="182">
        <v>341201</v>
      </c>
      <c r="AG203" s="182">
        <v>339468</v>
      </c>
      <c r="AH203" s="182">
        <v>341199</v>
      </c>
      <c r="AI203" s="182">
        <v>332970</v>
      </c>
      <c r="AJ203" s="182">
        <v>327577</v>
      </c>
      <c r="AK203" s="182">
        <v>315489</v>
      </c>
      <c r="AL203" s="182">
        <v>309609</v>
      </c>
      <c r="AM203" s="182">
        <v>303783</v>
      </c>
      <c r="AN203" s="182">
        <v>303002</v>
      </c>
      <c r="AO203" s="182">
        <v>303767</v>
      </c>
      <c r="AP203" s="182">
        <v>308597</v>
      </c>
      <c r="AQ203" s="182">
        <v>315638</v>
      </c>
      <c r="AR203" s="182">
        <v>324178</v>
      </c>
      <c r="AS203" s="182">
        <v>338075</v>
      </c>
      <c r="AT203" s="182">
        <v>343473</v>
      </c>
      <c r="AU203" s="182">
        <v>324892</v>
      </c>
      <c r="AV203" s="182">
        <v>320794</v>
      </c>
      <c r="AW203" s="182">
        <v>308368</v>
      </c>
      <c r="AX203" s="182">
        <v>301124</v>
      </c>
      <c r="AY203" s="182">
        <v>300441</v>
      </c>
      <c r="AZ203" s="182">
        <v>303461</v>
      </c>
      <c r="BA203" s="182">
        <v>311707</v>
      </c>
      <c r="BB203" s="182">
        <v>315159</v>
      </c>
      <c r="BC203" s="182">
        <v>315159</v>
      </c>
      <c r="BD203" s="182">
        <v>314217</v>
      </c>
      <c r="BE203" s="182">
        <v>303588</v>
      </c>
      <c r="BF203" s="182">
        <v>299199</v>
      </c>
      <c r="BG203" s="182">
        <v>292153</v>
      </c>
      <c r="BH203" s="182">
        <v>285316</v>
      </c>
      <c r="BI203" s="182">
        <v>281275</v>
      </c>
      <c r="BJ203" s="182">
        <v>272997</v>
      </c>
      <c r="BK203" s="182">
        <v>264621</v>
      </c>
      <c r="BL203" s="182">
        <v>261689</v>
      </c>
      <c r="BM203" s="182">
        <v>252665</v>
      </c>
      <c r="BN203" s="182">
        <v>249344</v>
      </c>
      <c r="BO203" s="182">
        <v>244606</v>
      </c>
      <c r="BP203" s="182">
        <v>237749</v>
      </c>
      <c r="BQ203" s="182">
        <v>239560</v>
      </c>
      <c r="BR203" s="182">
        <v>248184</v>
      </c>
      <c r="BS203" s="182">
        <v>209791</v>
      </c>
      <c r="BT203" s="182">
        <v>201288</v>
      </c>
      <c r="BU203" s="182">
        <v>191623</v>
      </c>
      <c r="BV203" s="182">
        <v>172787</v>
      </c>
      <c r="BW203" s="182">
        <v>169124</v>
      </c>
      <c r="BX203" s="182">
        <v>157069</v>
      </c>
      <c r="BY203" s="182">
        <v>150815</v>
      </c>
      <c r="BZ203" s="182">
        <v>143364</v>
      </c>
      <c r="CA203" s="182">
        <v>135026</v>
      </c>
      <c r="CB203" s="182">
        <v>128641</v>
      </c>
      <c r="CC203" s="182">
        <v>122160</v>
      </c>
      <c r="CD203" s="182">
        <v>113266</v>
      </c>
      <c r="CE203" s="182">
        <v>106721</v>
      </c>
      <c r="CF203" s="182">
        <v>102079</v>
      </c>
      <c r="CG203" s="182">
        <v>97028</v>
      </c>
      <c r="CH203" s="182">
        <v>96127</v>
      </c>
      <c r="CI203" s="182">
        <v>90971</v>
      </c>
      <c r="CJ203" s="182">
        <v>83913</v>
      </c>
      <c r="CK203" s="182">
        <v>77770</v>
      </c>
      <c r="CL203" s="182">
        <v>70439</v>
      </c>
      <c r="CM203" s="182">
        <v>63618</v>
      </c>
      <c r="CN203" s="182">
        <v>56086</v>
      </c>
      <c r="CO203" s="182">
        <v>48483</v>
      </c>
      <c r="CP203" s="182">
        <v>41058</v>
      </c>
      <c r="CQ203" s="182">
        <v>35106</v>
      </c>
      <c r="CR203" s="182">
        <v>28350</v>
      </c>
      <c r="CS203" s="182">
        <v>21733</v>
      </c>
      <c r="CT203" s="182">
        <v>14774</v>
      </c>
      <c r="CU203" s="182">
        <v>11610</v>
      </c>
      <c r="CV203" s="182">
        <v>8940</v>
      </c>
      <c r="CW203" s="182">
        <v>6646</v>
      </c>
      <c r="CX203" s="182">
        <v>4865</v>
      </c>
      <c r="CY203" s="182">
        <v>3186</v>
      </c>
      <c r="CZ203" s="182">
        <v>2115</v>
      </c>
      <c r="DA203" s="182">
        <v>3299</v>
      </c>
      <c r="DB203" s="183">
        <f>SUM(E203:DA203)</f>
        <v>22721995</v>
      </c>
      <c r="DC203" s="184">
        <f>DB203/1000000</f>
        <v>22.721995</v>
      </c>
      <c r="DD203" s="185"/>
    </row>
    <row r="204" spans="1:108" x14ac:dyDescent="0.2">
      <c r="A204" s="652"/>
      <c r="B204" s="180"/>
      <c r="C204" s="180"/>
      <c r="D204" s="181">
        <v>2013</v>
      </c>
      <c r="E204" s="182">
        <v>309401</v>
      </c>
      <c r="F204" s="182">
        <v>307378</v>
      </c>
      <c r="G204" s="182">
        <v>296715</v>
      </c>
      <c r="H204" s="182">
        <v>302260</v>
      </c>
      <c r="I204" s="182">
        <v>300487</v>
      </c>
      <c r="J204" s="182">
        <v>299386</v>
      </c>
      <c r="K204" s="182">
        <v>295201</v>
      </c>
      <c r="L204" s="182">
        <v>295003</v>
      </c>
      <c r="M204" s="182">
        <v>285667</v>
      </c>
      <c r="N204" s="182">
        <v>280846</v>
      </c>
      <c r="O204" s="182">
        <v>277789</v>
      </c>
      <c r="P204" s="182">
        <v>277113</v>
      </c>
      <c r="Q204" s="182">
        <v>280886</v>
      </c>
      <c r="R204" s="182">
        <v>281670</v>
      </c>
      <c r="S204" s="182">
        <v>282592</v>
      </c>
      <c r="T204" s="182">
        <v>283048</v>
      </c>
      <c r="U204" s="182">
        <v>287739</v>
      </c>
      <c r="V204" s="182">
        <v>291177</v>
      </c>
      <c r="W204" s="182">
        <v>300464</v>
      </c>
      <c r="X204" s="182">
        <v>303735</v>
      </c>
      <c r="Y204" s="182">
        <v>310229</v>
      </c>
      <c r="Z204" s="182">
        <v>316495</v>
      </c>
      <c r="AA204" s="182">
        <v>328739</v>
      </c>
      <c r="AB204" s="182">
        <v>340933</v>
      </c>
      <c r="AC204" s="182">
        <v>340606</v>
      </c>
      <c r="AD204" s="182">
        <v>339795</v>
      </c>
      <c r="AE204" s="182">
        <v>340836</v>
      </c>
      <c r="AF204" s="182">
        <v>345080</v>
      </c>
      <c r="AG204" s="182">
        <v>348092</v>
      </c>
      <c r="AH204" s="182">
        <v>346595</v>
      </c>
      <c r="AI204" s="182">
        <v>348207</v>
      </c>
      <c r="AJ204" s="182">
        <v>339202</v>
      </c>
      <c r="AK204" s="182">
        <v>332903</v>
      </c>
      <c r="AL204" s="182">
        <v>320346</v>
      </c>
      <c r="AM204" s="182">
        <v>314125</v>
      </c>
      <c r="AN204" s="182">
        <v>307996</v>
      </c>
      <c r="AO204" s="182">
        <v>306938</v>
      </c>
      <c r="AP204" s="182">
        <v>307376</v>
      </c>
      <c r="AQ204" s="182">
        <v>312009</v>
      </c>
      <c r="AR204" s="182">
        <v>318933</v>
      </c>
      <c r="AS204" s="182">
        <v>327268</v>
      </c>
      <c r="AT204" s="182">
        <v>340909</v>
      </c>
      <c r="AU204" s="182">
        <v>346082</v>
      </c>
      <c r="AV204" s="182">
        <v>327261</v>
      </c>
      <c r="AW204" s="182">
        <v>322728</v>
      </c>
      <c r="AX204" s="182">
        <v>309860</v>
      </c>
      <c r="AY204" s="182">
        <v>302369</v>
      </c>
      <c r="AZ204" s="182">
        <v>301513</v>
      </c>
      <c r="BA204" s="182">
        <v>304359</v>
      </c>
      <c r="BB204" s="182">
        <v>312380</v>
      </c>
      <c r="BC204" s="182">
        <v>315642</v>
      </c>
      <c r="BD204" s="182">
        <v>315491</v>
      </c>
      <c r="BE204" s="182">
        <v>314404</v>
      </c>
      <c r="BF204" s="182">
        <v>303715</v>
      </c>
      <c r="BG204" s="182">
        <v>299213</v>
      </c>
      <c r="BH204" s="182">
        <v>291941</v>
      </c>
      <c r="BI204" s="182">
        <v>284918</v>
      </c>
      <c r="BJ204" s="182">
        <v>280800</v>
      </c>
      <c r="BK204" s="182">
        <v>272464</v>
      </c>
      <c r="BL204" s="182">
        <v>264013</v>
      </c>
      <c r="BM204" s="182">
        <v>260962</v>
      </c>
      <c r="BN204" s="182">
        <v>251807</v>
      </c>
      <c r="BO204" s="182">
        <v>248316</v>
      </c>
      <c r="BP204" s="182">
        <v>243439</v>
      </c>
      <c r="BQ204" s="182">
        <v>236405</v>
      </c>
      <c r="BR204" s="182">
        <v>237919</v>
      </c>
      <c r="BS204" s="182">
        <v>246222</v>
      </c>
      <c r="BT204" s="182">
        <v>207980</v>
      </c>
      <c r="BU204" s="182">
        <v>199349</v>
      </c>
      <c r="BV204" s="182">
        <v>189540</v>
      </c>
      <c r="BW204" s="182">
        <v>170672</v>
      </c>
      <c r="BX204" s="182">
        <v>166813</v>
      </c>
      <c r="BY204" s="182">
        <v>154681</v>
      </c>
      <c r="BZ204" s="182">
        <v>148246</v>
      </c>
      <c r="CA204" s="182">
        <v>140639</v>
      </c>
      <c r="CB204" s="182">
        <v>132153</v>
      </c>
      <c r="CC204" s="182">
        <v>125568</v>
      </c>
      <c r="CD204" s="182">
        <v>118897</v>
      </c>
      <c r="CE204" s="182">
        <v>109874</v>
      </c>
      <c r="CF204" s="182">
        <v>103095</v>
      </c>
      <c r="CG204" s="182">
        <v>98153</v>
      </c>
      <c r="CH204" s="182">
        <v>92794</v>
      </c>
      <c r="CI204" s="182">
        <v>91367</v>
      </c>
      <c r="CJ204" s="182">
        <v>85852</v>
      </c>
      <c r="CK204" s="182">
        <v>78565</v>
      </c>
      <c r="CL204" s="182">
        <v>72169</v>
      </c>
      <c r="CM204" s="182">
        <v>64693</v>
      </c>
      <c r="CN204" s="182">
        <v>57758</v>
      </c>
      <c r="CO204" s="182">
        <v>50300</v>
      </c>
      <c r="CP204" s="182">
        <v>42893</v>
      </c>
      <c r="CQ204" s="182">
        <v>35795</v>
      </c>
      <c r="CR204" s="182">
        <v>30122</v>
      </c>
      <c r="CS204" s="182">
        <v>23929</v>
      </c>
      <c r="CT204" s="182">
        <v>17994</v>
      </c>
      <c r="CU204" s="182">
        <v>11960</v>
      </c>
      <c r="CV204" s="182">
        <v>9180</v>
      </c>
      <c r="CW204" s="182">
        <v>6913</v>
      </c>
      <c r="CX204" s="182">
        <v>5037</v>
      </c>
      <c r="CY204" s="182">
        <v>3620</v>
      </c>
      <c r="CZ204" s="182">
        <v>2326</v>
      </c>
      <c r="DA204" s="182">
        <v>3938</v>
      </c>
      <c r="DB204" s="183">
        <f t="shared" ref="DB204:DB219" si="60">SUM(E204:DA204)</f>
        <v>23119257</v>
      </c>
      <c r="DC204" s="184">
        <f t="shared" ref="DC204:DC219" si="61">DB204/1000000</f>
        <v>23.119257000000001</v>
      </c>
      <c r="DD204" s="186">
        <f>(DC204-DC203)/DC203</f>
        <v>1.7483588038814432E-2</v>
      </c>
    </row>
    <row r="205" spans="1:108" x14ac:dyDescent="0.2">
      <c r="A205" s="652"/>
      <c r="B205" s="180"/>
      <c r="C205" s="180"/>
      <c r="D205" s="181">
        <v>2014</v>
      </c>
      <c r="E205" s="182">
        <v>314086</v>
      </c>
      <c r="F205" s="182">
        <v>311408</v>
      </c>
      <c r="G205" s="182">
        <v>311163</v>
      </c>
      <c r="H205" s="182">
        <v>300709</v>
      </c>
      <c r="I205" s="182">
        <v>306194</v>
      </c>
      <c r="J205" s="182">
        <v>304277</v>
      </c>
      <c r="K205" s="182">
        <v>302887</v>
      </c>
      <c r="L205" s="182">
        <v>298363</v>
      </c>
      <c r="M205" s="182">
        <v>298021</v>
      </c>
      <c r="N205" s="182">
        <v>288626</v>
      </c>
      <c r="O205" s="182">
        <v>283699</v>
      </c>
      <c r="P205" s="182">
        <v>280545</v>
      </c>
      <c r="Q205" s="182">
        <v>279846</v>
      </c>
      <c r="R205" s="182">
        <v>283577</v>
      </c>
      <c r="S205" s="182">
        <v>284402</v>
      </c>
      <c r="T205" s="182">
        <v>285836</v>
      </c>
      <c r="U205" s="182">
        <v>287173</v>
      </c>
      <c r="V205" s="182">
        <v>292851</v>
      </c>
      <c r="W205" s="182">
        <v>298083</v>
      </c>
      <c r="X205" s="182">
        <v>309575</v>
      </c>
      <c r="Y205" s="182">
        <v>313593</v>
      </c>
      <c r="Z205" s="182">
        <v>319380</v>
      </c>
      <c r="AA205" s="182">
        <v>325584</v>
      </c>
      <c r="AB205" s="182">
        <v>338271</v>
      </c>
      <c r="AC205" s="182">
        <v>349429</v>
      </c>
      <c r="AD205" s="182">
        <v>347666</v>
      </c>
      <c r="AE205" s="182">
        <v>346437</v>
      </c>
      <c r="AF205" s="182">
        <v>347601</v>
      </c>
      <c r="AG205" s="182">
        <v>352122</v>
      </c>
      <c r="AH205" s="182">
        <v>355373</v>
      </c>
      <c r="AI205" s="182">
        <v>353760</v>
      </c>
      <c r="AJ205" s="182">
        <v>354569</v>
      </c>
      <c r="AK205" s="182">
        <v>344643</v>
      </c>
      <c r="AL205" s="182">
        <v>337862</v>
      </c>
      <c r="AM205" s="182">
        <v>324957</v>
      </c>
      <c r="AN205" s="182">
        <v>318429</v>
      </c>
      <c r="AO205" s="182">
        <v>312018</v>
      </c>
      <c r="AP205" s="182">
        <v>310630</v>
      </c>
      <c r="AQ205" s="182">
        <v>310870</v>
      </c>
      <c r="AR205" s="182">
        <v>315390</v>
      </c>
      <c r="AS205" s="182">
        <v>322104</v>
      </c>
      <c r="AT205" s="182">
        <v>330187</v>
      </c>
      <c r="AU205" s="182">
        <v>343590</v>
      </c>
      <c r="AV205" s="182">
        <v>348492</v>
      </c>
      <c r="AW205" s="182">
        <v>329240</v>
      </c>
      <c r="AX205" s="182">
        <v>324245</v>
      </c>
      <c r="AY205" s="182">
        <v>311132</v>
      </c>
      <c r="AZ205" s="182">
        <v>303477</v>
      </c>
      <c r="BA205" s="182">
        <v>302451</v>
      </c>
      <c r="BB205" s="182">
        <v>305085</v>
      </c>
      <c r="BC205" s="182">
        <v>312902</v>
      </c>
      <c r="BD205" s="182">
        <v>316010</v>
      </c>
      <c r="BE205" s="182">
        <v>315709</v>
      </c>
      <c r="BF205" s="182">
        <v>314537</v>
      </c>
      <c r="BG205" s="182">
        <v>303755</v>
      </c>
      <c r="BH205" s="182">
        <v>299013</v>
      </c>
      <c r="BI205" s="182">
        <v>291555</v>
      </c>
      <c r="BJ205" s="182">
        <v>284468</v>
      </c>
      <c r="BK205" s="182">
        <v>280272</v>
      </c>
      <c r="BL205" s="182">
        <v>271864</v>
      </c>
      <c r="BM205" s="182">
        <v>263324</v>
      </c>
      <c r="BN205" s="182">
        <v>260109</v>
      </c>
      <c r="BO205" s="182">
        <v>250820</v>
      </c>
      <c r="BP205" s="182">
        <v>247179</v>
      </c>
      <c r="BQ205" s="182">
        <v>242115</v>
      </c>
      <c r="BR205" s="182">
        <v>234853</v>
      </c>
      <c r="BS205" s="182">
        <v>236112</v>
      </c>
      <c r="BT205" s="182">
        <v>244142</v>
      </c>
      <c r="BU205" s="182">
        <v>206042</v>
      </c>
      <c r="BV205" s="182">
        <v>197253</v>
      </c>
      <c r="BW205" s="182">
        <v>187289</v>
      </c>
      <c r="BX205" s="182">
        <v>168422</v>
      </c>
      <c r="BY205" s="182">
        <v>164353</v>
      </c>
      <c r="BZ205" s="182">
        <v>152129</v>
      </c>
      <c r="CA205" s="182">
        <v>145508</v>
      </c>
      <c r="CB205" s="182">
        <v>137732</v>
      </c>
      <c r="CC205" s="182">
        <v>129082</v>
      </c>
      <c r="CD205" s="182">
        <v>122288</v>
      </c>
      <c r="CE205" s="182">
        <v>115416</v>
      </c>
      <c r="CF205" s="182">
        <v>106237</v>
      </c>
      <c r="CG205" s="182">
        <v>99216</v>
      </c>
      <c r="CH205" s="182">
        <v>93967</v>
      </c>
      <c r="CI205" s="182">
        <v>88291</v>
      </c>
      <c r="CJ205" s="182">
        <v>86324</v>
      </c>
      <c r="CK205" s="182">
        <v>80473</v>
      </c>
      <c r="CL205" s="182">
        <v>72991</v>
      </c>
      <c r="CM205" s="182">
        <v>66363</v>
      </c>
      <c r="CN205" s="182">
        <v>58808</v>
      </c>
      <c r="CO205" s="182">
        <v>51857</v>
      </c>
      <c r="CP205" s="182">
        <v>44560</v>
      </c>
      <c r="CQ205" s="182">
        <v>37438</v>
      </c>
      <c r="CR205" s="182">
        <v>30755</v>
      </c>
      <c r="CS205" s="182">
        <v>25451</v>
      </c>
      <c r="CT205" s="182">
        <v>19836</v>
      </c>
      <c r="CU205" s="182">
        <v>14574</v>
      </c>
      <c r="CV205" s="182">
        <v>9459</v>
      </c>
      <c r="CW205" s="182">
        <v>7099</v>
      </c>
      <c r="CX205" s="182">
        <v>5240</v>
      </c>
      <c r="CY205" s="182">
        <v>3748</v>
      </c>
      <c r="CZ205" s="182">
        <v>2643</v>
      </c>
      <c r="DA205" s="182">
        <v>4564</v>
      </c>
      <c r="DB205" s="183">
        <f t="shared" si="60"/>
        <v>23524055</v>
      </c>
      <c r="DC205" s="184">
        <f t="shared" si="61"/>
        <v>23.524055000000001</v>
      </c>
      <c r="DD205" s="186">
        <f t="shared" ref="DD205:DD219" si="62">(DC205-DC204)/DC204</f>
        <v>1.7509126699011113E-2</v>
      </c>
    </row>
    <row r="206" spans="1:108" x14ac:dyDescent="0.2">
      <c r="A206" s="652"/>
      <c r="B206" s="180"/>
      <c r="C206" s="180"/>
      <c r="D206" s="181">
        <v>2015</v>
      </c>
      <c r="E206" s="182">
        <v>318901</v>
      </c>
      <c r="F206" s="182">
        <v>316178</v>
      </c>
      <c r="G206" s="182">
        <v>315335</v>
      </c>
      <c r="H206" s="182">
        <v>315310</v>
      </c>
      <c r="I206" s="182">
        <v>304793</v>
      </c>
      <c r="J206" s="182">
        <v>310125</v>
      </c>
      <c r="K206" s="182">
        <v>307907</v>
      </c>
      <c r="L206" s="182">
        <v>306166</v>
      </c>
      <c r="M206" s="182">
        <v>301495</v>
      </c>
      <c r="N206" s="182">
        <v>301090</v>
      </c>
      <c r="O206" s="182">
        <v>291587</v>
      </c>
      <c r="P206" s="182">
        <v>286557</v>
      </c>
      <c r="Q206" s="182">
        <v>283380</v>
      </c>
      <c r="R206" s="182">
        <v>282639</v>
      </c>
      <c r="S206" s="182">
        <v>286414</v>
      </c>
      <c r="T206" s="182">
        <v>287772</v>
      </c>
      <c r="U206" s="182">
        <v>290116</v>
      </c>
      <c r="V206" s="182">
        <v>292484</v>
      </c>
      <c r="W206" s="182">
        <v>300021</v>
      </c>
      <c r="X206" s="182">
        <v>307541</v>
      </c>
      <c r="Y206" s="182">
        <v>319806</v>
      </c>
      <c r="Z206" s="182">
        <v>323092</v>
      </c>
      <c r="AA206" s="182">
        <v>328814</v>
      </c>
      <c r="AB206" s="182">
        <v>335477</v>
      </c>
      <c r="AC206" s="182">
        <v>347094</v>
      </c>
      <c r="AD206" s="182">
        <v>356759</v>
      </c>
      <c r="AE206" s="182">
        <v>354561</v>
      </c>
      <c r="AF206" s="182">
        <v>353461</v>
      </c>
      <c r="AG206" s="182">
        <v>354913</v>
      </c>
      <c r="AH206" s="182">
        <v>359685</v>
      </c>
      <c r="AI206" s="182">
        <v>362809</v>
      </c>
      <c r="AJ206" s="182">
        <v>360367</v>
      </c>
      <c r="AK206" s="182">
        <v>360215</v>
      </c>
      <c r="AL206" s="182">
        <v>349790</v>
      </c>
      <c r="AM206" s="182">
        <v>342644</v>
      </c>
      <c r="AN206" s="182">
        <v>329423</v>
      </c>
      <c r="AO206" s="182">
        <v>322606</v>
      </c>
      <c r="AP206" s="182">
        <v>315857</v>
      </c>
      <c r="AQ206" s="182">
        <v>314267</v>
      </c>
      <c r="AR206" s="182">
        <v>314393</v>
      </c>
      <c r="AS206" s="182">
        <v>318701</v>
      </c>
      <c r="AT206" s="182">
        <v>325155</v>
      </c>
      <c r="AU206" s="182">
        <v>332999</v>
      </c>
      <c r="AV206" s="182">
        <v>346114</v>
      </c>
      <c r="AW206" s="182">
        <v>350538</v>
      </c>
      <c r="AX206" s="182">
        <v>330825</v>
      </c>
      <c r="AY206" s="182">
        <v>325568</v>
      </c>
      <c r="AZ206" s="182">
        <v>312295</v>
      </c>
      <c r="BA206" s="182">
        <v>304477</v>
      </c>
      <c r="BB206" s="182">
        <v>303240</v>
      </c>
      <c r="BC206" s="182">
        <v>305679</v>
      </c>
      <c r="BD206" s="182">
        <v>313328</v>
      </c>
      <c r="BE206" s="182">
        <v>316282</v>
      </c>
      <c r="BF206" s="182">
        <v>315892</v>
      </c>
      <c r="BG206" s="182">
        <v>314597</v>
      </c>
      <c r="BH206" s="182">
        <v>303590</v>
      </c>
      <c r="BI206" s="182">
        <v>298649</v>
      </c>
      <c r="BJ206" s="182">
        <v>291131</v>
      </c>
      <c r="BK206" s="182">
        <v>283977</v>
      </c>
      <c r="BL206" s="182">
        <v>279688</v>
      </c>
      <c r="BM206" s="182">
        <v>271191</v>
      </c>
      <c r="BN206" s="182">
        <v>262518</v>
      </c>
      <c r="BO206" s="182">
        <v>259133</v>
      </c>
      <c r="BP206" s="182">
        <v>249730</v>
      </c>
      <c r="BQ206" s="182">
        <v>245892</v>
      </c>
      <c r="BR206" s="182">
        <v>240585</v>
      </c>
      <c r="BS206" s="182">
        <v>233141</v>
      </c>
      <c r="BT206" s="182">
        <v>234200</v>
      </c>
      <c r="BU206" s="182">
        <v>241920</v>
      </c>
      <c r="BV206" s="182">
        <v>203946</v>
      </c>
      <c r="BW206" s="182">
        <v>194988</v>
      </c>
      <c r="BX206" s="182">
        <v>184893</v>
      </c>
      <c r="BY206" s="182">
        <v>166026</v>
      </c>
      <c r="BZ206" s="182">
        <v>161723</v>
      </c>
      <c r="CA206" s="182">
        <v>149407</v>
      </c>
      <c r="CB206" s="182">
        <v>142586</v>
      </c>
      <c r="CC206" s="182">
        <v>134620</v>
      </c>
      <c r="CD206" s="182">
        <v>125801</v>
      </c>
      <c r="CE206" s="182">
        <v>118783</v>
      </c>
      <c r="CF206" s="182">
        <v>111678</v>
      </c>
      <c r="CG206" s="182">
        <v>102339</v>
      </c>
      <c r="CH206" s="182">
        <v>95071</v>
      </c>
      <c r="CI206" s="182">
        <v>89503</v>
      </c>
      <c r="CJ206" s="182">
        <v>83509</v>
      </c>
      <c r="CK206" s="182">
        <v>81012</v>
      </c>
      <c r="CL206" s="182">
        <v>74854</v>
      </c>
      <c r="CM206" s="182">
        <v>67198</v>
      </c>
      <c r="CN206" s="182">
        <v>60402</v>
      </c>
      <c r="CO206" s="182">
        <v>52865</v>
      </c>
      <c r="CP206" s="182">
        <v>45989</v>
      </c>
      <c r="CQ206" s="182">
        <v>38944</v>
      </c>
      <c r="CR206" s="182">
        <v>32202</v>
      </c>
      <c r="CS206" s="182">
        <v>26018</v>
      </c>
      <c r="CT206" s="182">
        <v>21117</v>
      </c>
      <c r="CU206" s="182">
        <v>16081</v>
      </c>
      <c r="CV206" s="182">
        <v>11528</v>
      </c>
      <c r="CW206" s="182">
        <v>7316</v>
      </c>
      <c r="CX206" s="182">
        <v>5382</v>
      </c>
      <c r="CY206" s="182">
        <v>3899</v>
      </c>
      <c r="CZ206" s="182">
        <v>2736</v>
      </c>
      <c r="DA206" s="182">
        <v>5257</v>
      </c>
      <c r="DB206" s="183">
        <f t="shared" si="60"/>
        <v>23940552</v>
      </c>
      <c r="DC206" s="184">
        <f t="shared" si="61"/>
        <v>23.940552</v>
      </c>
      <c r="DD206" s="186">
        <f t="shared" si="62"/>
        <v>1.7705153299463025E-2</v>
      </c>
    </row>
    <row r="207" spans="1:108" x14ac:dyDescent="0.2">
      <c r="A207" s="652"/>
      <c r="B207" s="180"/>
      <c r="C207" s="180"/>
      <c r="D207" s="181">
        <v>2016</v>
      </c>
      <c r="E207" s="182">
        <v>323664</v>
      </c>
      <c r="F207" s="182">
        <v>320996</v>
      </c>
      <c r="G207" s="182">
        <v>320104</v>
      </c>
      <c r="H207" s="182">
        <v>319483</v>
      </c>
      <c r="I207" s="182">
        <v>319394</v>
      </c>
      <c r="J207" s="182">
        <v>308726</v>
      </c>
      <c r="K207" s="182">
        <v>313757</v>
      </c>
      <c r="L207" s="182">
        <v>311185</v>
      </c>
      <c r="M207" s="182">
        <v>309299</v>
      </c>
      <c r="N207" s="182">
        <v>304567</v>
      </c>
      <c r="O207" s="182">
        <v>304051</v>
      </c>
      <c r="P207" s="182">
        <v>294446</v>
      </c>
      <c r="Q207" s="182">
        <v>289392</v>
      </c>
      <c r="R207" s="182">
        <v>286175</v>
      </c>
      <c r="S207" s="182">
        <v>285476</v>
      </c>
      <c r="T207" s="182">
        <v>289786</v>
      </c>
      <c r="U207" s="182">
        <v>292055</v>
      </c>
      <c r="V207" s="182">
        <v>295428</v>
      </c>
      <c r="W207" s="182">
        <v>299659</v>
      </c>
      <c r="X207" s="182">
        <v>309485</v>
      </c>
      <c r="Y207" s="182">
        <v>317776</v>
      </c>
      <c r="Z207" s="182">
        <v>329306</v>
      </c>
      <c r="AA207" s="182">
        <v>332529</v>
      </c>
      <c r="AB207" s="182">
        <v>338714</v>
      </c>
      <c r="AC207" s="182">
        <v>344307</v>
      </c>
      <c r="AD207" s="182">
        <v>354427</v>
      </c>
      <c r="AE207" s="182">
        <v>363655</v>
      </c>
      <c r="AF207" s="182">
        <v>361590</v>
      </c>
      <c r="AG207" s="182">
        <v>360776</v>
      </c>
      <c r="AH207" s="182">
        <v>362477</v>
      </c>
      <c r="AI207" s="182">
        <v>367126</v>
      </c>
      <c r="AJ207" s="182">
        <v>369417</v>
      </c>
      <c r="AK207" s="182">
        <v>366014</v>
      </c>
      <c r="AL207" s="182">
        <v>365357</v>
      </c>
      <c r="AM207" s="182">
        <v>354569</v>
      </c>
      <c r="AN207" s="182">
        <v>347105</v>
      </c>
      <c r="AO207" s="182">
        <v>333594</v>
      </c>
      <c r="AP207" s="182">
        <v>326439</v>
      </c>
      <c r="AQ207" s="182">
        <v>319492</v>
      </c>
      <c r="AR207" s="182">
        <v>317790</v>
      </c>
      <c r="AS207" s="182">
        <v>317709</v>
      </c>
      <c r="AT207" s="182">
        <v>321760</v>
      </c>
      <c r="AU207" s="182">
        <v>327979</v>
      </c>
      <c r="AV207" s="182">
        <v>335539</v>
      </c>
      <c r="AW207" s="182">
        <v>348168</v>
      </c>
      <c r="AX207" s="182">
        <v>352102</v>
      </c>
      <c r="AY207" s="182">
        <v>332140</v>
      </c>
      <c r="AZ207" s="182">
        <v>326709</v>
      </c>
      <c r="BA207" s="182">
        <v>313286</v>
      </c>
      <c r="BB207" s="182">
        <v>305270</v>
      </c>
      <c r="BC207" s="182">
        <v>303846</v>
      </c>
      <c r="BD207" s="182">
        <v>306131</v>
      </c>
      <c r="BE207" s="182">
        <v>313618</v>
      </c>
      <c r="BF207" s="182">
        <v>316475</v>
      </c>
      <c r="BG207" s="182">
        <v>315962</v>
      </c>
      <c r="BH207" s="182">
        <v>314417</v>
      </c>
      <c r="BI207" s="182">
        <v>303232</v>
      </c>
      <c r="BJ207" s="182">
        <v>298221</v>
      </c>
      <c r="BK207" s="182">
        <v>290640</v>
      </c>
      <c r="BL207" s="182">
        <v>283408</v>
      </c>
      <c r="BM207" s="182">
        <v>279011</v>
      </c>
      <c r="BN207" s="182">
        <v>270382</v>
      </c>
      <c r="BO207" s="182">
        <v>261571</v>
      </c>
      <c r="BP207" s="182">
        <v>258039</v>
      </c>
      <c r="BQ207" s="182">
        <v>248475</v>
      </c>
      <c r="BR207" s="182">
        <v>244389</v>
      </c>
      <c r="BS207" s="182">
        <v>238889</v>
      </c>
      <c r="BT207" s="182">
        <v>231324</v>
      </c>
      <c r="BU207" s="182">
        <v>232151</v>
      </c>
      <c r="BV207" s="182">
        <v>239514</v>
      </c>
      <c r="BW207" s="182">
        <v>201674</v>
      </c>
      <c r="BX207" s="182">
        <v>192570</v>
      </c>
      <c r="BY207" s="182">
        <v>182335</v>
      </c>
      <c r="BZ207" s="182">
        <v>163455</v>
      </c>
      <c r="CA207" s="182">
        <v>158911</v>
      </c>
      <c r="CB207" s="182">
        <v>146493</v>
      </c>
      <c r="CC207" s="182">
        <v>139451</v>
      </c>
      <c r="CD207" s="182">
        <v>131289</v>
      </c>
      <c r="CE207" s="182">
        <v>122288</v>
      </c>
      <c r="CF207" s="182">
        <v>115012</v>
      </c>
      <c r="CG207" s="182">
        <v>107666</v>
      </c>
      <c r="CH207" s="182">
        <v>98164</v>
      </c>
      <c r="CI207" s="182">
        <v>90642</v>
      </c>
      <c r="CJ207" s="182">
        <v>84751</v>
      </c>
      <c r="CK207" s="182">
        <v>78459</v>
      </c>
      <c r="CL207" s="182">
        <v>75447</v>
      </c>
      <c r="CM207" s="182">
        <v>68998</v>
      </c>
      <c r="CN207" s="182">
        <v>61234</v>
      </c>
      <c r="CO207" s="182">
        <v>54368</v>
      </c>
      <c r="CP207" s="182">
        <v>46941</v>
      </c>
      <c r="CQ207" s="182">
        <v>40237</v>
      </c>
      <c r="CR207" s="182">
        <v>33539</v>
      </c>
      <c r="CS207" s="182">
        <v>27269</v>
      </c>
      <c r="CT207" s="182">
        <v>21610</v>
      </c>
      <c r="CU207" s="182">
        <v>17129</v>
      </c>
      <c r="CV207" s="182">
        <v>12729</v>
      </c>
      <c r="CW207" s="182">
        <v>8917</v>
      </c>
      <c r="CX207" s="182">
        <v>5547</v>
      </c>
      <c r="CY207" s="182">
        <v>4006</v>
      </c>
      <c r="CZ207" s="182">
        <v>2847</v>
      </c>
      <c r="DA207" s="182">
        <v>5838</v>
      </c>
      <c r="DB207" s="183">
        <f t="shared" si="60"/>
        <v>24359761</v>
      </c>
      <c r="DC207" s="184">
        <f t="shared" si="61"/>
        <v>24.359760999999999</v>
      </c>
      <c r="DD207" s="186">
        <f t="shared" si="62"/>
        <v>1.751041496453376E-2</v>
      </c>
    </row>
    <row r="208" spans="1:108" x14ac:dyDescent="0.2">
      <c r="A208" s="652"/>
      <c r="B208" s="180"/>
      <c r="C208" s="180"/>
      <c r="D208" s="181">
        <v>2017</v>
      </c>
      <c r="E208" s="187">
        <v>306666</v>
      </c>
      <c r="F208" s="187">
        <v>321089</v>
      </c>
      <c r="G208" s="187">
        <v>315381</v>
      </c>
      <c r="H208" s="187">
        <v>315227</v>
      </c>
      <c r="I208" s="187">
        <v>320504</v>
      </c>
      <c r="J208" s="187">
        <v>318311</v>
      </c>
      <c r="K208" s="187">
        <v>317914</v>
      </c>
      <c r="L208" s="187">
        <v>319663</v>
      </c>
      <c r="M208" s="187">
        <v>315323</v>
      </c>
      <c r="N208" s="187">
        <v>315665</v>
      </c>
      <c r="O208" s="187">
        <v>312536</v>
      </c>
      <c r="P208" s="187">
        <v>301561</v>
      </c>
      <c r="Q208" s="187">
        <v>290013</v>
      </c>
      <c r="R208" s="187">
        <v>286187</v>
      </c>
      <c r="S208" s="187">
        <v>282927</v>
      </c>
      <c r="T208" s="187">
        <v>283302</v>
      </c>
      <c r="U208" s="187">
        <v>290449</v>
      </c>
      <c r="V208" s="187">
        <v>294371</v>
      </c>
      <c r="W208" s="187">
        <v>301495</v>
      </c>
      <c r="X208" s="187">
        <v>312974</v>
      </c>
      <c r="Y208" s="187">
        <v>322801</v>
      </c>
      <c r="Z208" s="187">
        <v>331820</v>
      </c>
      <c r="AA208" s="187">
        <v>347461</v>
      </c>
      <c r="AB208" s="187">
        <v>356928</v>
      </c>
      <c r="AC208" s="187">
        <v>360233</v>
      </c>
      <c r="AD208" s="187">
        <v>363155</v>
      </c>
      <c r="AE208" s="187">
        <v>370273</v>
      </c>
      <c r="AF208" s="187">
        <v>375949</v>
      </c>
      <c r="AG208" s="187">
        <v>369792</v>
      </c>
      <c r="AH208" s="187">
        <v>369824</v>
      </c>
      <c r="AI208" s="187">
        <v>367179</v>
      </c>
      <c r="AJ208" s="187">
        <v>370856</v>
      </c>
      <c r="AK208" s="187">
        <v>366573</v>
      </c>
      <c r="AL208" s="187">
        <v>365502</v>
      </c>
      <c r="AM208" s="187">
        <v>362773</v>
      </c>
      <c r="AN208" s="187">
        <v>352053</v>
      </c>
      <c r="AO208" s="187">
        <v>343366</v>
      </c>
      <c r="AP208" s="187">
        <v>330208</v>
      </c>
      <c r="AQ208" s="187">
        <v>320473</v>
      </c>
      <c r="AR208" s="187">
        <v>314819</v>
      </c>
      <c r="AS208" s="187">
        <v>313137</v>
      </c>
      <c r="AT208" s="187">
        <v>315790</v>
      </c>
      <c r="AU208" s="187">
        <v>316971</v>
      </c>
      <c r="AV208" s="187">
        <v>326099</v>
      </c>
      <c r="AW208" s="187">
        <v>331912</v>
      </c>
      <c r="AX208" s="187">
        <v>343574</v>
      </c>
      <c r="AY208" s="187">
        <v>347310</v>
      </c>
      <c r="AZ208" s="187">
        <v>326097</v>
      </c>
      <c r="BA208" s="187">
        <v>320679</v>
      </c>
      <c r="BB208" s="187">
        <v>310463</v>
      </c>
      <c r="BC208" s="187">
        <v>302050</v>
      </c>
      <c r="BD208" s="187">
        <v>302792</v>
      </c>
      <c r="BE208" s="187">
        <v>301922</v>
      </c>
      <c r="BF208" s="187">
        <v>313412</v>
      </c>
      <c r="BG208" s="187">
        <v>315496</v>
      </c>
      <c r="BH208" s="187">
        <v>313559</v>
      </c>
      <c r="BI208" s="187">
        <v>311430</v>
      </c>
      <c r="BJ208" s="187">
        <v>300798</v>
      </c>
      <c r="BK208" s="187">
        <v>293044</v>
      </c>
      <c r="BL208" s="187">
        <v>287765</v>
      </c>
      <c r="BM208" s="187">
        <v>279709</v>
      </c>
      <c r="BN208" s="187">
        <v>275412</v>
      </c>
      <c r="BO208" s="187">
        <v>264501</v>
      </c>
      <c r="BP208" s="187">
        <v>257776</v>
      </c>
      <c r="BQ208" s="187">
        <v>254818</v>
      </c>
      <c r="BR208" s="187">
        <v>247422</v>
      </c>
      <c r="BS208" s="187">
        <v>244857</v>
      </c>
      <c r="BT208" s="187">
        <v>238711</v>
      </c>
      <c r="BU208" s="187">
        <v>230951</v>
      </c>
      <c r="BV208" s="187">
        <v>231541</v>
      </c>
      <c r="BW208" s="187">
        <v>236723</v>
      </c>
      <c r="BX208" s="187">
        <v>198438</v>
      </c>
      <c r="BY208" s="187">
        <v>187271</v>
      </c>
      <c r="BZ208" s="187">
        <v>177265</v>
      </c>
      <c r="CA208" s="187">
        <v>158290</v>
      </c>
      <c r="CB208" s="187">
        <v>154963</v>
      </c>
      <c r="CC208" s="187">
        <v>142735</v>
      </c>
      <c r="CD208" s="187">
        <v>135074</v>
      </c>
      <c r="CE208" s="187">
        <v>126480</v>
      </c>
      <c r="CF208" s="187">
        <v>117813</v>
      </c>
      <c r="CG208" s="187">
        <v>110612</v>
      </c>
      <c r="CH208" s="187">
        <v>102396</v>
      </c>
      <c r="CI208" s="187">
        <v>92152</v>
      </c>
      <c r="CJ208" s="187">
        <v>85186</v>
      </c>
      <c r="CK208" s="187">
        <v>78830</v>
      </c>
      <c r="CL208" s="187">
        <v>73105</v>
      </c>
      <c r="CM208" s="187">
        <v>69123</v>
      </c>
      <c r="CN208" s="187">
        <v>62983</v>
      </c>
      <c r="CO208" s="187">
        <v>54342</v>
      </c>
      <c r="CP208" s="187">
        <v>48202</v>
      </c>
      <c r="CQ208" s="187">
        <v>41172</v>
      </c>
      <c r="CR208" s="187">
        <v>35047</v>
      </c>
      <c r="CS208" s="187">
        <v>28269</v>
      </c>
      <c r="CT208" s="187">
        <v>22612</v>
      </c>
      <c r="CU208" s="187">
        <v>17457</v>
      </c>
      <c r="CV208" s="187">
        <v>13452</v>
      </c>
      <c r="CW208" s="187">
        <v>9918</v>
      </c>
      <c r="CX208" s="187">
        <v>6642</v>
      </c>
      <c r="CY208" s="187">
        <v>3863</v>
      </c>
      <c r="CZ208" s="187">
        <v>2911</v>
      </c>
      <c r="DA208" s="187">
        <v>3857</v>
      </c>
      <c r="DB208" s="183">
        <f t="shared" si="60"/>
        <v>24600777</v>
      </c>
      <c r="DC208" s="184">
        <f t="shared" si="61"/>
        <v>24.600777000000001</v>
      </c>
      <c r="DD208" s="186">
        <f t="shared" si="62"/>
        <v>9.8940215382245303E-3</v>
      </c>
    </row>
    <row r="209" spans="1:108" x14ac:dyDescent="0.2">
      <c r="A209" s="652"/>
      <c r="B209" s="180"/>
      <c r="C209" s="180"/>
      <c r="D209" s="181">
        <v>2018</v>
      </c>
      <c r="E209" s="187">
        <v>322814</v>
      </c>
      <c r="F209" s="187">
        <v>308192</v>
      </c>
      <c r="G209" s="187">
        <v>324293</v>
      </c>
      <c r="H209" s="187">
        <v>319063</v>
      </c>
      <c r="I209" s="187">
        <v>319005</v>
      </c>
      <c r="J209" s="187">
        <v>324161</v>
      </c>
      <c r="K209" s="187">
        <v>321579</v>
      </c>
      <c r="L209" s="187">
        <v>320736</v>
      </c>
      <c r="M209" s="187">
        <v>322245</v>
      </c>
      <c r="N209" s="187">
        <v>317831</v>
      </c>
      <c r="O209" s="187">
        <v>318084</v>
      </c>
      <c r="P209" s="187">
        <v>314852</v>
      </c>
      <c r="Q209" s="187">
        <v>303854</v>
      </c>
      <c r="R209" s="187">
        <v>292311</v>
      </c>
      <c r="S209" s="187">
        <v>288774</v>
      </c>
      <c r="T209" s="187">
        <v>286385</v>
      </c>
      <c r="U209" s="187">
        <v>287599</v>
      </c>
      <c r="V209" s="187">
        <v>296285</v>
      </c>
      <c r="W209" s="187">
        <v>304710</v>
      </c>
      <c r="X209" s="187">
        <v>316000</v>
      </c>
      <c r="Y209" s="187">
        <v>326781</v>
      </c>
      <c r="Z209" s="187">
        <v>334594</v>
      </c>
      <c r="AA209" s="187">
        <v>345681</v>
      </c>
      <c r="AB209" s="187">
        <v>364009</v>
      </c>
      <c r="AC209" s="187">
        <v>371203</v>
      </c>
      <c r="AD209" s="187">
        <v>370772</v>
      </c>
      <c r="AE209" s="187">
        <v>372058</v>
      </c>
      <c r="AF209" s="187">
        <v>378399</v>
      </c>
      <c r="AG209" s="187">
        <v>383367</v>
      </c>
      <c r="AH209" s="187">
        <v>376590</v>
      </c>
      <c r="AI209" s="187">
        <v>376031</v>
      </c>
      <c r="AJ209" s="187">
        <v>372508</v>
      </c>
      <c r="AK209" s="187">
        <v>375533</v>
      </c>
      <c r="AL209" s="187">
        <v>371227</v>
      </c>
      <c r="AM209" s="187">
        <v>369946</v>
      </c>
      <c r="AN209" s="187">
        <v>366596</v>
      </c>
      <c r="AO209" s="187">
        <v>355396</v>
      </c>
      <c r="AP209" s="187">
        <v>346351</v>
      </c>
      <c r="AQ209" s="187">
        <v>332864</v>
      </c>
      <c r="AR209" s="187">
        <v>322901</v>
      </c>
      <c r="AS209" s="187">
        <v>317010</v>
      </c>
      <c r="AT209" s="187">
        <v>315006</v>
      </c>
      <c r="AU209" s="187">
        <v>317329</v>
      </c>
      <c r="AV209" s="187">
        <v>318297</v>
      </c>
      <c r="AW209" s="187">
        <v>327240</v>
      </c>
      <c r="AX209" s="187">
        <v>332782</v>
      </c>
      <c r="AY209" s="187">
        <v>344192</v>
      </c>
      <c r="AZ209" s="187">
        <v>347683</v>
      </c>
      <c r="BA209" s="187">
        <v>326230</v>
      </c>
      <c r="BB209" s="187">
        <v>320630</v>
      </c>
      <c r="BC209" s="187">
        <v>310281</v>
      </c>
      <c r="BD209" s="187">
        <v>301744</v>
      </c>
      <c r="BE209" s="187">
        <v>302422</v>
      </c>
      <c r="BF209" s="187">
        <v>301478</v>
      </c>
      <c r="BG209" s="187">
        <v>312833</v>
      </c>
      <c r="BH209" s="187">
        <v>314766</v>
      </c>
      <c r="BI209" s="187">
        <v>312688</v>
      </c>
      <c r="BJ209" s="187">
        <v>310531</v>
      </c>
      <c r="BK209" s="187">
        <v>299927</v>
      </c>
      <c r="BL209" s="187">
        <v>292168</v>
      </c>
      <c r="BM209" s="187">
        <v>286861</v>
      </c>
      <c r="BN209" s="187">
        <v>278779</v>
      </c>
      <c r="BO209" s="187">
        <v>274368</v>
      </c>
      <c r="BP209" s="187">
        <v>263367</v>
      </c>
      <c r="BQ209" s="187">
        <v>256529</v>
      </c>
      <c r="BR209" s="187">
        <v>253303</v>
      </c>
      <c r="BS209" s="187">
        <v>245699</v>
      </c>
      <c r="BT209" s="187">
        <v>242957</v>
      </c>
      <c r="BU209" s="187">
        <v>236627</v>
      </c>
      <c r="BV209" s="187">
        <v>228661</v>
      </c>
      <c r="BW209" s="187">
        <v>228944</v>
      </c>
      <c r="BX209" s="187">
        <v>233732</v>
      </c>
      <c r="BY209" s="187">
        <v>195634</v>
      </c>
      <c r="BZ209" s="187">
        <v>184304</v>
      </c>
      <c r="CA209" s="187">
        <v>174099</v>
      </c>
      <c r="CB209" s="187">
        <v>155125</v>
      </c>
      <c r="CC209" s="187">
        <v>151487</v>
      </c>
      <c r="CD209" s="187">
        <v>139136</v>
      </c>
      <c r="CE209" s="187">
        <v>131249</v>
      </c>
      <c r="CF209" s="187">
        <v>122445</v>
      </c>
      <c r="CG209" s="187">
        <v>113569</v>
      </c>
      <c r="CH209" s="187">
        <v>106101</v>
      </c>
      <c r="CI209" s="187">
        <v>97648</v>
      </c>
      <c r="CJ209" s="187">
        <v>87298</v>
      </c>
      <c r="CK209" s="187">
        <v>80063</v>
      </c>
      <c r="CL209" s="187">
        <v>73415</v>
      </c>
      <c r="CM209" s="187">
        <v>67400</v>
      </c>
      <c r="CN209" s="187">
        <v>63009</v>
      </c>
      <c r="CO209" s="187">
        <v>56653</v>
      </c>
      <c r="CP209" s="187">
        <v>48199</v>
      </c>
      <c r="CQ209" s="187">
        <v>42088</v>
      </c>
      <c r="CR209" s="187">
        <v>35348</v>
      </c>
      <c r="CS209" s="187">
        <v>29532</v>
      </c>
      <c r="CT209" s="187">
        <v>23322</v>
      </c>
      <c r="CU209" s="187">
        <v>18232</v>
      </c>
      <c r="CV209" s="187">
        <v>13742</v>
      </c>
      <c r="CW209" s="187">
        <v>10319</v>
      </c>
      <c r="CX209" s="187">
        <v>7402</v>
      </c>
      <c r="CY209" s="187">
        <v>4824</v>
      </c>
      <c r="CZ209" s="187">
        <v>2735</v>
      </c>
      <c r="DA209" s="187">
        <v>4803</v>
      </c>
      <c r="DB209" s="183">
        <f t="shared" si="60"/>
        <v>25015825</v>
      </c>
      <c r="DC209" s="184">
        <f t="shared" si="61"/>
        <v>25.015825</v>
      </c>
      <c r="DD209" s="186">
        <f t="shared" si="62"/>
        <v>1.6871337031346561E-2</v>
      </c>
    </row>
    <row r="210" spans="1:108" x14ac:dyDescent="0.2">
      <c r="A210" s="652"/>
      <c r="B210" s="180"/>
      <c r="C210" s="180"/>
      <c r="D210" s="181">
        <v>2019</v>
      </c>
      <c r="E210" s="187">
        <v>329586</v>
      </c>
      <c r="F210" s="187">
        <v>324400</v>
      </c>
      <c r="G210" s="187">
        <v>311523</v>
      </c>
      <c r="H210" s="187">
        <v>328120</v>
      </c>
      <c r="I210" s="187">
        <v>322989</v>
      </c>
      <c r="J210" s="187">
        <v>322804</v>
      </c>
      <c r="K210" s="187">
        <v>327557</v>
      </c>
      <c r="L210" s="187">
        <v>324510</v>
      </c>
      <c r="M210" s="187">
        <v>323419</v>
      </c>
      <c r="N210" s="187">
        <v>324851</v>
      </c>
      <c r="O210" s="187">
        <v>320344</v>
      </c>
      <c r="P210" s="187">
        <v>320490</v>
      </c>
      <c r="Q210" s="187">
        <v>317233</v>
      </c>
      <c r="R210" s="187">
        <v>306240</v>
      </c>
      <c r="S210" s="187">
        <v>295000</v>
      </c>
      <c r="T210" s="187">
        <v>292367</v>
      </c>
      <c r="U210" s="187">
        <v>290850</v>
      </c>
      <c r="V210" s="187">
        <v>293663</v>
      </c>
      <c r="W210" s="187">
        <v>307026</v>
      </c>
      <c r="X210" s="187">
        <v>319778</v>
      </c>
      <c r="Y210" s="187">
        <v>330346</v>
      </c>
      <c r="Z210" s="187">
        <v>339032</v>
      </c>
      <c r="AA210" s="187">
        <v>348994</v>
      </c>
      <c r="AB210" s="187">
        <v>362875</v>
      </c>
      <c r="AC210" s="187">
        <v>378838</v>
      </c>
      <c r="AD210" s="187">
        <v>382152</v>
      </c>
      <c r="AE210" s="187">
        <v>380022</v>
      </c>
      <c r="AF210" s="187">
        <v>380506</v>
      </c>
      <c r="AG210" s="187">
        <v>386108</v>
      </c>
      <c r="AH210" s="187">
        <v>390427</v>
      </c>
      <c r="AI210" s="187">
        <v>383042</v>
      </c>
      <c r="AJ210" s="187">
        <v>381572</v>
      </c>
      <c r="AK210" s="187">
        <v>377375</v>
      </c>
      <c r="AL210" s="187">
        <v>380373</v>
      </c>
      <c r="AM210" s="187">
        <v>375851</v>
      </c>
      <c r="AN210" s="187">
        <v>373928</v>
      </c>
      <c r="AO210" s="187">
        <v>370069</v>
      </c>
      <c r="AP210" s="187">
        <v>358498</v>
      </c>
      <c r="AQ210" s="187">
        <v>349108</v>
      </c>
      <c r="AR210" s="187">
        <v>335383</v>
      </c>
      <c r="AS210" s="187">
        <v>325181</v>
      </c>
      <c r="AT210" s="187">
        <v>318960</v>
      </c>
      <c r="AU210" s="187">
        <v>316619</v>
      </c>
      <c r="AV210" s="187">
        <v>318723</v>
      </c>
      <c r="AW210" s="187">
        <v>319513</v>
      </c>
      <c r="AX210" s="187">
        <v>328175</v>
      </c>
      <c r="AY210" s="187">
        <v>333464</v>
      </c>
      <c r="AZ210" s="187">
        <v>344609</v>
      </c>
      <c r="BA210" s="187">
        <v>347802</v>
      </c>
      <c r="BB210" s="187">
        <v>326192</v>
      </c>
      <c r="BC210" s="187">
        <v>320450</v>
      </c>
      <c r="BD210" s="187">
        <v>309976</v>
      </c>
      <c r="BE210" s="187">
        <v>301394</v>
      </c>
      <c r="BF210" s="187">
        <v>301998</v>
      </c>
      <c r="BG210" s="187">
        <v>300956</v>
      </c>
      <c r="BH210" s="187">
        <v>312128</v>
      </c>
      <c r="BI210" s="187">
        <v>313905</v>
      </c>
      <c r="BJ210" s="187">
        <v>311803</v>
      </c>
      <c r="BK210" s="187">
        <v>309643</v>
      </c>
      <c r="BL210" s="187">
        <v>299045</v>
      </c>
      <c r="BM210" s="187">
        <v>291267</v>
      </c>
      <c r="BN210" s="187">
        <v>285924</v>
      </c>
      <c r="BO210" s="187">
        <v>277753</v>
      </c>
      <c r="BP210" s="187">
        <v>273205</v>
      </c>
      <c r="BQ210" s="187">
        <v>262114</v>
      </c>
      <c r="BR210" s="187">
        <v>255040</v>
      </c>
      <c r="BS210" s="187">
        <v>251569</v>
      </c>
      <c r="BT210" s="187">
        <v>243828</v>
      </c>
      <c r="BU210" s="187">
        <v>240870</v>
      </c>
      <c r="BV210" s="187">
        <v>234318</v>
      </c>
      <c r="BW210" s="187">
        <v>226142</v>
      </c>
      <c r="BX210" s="187">
        <v>226102</v>
      </c>
      <c r="BY210" s="187">
        <v>230456</v>
      </c>
      <c r="BZ210" s="187">
        <v>192571</v>
      </c>
      <c r="CA210" s="187">
        <v>181054</v>
      </c>
      <c r="CB210" s="187">
        <v>170651</v>
      </c>
      <c r="CC210" s="187">
        <v>151692</v>
      </c>
      <c r="CD210" s="187">
        <v>147704</v>
      </c>
      <c r="CE210" s="187">
        <v>135238</v>
      </c>
      <c r="CF210" s="187">
        <v>127102</v>
      </c>
      <c r="CG210" s="187">
        <v>118075</v>
      </c>
      <c r="CH210" s="187">
        <v>108981</v>
      </c>
      <c r="CI210" s="187">
        <v>101218</v>
      </c>
      <c r="CJ210" s="187">
        <v>92539</v>
      </c>
      <c r="CK210" s="187">
        <v>82089</v>
      </c>
      <c r="CL210" s="187">
        <v>74593</v>
      </c>
      <c r="CM210" s="187">
        <v>67725</v>
      </c>
      <c r="CN210" s="187">
        <v>61463</v>
      </c>
      <c r="CO210" s="187">
        <v>56711</v>
      </c>
      <c r="CP210" s="187">
        <v>50279</v>
      </c>
      <c r="CQ210" s="187">
        <v>42114</v>
      </c>
      <c r="CR210" s="187">
        <v>36154</v>
      </c>
      <c r="CS210" s="187">
        <v>29811</v>
      </c>
      <c r="CT210" s="187">
        <v>24376</v>
      </c>
      <c r="CU210" s="187">
        <v>18815</v>
      </c>
      <c r="CV210" s="187">
        <v>14356</v>
      </c>
      <c r="CW210" s="187">
        <v>10545</v>
      </c>
      <c r="CX210" s="187">
        <v>7702</v>
      </c>
      <c r="CY210" s="187">
        <v>5378</v>
      </c>
      <c r="CZ210" s="187">
        <v>3420</v>
      </c>
      <c r="DA210" s="187">
        <v>5375</v>
      </c>
      <c r="DB210" s="183">
        <f t="shared" si="60"/>
        <v>25444104</v>
      </c>
      <c r="DC210" s="184">
        <f t="shared" si="61"/>
        <v>25.444103999999999</v>
      </c>
      <c r="DD210" s="186">
        <f t="shared" si="62"/>
        <v>1.7120322835645033E-2</v>
      </c>
    </row>
    <row r="211" spans="1:108" x14ac:dyDescent="0.2">
      <c r="A211" s="652"/>
      <c r="B211" s="180"/>
      <c r="C211" s="180"/>
      <c r="D211" s="181">
        <v>2020</v>
      </c>
      <c r="E211" s="187">
        <v>336184</v>
      </c>
      <c r="F211" s="187">
        <v>331162</v>
      </c>
      <c r="G211" s="187">
        <v>327705</v>
      </c>
      <c r="H211" s="187">
        <v>315323</v>
      </c>
      <c r="I211" s="187">
        <v>332018</v>
      </c>
      <c r="J211" s="187">
        <v>326760</v>
      </c>
      <c r="K211" s="187">
        <v>326177</v>
      </c>
      <c r="L211" s="187">
        <v>330466</v>
      </c>
      <c r="M211" s="187">
        <v>327174</v>
      </c>
      <c r="N211" s="187">
        <v>326005</v>
      </c>
      <c r="O211" s="187">
        <v>327345</v>
      </c>
      <c r="P211" s="187">
        <v>322732</v>
      </c>
      <c r="Q211" s="187">
        <v>322852</v>
      </c>
      <c r="R211" s="187">
        <v>319601</v>
      </c>
      <c r="S211" s="187">
        <v>308908</v>
      </c>
      <c r="T211" s="187">
        <v>298562</v>
      </c>
      <c r="U211" s="187">
        <v>296798</v>
      </c>
      <c r="V211" s="187">
        <v>296870</v>
      </c>
      <c r="W211" s="187">
        <v>304324</v>
      </c>
      <c r="X211" s="187">
        <v>321985</v>
      </c>
      <c r="Y211" s="187">
        <v>334015</v>
      </c>
      <c r="Z211" s="187">
        <v>342508</v>
      </c>
      <c r="AA211" s="187">
        <v>353325</v>
      </c>
      <c r="AB211" s="187">
        <v>366058</v>
      </c>
      <c r="AC211" s="187">
        <v>377598</v>
      </c>
      <c r="AD211" s="187">
        <v>389703</v>
      </c>
      <c r="AE211" s="187">
        <v>391328</v>
      </c>
      <c r="AF211" s="187">
        <v>388404</v>
      </c>
      <c r="AG211" s="187">
        <v>388157</v>
      </c>
      <c r="AH211" s="187">
        <v>393117</v>
      </c>
      <c r="AI211" s="187">
        <v>396826</v>
      </c>
      <c r="AJ211" s="187">
        <v>388537</v>
      </c>
      <c r="AK211" s="187">
        <v>386396</v>
      </c>
      <c r="AL211" s="187">
        <v>382178</v>
      </c>
      <c r="AM211" s="187">
        <v>384955</v>
      </c>
      <c r="AN211" s="187">
        <v>379798</v>
      </c>
      <c r="AO211" s="187">
        <v>377369</v>
      </c>
      <c r="AP211" s="187">
        <v>373138</v>
      </c>
      <c r="AQ211" s="187">
        <v>361225</v>
      </c>
      <c r="AR211" s="187">
        <v>351592</v>
      </c>
      <c r="AS211" s="187">
        <v>337634</v>
      </c>
      <c r="AT211" s="187">
        <v>327109</v>
      </c>
      <c r="AU211" s="187">
        <v>320554</v>
      </c>
      <c r="AV211" s="187">
        <v>318003</v>
      </c>
      <c r="AW211" s="187">
        <v>319925</v>
      </c>
      <c r="AX211" s="187">
        <v>320448</v>
      </c>
      <c r="AY211" s="187">
        <v>328853</v>
      </c>
      <c r="AZ211" s="187">
        <v>333892</v>
      </c>
      <c r="BA211" s="187">
        <v>344732</v>
      </c>
      <c r="BB211" s="187">
        <v>347717</v>
      </c>
      <c r="BC211" s="187">
        <v>325994</v>
      </c>
      <c r="BD211" s="187">
        <v>320118</v>
      </c>
      <c r="BE211" s="187">
        <v>309606</v>
      </c>
      <c r="BF211" s="187">
        <v>300973</v>
      </c>
      <c r="BG211" s="187">
        <v>301477</v>
      </c>
      <c r="BH211" s="187">
        <v>300294</v>
      </c>
      <c r="BI211" s="187">
        <v>311280</v>
      </c>
      <c r="BJ211" s="187">
        <v>313017</v>
      </c>
      <c r="BK211" s="187">
        <v>310907</v>
      </c>
      <c r="BL211" s="187">
        <v>308721</v>
      </c>
      <c r="BM211" s="187">
        <v>298116</v>
      </c>
      <c r="BN211" s="187">
        <v>290314</v>
      </c>
      <c r="BO211" s="187">
        <v>284866</v>
      </c>
      <c r="BP211" s="187">
        <v>276581</v>
      </c>
      <c r="BQ211" s="187">
        <v>271896</v>
      </c>
      <c r="BR211" s="187">
        <v>260599</v>
      </c>
      <c r="BS211" s="187">
        <v>253312</v>
      </c>
      <c r="BT211" s="187">
        <v>249672</v>
      </c>
      <c r="BU211" s="187">
        <v>241759</v>
      </c>
      <c r="BV211" s="187">
        <v>238543</v>
      </c>
      <c r="BW211" s="187">
        <v>231770</v>
      </c>
      <c r="BX211" s="187">
        <v>223376</v>
      </c>
      <c r="BY211" s="187">
        <v>222978</v>
      </c>
      <c r="BZ211" s="187">
        <v>226877</v>
      </c>
      <c r="CA211" s="187">
        <v>189208</v>
      </c>
      <c r="CB211" s="187">
        <v>177510</v>
      </c>
      <c r="CC211" s="187">
        <v>166910</v>
      </c>
      <c r="CD211" s="187">
        <v>147949</v>
      </c>
      <c r="CE211" s="187">
        <v>143603</v>
      </c>
      <c r="CF211" s="187">
        <v>131008</v>
      </c>
      <c r="CG211" s="187">
        <v>122605</v>
      </c>
      <c r="CH211" s="187">
        <v>113346</v>
      </c>
      <c r="CI211" s="187">
        <v>104011</v>
      </c>
      <c r="CJ211" s="187">
        <v>95961</v>
      </c>
      <c r="CK211" s="187">
        <v>87050</v>
      </c>
      <c r="CL211" s="187">
        <v>76520</v>
      </c>
      <c r="CM211" s="187">
        <v>68839</v>
      </c>
      <c r="CN211" s="187">
        <v>61795</v>
      </c>
      <c r="CO211" s="187">
        <v>55341</v>
      </c>
      <c r="CP211" s="187">
        <v>50366</v>
      </c>
      <c r="CQ211" s="187">
        <v>43961</v>
      </c>
      <c r="CR211" s="187">
        <v>36204</v>
      </c>
      <c r="CS211" s="187">
        <v>30506</v>
      </c>
      <c r="CT211" s="187">
        <v>24626</v>
      </c>
      <c r="CU211" s="187">
        <v>19674</v>
      </c>
      <c r="CV211" s="187">
        <v>14823</v>
      </c>
      <c r="CW211" s="187">
        <v>11017</v>
      </c>
      <c r="CX211" s="187">
        <v>7873</v>
      </c>
      <c r="CY211" s="187">
        <v>5596</v>
      </c>
      <c r="CZ211" s="187">
        <v>3819</v>
      </c>
      <c r="DA211" s="187">
        <v>6268</v>
      </c>
      <c r="DB211" s="183">
        <f t="shared" si="60"/>
        <v>25873480</v>
      </c>
      <c r="DC211" s="184">
        <f t="shared" si="61"/>
        <v>25.873480000000001</v>
      </c>
      <c r="DD211" s="186">
        <f t="shared" si="62"/>
        <v>1.687526509088319E-2</v>
      </c>
    </row>
    <row r="212" spans="1:108" x14ac:dyDescent="0.2">
      <c r="A212" s="652"/>
      <c r="B212" s="180"/>
      <c r="C212" s="180"/>
      <c r="D212" s="181">
        <v>2021</v>
      </c>
      <c r="E212" s="187">
        <v>342397</v>
      </c>
      <c r="F212" s="187">
        <v>337730</v>
      </c>
      <c r="G212" s="187">
        <v>334402</v>
      </c>
      <c r="H212" s="187">
        <v>331432</v>
      </c>
      <c r="I212" s="187">
        <v>319150</v>
      </c>
      <c r="J212" s="187">
        <v>335716</v>
      </c>
      <c r="K212" s="187">
        <v>330069</v>
      </c>
      <c r="L212" s="187">
        <v>329031</v>
      </c>
      <c r="M212" s="187">
        <v>333081</v>
      </c>
      <c r="N212" s="187">
        <v>329713</v>
      </c>
      <c r="O212" s="187">
        <v>328454</v>
      </c>
      <c r="P212" s="187">
        <v>329687</v>
      </c>
      <c r="Q212" s="187">
        <v>325051</v>
      </c>
      <c r="R212" s="187">
        <v>325174</v>
      </c>
      <c r="S212" s="187">
        <v>322217</v>
      </c>
      <c r="T212" s="187">
        <v>312403</v>
      </c>
      <c r="U212" s="187">
        <v>302911</v>
      </c>
      <c r="V212" s="187">
        <v>302703</v>
      </c>
      <c r="W212" s="187">
        <v>307331</v>
      </c>
      <c r="X212" s="187">
        <v>319002</v>
      </c>
      <c r="Y212" s="187">
        <v>335954</v>
      </c>
      <c r="Z212" s="187">
        <v>345950</v>
      </c>
      <c r="AA212" s="187">
        <v>356532</v>
      </c>
      <c r="AB212" s="187">
        <v>370069</v>
      </c>
      <c r="AC212" s="187">
        <v>380503</v>
      </c>
      <c r="AD212" s="187">
        <v>388264</v>
      </c>
      <c r="AE212" s="187">
        <v>398705</v>
      </c>
      <c r="AF212" s="187">
        <v>399552</v>
      </c>
      <c r="AG212" s="187">
        <v>395909</v>
      </c>
      <c r="AH212" s="187">
        <v>395032</v>
      </c>
      <c r="AI212" s="187">
        <v>399391</v>
      </c>
      <c r="AJ212" s="187">
        <v>402207</v>
      </c>
      <c r="AK212" s="187">
        <v>393264</v>
      </c>
      <c r="AL212" s="187">
        <v>391103</v>
      </c>
      <c r="AM212" s="187">
        <v>386673</v>
      </c>
      <c r="AN212" s="187">
        <v>388817</v>
      </c>
      <c r="AO212" s="187">
        <v>383169</v>
      </c>
      <c r="AP212" s="187">
        <v>380368</v>
      </c>
      <c r="AQ212" s="187">
        <v>375797</v>
      </c>
      <c r="AR212" s="187">
        <v>363650</v>
      </c>
      <c r="AS212" s="187">
        <v>353780</v>
      </c>
      <c r="AT212" s="187">
        <v>339508</v>
      </c>
      <c r="AU212" s="187">
        <v>328658</v>
      </c>
      <c r="AV212" s="187">
        <v>321898</v>
      </c>
      <c r="AW212" s="187">
        <v>319178</v>
      </c>
      <c r="AX212" s="187">
        <v>320837</v>
      </c>
      <c r="AY212" s="187">
        <v>321118</v>
      </c>
      <c r="AZ212" s="187">
        <v>329271</v>
      </c>
      <c r="BA212" s="187">
        <v>334022</v>
      </c>
      <c r="BB212" s="187">
        <v>344643</v>
      </c>
      <c r="BC212" s="187">
        <v>347464</v>
      </c>
      <c r="BD212" s="187">
        <v>325641</v>
      </c>
      <c r="BE212" s="187">
        <v>319717</v>
      </c>
      <c r="BF212" s="187">
        <v>309159</v>
      </c>
      <c r="BG212" s="187">
        <v>300454</v>
      </c>
      <c r="BH212" s="187">
        <v>300814</v>
      </c>
      <c r="BI212" s="187">
        <v>299489</v>
      </c>
      <c r="BJ212" s="187">
        <v>310407</v>
      </c>
      <c r="BK212" s="187">
        <v>312122</v>
      </c>
      <c r="BL212" s="187">
        <v>309979</v>
      </c>
      <c r="BM212" s="187">
        <v>307746</v>
      </c>
      <c r="BN212" s="187">
        <v>297131</v>
      </c>
      <c r="BO212" s="187">
        <v>289239</v>
      </c>
      <c r="BP212" s="187">
        <v>283663</v>
      </c>
      <c r="BQ212" s="187">
        <v>275268</v>
      </c>
      <c r="BR212" s="187">
        <v>270329</v>
      </c>
      <c r="BS212" s="187">
        <v>258853</v>
      </c>
      <c r="BT212" s="187">
        <v>251431</v>
      </c>
      <c r="BU212" s="187">
        <v>247586</v>
      </c>
      <c r="BV212" s="187">
        <v>239468</v>
      </c>
      <c r="BW212" s="187">
        <v>235994</v>
      </c>
      <c r="BX212" s="187">
        <v>228988</v>
      </c>
      <c r="BY212" s="187">
        <v>220354</v>
      </c>
      <c r="BZ212" s="187">
        <v>219585</v>
      </c>
      <c r="CA212" s="187">
        <v>222983</v>
      </c>
      <c r="CB212" s="187">
        <v>185569</v>
      </c>
      <c r="CC212" s="187">
        <v>173687</v>
      </c>
      <c r="CD212" s="187">
        <v>162857</v>
      </c>
      <c r="CE212" s="187">
        <v>143913</v>
      </c>
      <c r="CF212" s="187">
        <v>139176</v>
      </c>
      <c r="CG212" s="187">
        <v>126441</v>
      </c>
      <c r="CH212" s="187">
        <v>117758</v>
      </c>
      <c r="CI212" s="187">
        <v>108241</v>
      </c>
      <c r="CJ212" s="187">
        <v>98677</v>
      </c>
      <c r="CK212" s="187">
        <v>90333</v>
      </c>
      <c r="CL212" s="187">
        <v>81202</v>
      </c>
      <c r="CM212" s="187">
        <v>70675</v>
      </c>
      <c r="CN212" s="187">
        <v>62857</v>
      </c>
      <c r="CO212" s="187">
        <v>55695</v>
      </c>
      <c r="CP212" s="187">
        <v>49190</v>
      </c>
      <c r="CQ212" s="187">
        <v>44089</v>
      </c>
      <c r="CR212" s="187">
        <v>37837</v>
      </c>
      <c r="CS212" s="187">
        <v>30588</v>
      </c>
      <c r="CT212" s="187">
        <v>25226</v>
      </c>
      <c r="CU212" s="187">
        <v>19898</v>
      </c>
      <c r="CV212" s="187">
        <v>15508</v>
      </c>
      <c r="CW212" s="187">
        <v>11380</v>
      </c>
      <c r="CX212" s="187">
        <v>8228</v>
      </c>
      <c r="CY212" s="187">
        <v>5723</v>
      </c>
      <c r="CZ212" s="187">
        <v>3981</v>
      </c>
      <c r="DA212" s="187">
        <v>7205</v>
      </c>
      <c r="DB212" s="183">
        <f t="shared" si="60"/>
        <v>26301274</v>
      </c>
      <c r="DC212" s="184">
        <f t="shared" si="61"/>
        <v>26.301273999999999</v>
      </c>
      <c r="DD212" s="186">
        <f t="shared" si="62"/>
        <v>1.6534072726204541E-2</v>
      </c>
    </row>
    <row r="213" spans="1:108" x14ac:dyDescent="0.2">
      <c r="A213" s="652"/>
      <c r="B213" s="180"/>
      <c r="C213" s="180"/>
      <c r="D213" s="181">
        <v>2022</v>
      </c>
      <c r="E213" s="187">
        <v>348159</v>
      </c>
      <c r="F213" s="187">
        <v>343917</v>
      </c>
      <c r="G213" s="187">
        <v>340920</v>
      </c>
      <c r="H213" s="187">
        <v>338072</v>
      </c>
      <c r="I213" s="187">
        <v>335198</v>
      </c>
      <c r="J213" s="187">
        <v>322793</v>
      </c>
      <c r="K213" s="187">
        <v>338975</v>
      </c>
      <c r="L213" s="187">
        <v>332879</v>
      </c>
      <c r="M213" s="187">
        <v>331606</v>
      </c>
      <c r="N213" s="187">
        <v>335581</v>
      </c>
      <c r="O213" s="187">
        <v>332124</v>
      </c>
      <c r="P213" s="187">
        <v>330761</v>
      </c>
      <c r="Q213" s="187">
        <v>331970</v>
      </c>
      <c r="R213" s="187">
        <v>327337</v>
      </c>
      <c r="S213" s="187">
        <v>327747</v>
      </c>
      <c r="T213" s="187">
        <v>325660</v>
      </c>
      <c r="U213" s="187">
        <v>316684</v>
      </c>
      <c r="V213" s="187">
        <v>308725</v>
      </c>
      <c r="W213" s="187">
        <v>313004</v>
      </c>
      <c r="X213" s="187">
        <v>321784</v>
      </c>
      <c r="Y213" s="187">
        <v>332760</v>
      </c>
      <c r="Z213" s="187">
        <v>347704</v>
      </c>
      <c r="AA213" s="187">
        <v>359757</v>
      </c>
      <c r="AB213" s="187">
        <v>373023</v>
      </c>
      <c r="AC213" s="187">
        <v>384295</v>
      </c>
      <c r="AD213" s="187">
        <v>391004</v>
      </c>
      <c r="AE213" s="187">
        <v>397128</v>
      </c>
      <c r="AF213" s="187">
        <v>406797</v>
      </c>
      <c r="AG213" s="187">
        <v>406939</v>
      </c>
      <c r="AH213" s="187">
        <v>402672</v>
      </c>
      <c r="AI213" s="187">
        <v>401211</v>
      </c>
      <c r="AJ213" s="187">
        <v>404691</v>
      </c>
      <c r="AK213" s="187">
        <v>406853</v>
      </c>
      <c r="AL213" s="187">
        <v>397893</v>
      </c>
      <c r="AM213" s="187">
        <v>395519</v>
      </c>
      <c r="AN213" s="187">
        <v>390475</v>
      </c>
      <c r="AO213" s="187">
        <v>392123</v>
      </c>
      <c r="AP213" s="187">
        <v>386114</v>
      </c>
      <c r="AQ213" s="187">
        <v>382978</v>
      </c>
      <c r="AR213" s="187">
        <v>378165</v>
      </c>
      <c r="AS213" s="187">
        <v>365786</v>
      </c>
      <c r="AT213" s="187">
        <v>355599</v>
      </c>
      <c r="AU213" s="187">
        <v>341014</v>
      </c>
      <c r="AV213" s="187">
        <v>329965</v>
      </c>
      <c r="AW213" s="187">
        <v>323044</v>
      </c>
      <c r="AX213" s="187">
        <v>320070</v>
      </c>
      <c r="AY213" s="187">
        <v>321490</v>
      </c>
      <c r="AZ213" s="187">
        <v>321536</v>
      </c>
      <c r="BA213" s="187">
        <v>329399</v>
      </c>
      <c r="BB213" s="187">
        <v>333947</v>
      </c>
      <c r="BC213" s="187">
        <v>344387</v>
      </c>
      <c r="BD213" s="187">
        <v>347056</v>
      </c>
      <c r="BE213" s="187">
        <v>325218</v>
      </c>
      <c r="BF213" s="187">
        <v>319236</v>
      </c>
      <c r="BG213" s="187">
        <v>308610</v>
      </c>
      <c r="BH213" s="187">
        <v>299794</v>
      </c>
      <c r="BI213" s="187">
        <v>300008</v>
      </c>
      <c r="BJ213" s="187">
        <v>298659</v>
      </c>
      <c r="BK213" s="187">
        <v>309519</v>
      </c>
      <c r="BL213" s="187">
        <v>311187</v>
      </c>
      <c r="BM213" s="187">
        <v>308996</v>
      </c>
      <c r="BN213" s="187">
        <v>306708</v>
      </c>
      <c r="BO213" s="187">
        <v>296018</v>
      </c>
      <c r="BP213" s="187">
        <v>288011</v>
      </c>
      <c r="BQ213" s="187">
        <v>282308</v>
      </c>
      <c r="BR213" s="187">
        <v>273687</v>
      </c>
      <c r="BS213" s="187">
        <v>268519</v>
      </c>
      <c r="BT213" s="187">
        <v>256942</v>
      </c>
      <c r="BU213" s="187">
        <v>249350</v>
      </c>
      <c r="BV213" s="187">
        <v>245260</v>
      </c>
      <c r="BW213" s="187">
        <v>236934</v>
      </c>
      <c r="BX213" s="187">
        <v>233189</v>
      </c>
      <c r="BY213" s="187">
        <v>225922</v>
      </c>
      <c r="BZ213" s="187">
        <v>217039</v>
      </c>
      <c r="CA213" s="187">
        <v>215855</v>
      </c>
      <c r="CB213" s="187">
        <v>218728</v>
      </c>
      <c r="CC213" s="187">
        <v>181606</v>
      </c>
      <c r="CD213" s="187">
        <v>169509</v>
      </c>
      <c r="CE213" s="187">
        <v>158451</v>
      </c>
      <c r="CF213" s="187">
        <v>139517</v>
      </c>
      <c r="CG213" s="187">
        <v>134357</v>
      </c>
      <c r="CH213" s="187">
        <v>121479</v>
      </c>
      <c r="CI213" s="187">
        <v>112488</v>
      </c>
      <c r="CJ213" s="187">
        <v>102722</v>
      </c>
      <c r="CK213" s="187">
        <v>92925</v>
      </c>
      <c r="CL213" s="187">
        <v>84294</v>
      </c>
      <c r="CM213" s="187">
        <v>75027</v>
      </c>
      <c r="CN213" s="187">
        <v>64566</v>
      </c>
      <c r="CO213" s="187">
        <v>56672</v>
      </c>
      <c r="CP213" s="187">
        <v>49533</v>
      </c>
      <c r="CQ213" s="187">
        <v>43079</v>
      </c>
      <c r="CR213" s="187">
        <v>37975</v>
      </c>
      <c r="CS213" s="187">
        <v>31985</v>
      </c>
      <c r="CT213" s="187">
        <v>25309</v>
      </c>
      <c r="CU213" s="187">
        <v>20391</v>
      </c>
      <c r="CV213" s="187">
        <v>15691</v>
      </c>
      <c r="CW213" s="187">
        <v>11907</v>
      </c>
      <c r="CX213" s="187">
        <v>8500</v>
      </c>
      <c r="CY213" s="187">
        <v>5981</v>
      </c>
      <c r="CZ213" s="187">
        <v>4072</v>
      </c>
      <c r="DA213" s="187">
        <v>8002</v>
      </c>
      <c r="DB213" s="183">
        <f t="shared" si="60"/>
        <v>26727025</v>
      </c>
      <c r="DC213" s="184">
        <f t="shared" si="61"/>
        <v>26.727025000000001</v>
      </c>
      <c r="DD213" s="186">
        <f t="shared" si="62"/>
        <v>1.618746681244421E-2</v>
      </c>
    </row>
    <row r="214" spans="1:108" x14ac:dyDescent="0.2">
      <c r="A214" s="652"/>
      <c r="B214" s="180"/>
      <c r="C214" s="180"/>
      <c r="D214" s="181">
        <v>2023</v>
      </c>
      <c r="E214" s="187">
        <v>353462</v>
      </c>
      <c r="F214" s="187">
        <v>349634</v>
      </c>
      <c r="G214" s="187">
        <v>347021</v>
      </c>
      <c r="H214" s="187">
        <v>344488</v>
      </c>
      <c r="I214" s="187">
        <v>341737</v>
      </c>
      <c r="J214" s="187">
        <v>338740</v>
      </c>
      <c r="K214" s="187">
        <v>325964</v>
      </c>
      <c r="L214" s="187">
        <v>341707</v>
      </c>
      <c r="M214" s="187">
        <v>335383</v>
      </c>
      <c r="N214" s="187">
        <v>334038</v>
      </c>
      <c r="O214" s="187">
        <v>337926</v>
      </c>
      <c r="P214" s="187">
        <v>334367</v>
      </c>
      <c r="Q214" s="187">
        <v>332981</v>
      </c>
      <c r="R214" s="187">
        <v>334192</v>
      </c>
      <c r="S214" s="187">
        <v>329839</v>
      </c>
      <c r="T214" s="187">
        <v>331094</v>
      </c>
      <c r="U214" s="187">
        <v>329821</v>
      </c>
      <c r="V214" s="187">
        <v>322334</v>
      </c>
      <c r="W214" s="187">
        <v>318743</v>
      </c>
      <c r="X214" s="187">
        <v>327062</v>
      </c>
      <c r="Y214" s="187">
        <v>335167</v>
      </c>
      <c r="Z214" s="187">
        <v>344193</v>
      </c>
      <c r="AA214" s="187">
        <v>361134</v>
      </c>
      <c r="AB214" s="187">
        <v>375797</v>
      </c>
      <c r="AC214" s="187">
        <v>386858</v>
      </c>
      <c r="AD214" s="187">
        <v>394507</v>
      </c>
      <c r="AE214" s="187">
        <v>399626</v>
      </c>
      <c r="AF214" s="187">
        <v>405001</v>
      </c>
      <c r="AG214" s="187">
        <v>413977</v>
      </c>
      <c r="AH214" s="187">
        <v>413511</v>
      </c>
      <c r="AI214" s="187">
        <v>408674</v>
      </c>
      <c r="AJ214" s="187">
        <v>406364</v>
      </c>
      <c r="AK214" s="187">
        <v>409207</v>
      </c>
      <c r="AL214" s="187">
        <v>411342</v>
      </c>
      <c r="AM214" s="187">
        <v>402181</v>
      </c>
      <c r="AN214" s="187">
        <v>399204</v>
      </c>
      <c r="AO214" s="187">
        <v>393685</v>
      </c>
      <c r="AP214" s="187">
        <v>394973</v>
      </c>
      <c r="AQ214" s="187">
        <v>388640</v>
      </c>
      <c r="AR214" s="187">
        <v>385268</v>
      </c>
      <c r="AS214" s="187">
        <v>380219</v>
      </c>
      <c r="AT214" s="187">
        <v>367536</v>
      </c>
      <c r="AU214" s="187">
        <v>357035</v>
      </c>
      <c r="AV214" s="187">
        <v>342257</v>
      </c>
      <c r="AW214" s="187">
        <v>331054</v>
      </c>
      <c r="AX214" s="187">
        <v>323896</v>
      </c>
      <c r="AY214" s="187">
        <v>320693</v>
      </c>
      <c r="AZ214" s="187">
        <v>321881</v>
      </c>
      <c r="BA214" s="187">
        <v>321657</v>
      </c>
      <c r="BB214" s="187">
        <v>329321</v>
      </c>
      <c r="BC214" s="187">
        <v>333704</v>
      </c>
      <c r="BD214" s="187">
        <v>343974</v>
      </c>
      <c r="BE214" s="187">
        <v>346567</v>
      </c>
      <c r="BF214" s="187">
        <v>324713</v>
      </c>
      <c r="BG214" s="187">
        <v>318647</v>
      </c>
      <c r="BH214" s="187">
        <v>307915</v>
      </c>
      <c r="BI214" s="187">
        <v>298986</v>
      </c>
      <c r="BJ214" s="187">
        <v>299172</v>
      </c>
      <c r="BK214" s="187">
        <v>297815</v>
      </c>
      <c r="BL214" s="187">
        <v>308592</v>
      </c>
      <c r="BM214" s="187">
        <v>310192</v>
      </c>
      <c r="BN214" s="187">
        <v>307945</v>
      </c>
      <c r="BO214" s="187">
        <v>305536</v>
      </c>
      <c r="BP214" s="187">
        <v>294745</v>
      </c>
      <c r="BQ214" s="187">
        <v>286628</v>
      </c>
      <c r="BR214" s="187">
        <v>280684</v>
      </c>
      <c r="BS214" s="187">
        <v>271862</v>
      </c>
      <c r="BT214" s="187">
        <v>266534</v>
      </c>
      <c r="BU214" s="187">
        <v>254824</v>
      </c>
      <c r="BV214" s="187">
        <v>247028</v>
      </c>
      <c r="BW214" s="187">
        <v>242686</v>
      </c>
      <c r="BX214" s="187">
        <v>234144</v>
      </c>
      <c r="BY214" s="187">
        <v>230096</v>
      </c>
      <c r="BZ214" s="187">
        <v>222561</v>
      </c>
      <c r="CA214" s="187">
        <v>213396</v>
      </c>
      <c r="CB214" s="187">
        <v>211779</v>
      </c>
      <c r="CC214" s="187">
        <v>214094</v>
      </c>
      <c r="CD214" s="187">
        <v>177276</v>
      </c>
      <c r="CE214" s="187">
        <v>164962</v>
      </c>
      <c r="CF214" s="187">
        <v>153649</v>
      </c>
      <c r="CG214" s="187">
        <v>134729</v>
      </c>
      <c r="CH214" s="187">
        <v>129117</v>
      </c>
      <c r="CI214" s="187">
        <v>116080</v>
      </c>
      <c r="CJ214" s="187">
        <v>106786</v>
      </c>
      <c r="CK214" s="187">
        <v>96767</v>
      </c>
      <c r="CL214" s="187">
        <v>86751</v>
      </c>
      <c r="CM214" s="187">
        <v>77913</v>
      </c>
      <c r="CN214" s="187">
        <v>68570</v>
      </c>
      <c r="CO214" s="187">
        <v>58246</v>
      </c>
      <c r="CP214" s="187">
        <v>50423</v>
      </c>
      <c r="CQ214" s="187">
        <v>43409</v>
      </c>
      <c r="CR214" s="187">
        <v>37124</v>
      </c>
      <c r="CS214" s="187">
        <v>32127</v>
      </c>
      <c r="CT214" s="187">
        <v>26481</v>
      </c>
      <c r="CU214" s="187">
        <v>20467</v>
      </c>
      <c r="CV214" s="187">
        <v>16083</v>
      </c>
      <c r="CW214" s="187">
        <v>12052</v>
      </c>
      <c r="CX214" s="187">
        <v>8894</v>
      </c>
      <c r="CY214" s="187">
        <v>6179</v>
      </c>
      <c r="CZ214" s="187">
        <v>4256</v>
      </c>
      <c r="DA214" s="187">
        <v>8648</v>
      </c>
      <c r="DB214" s="183">
        <f t="shared" si="60"/>
        <v>27147199</v>
      </c>
      <c r="DC214" s="184">
        <f t="shared" si="61"/>
        <v>27.147199000000001</v>
      </c>
      <c r="DD214" s="186">
        <f t="shared" si="62"/>
        <v>1.5720941631176658E-2</v>
      </c>
    </row>
    <row r="215" spans="1:108" x14ac:dyDescent="0.2">
      <c r="A215" s="652"/>
      <c r="B215" s="180"/>
      <c r="C215" s="180"/>
      <c r="D215" s="181">
        <v>2024</v>
      </c>
      <c r="E215" s="187">
        <v>358304</v>
      </c>
      <c r="F215" s="187">
        <v>354897</v>
      </c>
      <c r="G215" s="187">
        <v>352663</v>
      </c>
      <c r="H215" s="187">
        <v>350502</v>
      </c>
      <c r="I215" s="187">
        <v>348064</v>
      </c>
      <c r="J215" s="187">
        <v>345193</v>
      </c>
      <c r="K215" s="187">
        <v>341835</v>
      </c>
      <c r="L215" s="187">
        <v>328632</v>
      </c>
      <c r="M215" s="187">
        <v>344150</v>
      </c>
      <c r="N215" s="187">
        <v>337754</v>
      </c>
      <c r="O215" s="187">
        <v>336326</v>
      </c>
      <c r="P215" s="187">
        <v>340114</v>
      </c>
      <c r="Q215" s="187">
        <v>336533</v>
      </c>
      <c r="R215" s="187">
        <v>335152</v>
      </c>
      <c r="S215" s="187">
        <v>336635</v>
      </c>
      <c r="T215" s="187">
        <v>333103</v>
      </c>
      <c r="U215" s="187">
        <v>335153</v>
      </c>
      <c r="V215" s="187">
        <v>335333</v>
      </c>
      <c r="W215" s="187">
        <v>332107</v>
      </c>
      <c r="X215" s="187">
        <v>332462</v>
      </c>
      <c r="Y215" s="187">
        <v>340122</v>
      </c>
      <c r="Z215" s="187">
        <v>346326</v>
      </c>
      <c r="AA215" s="187">
        <v>357304</v>
      </c>
      <c r="AB215" s="187">
        <v>376789</v>
      </c>
      <c r="AC215" s="187">
        <v>389300</v>
      </c>
      <c r="AD215" s="187">
        <v>396824</v>
      </c>
      <c r="AE215" s="187">
        <v>402922</v>
      </c>
      <c r="AF215" s="187">
        <v>407306</v>
      </c>
      <c r="AG215" s="187">
        <v>412009</v>
      </c>
      <c r="AH215" s="187">
        <v>420387</v>
      </c>
      <c r="AI215" s="187">
        <v>419362</v>
      </c>
      <c r="AJ215" s="187">
        <v>413697</v>
      </c>
      <c r="AK215" s="187">
        <v>410765</v>
      </c>
      <c r="AL215" s="187">
        <v>413585</v>
      </c>
      <c r="AM215" s="187">
        <v>415511</v>
      </c>
      <c r="AN215" s="187">
        <v>405768</v>
      </c>
      <c r="AO215" s="187">
        <v>402327</v>
      </c>
      <c r="AP215" s="187">
        <v>396458</v>
      </c>
      <c r="AQ215" s="187">
        <v>397421</v>
      </c>
      <c r="AR215" s="187">
        <v>390863</v>
      </c>
      <c r="AS215" s="187">
        <v>387257</v>
      </c>
      <c r="AT215" s="187">
        <v>381902</v>
      </c>
      <c r="AU215" s="187">
        <v>368912</v>
      </c>
      <c r="AV215" s="187">
        <v>358222</v>
      </c>
      <c r="AW215" s="187">
        <v>343293</v>
      </c>
      <c r="AX215" s="187">
        <v>331860</v>
      </c>
      <c r="AY215" s="187">
        <v>324486</v>
      </c>
      <c r="AZ215" s="187">
        <v>321064</v>
      </c>
      <c r="BA215" s="187">
        <v>321985</v>
      </c>
      <c r="BB215" s="187">
        <v>321580</v>
      </c>
      <c r="BC215" s="187">
        <v>329075</v>
      </c>
      <c r="BD215" s="187">
        <v>333310</v>
      </c>
      <c r="BE215" s="187">
        <v>343487</v>
      </c>
      <c r="BF215" s="187">
        <v>345992</v>
      </c>
      <c r="BG215" s="187">
        <v>324101</v>
      </c>
      <c r="BH215" s="187">
        <v>317916</v>
      </c>
      <c r="BI215" s="187">
        <v>307076</v>
      </c>
      <c r="BJ215" s="187">
        <v>298152</v>
      </c>
      <c r="BK215" s="187">
        <v>298320</v>
      </c>
      <c r="BL215" s="187">
        <v>296934</v>
      </c>
      <c r="BM215" s="187">
        <v>307605</v>
      </c>
      <c r="BN215" s="187">
        <v>309131</v>
      </c>
      <c r="BO215" s="187">
        <v>306760</v>
      </c>
      <c r="BP215" s="187">
        <v>304205</v>
      </c>
      <c r="BQ215" s="187">
        <v>293319</v>
      </c>
      <c r="BR215" s="187">
        <v>284981</v>
      </c>
      <c r="BS215" s="187">
        <v>278819</v>
      </c>
      <c r="BT215" s="187">
        <v>269866</v>
      </c>
      <c r="BU215" s="187">
        <v>264344</v>
      </c>
      <c r="BV215" s="187">
        <v>252466</v>
      </c>
      <c r="BW215" s="187">
        <v>244463</v>
      </c>
      <c r="BX215" s="187">
        <v>239854</v>
      </c>
      <c r="BY215" s="187">
        <v>231072</v>
      </c>
      <c r="BZ215" s="187">
        <v>226704</v>
      </c>
      <c r="CA215" s="187">
        <v>218867</v>
      </c>
      <c r="CB215" s="187">
        <v>209412</v>
      </c>
      <c r="CC215" s="187">
        <v>207340</v>
      </c>
      <c r="CD215" s="187">
        <v>209033</v>
      </c>
      <c r="CE215" s="187">
        <v>172559</v>
      </c>
      <c r="CF215" s="187">
        <v>160006</v>
      </c>
      <c r="CG215" s="187">
        <v>148417</v>
      </c>
      <c r="CH215" s="187">
        <v>129519</v>
      </c>
      <c r="CI215" s="187">
        <v>123412</v>
      </c>
      <c r="CJ215" s="187">
        <v>110233</v>
      </c>
      <c r="CK215" s="187">
        <v>100630</v>
      </c>
      <c r="CL215" s="187">
        <v>90371</v>
      </c>
      <c r="CM215" s="187">
        <v>80220</v>
      </c>
      <c r="CN215" s="187">
        <v>71235</v>
      </c>
      <c r="CO215" s="187">
        <v>61887</v>
      </c>
      <c r="CP215" s="187">
        <v>51854</v>
      </c>
      <c r="CQ215" s="187">
        <v>44209</v>
      </c>
      <c r="CR215" s="187">
        <v>37436</v>
      </c>
      <c r="CS215" s="187">
        <v>31424</v>
      </c>
      <c r="CT215" s="187">
        <v>26616</v>
      </c>
      <c r="CU215" s="187">
        <v>21427</v>
      </c>
      <c r="CV215" s="187">
        <v>16149</v>
      </c>
      <c r="CW215" s="187">
        <v>12353</v>
      </c>
      <c r="CX215" s="187">
        <v>9004</v>
      </c>
      <c r="CY215" s="187">
        <v>6467</v>
      </c>
      <c r="CZ215" s="187">
        <v>4396</v>
      </c>
      <c r="DA215" s="187">
        <v>9248</v>
      </c>
      <c r="DB215" s="183">
        <f t="shared" si="60"/>
        <v>27562195</v>
      </c>
      <c r="DC215" s="184">
        <f t="shared" si="61"/>
        <v>27.562194999999999</v>
      </c>
      <c r="DD215" s="186">
        <f t="shared" si="62"/>
        <v>1.5286880978033815E-2</v>
      </c>
    </row>
    <row r="216" spans="1:108" x14ac:dyDescent="0.2">
      <c r="A216" s="652"/>
      <c r="B216" s="180"/>
      <c r="C216" s="180"/>
      <c r="D216" s="181">
        <v>2025</v>
      </c>
      <c r="E216" s="187">
        <v>362706</v>
      </c>
      <c r="F216" s="187">
        <v>359694</v>
      </c>
      <c r="G216" s="187">
        <v>357841</v>
      </c>
      <c r="H216" s="187">
        <v>356044</v>
      </c>
      <c r="I216" s="187">
        <v>353975</v>
      </c>
      <c r="J216" s="187">
        <v>351421</v>
      </c>
      <c r="K216" s="187">
        <v>348199</v>
      </c>
      <c r="L216" s="187">
        <v>344425</v>
      </c>
      <c r="M216" s="187">
        <v>331006</v>
      </c>
      <c r="N216" s="187">
        <v>346453</v>
      </c>
      <c r="O216" s="187">
        <v>339976</v>
      </c>
      <c r="P216" s="187">
        <v>338451</v>
      </c>
      <c r="Q216" s="187">
        <v>342218</v>
      </c>
      <c r="R216" s="187">
        <v>338643</v>
      </c>
      <c r="S216" s="187">
        <v>337524</v>
      </c>
      <c r="T216" s="187">
        <v>339805</v>
      </c>
      <c r="U216" s="187">
        <v>337044</v>
      </c>
      <c r="V216" s="187">
        <v>340508</v>
      </c>
      <c r="W216" s="187">
        <v>344823</v>
      </c>
      <c r="X216" s="187">
        <v>345429</v>
      </c>
      <c r="Y216" s="187">
        <v>345150</v>
      </c>
      <c r="Z216" s="187">
        <v>350957</v>
      </c>
      <c r="AA216" s="187">
        <v>359059</v>
      </c>
      <c r="AB216" s="187">
        <v>372514</v>
      </c>
      <c r="AC216" s="187">
        <v>389902</v>
      </c>
      <c r="AD216" s="187">
        <v>398978</v>
      </c>
      <c r="AE216" s="187">
        <v>404996</v>
      </c>
      <c r="AF216" s="187">
        <v>410380</v>
      </c>
      <c r="AG216" s="187">
        <v>414108</v>
      </c>
      <c r="AH216" s="187">
        <v>418233</v>
      </c>
      <c r="AI216" s="187">
        <v>426064</v>
      </c>
      <c r="AJ216" s="187">
        <v>424230</v>
      </c>
      <c r="AK216" s="187">
        <v>417962</v>
      </c>
      <c r="AL216" s="187">
        <v>415012</v>
      </c>
      <c r="AM216" s="187">
        <v>417628</v>
      </c>
      <c r="AN216" s="187">
        <v>418981</v>
      </c>
      <c r="AO216" s="187">
        <v>408783</v>
      </c>
      <c r="AP216" s="187">
        <v>405010</v>
      </c>
      <c r="AQ216" s="187">
        <v>398825</v>
      </c>
      <c r="AR216" s="187">
        <v>399563</v>
      </c>
      <c r="AS216" s="187">
        <v>392780</v>
      </c>
      <c r="AT216" s="187">
        <v>388874</v>
      </c>
      <c r="AU216" s="187">
        <v>383208</v>
      </c>
      <c r="AV216" s="187">
        <v>370034</v>
      </c>
      <c r="AW216" s="187">
        <v>359196</v>
      </c>
      <c r="AX216" s="187">
        <v>344046</v>
      </c>
      <c r="AY216" s="187">
        <v>332408</v>
      </c>
      <c r="AZ216" s="187">
        <v>324825</v>
      </c>
      <c r="BA216" s="187">
        <v>321150</v>
      </c>
      <c r="BB216" s="187">
        <v>321893</v>
      </c>
      <c r="BC216" s="187">
        <v>321340</v>
      </c>
      <c r="BD216" s="187">
        <v>328682</v>
      </c>
      <c r="BE216" s="187">
        <v>332841</v>
      </c>
      <c r="BF216" s="187">
        <v>342908</v>
      </c>
      <c r="BG216" s="187">
        <v>345310</v>
      </c>
      <c r="BH216" s="187">
        <v>323344</v>
      </c>
      <c r="BI216" s="187">
        <v>317038</v>
      </c>
      <c r="BJ216" s="187">
        <v>306204</v>
      </c>
      <c r="BK216" s="187">
        <v>297300</v>
      </c>
      <c r="BL216" s="187">
        <v>297429</v>
      </c>
      <c r="BM216" s="187">
        <v>295997</v>
      </c>
      <c r="BN216" s="187">
        <v>306549</v>
      </c>
      <c r="BO216" s="187">
        <v>307936</v>
      </c>
      <c r="BP216" s="187">
        <v>305421</v>
      </c>
      <c r="BQ216" s="187">
        <v>302719</v>
      </c>
      <c r="BR216" s="187">
        <v>291632</v>
      </c>
      <c r="BS216" s="187">
        <v>283090</v>
      </c>
      <c r="BT216" s="187">
        <v>276780</v>
      </c>
      <c r="BU216" s="187">
        <v>267662</v>
      </c>
      <c r="BV216" s="187">
        <v>261906</v>
      </c>
      <c r="BW216" s="187">
        <v>249861</v>
      </c>
      <c r="BX216" s="187">
        <v>241640</v>
      </c>
      <c r="BY216" s="187">
        <v>236739</v>
      </c>
      <c r="BZ216" s="187">
        <v>227701</v>
      </c>
      <c r="CA216" s="187">
        <v>222975</v>
      </c>
      <c r="CB216" s="187">
        <v>214824</v>
      </c>
      <c r="CC216" s="187">
        <v>205069</v>
      </c>
      <c r="CD216" s="187">
        <v>202489</v>
      </c>
      <c r="CE216" s="187">
        <v>203521</v>
      </c>
      <c r="CF216" s="187">
        <v>167414</v>
      </c>
      <c r="CG216" s="187">
        <v>154603</v>
      </c>
      <c r="CH216" s="187">
        <v>142718</v>
      </c>
      <c r="CI216" s="187">
        <v>123842</v>
      </c>
      <c r="CJ216" s="187">
        <v>117230</v>
      </c>
      <c r="CK216" s="187">
        <v>103915</v>
      </c>
      <c r="CL216" s="187">
        <v>94011</v>
      </c>
      <c r="CM216" s="187">
        <v>83601</v>
      </c>
      <c r="CN216" s="187">
        <v>73379</v>
      </c>
      <c r="CO216" s="187">
        <v>64322</v>
      </c>
      <c r="CP216" s="187">
        <v>55126</v>
      </c>
      <c r="CQ216" s="187">
        <v>45495</v>
      </c>
      <c r="CR216" s="187">
        <v>38146</v>
      </c>
      <c r="CS216" s="187">
        <v>31712</v>
      </c>
      <c r="CT216" s="187">
        <v>26048</v>
      </c>
      <c r="CU216" s="187">
        <v>21549</v>
      </c>
      <c r="CV216" s="187">
        <v>16914</v>
      </c>
      <c r="CW216" s="187">
        <v>12406</v>
      </c>
      <c r="CX216" s="187">
        <v>9229</v>
      </c>
      <c r="CY216" s="187">
        <v>6547</v>
      </c>
      <c r="CZ216" s="187">
        <v>4601</v>
      </c>
      <c r="DA216" s="187">
        <v>9786</v>
      </c>
      <c r="DB216" s="183">
        <f t="shared" si="60"/>
        <v>27970435</v>
      </c>
      <c r="DC216" s="184">
        <f t="shared" si="61"/>
        <v>27.970434999999998</v>
      </c>
      <c r="DD216" s="186">
        <f t="shared" si="62"/>
        <v>1.4811592472950694E-2</v>
      </c>
    </row>
    <row r="217" spans="1:108" x14ac:dyDescent="0.2">
      <c r="A217" s="652"/>
      <c r="B217" s="180"/>
      <c r="C217" s="180"/>
      <c r="D217" s="181">
        <v>2026</v>
      </c>
      <c r="E217" s="187">
        <v>366687</v>
      </c>
      <c r="F217" s="187">
        <v>364057</v>
      </c>
      <c r="G217" s="187">
        <v>362561</v>
      </c>
      <c r="H217" s="187">
        <v>361134</v>
      </c>
      <c r="I217" s="187">
        <v>359428</v>
      </c>
      <c r="J217" s="187">
        <v>357247</v>
      </c>
      <c r="K217" s="187">
        <v>354351</v>
      </c>
      <c r="L217" s="187">
        <v>350723</v>
      </c>
      <c r="M217" s="187">
        <v>346739</v>
      </c>
      <c r="N217" s="187">
        <v>333254</v>
      </c>
      <c r="O217" s="187">
        <v>348618</v>
      </c>
      <c r="P217" s="187">
        <v>342049</v>
      </c>
      <c r="Q217" s="187">
        <v>340501</v>
      </c>
      <c r="R217" s="187">
        <v>344273</v>
      </c>
      <c r="S217" s="187">
        <v>340952</v>
      </c>
      <c r="T217" s="187">
        <v>340614</v>
      </c>
      <c r="U217" s="187">
        <v>343645</v>
      </c>
      <c r="V217" s="187">
        <v>342262</v>
      </c>
      <c r="W217" s="187">
        <v>349755</v>
      </c>
      <c r="X217" s="187">
        <v>357804</v>
      </c>
      <c r="Y217" s="187">
        <v>357791</v>
      </c>
      <c r="Z217" s="187">
        <v>355709</v>
      </c>
      <c r="AA217" s="187">
        <v>363368</v>
      </c>
      <c r="AB217" s="187">
        <v>373882</v>
      </c>
      <c r="AC217" s="187">
        <v>385302</v>
      </c>
      <c r="AD217" s="187">
        <v>399334</v>
      </c>
      <c r="AE217" s="187">
        <v>406944</v>
      </c>
      <c r="AF217" s="187">
        <v>412267</v>
      </c>
      <c r="AG217" s="187">
        <v>417009</v>
      </c>
      <c r="AH217" s="187">
        <v>420174</v>
      </c>
      <c r="AI217" s="187">
        <v>423763</v>
      </c>
      <c r="AJ217" s="187">
        <v>430802</v>
      </c>
      <c r="AK217" s="187">
        <v>428382</v>
      </c>
      <c r="AL217" s="187">
        <v>422089</v>
      </c>
      <c r="AM217" s="187">
        <v>418949</v>
      </c>
      <c r="AN217" s="187">
        <v>421003</v>
      </c>
      <c r="AO217" s="187">
        <v>421906</v>
      </c>
      <c r="AP217" s="187">
        <v>411385</v>
      </c>
      <c r="AQ217" s="187">
        <v>407303</v>
      </c>
      <c r="AR217" s="187">
        <v>400901</v>
      </c>
      <c r="AS217" s="187">
        <v>401415</v>
      </c>
      <c r="AT217" s="187">
        <v>394340</v>
      </c>
      <c r="AU217" s="187">
        <v>390132</v>
      </c>
      <c r="AV217" s="187">
        <v>384275</v>
      </c>
      <c r="AW217" s="187">
        <v>370956</v>
      </c>
      <c r="AX217" s="187">
        <v>359892</v>
      </c>
      <c r="AY217" s="187">
        <v>344546</v>
      </c>
      <c r="AZ217" s="187">
        <v>332709</v>
      </c>
      <c r="BA217" s="187">
        <v>324888</v>
      </c>
      <c r="BB217" s="187">
        <v>321044</v>
      </c>
      <c r="BC217" s="187">
        <v>321641</v>
      </c>
      <c r="BD217" s="187">
        <v>320957</v>
      </c>
      <c r="BE217" s="187">
        <v>328215</v>
      </c>
      <c r="BF217" s="187">
        <v>332290</v>
      </c>
      <c r="BG217" s="187">
        <v>342224</v>
      </c>
      <c r="BH217" s="187">
        <v>344478</v>
      </c>
      <c r="BI217" s="187">
        <v>322441</v>
      </c>
      <c r="BJ217" s="187">
        <v>316124</v>
      </c>
      <c r="BK217" s="187">
        <v>305314</v>
      </c>
      <c r="BL217" s="187">
        <v>296409</v>
      </c>
      <c r="BM217" s="187">
        <v>296484</v>
      </c>
      <c r="BN217" s="187">
        <v>295000</v>
      </c>
      <c r="BO217" s="187">
        <v>305367</v>
      </c>
      <c r="BP217" s="187">
        <v>306588</v>
      </c>
      <c r="BQ217" s="187">
        <v>303928</v>
      </c>
      <c r="BR217" s="187">
        <v>300974</v>
      </c>
      <c r="BS217" s="187">
        <v>289706</v>
      </c>
      <c r="BT217" s="187">
        <v>281028</v>
      </c>
      <c r="BU217" s="187">
        <v>274534</v>
      </c>
      <c r="BV217" s="187">
        <v>265213</v>
      </c>
      <c r="BW217" s="187">
        <v>259217</v>
      </c>
      <c r="BX217" s="187">
        <v>246998</v>
      </c>
      <c r="BY217" s="187">
        <v>238533</v>
      </c>
      <c r="BZ217" s="187">
        <v>233320</v>
      </c>
      <c r="CA217" s="187">
        <v>223997</v>
      </c>
      <c r="CB217" s="187">
        <v>218898</v>
      </c>
      <c r="CC217" s="187">
        <v>210416</v>
      </c>
      <c r="CD217" s="187">
        <v>200321</v>
      </c>
      <c r="CE217" s="187">
        <v>197203</v>
      </c>
      <c r="CF217" s="187">
        <v>197506</v>
      </c>
      <c r="CG217" s="187">
        <v>161799</v>
      </c>
      <c r="CH217" s="187">
        <v>148712</v>
      </c>
      <c r="CI217" s="187">
        <v>136503</v>
      </c>
      <c r="CJ217" s="187">
        <v>117684</v>
      </c>
      <c r="CK217" s="187">
        <v>110546</v>
      </c>
      <c r="CL217" s="187">
        <v>97117</v>
      </c>
      <c r="CM217" s="187">
        <v>86999</v>
      </c>
      <c r="CN217" s="187">
        <v>76505</v>
      </c>
      <c r="CO217" s="187">
        <v>66295</v>
      </c>
      <c r="CP217" s="187">
        <v>57324</v>
      </c>
      <c r="CQ217" s="187">
        <v>48394</v>
      </c>
      <c r="CR217" s="187">
        <v>39284</v>
      </c>
      <c r="CS217" s="187">
        <v>32333</v>
      </c>
      <c r="CT217" s="187">
        <v>26306</v>
      </c>
      <c r="CU217" s="187">
        <v>21099</v>
      </c>
      <c r="CV217" s="187">
        <v>17017</v>
      </c>
      <c r="CW217" s="187">
        <v>12997</v>
      </c>
      <c r="CX217" s="187">
        <v>9271</v>
      </c>
      <c r="CY217" s="187">
        <v>6711</v>
      </c>
      <c r="CZ217" s="187">
        <v>4660</v>
      </c>
      <c r="DA217" s="187">
        <v>10321</v>
      </c>
      <c r="DB217" s="183">
        <f t="shared" si="60"/>
        <v>28372315</v>
      </c>
      <c r="DC217" s="184">
        <f t="shared" si="61"/>
        <v>28.372315</v>
      </c>
      <c r="DD217" s="186">
        <f t="shared" si="62"/>
        <v>1.4368028241248377E-2</v>
      </c>
    </row>
    <row r="218" spans="1:108" x14ac:dyDescent="0.2">
      <c r="A218" s="652"/>
      <c r="B218" s="180"/>
      <c r="C218" s="180"/>
      <c r="D218" s="181">
        <v>2027</v>
      </c>
      <c r="E218" s="187">
        <v>370252</v>
      </c>
      <c r="F218" s="187">
        <v>367997</v>
      </c>
      <c r="G218" s="187">
        <v>366836</v>
      </c>
      <c r="H218" s="187">
        <v>365755</v>
      </c>
      <c r="I218" s="187">
        <v>364415</v>
      </c>
      <c r="J218" s="187">
        <v>362601</v>
      </c>
      <c r="K218" s="187">
        <v>360086</v>
      </c>
      <c r="L218" s="187">
        <v>356798</v>
      </c>
      <c r="M218" s="187">
        <v>352967</v>
      </c>
      <c r="N218" s="187">
        <v>348917</v>
      </c>
      <c r="O218" s="187">
        <v>335355</v>
      </c>
      <c r="P218" s="187">
        <v>350627</v>
      </c>
      <c r="Q218" s="187">
        <v>344037</v>
      </c>
      <c r="R218" s="187">
        <v>342493</v>
      </c>
      <c r="S218" s="187">
        <v>346511</v>
      </c>
      <c r="T218" s="187">
        <v>343946</v>
      </c>
      <c r="U218" s="187">
        <v>344337</v>
      </c>
      <c r="V218" s="187">
        <v>348703</v>
      </c>
      <c r="W218" s="187">
        <v>351227</v>
      </c>
      <c r="X218" s="187">
        <v>362343</v>
      </c>
      <c r="Y218" s="187">
        <v>369787</v>
      </c>
      <c r="Z218" s="187">
        <v>368027</v>
      </c>
      <c r="AA218" s="187">
        <v>367740</v>
      </c>
      <c r="AB218" s="187">
        <v>377741</v>
      </c>
      <c r="AC218" s="187">
        <v>386282</v>
      </c>
      <c r="AD218" s="187">
        <v>394448</v>
      </c>
      <c r="AE218" s="187">
        <v>407056</v>
      </c>
      <c r="AF218" s="187">
        <v>413992</v>
      </c>
      <c r="AG218" s="187">
        <v>418691</v>
      </c>
      <c r="AH218" s="187">
        <v>422888</v>
      </c>
      <c r="AI218" s="187">
        <v>425533</v>
      </c>
      <c r="AJ218" s="187">
        <v>428353</v>
      </c>
      <c r="AK218" s="187">
        <v>434818</v>
      </c>
      <c r="AL218" s="187">
        <v>432373</v>
      </c>
      <c r="AM218" s="187">
        <v>425895</v>
      </c>
      <c r="AN218" s="187">
        <v>422214</v>
      </c>
      <c r="AO218" s="187">
        <v>423830</v>
      </c>
      <c r="AP218" s="187">
        <v>424409</v>
      </c>
      <c r="AQ218" s="187">
        <v>413593</v>
      </c>
      <c r="AR218" s="187">
        <v>409298</v>
      </c>
      <c r="AS218" s="187">
        <v>402684</v>
      </c>
      <c r="AT218" s="187">
        <v>402905</v>
      </c>
      <c r="AU218" s="187">
        <v>395540</v>
      </c>
      <c r="AV218" s="187">
        <v>391145</v>
      </c>
      <c r="AW218" s="187">
        <v>385134</v>
      </c>
      <c r="AX218" s="187">
        <v>371599</v>
      </c>
      <c r="AY218" s="187">
        <v>360332</v>
      </c>
      <c r="AZ218" s="187">
        <v>344805</v>
      </c>
      <c r="BA218" s="187">
        <v>332736</v>
      </c>
      <c r="BB218" s="187">
        <v>324759</v>
      </c>
      <c r="BC218" s="187">
        <v>320780</v>
      </c>
      <c r="BD218" s="187">
        <v>321246</v>
      </c>
      <c r="BE218" s="187">
        <v>320499</v>
      </c>
      <c r="BF218" s="187">
        <v>327662</v>
      </c>
      <c r="BG218" s="187">
        <v>331631</v>
      </c>
      <c r="BH218" s="187">
        <v>341395</v>
      </c>
      <c r="BI218" s="187">
        <v>343496</v>
      </c>
      <c r="BJ218" s="187">
        <v>321497</v>
      </c>
      <c r="BK218" s="187">
        <v>315184</v>
      </c>
      <c r="BL218" s="187">
        <v>304378</v>
      </c>
      <c r="BM218" s="187">
        <v>295461</v>
      </c>
      <c r="BN218" s="187">
        <v>295474</v>
      </c>
      <c r="BO218" s="187">
        <v>293875</v>
      </c>
      <c r="BP218" s="187">
        <v>304031</v>
      </c>
      <c r="BQ218" s="187">
        <v>305084</v>
      </c>
      <c r="BR218" s="187">
        <v>302171</v>
      </c>
      <c r="BS218" s="187">
        <v>298979</v>
      </c>
      <c r="BT218" s="187">
        <v>287597</v>
      </c>
      <c r="BU218" s="187">
        <v>278747</v>
      </c>
      <c r="BV218" s="187">
        <v>272028</v>
      </c>
      <c r="BW218" s="187">
        <v>262503</v>
      </c>
      <c r="BX218" s="187">
        <v>256253</v>
      </c>
      <c r="BY218" s="187">
        <v>243836</v>
      </c>
      <c r="BZ218" s="187">
        <v>235113</v>
      </c>
      <c r="CA218" s="187">
        <v>229547</v>
      </c>
      <c r="CB218" s="187">
        <v>219925</v>
      </c>
      <c r="CC218" s="187">
        <v>214432</v>
      </c>
      <c r="CD218" s="187">
        <v>205574</v>
      </c>
      <c r="CE218" s="187">
        <v>195123</v>
      </c>
      <c r="CF218" s="187">
        <v>191409</v>
      </c>
      <c r="CG218" s="187">
        <v>190914</v>
      </c>
      <c r="CH218" s="187">
        <v>155654</v>
      </c>
      <c r="CI218" s="187">
        <v>142264</v>
      </c>
      <c r="CJ218" s="187">
        <v>129737</v>
      </c>
      <c r="CK218" s="187">
        <v>111000</v>
      </c>
      <c r="CL218" s="187">
        <v>103332</v>
      </c>
      <c r="CM218" s="187">
        <v>89895</v>
      </c>
      <c r="CN218" s="187">
        <v>79632</v>
      </c>
      <c r="CO218" s="187">
        <v>69137</v>
      </c>
      <c r="CP218" s="187">
        <v>59103</v>
      </c>
      <c r="CQ218" s="187">
        <v>50340</v>
      </c>
      <c r="CR218" s="187">
        <v>41802</v>
      </c>
      <c r="CS218" s="187">
        <v>33312</v>
      </c>
      <c r="CT218" s="187">
        <v>26829</v>
      </c>
      <c r="CU218" s="187">
        <v>21316</v>
      </c>
      <c r="CV218" s="187">
        <v>16664</v>
      </c>
      <c r="CW218" s="187">
        <v>13079</v>
      </c>
      <c r="CX218" s="187">
        <v>9713</v>
      </c>
      <c r="CY218" s="187">
        <v>6743</v>
      </c>
      <c r="CZ218" s="187">
        <v>4776</v>
      </c>
      <c r="DA218" s="187">
        <v>10752</v>
      </c>
      <c r="DB218" s="183">
        <f t="shared" si="60"/>
        <v>28765734</v>
      </c>
      <c r="DC218" s="184">
        <f t="shared" si="61"/>
        <v>28.765733999999998</v>
      </c>
      <c r="DD218" s="186">
        <f t="shared" si="62"/>
        <v>1.386629889030902E-2</v>
      </c>
    </row>
    <row r="219" spans="1:108" x14ac:dyDescent="0.2">
      <c r="A219" s="652"/>
      <c r="B219" s="180"/>
      <c r="C219" s="180"/>
      <c r="D219" s="181">
        <v>2028</v>
      </c>
      <c r="E219" s="187">
        <v>373433</v>
      </c>
      <c r="F219" s="187">
        <v>371564</v>
      </c>
      <c r="G219" s="187">
        <v>370776</v>
      </c>
      <c r="H219" s="187">
        <v>370028</v>
      </c>
      <c r="I219" s="187">
        <v>369035</v>
      </c>
      <c r="J219" s="187">
        <v>367588</v>
      </c>
      <c r="K219" s="187">
        <v>365440</v>
      </c>
      <c r="L219" s="187">
        <v>362532</v>
      </c>
      <c r="M219" s="187">
        <v>359042</v>
      </c>
      <c r="N219" s="187">
        <v>355145</v>
      </c>
      <c r="O219" s="187">
        <v>351017</v>
      </c>
      <c r="P219" s="187">
        <v>337367</v>
      </c>
      <c r="Q219" s="187">
        <v>352614</v>
      </c>
      <c r="R219" s="187">
        <v>346029</v>
      </c>
      <c r="S219" s="187">
        <v>344732</v>
      </c>
      <c r="T219" s="187">
        <v>349505</v>
      </c>
      <c r="U219" s="187">
        <v>347668</v>
      </c>
      <c r="V219" s="187">
        <v>349392</v>
      </c>
      <c r="W219" s="187">
        <v>357672</v>
      </c>
      <c r="X219" s="187">
        <v>363815</v>
      </c>
      <c r="Y219" s="187">
        <v>374325</v>
      </c>
      <c r="Z219" s="187">
        <v>380017</v>
      </c>
      <c r="AA219" s="187">
        <v>380058</v>
      </c>
      <c r="AB219" s="187">
        <v>382110</v>
      </c>
      <c r="AC219" s="187">
        <v>390139</v>
      </c>
      <c r="AD219" s="187">
        <v>395430</v>
      </c>
      <c r="AE219" s="187">
        <v>402174</v>
      </c>
      <c r="AF219" s="187">
        <v>414104</v>
      </c>
      <c r="AG219" s="187">
        <v>420417</v>
      </c>
      <c r="AH219" s="187">
        <v>424569</v>
      </c>
      <c r="AI219" s="187">
        <v>428245</v>
      </c>
      <c r="AJ219" s="187">
        <v>430125</v>
      </c>
      <c r="AK219" s="187">
        <v>432370</v>
      </c>
      <c r="AL219" s="187">
        <v>438805</v>
      </c>
      <c r="AM219" s="187">
        <v>436174</v>
      </c>
      <c r="AN219" s="187">
        <v>429154</v>
      </c>
      <c r="AO219" s="187">
        <v>425043</v>
      </c>
      <c r="AP219" s="187">
        <v>426332</v>
      </c>
      <c r="AQ219" s="187">
        <v>426607</v>
      </c>
      <c r="AR219" s="187">
        <v>415583</v>
      </c>
      <c r="AS219" s="187">
        <v>411074</v>
      </c>
      <c r="AT219" s="187">
        <v>404175</v>
      </c>
      <c r="AU219" s="187">
        <v>404095</v>
      </c>
      <c r="AV219" s="187">
        <v>396545</v>
      </c>
      <c r="AW219" s="187">
        <v>391995</v>
      </c>
      <c r="AX219" s="187">
        <v>385756</v>
      </c>
      <c r="AY219" s="187">
        <v>372022</v>
      </c>
      <c r="AZ219" s="187">
        <v>360560</v>
      </c>
      <c r="BA219" s="187">
        <v>344811</v>
      </c>
      <c r="BB219" s="187">
        <v>332591</v>
      </c>
      <c r="BC219" s="187">
        <v>324493</v>
      </c>
      <c r="BD219" s="187">
        <v>320388</v>
      </c>
      <c r="BE219" s="187">
        <v>320789</v>
      </c>
      <c r="BF219" s="187">
        <v>319968</v>
      </c>
      <c r="BG219" s="187">
        <v>327015</v>
      </c>
      <c r="BH219" s="187">
        <v>330836</v>
      </c>
      <c r="BI219" s="187">
        <v>340427</v>
      </c>
      <c r="BJ219" s="187">
        <v>342475</v>
      </c>
      <c r="BK219" s="187">
        <v>320536</v>
      </c>
      <c r="BL219" s="187">
        <v>314208</v>
      </c>
      <c r="BM219" s="187">
        <v>303394</v>
      </c>
      <c r="BN219" s="187">
        <v>294462</v>
      </c>
      <c r="BO219" s="187">
        <v>294351</v>
      </c>
      <c r="BP219" s="187">
        <v>292615</v>
      </c>
      <c r="BQ219" s="187">
        <v>302553</v>
      </c>
      <c r="BR219" s="187">
        <v>303334</v>
      </c>
      <c r="BS219" s="187">
        <v>300180</v>
      </c>
      <c r="BT219" s="187">
        <v>296804</v>
      </c>
      <c r="BU219" s="187">
        <v>285273</v>
      </c>
      <c r="BV219" s="187">
        <v>276212</v>
      </c>
      <c r="BW219" s="187">
        <v>269261</v>
      </c>
      <c r="BX219" s="187">
        <v>259523</v>
      </c>
      <c r="BY219" s="187">
        <v>252983</v>
      </c>
      <c r="BZ219" s="187">
        <v>240359</v>
      </c>
      <c r="CA219" s="187">
        <v>231339</v>
      </c>
      <c r="CB219" s="187">
        <v>225403</v>
      </c>
      <c r="CC219" s="187">
        <v>215465</v>
      </c>
      <c r="CD219" s="187">
        <v>209525</v>
      </c>
      <c r="CE219" s="187">
        <v>200274</v>
      </c>
      <c r="CF219" s="187">
        <v>189424</v>
      </c>
      <c r="CG219" s="187">
        <v>185056</v>
      </c>
      <c r="CH219" s="187">
        <v>183698</v>
      </c>
      <c r="CI219" s="187">
        <v>148928</v>
      </c>
      <c r="CJ219" s="187">
        <v>135241</v>
      </c>
      <c r="CK219" s="187">
        <v>122392</v>
      </c>
      <c r="CL219" s="187">
        <v>103785</v>
      </c>
      <c r="CM219" s="187">
        <v>95665</v>
      </c>
      <c r="CN219" s="187">
        <v>82304</v>
      </c>
      <c r="CO219" s="187">
        <v>71981</v>
      </c>
      <c r="CP219" s="187">
        <v>61655</v>
      </c>
      <c r="CQ219" s="187">
        <v>51923</v>
      </c>
      <c r="CR219" s="187">
        <v>43498</v>
      </c>
      <c r="CS219" s="187">
        <v>35460</v>
      </c>
      <c r="CT219" s="187">
        <v>27653</v>
      </c>
      <c r="CU219" s="187">
        <v>21745</v>
      </c>
      <c r="CV219" s="187">
        <v>16840</v>
      </c>
      <c r="CW219" s="187">
        <v>12807</v>
      </c>
      <c r="CX219" s="187">
        <v>9775</v>
      </c>
      <c r="CY219" s="187">
        <v>7065</v>
      </c>
      <c r="CZ219" s="187">
        <v>4799</v>
      </c>
      <c r="DA219" s="187">
        <v>11147</v>
      </c>
      <c r="DB219" s="183">
        <f t="shared" si="60"/>
        <v>29157085</v>
      </c>
      <c r="DC219" s="184">
        <f t="shared" si="61"/>
        <v>29.157084999999999</v>
      </c>
      <c r="DD219" s="186">
        <f t="shared" si="62"/>
        <v>1.3604763222798357E-2</v>
      </c>
    </row>
    <row r="220" spans="1:108" x14ac:dyDescent="0.2">
      <c r="A220" s="652"/>
      <c r="B220" s="180"/>
      <c r="C220" s="180"/>
      <c r="D220" s="181">
        <v>2029</v>
      </c>
      <c r="E220" s="187">
        <v>376318</v>
      </c>
      <c r="F220" s="187">
        <v>374748</v>
      </c>
      <c r="G220" s="187">
        <v>374343</v>
      </c>
      <c r="H220" s="187">
        <v>373968</v>
      </c>
      <c r="I220" s="187">
        <v>373308</v>
      </c>
      <c r="J220" s="187">
        <v>372208</v>
      </c>
      <c r="K220" s="187">
        <v>370425</v>
      </c>
      <c r="L220" s="187">
        <v>367888</v>
      </c>
      <c r="M220" s="187">
        <v>364775</v>
      </c>
      <c r="N220" s="187">
        <v>361220</v>
      </c>
      <c r="O220" s="187">
        <v>357245</v>
      </c>
      <c r="P220" s="187">
        <v>353027</v>
      </c>
      <c r="Q220" s="187">
        <v>339355</v>
      </c>
      <c r="R220" s="187">
        <v>354606</v>
      </c>
      <c r="S220" s="187">
        <v>348268</v>
      </c>
      <c r="T220" s="187">
        <v>347726</v>
      </c>
      <c r="U220" s="187">
        <v>353227</v>
      </c>
      <c r="V220" s="187">
        <v>352723</v>
      </c>
      <c r="W220" s="187">
        <v>358361</v>
      </c>
      <c r="X220" s="187">
        <v>370259</v>
      </c>
      <c r="Y220" s="187">
        <v>375796</v>
      </c>
      <c r="Z220" s="187">
        <v>384555</v>
      </c>
      <c r="AA220" s="187">
        <v>392043</v>
      </c>
      <c r="AB220" s="187">
        <v>394424</v>
      </c>
      <c r="AC220" s="187">
        <v>394508</v>
      </c>
      <c r="AD220" s="187">
        <v>399286</v>
      </c>
      <c r="AE220" s="187">
        <v>403155</v>
      </c>
      <c r="AF220" s="187">
        <v>409223</v>
      </c>
      <c r="AG220" s="187">
        <v>420531</v>
      </c>
      <c r="AH220" s="187">
        <v>426295</v>
      </c>
      <c r="AI220" s="187">
        <v>429930</v>
      </c>
      <c r="AJ220" s="187">
        <v>432836</v>
      </c>
      <c r="AK220" s="187">
        <v>434144</v>
      </c>
      <c r="AL220" s="187">
        <v>436358</v>
      </c>
      <c r="AM220" s="187">
        <v>442601</v>
      </c>
      <c r="AN220" s="187">
        <v>439426</v>
      </c>
      <c r="AO220" s="187">
        <v>431979</v>
      </c>
      <c r="AP220" s="187">
        <v>427545</v>
      </c>
      <c r="AQ220" s="187">
        <v>428528</v>
      </c>
      <c r="AR220" s="187">
        <v>428584</v>
      </c>
      <c r="AS220" s="187">
        <v>417350</v>
      </c>
      <c r="AT220" s="187">
        <v>412556</v>
      </c>
      <c r="AU220" s="187">
        <v>405367</v>
      </c>
      <c r="AV220" s="187">
        <v>405091</v>
      </c>
      <c r="AW220" s="187">
        <v>397387</v>
      </c>
      <c r="AX220" s="187">
        <v>392607</v>
      </c>
      <c r="AY220" s="187">
        <v>386158</v>
      </c>
      <c r="AZ220" s="187">
        <v>372230</v>
      </c>
      <c r="BA220" s="187">
        <v>360537</v>
      </c>
      <c r="BB220" s="187">
        <v>344642</v>
      </c>
      <c r="BC220" s="187">
        <v>332308</v>
      </c>
      <c r="BD220" s="187">
        <v>324093</v>
      </c>
      <c r="BE220" s="187">
        <v>319935</v>
      </c>
      <c r="BF220" s="187">
        <v>320260</v>
      </c>
      <c r="BG220" s="187">
        <v>319346</v>
      </c>
      <c r="BH220" s="187">
        <v>326235</v>
      </c>
      <c r="BI220" s="187">
        <v>329907</v>
      </c>
      <c r="BJ220" s="187">
        <v>339418</v>
      </c>
      <c r="BK220" s="187">
        <v>341430</v>
      </c>
      <c r="BL220" s="187">
        <v>319541</v>
      </c>
      <c r="BM220" s="187">
        <v>313183</v>
      </c>
      <c r="BN220" s="187">
        <v>302360</v>
      </c>
      <c r="BO220" s="187">
        <v>293352</v>
      </c>
      <c r="BP220" s="187">
        <v>293096</v>
      </c>
      <c r="BQ220" s="187">
        <v>291219</v>
      </c>
      <c r="BR220" s="187">
        <v>300828</v>
      </c>
      <c r="BS220" s="187">
        <v>301348</v>
      </c>
      <c r="BT220" s="187">
        <v>298007</v>
      </c>
      <c r="BU220" s="187">
        <v>294410</v>
      </c>
      <c r="BV220" s="187">
        <v>282694</v>
      </c>
      <c r="BW220" s="187">
        <v>273417</v>
      </c>
      <c r="BX220" s="187">
        <v>266219</v>
      </c>
      <c r="BY220" s="187">
        <v>256234</v>
      </c>
      <c r="BZ220" s="187">
        <v>249391</v>
      </c>
      <c r="CA220" s="187">
        <v>236523</v>
      </c>
      <c r="CB220" s="187">
        <v>227193</v>
      </c>
      <c r="CC220" s="187">
        <v>220861</v>
      </c>
      <c r="CD220" s="187">
        <v>210564</v>
      </c>
      <c r="CE220" s="187">
        <v>204155</v>
      </c>
      <c r="CF220" s="187">
        <v>194459</v>
      </c>
      <c r="CG220" s="187">
        <v>183173</v>
      </c>
      <c r="CH220" s="187">
        <v>178098</v>
      </c>
      <c r="CI220" s="187">
        <v>175796</v>
      </c>
      <c r="CJ220" s="187">
        <v>141597</v>
      </c>
      <c r="CK220" s="187">
        <v>127611</v>
      </c>
      <c r="CL220" s="187">
        <v>114463</v>
      </c>
      <c r="CM220" s="187">
        <v>96110</v>
      </c>
      <c r="CN220" s="187">
        <v>87605</v>
      </c>
      <c r="CO220" s="187">
        <v>74418</v>
      </c>
      <c r="CP220" s="187">
        <v>64210</v>
      </c>
      <c r="CQ220" s="187">
        <v>54184</v>
      </c>
      <c r="CR220" s="187">
        <v>44886</v>
      </c>
      <c r="CS220" s="187">
        <v>36911</v>
      </c>
      <c r="CT220" s="187">
        <v>29447</v>
      </c>
      <c r="CU220" s="187">
        <v>22421</v>
      </c>
      <c r="CV220" s="187">
        <v>17181</v>
      </c>
      <c r="CW220" s="187">
        <v>12946</v>
      </c>
      <c r="CX220" s="187">
        <v>9572</v>
      </c>
      <c r="CY220" s="187">
        <v>7109</v>
      </c>
      <c r="CZ220" s="187">
        <v>5029</v>
      </c>
      <c r="DA220" s="187">
        <v>11454</v>
      </c>
      <c r="DB220" s="183">
        <f>SUM(E220:DA220)</f>
        <v>29545877</v>
      </c>
      <c r="DC220" s="184">
        <f>DB220/1000000</f>
        <v>29.545877000000001</v>
      </c>
      <c r="DD220" s="186">
        <f>(DC220-DC219)/DC219</f>
        <v>1.3334391966823922E-2</v>
      </c>
    </row>
    <row r="221" spans="1:108" x14ac:dyDescent="0.2">
      <c r="A221" s="652"/>
      <c r="B221" s="180"/>
      <c r="C221" s="180"/>
      <c r="D221" s="181">
        <v>2030</v>
      </c>
      <c r="E221" s="187">
        <v>379018</v>
      </c>
      <c r="F221" s="187">
        <v>377631</v>
      </c>
      <c r="G221" s="187">
        <v>377526</v>
      </c>
      <c r="H221" s="187">
        <v>377535</v>
      </c>
      <c r="I221" s="187">
        <v>377248</v>
      </c>
      <c r="J221" s="187">
        <v>376481</v>
      </c>
      <c r="K221" s="187">
        <v>375045</v>
      </c>
      <c r="L221" s="187">
        <v>372872</v>
      </c>
      <c r="M221" s="187">
        <v>370131</v>
      </c>
      <c r="N221" s="187">
        <v>366952</v>
      </c>
      <c r="O221" s="187">
        <v>363320</v>
      </c>
      <c r="P221" s="187">
        <v>359255</v>
      </c>
      <c r="Q221" s="187">
        <v>355013</v>
      </c>
      <c r="R221" s="187">
        <v>341348</v>
      </c>
      <c r="S221" s="187">
        <v>356845</v>
      </c>
      <c r="T221" s="187">
        <v>351262</v>
      </c>
      <c r="U221" s="187">
        <v>351450</v>
      </c>
      <c r="V221" s="187">
        <v>358280</v>
      </c>
      <c r="W221" s="187">
        <v>361691</v>
      </c>
      <c r="X221" s="187">
        <v>370948</v>
      </c>
      <c r="Y221" s="187">
        <v>382238</v>
      </c>
      <c r="Z221" s="187">
        <v>386028</v>
      </c>
      <c r="AA221" s="187">
        <v>396580</v>
      </c>
      <c r="AB221" s="187">
        <v>406407</v>
      </c>
      <c r="AC221" s="187">
        <v>406818</v>
      </c>
      <c r="AD221" s="187">
        <v>403654</v>
      </c>
      <c r="AE221" s="187">
        <v>407010</v>
      </c>
      <c r="AF221" s="187">
        <v>410208</v>
      </c>
      <c r="AG221" s="187">
        <v>415652</v>
      </c>
      <c r="AH221" s="187">
        <v>426409</v>
      </c>
      <c r="AI221" s="187">
        <v>431656</v>
      </c>
      <c r="AJ221" s="187">
        <v>434523</v>
      </c>
      <c r="AK221" s="187">
        <v>436856</v>
      </c>
      <c r="AL221" s="187">
        <v>438131</v>
      </c>
      <c r="AM221" s="187">
        <v>440156</v>
      </c>
      <c r="AN221" s="187">
        <v>445850</v>
      </c>
      <c r="AO221" s="187">
        <v>442245</v>
      </c>
      <c r="AP221" s="187">
        <v>434477</v>
      </c>
      <c r="AQ221" s="187">
        <v>429742</v>
      </c>
      <c r="AR221" s="187">
        <v>430505</v>
      </c>
      <c r="AS221" s="187">
        <v>430338</v>
      </c>
      <c r="AT221" s="187">
        <v>418825</v>
      </c>
      <c r="AU221" s="187">
        <v>413738</v>
      </c>
      <c r="AV221" s="187">
        <v>406362</v>
      </c>
      <c r="AW221" s="187">
        <v>405924</v>
      </c>
      <c r="AX221" s="187">
        <v>397991</v>
      </c>
      <c r="AY221" s="187">
        <v>392999</v>
      </c>
      <c r="AZ221" s="187">
        <v>386342</v>
      </c>
      <c r="BA221" s="187">
        <v>372185</v>
      </c>
      <c r="BB221" s="187">
        <v>360336</v>
      </c>
      <c r="BC221" s="187">
        <v>344331</v>
      </c>
      <c r="BD221" s="187">
        <v>331890</v>
      </c>
      <c r="BE221" s="187">
        <v>323632</v>
      </c>
      <c r="BF221" s="187">
        <v>319410</v>
      </c>
      <c r="BG221" s="187">
        <v>319637</v>
      </c>
      <c r="BH221" s="187">
        <v>318595</v>
      </c>
      <c r="BI221" s="187">
        <v>325322</v>
      </c>
      <c r="BJ221" s="187">
        <v>328943</v>
      </c>
      <c r="BK221" s="187">
        <v>338389</v>
      </c>
      <c r="BL221" s="187">
        <v>340347</v>
      </c>
      <c r="BM221" s="187">
        <v>318494</v>
      </c>
      <c r="BN221" s="187">
        <v>312106</v>
      </c>
      <c r="BO221" s="187">
        <v>301213</v>
      </c>
      <c r="BP221" s="187">
        <v>292111</v>
      </c>
      <c r="BQ221" s="187">
        <v>291706</v>
      </c>
      <c r="BR221" s="187">
        <v>289581</v>
      </c>
      <c r="BS221" s="187">
        <v>298869</v>
      </c>
      <c r="BT221" s="187">
        <v>299180</v>
      </c>
      <c r="BU221" s="187">
        <v>295615</v>
      </c>
      <c r="BV221" s="187">
        <v>291757</v>
      </c>
      <c r="BW221" s="187">
        <v>279850</v>
      </c>
      <c r="BX221" s="187">
        <v>270342</v>
      </c>
      <c r="BY221" s="187">
        <v>262865</v>
      </c>
      <c r="BZ221" s="187">
        <v>252618</v>
      </c>
      <c r="CA221" s="187">
        <v>245425</v>
      </c>
      <c r="CB221" s="187">
        <v>232305</v>
      </c>
      <c r="CC221" s="187">
        <v>222647</v>
      </c>
      <c r="CD221" s="187">
        <v>215871</v>
      </c>
      <c r="CE221" s="187">
        <v>205198</v>
      </c>
      <c r="CF221" s="187">
        <v>198260</v>
      </c>
      <c r="CG221" s="187">
        <v>188081</v>
      </c>
      <c r="CH221" s="187">
        <v>176320</v>
      </c>
      <c r="CI221" s="187">
        <v>170471</v>
      </c>
      <c r="CJ221" s="187">
        <v>167180</v>
      </c>
      <c r="CK221" s="187">
        <v>133634</v>
      </c>
      <c r="CL221" s="187">
        <v>119372</v>
      </c>
      <c r="CM221" s="187">
        <v>106024</v>
      </c>
      <c r="CN221" s="187">
        <v>88037</v>
      </c>
      <c r="CO221" s="187">
        <v>79231</v>
      </c>
      <c r="CP221" s="187">
        <v>66406</v>
      </c>
      <c r="CQ221" s="187">
        <v>56447</v>
      </c>
      <c r="CR221" s="187">
        <v>46858</v>
      </c>
      <c r="CS221" s="187">
        <v>38106</v>
      </c>
      <c r="CT221" s="187">
        <v>30662</v>
      </c>
      <c r="CU221" s="187">
        <v>23884</v>
      </c>
      <c r="CV221" s="187">
        <v>17721</v>
      </c>
      <c r="CW221" s="187">
        <v>13208</v>
      </c>
      <c r="CX221" s="187">
        <v>9678</v>
      </c>
      <c r="CY221" s="187">
        <v>6962</v>
      </c>
      <c r="CZ221" s="187">
        <v>5061</v>
      </c>
      <c r="DA221" s="187">
        <v>11837</v>
      </c>
      <c r="DB221" s="183">
        <f>SUM(E221:DA221)</f>
        <v>29931725</v>
      </c>
      <c r="DC221" s="184">
        <f>DB221/1000000</f>
        <v>29.931725</v>
      </c>
      <c r="DD221" s="186">
        <f>(DC221-DC220)/DC220</f>
        <v>1.3059284041560157E-2</v>
      </c>
    </row>
    <row r="222" spans="1:108" x14ac:dyDescent="0.2">
      <c r="A222" s="652"/>
      <c r="B222" s="180"/>
      <c r="C222" s="180"/>
      <c r="D222" s="188"/>
      <c r="E222" s="189"/>
      <c r="F222" s="189"/>
      <c r="G222" s="189"/>
      <c r="H222" s="189"/>
      <c r="I222" s="189"/>
      <c r="J222" s="189"/>
      <c r="K222" s="189"/>
      <c r="L222" s="189"/>
      <c r="M222" s="189"/>
      <c r="N222" s="189"/>
      <c r="O222" s="189"/>
      <c r="P222" s="189"/>
      <c r="Q222" s="189"/>
      <c r="R222" s="189"/>
      <c r="S222" s="189"/>
      <c r="T222" s="189"/>
      <c r="U222" s="189"/>
      <c r="V222" s="189"/>
      <c r="W222" s="189"/>
      <c r="X222" s="189"/>
      <c r="Y222" s="189"/>
      <c r="Z222" s="189"/>
      <c r="AA222" s="189"/>
      <c r="AB222" s="189"/>
      <c r="AC222" s="189"/>
      <c r="AD222" s="189"/>
      <c r="AE222" s="189"/>
      <c r="AF222" s="189"/>
      <c r="AG222" s="189"/>
      <c r="AH222" s="189"/>
      <c r="AI222" s="189"/>
      <c r="AJ222" s="189"/>
      <c r="AK222" s="189"/>
      <c r="AL222" s="189"/>
      <c r="AM222" s="189"/>
      <c r="AN222" s="189"/>
      <c r="AO222" s="189"/>
      <c r="AP222" s="189"/>
      <c r="AQ222" s="189"/>
      <c r="AR222" s="189"/>
      <c r="AS222" s="189"/>
      <c r="AT222" s="189"/>
      <c r="AU222" s="189"/>
      <c r="AV222" s="189"/>
      <c r="AW222" s="189"/>
      <c r="AX222" s="189"/>
      <c r="AY222" s="189"/>
      <c r="AZ222" s="189"/>
      <c r="BA222" s="189"/>
      <c r="BB222" s="189"/>
      <c r="BC222" s="189"/>
      <c r="BD222" s="189"/>
      <c r="BE222" s="189"/>
      <c r="BF222" s="189"/>
      <c r="BG222" s="189"/>
      <c r="BH222" s="189"/>
      <c r="BI222" s="189"/>
      <c r="BJ222" s="189"/>
      <c r="BK222" s="189"/>
      <c r="BL222" s="189"/>
      <c r="BM222" s="189"/>
      <c r="BN222" s="189"/>
      <c r="BO222" s="189"/>
      <c r="BP222" s="189"/>
      <c r="BQ222" s="189"/>
      <c r="BR222" s="189"/>
      <c r="BS222" s="189"/>
      <c r="BT222" s="189"/>
      <c r="BU222" s="189"/>
      <c r="BV222" s="189"/>
      <c r="BW222" s="189"/>
      <c r="BX222" s="189"/>
      <c r="BY222" s="189"/>
      <c r="BZ222" s="189"/>
      <c r="CA222" s="189"/>
      <c r="CB222" s="189"/>
      <c r="CC222" s="189"/>
      <c r="CD222" s="189"/>
      <c r="CE222" s="189"/>
      <c r="CF222" s="189"/>
      <c r="CG222" s="189"/>
      <c r="CH222" s="189"/>
      <c r="CI222" s="189"/>
      <c r="CJ222" s="189"/>
      <c r="CK222" s="189"/>
      <c r="CL222" s="189"/>
      <c r="CM222" s="190"/>
      <c r="CN222" s="190"/>
      <c r="CO222" s="190"/>
      <c r="CP222" s="190"/>
      <c r="CQ222" s="190"/>
      <c r="CR222" s="190"/>
      <c r="CS222" s="190"/>
      <c r="CT222" s="190"/>
      <c r="CU222" s="190"/>
      <c r="CV222" s="190"/>
      <c r="CW222" s="190"/>
      <c r="CX222" s="190"/>
      <c r="CY222" s="190"/>
      <c r="CZ222" s="190"/>
      <c r="DA222" s="190"/>
      <c r="DB222" s="191"/>
      <c r="DC222" s="192"/>
      <c r="DD222" s="193"/>
    </row>
    <row r="223" spans="1:108" x14ac:dyDescent="0.2">
      <c r="A223" s="652"/>
      <c r="B223" s="180"/>
      <c r="C223" s="180"/>
      <c r="D223" s="188"/>
      <c r="E223" s="189"/>
      <c r="F223" s="189"/>
      <c r="G223" s="189"/>
      <c r="H223" s="189"/>
      <c r="I223" s="189"/>
      <c r="J223" s="189"/>
      <c r="K223" s="189"/>
      <c r="L223" s="189"/>
      <c r="M223" s="189"/>
      <c r="N223" s="189"/>
      <c r="O223" s="189"/>
      <c r="P223" s="189"/>
      <c r="Q223" s="189"/>
      <c r="R223" s="189"/>
      <c r="S223" s="189"/>
      <c r="T223" s="189"/>
      <c r="U223" s="189"/>
      <c r="V223" s="189"/>
      <c r="W223" s="189"/>
      <c r="X223" s="189"/>
      <c r="Y223" s="189"/>
      <c r="Z223" s="189"/>
      <c r="AA223" s="189"/>
      <c r="AB223" s="189"/>
      <c r="AC223" s="189"/>
      <c r="AD223" s="189"/>
      <c r="AE223" s="189"/>
      <c r="AF223" s="189"/>
      <c r="AG223" s="189"/>
      <c r="AH223" s="189"/>
      <c r="AI223" s="189"/>
      <c r="AJ223" s="189"/>
      <c r="AK223" s="189"/>
      <c r="AL223" s="189"/>
      <c r="AM223" s="189"/>
      <c r="AN223" s="189"/>
      <c r="AO223" s="189"/>
      <c r="AP223" s="189"/>
      <c r="AQ223" s="189"/>
      <c r="AR223" s="189"/>
      <c r="AS223" s="189"/>
      <c r="AT223" s="189"/>
      <c r="AU223" s="189"/>
      <c r="AV223" s="189"/>
      <c r="AW223" s="189"/>
      <c r="AX223" s="189"/>
      <c r="AY223" s="189"/>
      <c r="AZ223" s="189"/>
      <c r="BA223" s="189"/>
      <c r="BB223" s="189"/>
      <c r="BC223" s="189"/>
      <c r="BD223" s="189"/>
      <c r="BE223" s="189"/>
      <c r="BF223" s="189"/>
      <c r="BG223" s="189"/>
      <c r="BH223" s="189"/>
      <c r="BI223" s="189"/>
      <c r="BJ223" s="189"/>
      <c r="BK223" s="189"/>
      <c r="BL223" s="189"/>
      <c r="BM223" s="189"/>
      <c r="BN223" s="189"/>
      <c r="BO223" s="189"/>
      <c r="BP223" s="189"/>
      <c r="BQ223" s="189"/>
      <c r="BR223" s="189"/>
      <c r="BS223" s="189"/>
      <c r="BT223" s="189"/>
      <c r="BU223" s="189"/>
      <c r="BV223" s="189"/>
      <c r="BW223" s="189"/>
      <c r="BX223" s="189"/>
      <c r="BY223" s="189"/>
      <c r="BZ223" s="189"/>
      <c r="CA223" s="189"/>
      <c r="CB223" s="189"/>
      <c r="CC223" s="189"/>
      <c r="CD223" s="189"/>
      <c r="CE223" s="189"/>
      <c r="CF223" s="189"/>
      <c r="CG223" s="189"/>
      <c r="CH223" s="189"/>
      <c r="CI223" s="189"/>
      <c r="CJ223" s="189"/>
      <c r="CK223" s="189"/>
      <c r="CL223" s="189"/>
      <c r="CM223" s="190"/>
      <c r="CN223" s="190"/>
      <c r="CO223" s="190"/>
      <c r="CP223" s="190"/>
      <c r="CQ223" s="190"/>
      <c r="CR223" s="190"/>
      <c r="CS223" s="190"/>
      <c r="CT223" s="190"/>
      <c r="CU223" s="190"/>
      <c r="CV223" s="190"/>
      <c r="CW223" s="190"/>
      <c r="CX223" s="190"/>
      <c r="CY223" s="190"/>
      <c r="CZ223" s="190"/>
      <c r="DA223" s="190"/>
      <c r="DB223" s="191"/>
      <c r="DC223" s="192"/>
      <c r="DD223" s="193"/>
    </row>
    <row r="224" spans="1:108" ht="15.75" x14ac:dyDescent="0.2">
      <c r="A224" s="162"/>
      <c r="B224" s="162"/>
      <c r="C224" s="162"/>
      <c r="D224" s="123" t="s">
        <v>881</v>
      </c>
      <c r="E224" s="127"/>
      <c r="F224" s="127"/>
      <c r="G224" s="127"/>
      <c r="H224" s="127"/>
      <c r="I224" s="127"/>
      <c r="J224" s="127"/>
      <c r="K224" s="127"/>
      <c r="L224" s="127"/>
      <c r="M224" s="127"/>
      <c r="N224" s="127"/>
      <c r="O224" s="127"/>
      <c r="P224" s="127"/>
      <c r="Q224" s="127"/>
      <c r="R224" s="127"/>
      <c r="S224" s="127"/>
      <c r="T224" s="127"/>
      <c r="U224" s="127"/>
      <c r="V224" s="127"/>
      <c r="W224" s="127"/>
      <c r="X224" s="127"/>
      <c r="Y224" s="127"/>
      <c r="Z224" s="127"/>
      <c r="AA224" s="127"/>
      <c r="AB224" s="127"/>
      <c r="AC224" s="127"/>
      <c r="AD224" s="127"/>
      <c r="AE224" s="127"/>
      <c r="AF224" s="127"/>
      <c r="AG224" s="127"/>
      <c r="AH224" s="127"/>
      <c r="AI224" s="127"/>
      <c r="AJ224" s="127"/>
      <c r="AK224" s="127"/>
      <c r="AL224" s="127"/>
      <c r="AM224" s="127"/>
      <c r="AN224" s="127"/>
      <c r="AO224" s="127"/>
      <c r="AP224" s="127"/>
      <c r="AQ224" s="127"/>
      <c r="AR224" s="127"/>
      <c r="AS224" s="127"/>
      <c r="AT224" s="127"/>
      <c r="AU224" s="127"/>
      <c r="AV224" s="127"/>
      <c r="AW224" s="127"/>
      <c r="AX224" s="127"/>
      <c r="AY224" s="127"/>
      <c r="AZ224" s="127"/>
      <c r="BA224" s="127"/>
      <c r="BB224" s="127"/>
      <c r="BC224" s="127"/>
      <c r="BD224" s="127"/>
      <c r="BE224" s="127"/>
      <c r="BF224" s="127"/>
      <c r="BG224" s="127"/>
      <c r="BH224" s="127"/>
      <c r="BI224" s="127"/>
      <c r="BJ224" s="127"/>
      <c r="BK224" s="127"/>
      <c r="BL224" s="127"/>
      <c r="BM224" s="127"/>
      <c r="BN224" s="127"/>
      <c r="BO224" s="127"/>
      <c r="BP224" s="127"/>
      <c r="BQ224" s="127"/>
      <c r="BR224" s="127"/>
      <c r="BS224" s="127"/>
      <c r="BT224" s="127"/>
      <c r="BU224" s="127"/>
      <c r="BV224" s="127"/>
      <c r="BW224" s="127"/>
      <c r="BX224" s="127"/>
      <c r="BY224" s="127"/>
      <c r="BZ224" s="127"/>
      <c r="CA224" s="127"/>
      <c r="CB224" s="127"/>
      <c r="CC224" s="127"/>
      <c r="CD224" s="127"/>
      <c r="CE224" s="127"/>
      <c r="CF224" s="127"/>
      <c r="CG224" s="127"/>
      <c r="CH224" s="127"/>
      <c r="CI224" s="127"/>
      <c r="CJ224" s="127"/>
      <c r="CK224" s="127"/>
      <c r="CL224" s="127"/>
      <c r="CM224" s="127"/>
      <c r="CN224" s="127"/>
      <c r="CO224" s="127"/>
      <c r="CP224" s="127"/>
      <c r="CQ224" s="127"/>
      <c r="CR224" s="127"/>
      <c r="CS224" s="127"/>
      <c r="CT224" s="127"/>
      <c r="CU224" s="127"/>
      <c r="CV224" s="127"/>
      <c r="CW224" s="127"/>
      <c r="CX224" s="127"/>
      <c r="CY224" s="127"/>
      <c r="CZ224" s="127"/>
      <c r="DA224" s="127"/>
      <c r="DB224" s="127"/>
      <c r="DC224" s="127"/>
      <c r="DD224" s="127"/>
    </row>
    <row r="225" spans="1:108" x14ac:dyDescent="0.2">
      <c r="A225" s="125"/>
      <c r="B225" s="121"/>
      <c r="C225" s="121"/>
      <c r="D225" s="121"/>
      <c r="E225" s="121"/>
      <c r="F225" s="121"/>
      <c r="G225" s="121"/>
      <c r="H225" s="121"/>
      <c r="I225" s="121"/>
      <c r="J225" s="121"/>
      <c r="K225" s="121"/>
      <c r="L225" s="121"/>
      <c r="M225" s="121"/>
      <c r="N225" s="121"/>
      <c r="O225" s="121"/>
      <c r="P225" s="121"/>
      <c r="Q225" s="121"/>
      <c r="R225" s="121"/>
      <c r="S225" s="121"/>
      <c r="T225" s="121"/>
      <c r="U225" s="121"/>
      <c r="V225" s="121"/>
      <c r="W225" s="121"/>
      <c r="X225" s="121"/>
      <c r="Y225" s="121"/>
      <c r="Z225" s="121"/>
      <c r="AA225" s="121"/>
      <c r="AB225" s="121"/>
      <c r="AC225" s="121"/>
      <c r="AD225" s="121"/>
      <c r="AE225" s="121"/>
      <c r="AF225" s="121"/>
      <c r="AG225" s="121"/>
      <c r="AH225" s="121"/>
      <c r="AI225" s="121"/>
      <c r="AJ225" s="121"/>
      <c r="AK225" s="121"/>
      <c r="AL225" s="121"/>
      <c r="AM225" s="121"/>
      <c r="AN225" s="121"/>
      <c r="AO225" s="121"/>
      <c r="AP225" s="121"/>
      <c r="AQ225" s="121"/>
      <c r="AR225" s="121"/>
      <c r="AS225" s="121"/>
      <c r="AT225" s="121"/>
      <c r="AU225" s="121"/>
      <c r="AV225" s="121"/>
      <c r="AW225" s="121"/>
      <c r="AX225" s="121"/>
      <c r="AY225" s="121"/>
      <c r="AZ225" s="121"/>
      <c r="BA225" s="121"/>
      <c r="BB225" s="121"/>
      <c r="BC225" s="121"/>
      <c r="BD225" s="121"/>
      <c r="BE225" s="121"/>
      <c r="BF225" s="121"/>
      <c r="BG225" s="121"/>
      <c r="BH225" s="121"/>
      <c r="BI225" s="121"/>
      <c r="BJ225" s="121"/>
      <c r="BK225" s="121"/>
      <c r="BL225" s="121"/>
      <c r="BM225" s="121"/>
      <c r="BN225" s="121"/>
      <c r="BO225" s="121"/>
      <c r="BP225" s="121"/>
      <c r="BQ225" s="121"/>
      <c r="BR225" s="121"/>
      <c r="BS225" s="121"/>
      <c r="BT225" s="121"/>
      <c r="BU225" s="121"/>
      <c r="BV225" s="121"/>
      <c r="BW225" s="121"/>
      <c r="BX225" s="121"/>
      <c r="BY225" s="121"/>
      <c r="BZ225" s="121"/>
      <c r="CA225" s="121"/>
      <c r="CB225" s="121"/>
      <c r="CC225" s="121"/>
      <c r="CD225" s="121"/>
      <c r="CE225" s="121"/>
      <c r="CF225" s="121"/>
      <c r="CG225" s="121"/>
      <c r="CH225" s="121"/>
      <c r="CI225" s="121"/>
      <c r="CJ225" s="121"/>
      <c r="CK225" s="121"/>
      <c r="CL225" s="121"/>
      <c r="CM225" s="121"/>
      <c r="CN225" s="121"/>
      <c r="CO225" s="121"/>
      <c r="CP225" s="121"/>
      <c r="CQ225" s="121"/>
      <c r="CR225" s="121"/>
      <c r="CS225" s="121"/>
      <c r="CT225" s="121"/>
      <c r="CU225" s="121"/>
      <c r="CV225" s="121"/>
      <c r="CW225" s="121"/>
      <c r="CX225" s="121"/>
      <c r="CY225" s="121"/>
      <c r="CZ225" s="121"/>
      <c r="DA225" s="121"/>
      <c r="DB225" s="121"/>
      <c r="DC225" s="121"/>
      <c r="DD225" s="121"/>
    </row>
    <row r="226" spans="1:108" x14ac:dyDescent="0.2">
      <c r="A226" s="125"/>
      <c r="B226" s="121"/>
      <c r="C226" s="121"/>
      <c r="D226" s="121"/>
      <c r="E226" s="178" t="s">
        <v>241</v>
      </c>
      <c r="F226" s="121"/>
      <c r="G226" s="121"/>
      <c r="H226" s="121"/>
      <c r="I226" s="121"/>
      <c r="J226" s="121"/>
      <c r="K226" s="121"/>
      <c r="L226" s="121"/>
      <c r="M226" s="121"/>
      <c r="N226" s="121"/>
      <c r="O226" s="121"/>
      <c r="P226" s="121"/>
      <c r="Q226" s="121"/>
      <c r="R226" s="121"/>
      <c r="S226" s="121"/>
      <c r="T226" s="121"/>
      <c r="U226" s="121"/>
      <c r="V226" s="121"/>
      <c r="W226" s="121"/>
      <c r="X226" s="121"/>
      <c r="Y226" s="121"/>
      <c r="Z226" s="121"/>
      <c r="AA226" s="121"/>
      <c r="AB226" s="121"/>
      <c r="AC226" s="121"/>
      <c r="AD226" s="121"/>
      <c r="AE226" s="121"/>
      <c r="AF226" s="121"/>
      <c r="AG226" s="121"/>
      <c r="AH226" s="121"/>
      <c r="AI226" s="121"/>
      <c r="AJ226" s="121"/>
      <c r="AK226" s="121"/>
      <c r="AL226" s="121"/>
      <c r="AM226" s="121"/>
      <c r="AN226" s="121"/>
      <c r="AO226" s="121"/>
      <c r="AP226" s="121"/>
      <c r="AQ226" s="121"/>
      <c r="AR226" s="121"/>
      <c r="AS226" s="121"/>
      <c r="AT226" s="121"/>
      <c r="AU226" s="121"/>
      <c r="AV226" s="121"/>
      <c r="AW226" s="121"/>
      <c r="AX226" s="121"/>
      <c r="AY226" s="121"/>
      <c r="AZ226" s="121"/>
      <c r="BA226" s="121"/>
      <c r="BB226" s="121"/>
      <c r="BC226" s="121"/>
      <c r="BD226" s="121"/>
      <c r="BE226" s="121"/>
      <c r="BF226" s="121"/>
      <c r="BG226" s="121"/>
      <c r="BH226" s="121"/>
      <c r="BI226" s="121"/>
      <c r="BJ226" s="121"/>
      <c r="BK226" s="121"/>
      <c r="BL226" s="121"/>
      <c r="BM226" s="121"/>
      <c r="BN226" s="121"/>
      <c r="BO226" s="121"/>
      <c r="BP226" s="121"/>
      <c r="BQ226" s="121"/>
      <c r="BR226" s="121"/>
      <c r="BS226" s="121"/>
      <c r="BT226" s="121"/>
      <c r="BU226" s="121"/>
      <c r="BV226" s="121"/>
      <c r="BW226" s="121"/>
      <c r="BX226" s="121"/>
      <c r="BY226" s="121"/>
      <c r="BZ226" s="121"/>
      <c r="CA226" s="121"/>
      <c r="CB226" s="121"/>
      <c r="CC226" s="121"/>
      <c r="CD226" s="121"/>
      <c r="CE226" s="121"/>
      <c r="CF226" s="121"/>
      <c r="CG226" s="121"/>
      <c r="CH226" s="121"/>
      <c r="CI226" s="121"/>
      <c r="CJ226" s="121"/>
      <c r="CK226" s="121"/>
      <c r="CL226" s="121"/>
      <c r="CM226" s="121"/>
      <c r="CN226" s="121"/>
      <c r="CO226" s="121"/>
      <c r="CP226" s="121"/>
      <c r="CQ226" s="121"/>
      <c r="CR226" s="121"/>
      <c r="CS226" s="121"/>
      <c r="CT226" s="121"/>
      <c r="CU226" s="121"/>
      <c r="CV226" s="121"/>
      <c r="CW226" s="121"/>
      <c r="CX226" s="121"/>
      <c r="CY226" s="121"/>
      <c r="CZ226" s="121"/>
      <c r="DA226" s="121"/>
      <c r="DB226" s="121"/>
      <c r="DC226" s="121"/>
      <c r="DD226" s="121"/>
    </row>
    <row r="227" spans="1:108" x14ac:dyDescent="0.2">
      <c r="A227" s="651"/>
      <c r="B227" s="179"/>
      <c r="C227" s="179"/>
      <c r="D227" s="179"/>
      <c r="E227" s="37">
        <v>0</v>
      </c>
      <c r="F227" s="37">
        <v>1</v>
      </c>
      <c r="G227" s="37">
        <v>2</v>
      </c>
      <c r="H227" s="37">
        <v>3</v>
      </c>
      <c r="I227" s="37">
        <v>4</v>
      </c>
      <c r="J227" s="37">
        <v>5</v>
      </c>
      <c r="K227" s="37">
        <v>6</v>
      </c>
      <c r="L227" s="37">
        <v>7</v>
      </c>
      <c r="M227" s="37">
        <v>8</v>
      </c>
      <c r="N227" s="37">
        <v>9</v>
      </c>
      <c r="O227" s="37">
        <v>10</v>
      </c>
      <c r="P227" s="37">
        <v>11</v>
      </c>
      <c r="Q227" s="37">
        <v>12</v>
      </c>
      <c r="R227" s="37">
        <v>13</v>
      </c>
      <c r="S227" s="37">
        <v>14</v>
      </c>
      <c r="T227" s="37">
        <v>15</v>
      </c>
      <c r="U227" s="37">
        <v>16</v>
      </c>
      <c r="V227" s="37">
        <v>17</v>
      </c>
      <c r="W227" s="37">
        <v>18</v>
      </c>
      <c r="X227" s="37">
        <v>19</v>
      </c>
      <c r="Y227" s="37">
        <v>20</v>
      </c>
      <c r="Z227" s="37">
        <v>21</v>
      </c>
      <c r="AA227" s="37">
        <v>22</v>
      </c>
      <c r="AB227" s="37">
        <v>23</v>
      </c>
      <c r="AC227" s="37">
        <v>24</v>
      </c>
      <c r="AD227" s="37">
        <v>25</v>
      </c>
      <c r="AE227" s="37">
        <v>26</v>
      </c>
      <c r="AF227" s="37">
        <v>27</v>
      </c>
      <c r="AG227" s="37">
        <v>28</v>
      </c>
      <c r="AH227" s="37">
        <v>29</v>
      </c>
      <c r="AI227" s="37">
        <v>30</v>
      </c>
      <c r="AJ227" s="37">
        <v>31</v>
      </c>
      <c r="AK227" s="37">
        <v>32</v>
      </c>
      <c r="AL227" s="37">
        <v>33</v>
      </c>
      <c r="AM227" s="37">
        <v>34</v>
      </c>
      <c r="AN227" s="37">
        <v>35</v>
      </c>
      <c r="AO227" s="37">
        <v>36</v>
      </c>
      <c r="AP227" s="37">
        <v>37</v>
      </c>
      <c r="AQ227" s="37">
        <v>38</v>
      </c>
      <c r="AR227" s="37">
        <v>39</v>
      </c>
      <c r="AS227" s="37">
        <v>40</v>
      </c>
      <c r="AT227" s="37">
        <v>41</v>
      </c>
      <c r="AU227" s="37">
        <v>42</v>
      </c>
      <c r="AV227" s="37">
        <v>43</v>
      </c>
      <c r="AW227" s="37">
        <v>44</v>
      </c>
      <c r="AX227" s="37">
        <v>45</v>
      </c>
      <c r="AY227" s="37">
        <v>46</v>
      </c>
      <c r="AZ227" s="37">
        <v>47</v>
      </c>
      <c r="BA227" s="37">
        <v>48</v>
      </c>
      <c r="BB227" s="37">
        <v>49</v>
      </c>
      <c r="BC227" s="37">
        <v>50</v>
      </c>
      <c r="BD227" s="37">
        <v>51</v>
      </c>
      <c r="BE227" s="37">
        <v>52</v>
      </c>
      <c r="BF227" s="37">
        <v>53</v>
      </c>
      <c r="BG227" s="37">
        <v>54</v>
      </c>
      <c r="BH227" s="37">
        <v>55</v>
      </c>
      <c r="BI227" s="37">
        <v>56</v>
      </c>
      <c r="BJ227" s="37">
        <v>57</v>
      </c>
      <c r="BK227" s="37">
        <v>58</v>
      </c>
      <c r="BL227" s="37">
        <v>59</v>
      </c>
      <c r="BM227" s="37">
        <v>60</v>
      </c>
      <c r="BN227" s="37">
        <v>61</v>
      </c>
      <c r="BO227" s="37">
        <v>62</v>
      </c>
      <c r="BP227" s="37">
        <v>63</v>
      </c>
      <c r="BQ227" s="37">
        <v>64</v>
      </c>
      <c r="BR227" s="37">
        <v>65</v>
      </c>
      <c r="BS227" s="37">
        <v>66</v>
      </c>
      <c r="BT227" s="37">
        <v>67</v>
      </c>
      <c r="BU227" s="37">
        <v>68</v>
      </c>
      <c r="BV227" s="37">
        <v>69</v>
      </c>
      <c r="BW227" s="37">
        <v>70</v>
      </c>
      <c r="BX227" s="37">
        <v>71</v>
      </c>
      <c r="BY227" s="37">
        <v>72</v>
      </c>
      <c r="BZ227" s="37">
        <v>73</v>
      </c>
      <c r="CA227" s="37">
        <v>74</v>
      </c>
      <c r="CB227" s="37">
        <v>75</v>
      </c>
      <c r="CC227" s="37">
        <v>76</v>
      </c>
      <c r="CD227" s="37">
        <v>77</v>
      </c>
      <c r="CE227" s="37">
        <v>78</v>
      </c>
      <c r="CF227" s="37">
        <v>79</v>
      </c>
      <c r="CG227" s="37">
        <v>80</v>
      </c>
      <c r="CH227" s="37">
        <v>81</v>
      </c>
      <c r="CI227" s="37">
        <v>82</v>
      </c>
      <c r="CJ227" s="37">
        <v>83</v>
      </c>
      <c r="CK227" s="37">
        <v>84</v>
      </c>
      <c r="CL227" s="37">
        <v>85</v>
      </c>
      <c r="CM227" s="37">
        <v>86</v>
      </c>
      <c r="CN227" s="37">
        <v>87</v>
      </c>
      <c r="CO227" s="37">
        <v>88</v>
      </c>
      <c r="CP227" s="37">
        <v>89</v>
      </c>
      <c r="CQ227" s="37">
        <v>90</v>
      </c>
      <c r="CR227" s="37">
        <v>91</v>
      </c>
      <c r="CS227" s="37">
        <v>92</v>
      </c>
      <c r="CT227" s="37">
        <v>93</v>
      </c>
      <c r="CU227" s="37">
        <v>94</v>
      </c>
      <c r="CV227" s="37">
        <v>95</v>
      </c>
      <c r="CW227" s="37">
        <v>96</v>
      </c>
      <c r="CX227" s="37">
        <v>97</v>
      </c>
      <c r="CY227" s="37">
        <v>98</v>
      </c>
      <c r="CZ227" s="37">
        <v>99</v>
      </c>
      <c r="DA227" s="37">
        <v>100</v>
      </c>
      <c r="DB227" s="52" t="s">
        <v>73</v>
      </c>
      <c r="DC227" s="52" t="s">
        <v>300</v>
      </c>
      <c r="DD227" s="52" t="s">
        <v>301</v>
      </c>
    </row>
    <row r="228" spans="1:108" x14ac:dyDescent="0.2">
      <c r="A228" s="652"/>
      <c r="B228" s="180"/>
      <c r="C228" s="180"/>
      <c r="D228" s="181">
        <v>2012</v>
      </c>
      <c r="E228" s="182">
        <v>157077</v>
      </c>
      <c r="F228" s="182">
        <v>150320</v>
      </c>
      <c r="G228" s="182">
        <v>153201</v>
      </c>
      <c r="H228" s="182">
        <v>152221</v>
      </c>
      <c r="I228" s="182">
        <v>151594</v>
      </c>
      <c r="J228" s="182">
        <v>149983</v>
      </c>
      <c r="K228" s="182">
        <v>149918</v>
      </c>
      <c r="L228" s="182">
        <v>145515</v>
      </c>
      <c r="M228" s="182">
        <v>142886</v>
      </c>
      <c r="N228" s="182">
        <v>140855</v>
      </c>
      <c r="O228" s="182">
        <v>140490</v>
      </c>
      <c r="P228" s="182">
        <v>142790</v>
      </c>
      <c r="Q228" s="182">
        <v>142720</v>
      </c>
      <c r="R228" s="182">
        <v>143329</v>
      </c>
      <c r="S228" s="182">
        <v>143823</v>
      </c>
      <c r="T228" s="182">
        <v>145494</v>
      </c>
      <c r="U228" s="182">
        <v>147159</v>
      </c>
      <c r="V228" s="182">
        <v>151181</v>
      </c>
      <c r="W228" s="182">
        <v>151706</v>
      </c>
      <c r="X228" s="182">
        <v>154159</v>
      </c>
      <c r="Y228" s="182">
        <v>157094</v>
      </c>
      <c r="Z228" s="182">
        <v>162833</v>
      </c>
      <c r="AA228" s="182">
        <v>169617</v>
      </c>
      <c r="AB228" s="182">
        <v>169458</v>
      </c>
      <c r="AC228" s="182">
        <v>169636</v>
      </c>
      <c r="AD228" s="182">
        <v>170388</v>
      </c>
      <c r="AE228" s="182">
        <v>172106</v>
      </c>
      <c r="AF228" s="182">
        <v>172487</v>
      </c>
      <c r="AG228" s="182">
        <v>171157</v>
      </c>
      <c r="AH228" s="182">
        <v>172104</v>
      </c>
      <c r="AI228" s="182">
        <v>167876</v>
      </c>
      <c r="AJ228" s="182">
        <v>164842</v>
      </c>
      <c r="AK228" s="182">
        <v>158216</v>
      </c>
      <c r="AL228" s="182">
        <v>155038</v>
      </c>
      <c r="AM228" s="182">
        <v>151584</v>
      </c>
      <c r="AN228" s="182">
        <v>151188</v>
      </c>
      <c r="AO228" s="182">
        <v>151533</v>
      </c>
      <c r="AP228" s="182">
        <v>153848</v>
      </c>
      <c r="AQ228" s="182">
        <v>156955</v>
      </c>
      <c r="AR228" s="182">
        <v>160797</v>
      </c>
      <c r="AS228" s="182">
        <v>167435</v>
      </c>
      <c r="AT228" s="182">
        <v>169797</v>
      </c>
      <c r="AU228" s="182">
        <v>161443</v>
      </c>
      <c r="AV228" s="182">
        <v>158940</v>
      </c>
      <c r="AW228" s="182">
        <v>153147</v>
      </c>
      <c r="AX228" s="182">
        <v>149485</v>
      </c>
      <c r="AY228" s="182">
        <v>148968</v>
      </c>
      <c r="AZ228" s="182">
        <v>150198</v>
      </c>
      <c r="BA228" s="182">
        <v>154564</v>
      </c>
      <c r="BB228" s="182">
        <v>155957</v>
      </c>
      <c r="BC228" s="182">
        <v>156432</v>
      </c>
      <c r="BD228" s="182">
        <v>155545</v>
      </c>
      <c r="BE228" s="182">
        <v>150051</v>
      </c>
      <c r="BF228" s="182">
        <v>148165</v>
      </c>
      <c r="BG228" s="182">
        <v>144308</v>
      </c>
      <c r="BH228" s="182">
        <v>141248</v>
      </c>
      <c r="BI228" s="182">
        <v>139670</v>
      </c>
      <c r="BJ228" s="182">
        <v>134811</v>
      </c>
      <c r="BK228" s="182">
        <v>130539</v>
      </c>
      <c r="BL228" s="182">
        <v>129448</v>
      </c>
      <c r="BM228" s="182">
        <v>125341</v>
      </c>
      <c r="BN228" s="182">
        <v>123661</v>
      </c>
      <c r="BO228" s="182">
        <v>121330</v>
      </c>
      <c r="BP228" s="182">
        <v>118334</v>
      </c>
      <c r="BQ228" s="182">
        <v>119676</v>
      </c>
      <c r="BR228" s="182">
        <v>123900</v>
      </c>
      <c r="BS228" s="182">
        <v>104733</v>
      </c>
      <c r="BT228" s="182">
        <v>99727</v>
      </c>
      <c r="BU228" s="182">
        <v>94733</v>
      </c>
      <c r="BV228" s="182">
        <v>85161</v>
      </c>
      <c r="BW228" s="182">
        <v>83710</v>
      </c>
      <c r="BX228" s="182">
        <v>77433</v>
      </c>
      <c r="BY228" s="182">
        <v>74237</v>
      </c>
      <c r="BZ228" s="182">
        <v>70065</v>
      </c>
      <c r="CA228" s="182">
        <v>65658</v>
      </c>
      <c r="CB228" s="182">
        <v>62216</v>
      </c>
      <c r="CC228" s="182">
        <v>57480</v>
      </c>
      <c r="CD228" s="182">
        <v>52297</v>
      </c>
      <c r="CE228" s="182">
        <v>49098</v>
      </c>
      <c r="CF228" s="182">
        <v>46152</v>
      </c>
      <c r="CG228" s="182">
        <v>43429</v>
      </c>
      <c r="CH228" s="182">
        <v>42262</v>
      </c>
      <c r="CI228" s="182">
        <v>39380</v>
      </c>
      <c r="CJ228" s="182">
        <v>35570</v>
      </c>
      <c r="CK228" s="182">
        <v>32072</v>
      </c>
      <c r="CL228" s="182">
        <v>28245</v>
      </c>
      <c r="CM228" s="182">
        <v>24763</v>
      </c>
      <c r="CN228" s="182">
        <v>20787</v>
      </c>
      <c r="CO228" s="182">
        <v>17391</v>
      </c>
      <c r="CP228" s="182">
        <v>14064</v>
      </c>
      <c r="CQ228" s="182">
        <v>11740</v>
      </c>
      <c r="CR228" s="182">
        <v>8986</v>
      </c>
      <c r="CS228" s="182">
        <v>6760</v>
      </c>
      <c r="CT228" s="182">
        <v>4239</v>
      </c>
      <c r="CU228" s="182">
        <v>3112</v>
      </c>
      <c r="CV228" s="182">
        <v>2277</v>
      </c>
      <c r="CW228" s="182">
        <v>1663</v>
      </c>
      <c r="CX228" s="182">
        <v>1096</v>
      </c>
      <c r="CY228" s="182">
        <v>690</v>
      </c>
      <c r="CZ228" s="182">
        <v>455</v>
      </c>
      <c r="DA228" s="182">
        <v>639</v>
      </c>
      <c r="DB228" s="183">
        <f t="shared" ref="DB228:DB244" si="63">SUM(E228:DA228)</f>
        <v>11309891</v>
      </c>
      <c r="DC228" s="184">
        <f t="shared" ref="DC228:DC244" si="64">DB228/1000000</f>
        <v>11.309891</v>
      </c>
      <c r="DD228" s="185"/>
    </row>
    <row r="229" spans="1:108" x14ac:dyDescent="0.2">
      <c r="A229" s="652"/>
      <c r="B229" s="180"/>
      <c r="C229" s="180"/>
      <c r="D229" s="181">
        <v>2013</v>
      </c>
      <c r="E229" s="182">
        <v>158747</v>
      </c>
      <c r="F229" s="182">
        <v>158052</v>
      </c>
      <c r="G229" s="182">
        <v>152196</v>
      </c>
      <c r="H229" s="182">
        <v>155193</v>
      </c>
      <c r="I229" s="182">
        <v>154181</v>
      </c>
      <c r="J229" s="182">
        <v>153489</v>
      </c>
      <c r="K229" s="182">
        <v>151731</v>
      </c>
      <c r="L229" s="182">
        <v>151491</v>
      </c>
      <c r="M229" s="182">
        <v>147018</v>
      </c>
      <c r="N229" s="182">
        <v>144357</v>
      </c>
      <c r="O229" s="182">
        <v>142276</v>
      </c>
      <c r="P229" s="182">
        <v>141861</v>
      </c>
      <c r="Q229" s="182">
        <v>144145</v>
      </c>
      <c r="R229" s="182">
        <v>144057</v>
      </c>
      <c r="S229" s="182">
        <v>144689</v>
      </c>
      <c r="T229" s="182">
        <v>145441</v>
      </c>
      <c r="U229" s="182">
        <v>147550</v>
      </c>
      <c r="V229" s="182">
        <v>149708</v>
      </c>
      <c r="W229" s="182">
        <v>154580</v>
      </c>
      <c r="X229" s="182">
        <v>156103</v>
      </c>
      <c r="Y229" s="182">
        <v>158857</v>
      </c>
      <c r="Z229" s="182">
        <v>161469</v>
      </c>
      <c r="AA229" s="182">
        <v>167172</v>
      </c>
      <c r="AB229" s="182">
        <v>174099</v>
      </c>
      <c r="AC229" s="182">
        <v>173381</v>
      </c>
      <c r="AD229" s="182">
        <v>172754</v>
      </c>
      <c r="AE229" s="182">
        <v>173191</v>
      </c>
      <c r="AF229" s="182">
        <v>174944</v>
      </c>
      <c r="AG229" s="182">
        <v>175518</v>
      </c>
      <c r="AH229" s="182">
        <v>174417</v>
      </c>
      <c r="AI229" s="182">
        <v>175412</v>
      </c>
      <c r="AJ229" s="182">
        <v>170868</v>
      </c>
      <c r="AK229" s="182">
        <v>167414</v>
      </c>
      <c r="AL229" s="182">
        <v>160575</v>
      </c>
      <c r="AM229" s="182">
        <v>157240</v>
      </c>
      <c r="AN229" s="182">
        <v>153660</v>
      </c>
      <c r="AO229" s="182">
        <v>153128</v>
      </c>
      <c r="AP229" s="182">
        <v>153301</v>
      </c>
      <c r="AQ229" s="182">
        <v>155530</v>
      </c>
      <c r="AR229" s="182">
        <v>158584</v>
      </c>
      <c r="AS229" s="182">
        <v>162307</v>
      </c>
      <c r="AT229" s="182">
        <v>168811</v>
      </c>
      <c r="AU229" s="182">
        <v>171081</v>
      </c>
      <c r="AV229" s="182">
        <v>162617</v>
      </c>
      <c r="AW229" s="182">
        <v>159895</v>
      </c>
      <c r="AX229" s="182">
        <v>153881</v>
      </c>
      <c r="AY229" s="182">
        <v>150088</v>
      </c>
      <c r="AZ229" s="182">
        <v>149473</v>
      </c>
      <c r="BA229" s="182">
        <v>150607</v>
      </c>
      <c r="BB229" s="182">
        <v>154839</v>
      </c>
      <c r="BC229" s="182">
        <v>156118</v>
      </c>
      <c r="BD229" s="182">
        <v>156509</v>
      </c>
      <c r="BE229" s="182">
        <v>155539</v>
      </c>
      <c r="BF229" s="182">
        <v>150001</v>
      </c>
      <c r="BG229" s="182">
        <v>148041</v>
      </c>
      <c r="BH229" s="182">
        <v>144051</v>
      </c>
      <c r="BI229" s="182">
        <v>140882</v>
      </c>
      <c r="BJ229" s="182">
        <v>139261</v>
      </c>
      <c r="BK229" s="182">
        <v>134377</v>
      </c>
      <c r="BL229" s="182">
        <v>130070</v>
      </c>
      <c r="BM229" s="182">
        <v>128915</v>
      </c>
      <c r="BN229" s="182">
        <v>124728</v>
      </c>
      <c r="BO229" s="182">
        <v>122952</v>
      </c>
      <c r="BP229" s="182">
        <v>120542</v>
      </c>
      <c r="BQ229" s="182">
        <v>117443</v>
      </c>
      <c r="BR229" s="182">
        <v>118594</v>
      </c>
      <c r="BS229" s="182">
        <v>122619</v>
      </c>
      <c r="BT229" s="182">
        <v>103550</v>
      </c>
      <c r="BU229" s="182">
        <v>98472</v>
      </c>
      <c r="BV229" s="182">
        <v>93398</v>
      </c>
      <c r="BW229" s="182">
        <v>83816</v>
      </c>
      <c r="BX229" s="182">
        <v>82249</v>
      </c>
      <c r="BY229" s="182">
        <v>75944</v>
      </c>
      <c r="BZ229" s="182">
        <v>72647</v>
      </c>
      <c r="CA229" s="182">
        <v>68391</v>
      </c>
      <c r="CB229" s="182">
        <v>63903</v>
      </c>
      <c r="CC229" s="182">
        <v>60350</v>
      </c>
      <c r="CD229" s="182">
        <v>55544</v>
      </c>
      <c r="CE229" s="182">
        <v>50319</v>
      </c>
      <c r="CF229" s="182">
        <v>47002</v>
      </c>
      <c r="CG229" s="182">
        <v>43930</v>
      </c>
      <c r="CH229" s="182">
        <v>41071</v>
      </c>
      <c r="CI229" s="182">
        <v>39677</v>
      </c>
      <c r="CJ229" s="182">
        <v>36668</v>
      </c>
      <c r="CK229" s="182">
        <v>32811</v>
      </c>
      <c r="CL229" s="182">
        <v>29277</v>
      </c>
      <c r="CM229" s="182">
        <v>25479</v>
      </c>
      <c r="CN229" s="182">
        <v>22052</v>
      </c>
      <c r="CO229" s="182">
        <v>18262</v>
      </c>
      <c r="CP229" s="182">
        <v>15059</v>
      </c>
      <c r="CQ229" s="182">
        <v>11996</v>
      </c>
      <c r="CR229" s="182">
        <v>9858</v>
      </c>
      <c r="CS229" s="182">
        <v>7424</v>
      </c>
      <c r="CT229" s="182">
        <v>5481</v>
      </c>
      <c r="CU229" s="182">
        <v>3364</v>
      </c>
      <c r="CV229" s="182">
        <v>2415</v>
      </c>
      <c r="CW229" s="182">
        <v>1729</v>
      </c>
      <c r="CX229" s="182">
        <v>1243</v>
      </c>
      <c r="CY229" s="182">
        <v>807</v>
      </c>
      <c r="CZ229" s="182">
        <v>500</v>
      </c>
      <c r="DA229" s="182">
        <v>782</v>
      </c>
      <c r="DB229" s="183">
        <f t="shared" si="63"/>
        <v>11508090</v>
      </c>
      <c r="DC229" s="184">
        <f t="shared" si="64"/>
        <v>11.508089999999999</v>
      </c>
      <c r="DD229" s="186">
        <f>(DC229-DC228)/DC228</f>
        <v>1.752439523952962E-2</v>
      </c>
    </row>
    <row r="230" spans="1:108" x14ac:dyDescent="0.2">
      <c r="A230" s="652"/>
      <c r="B230" s="180"/>
      <c r="C230" s="180"/>
      <c r="D230" s="181">
        <v>2014</v>
      </c>
      <c r="E230" s="182">
        <v>161153</v>
      </c>
      <c r="F230" s="182">
        <v>159747</v>
      </c>
      <c r="G230" s="182">
        <v>159970</v>
      </c>
      <c r="H230" s="182">
        <v>154231</v>
      </c>
      <c r="I230" s="182">
        <v>157194</v>
      </c>
      <c r="J230" s="182">
        <v>156116</v>
      </c>
      <c r="K230" s="182">
        <v>155274</v>
      </c>
      <c r="L230" s="182">
        <v>153337</v>
      </c>
      <c r="M230" s="182">
        <v>153026</v>
      </c>
      <c r="N230" s="182">
        <v>148521</v>
      </c>
      <c r="O230" s="182">
        <v>145807</v>
      </c>
      <c r="P230" s="182">
        <v>143676</v>
      </c>
      <c r="Q230" s="182">
        <v>143245</v>
      </c>
      <c r="R230" s="182">
        <v>145510</v>
      </c>
      <c r="S230" s="182">
        <v>145448</v>
      </c>
      <c r="T230" s="182">
        <v>146342</v>
      </c>
      <c r="U230" s="182">
        <v>147544</v>
      </c>
      <c r="V230" s="182">
        <v>150156</v>
      </c>
      <c r="W230" s="182">
        <v>153183</v>
      </c>
      <c r="X230" s="182">
        <v>159071</v>
      </c>
      <c r="Y230" s="182">
        <v>160905</v>
      </c>
      <c r="Z230" s="182">
        <v>163330</v>
      </c>
      <c r="AA230" s="182">
        <v>165906</v>
      </c>
      <c r="AB230" s="182">
        <v>171759</v>
      </c>
      <c r="AC230" s="182">
        <v>178106</v>
      </c>
      <c r="AD230" s="182">
        <v>176570</v>
      </c>
      <c r="AE230" s="182">
        <v>175620</v>
      </c>
      <c r="AF230" s="182">
        <v>176093</v>
      </c>
      <c r="AG230" s="182">
        <v>178042</v>
      </c>
      <c r="AH230" s="182">
        <v>178849</v>
      </c>
      <c r="AI230" s="182">
        <v>177802</v>
      </c>
      <c r="AJ230" s="182">
        <v>178465</v>
      </c>
      <c r="AK230" s="182">
        <v>173496</v>
      </c>
      <c r="AL230" s="182">
        <v>169821</v>
      </c>
      <c r="AM230" s="182">
        <v>162824</v>
      </c>
      <c r="AN230" s="182">
        <v>159360</v>
      </c>
      <c r="AO230" s="182">
        <v>155644</v>
      </c>
      <c r="AP230" s="182">
        <v>154938</v>
      </c>
      <c r="AQ230" s="182">
        <v>155024</v>
      </c>
      <c r="AR230" s="182">
        <v>157202</v>
      </c>
      <c r="AS230" s="182">
        <v>160136</v>
      </c>
      <c r="AT230" s="182">
        <v>163728</v>
      </c>
      <c r="AU230" s="182">
        <v>170133</v>
      </c>
      <c r="AV230" s="182">
        <v>172275</v>
      </c>
      <c r="AW230" s="182">
        <v>163595</v>
      </c>
      <c r="AX230" s="182">
        <v>160642</v>
      </c>
      <c r="AY230" s="182">
        <v>154496</v>
      </c>
      <c r="AZ230" s="182">
        <v>150612</v>
      </c>
      <c r="BA230" s="182">
        <v>149902</v>
      </c>
      <c r="BB230" s="182">
        <v>150912</v>
      </c>
      <c r="BC230" s="182">
        <v>155020</v>
      </c>
      <c r="BD230" s="182">
        <v>156216</v>
      </c>
      <c r="BE230" s="182">
        <v>156517</v>
      </c>
      <c r="BF230" s="182">
        <v>155488</v>
      </c>
      <c r="BG230" s="182">
        <v>149889</v>
      </c>
      <c r="BH230" s="182">
        <v>147786</v>
      </c>
      <c r="BI230" s="182">
        <v>143692</v>
      </c>
      <c r="BJ230" s="182">
        <v>140486</v>
      </c>
      <c r="BK230" s="182">
        <v>138825</v>
      </c>
      <c r="BL230" s="182">
        <v>133911</v>
      </c>
      <c r="BM230" s="182">
        <v>129560</v>
      </c>
      <c r="BN230" s="182">
        <v>128308</v>
      </c>
      <c r="BO230" s="182">
        <v>124042</v>
      </c>
      <c r="BP230" s="182">
        <v>122183</v>
      </c>
      <c r="BQ230" s="182">
        <v>119666</v>
      </c>
      <c r="BR230" s="182">
        <v>116423</v>
      </c>
      <c r="BS230" s="182">
        <v>117411</v>
      </c>
      <c r="BT230" s="182">
        <v>121270</v>
      </c>
      <c r="BU230" s="182">
        <v>102291</v>
      </c>
      <c r="BV230" s="182">
        <v>97130</v>
      </c>
      <c r="BW230" s="182">
        <v>91968</v>
      </c>
      <c r="BX230" s="182">
        <v>82402</v>
      </c>
      <c r="BY230" s="182">
        <v>80715</v>
      </c>
      <c r="BZ230" s="182">
        <v>74368</v>
      </c>
      <c r="CA230" s="182">
        <v>70962</v>
      </c>
      <c r="CB230" s="182">
        <v>66616</v>
      </c>
      <c r="CC230" s="182">
        <v>62039</v>
      </c>
      <c r="CD230" s="182">
        <v>58373</v>
      </c>
      <c r="CE230" s="182">
        <v>53497</v>
      </c>
      <c r="CF230" s="182">
        <v>48224</v>
      </c>
      <c r="CG230" s="182">
        <v>44792</v>
      </c>
      <c r="CH230" s="182">
        <v>41598</v>
      </c>
      <c r="CI230" s="182">
        <v>38612</v>
      </c>
      <c r="CJ230" s="182">
        <v>36997</v>
      </c>
      <c r="CK230" s="182">
        <v>33874</v>
      </c>
      <c r="CL230" s="182">
        <v>29999</v>
      </c>
      <c r="CM230" s="182">
        <v>26453</v>
      </c>
      <c r="CN230" s="182">
        <v>22728</v>
      </c>
      <c r="CO230" s="182">
        <v>19408</v>
      </c>
      <c r="CP230" s="182">
        <v>15842</v>
      </c>
      <c r="CQ230" s="182">
        <v>12867</v>
      </c>
      <c r="CR230" s="182">
        <v>10089</v>
      </c>
      <c r="CS230" s="182">
        <v>8157</v>
      </c>
      <c r="CT230" s="182">
        <v>6027</v>
      </c>
      <c r="CU230" s="182">
        <v>4354</v>
      </c>
      <c r="CV230" s="182">
        <v>2612</v>
      </c>
      <c r="CW230" s="182">
        <v>1834</v>
      </c>
      <c r="CX230" s="182">
        <v>1292</v>
      </c>
      <c r="CY230" s="182">
        <v>916</v>
      </c>
      <c r="CZ230" s="182">
        <v>585</v>
      </c>
      <c r="DA230" s="182">
        <v>918</v>
      </c>
      <c r="DB230" s="183">
        <f t="shared" si="63"/>
        <v>11709970</v>
      </c>
      <c r="DC230" s="184">
        <f t="shared" si="64"/>
        <v>11.70997</v>
      </c>
      <c r="DD230" s="186">
        <f t="shared" ref="DD230:DD244" si="65">(DC230-DC229)/DC229</f>
        <v>1.7542441882189046E-2</v>
      </c>
    </row>
    <row r="231" spans="1:108" x14ac:dyDescent="0.2">
      <c r="A231" s="652"/>
      <c r="B231" s="180"/>
      <c r="C231" s="180"/>
      <c r="D231" s="181">
        <v>2015</v>
      </c>
      <c r="E231" s="182">
        <v>163626</v>
      </c>
      <c r="F231" s="182">
        <v>162196</v>
      </c>
      <c r="G231" s="182">
        <v>161737</v>
      </c>
      <c r="H231" s="182">
        <v>162082</v>
      </c>
      <c r="I231" s="182">
        <v>156309</v>
      </c>
      <c r="J231" s="182">
        <v>159201</v>
      </c>
      <c r="K231" s="182">
        <v>157967</v>
      </c>
      <c r="L231" s="182">
        <v>156939</v>
      </c>
      <c r="M231" s="182">
        <v>154930</v>
      </c>
      <c r="N231" s="182">
        <v>154584</v>
      </c>
      <c r="O231" s="182">
        <v>150026</v>
      </c>
      <c r="P231" s="182">
        <v>147259</v>
      </c>
      <c r="Q231" s="182">
        <v>145112</v>
      </c>
      <c r="R231" s="182">
        <v>144662</v>
      </c>
      <c r="S231" s="182">
        <v>146954</v>
      </c>
      <c r="T231" s="182">
        <v>147165</v>
      </c>
      <c r="U231" s="182">
        <v>148525</v>
      </c>
      <c r="V231" s="182">
        <v>150252</v>
      </c>
      <c r="W231" s="182">
        <v>153766</v>
      </c>
      <c r="X231" s="182">
        <v>157848</v>
      </c>
      <c r="Y231" s="182">
        <v>164056</v>
      </c>
      <c r="Z231" s="182">
        <v>165550</v>
      </c>
      <c r="AA231" s="182">
        <v>167938</v>
      </c>
      <c r="AB231" s="182">
        <v>170670</v>
      </c>
      <c r="AC231" s="182">
        <v>175925</v>
      </c>
      <c r="AD231" s="182">
        <v>181418</v>
      </c>
      <c r="AE231" s="182">
        <v>179548</v>
      </c>
      <c r="AF231" s="182">
        <v>178637</v>
      </c>
      <c r="AG231" s="182">
        <v>179315</v>
      </c>
      <c r="AH231" s="182">
        <v>181505</v>
      </c>
      <c r="AI231" s="182">
        <v>182364</v>
      </c>
      <c r="AJ231" s="182">
        <v>180976</v>
      </c>
      <c r="AK231" s="182">
        <v>181194</v>
      </c>
      <c r="AL231" s="182">
        <v>175996</v>
      </c>
      <c r="AM231" s="182">
        <v>172154</v>
      </c>
      <c r="AN231" s="182">
        <v>165026</v>
      </c>
      <c r="AO231" s="182">
        <v>161421</v>
      </c>
      <c r="AP231" s="182">
        <v>157528</v>
      </c>
      <c r="AQ231" s="182">
        <v>156734</v>
      </c>
      <c r="AR231" s="182">
        <v>156769</v>
      </c>
      <c r="AS231" s="182">
        <v>158825</v>
      </c>
      <c r="AT231" s="182">
        <v>161626</v>
      </c>
      <c r="AU231" s="182">
        <v>165118</v>
      </c>
      <c r="AV231" s="182">
        <v>171387</v>
      </c>
      <c r="AW231" s="182">
        <v>173286</v>
      </c>
      <c r="AX231" s="182">
        <v>164376</v>
      </c>
      <c r="AY231" s="182">
        <v>161284</v>
      </c>
      <c r="AZ231" s="182">
        <v>155047</v>
      </c>
      <c r="BA231" s="182">
        <v>151074</v>
      </c>
      <c r="BB231" s="182">
        <v>150238</v>
      </c>
      <c r="BC231" s="182">
        <v>151133</v>
      </c>
      <c r="BD231" s="182">
        <v>155147</v>
      </c>
      <c r="BE231" s="182">
        <v>156254</v>
      </c>
      <c r="BF231" s="182">
        <v>156491</v>
      </c>
      <c r="BG231" s="182">
        <v>155383</v>
      </c>
      <c r="BH231" s="182">
        <v>149652</v>
      </c>
      <c r="BI231" s="182">
        <v>147434</v>
      </c>
      <c r="BJ231" s="182">
        <v>143311</v>
      </c>
      <c r="BK231" s="182">
        <v>140071</v>
      </c>
      <c r="BL231" s="182">
        <v>138361</v>
      </c>
      <c r="BM231" s="182">
        <v>133409</v>
      </c>
      <c r="BN231" s="182">
        <v>128980</v>
      </c>
      <c r="BO231" s="182">
        <v>127629</v>
      </c>
      <c r="BP231" s="182">
        <v>123300</v>
      </c>
      <c r="BQ231" s="182">
        <v>121331</v>
      </c>
      <c r="BR231" s="182">
        <v>118662</v>
      </c>
      <c r="BS231" s="182">
        <v>115305</v>
      </c>
      <c r="BT231" s="182">
        <v>116170</v>
      </c>
      <c r="BU231" s="182">
        <v>119835</v>
      </c>
      <c r="BV231" s="182">
        <v>100944</v>
      </c>
      <c r="BW231" s="182">
        <v>95694</v>
      </c>
      <c r="BX231" s="182">
        <v>90464</v>
      </c>
      <c r="BY231" s="182">
        <v>80917</v>
      </c>
      <c r="BZ231" s="182">
        <v>79092</v>
      </c>
      <c r="CA231" s="182">
        <v>72697</v>
      </c>
      <c r="CB231" s="182">
        <v>69175</v>
      </c>
      <c r="CC231" s="182">
        <v>64727</v>
      </c>
      <c r="CD231" s="182">
        <v>60063</v>
      </c>
      <c r="CE231" s="182">
        <v>56278</v>
      </c>
      <c r="CF231" s="182">
        <v>51325</v>
      </c>
      <c r="CG231" s="182">
        <v>46011</v>
      </c>
      <c r="CH231" s="182">
        <v>42467</v>
      </c>
      <c r="CI231" s="182">
        <v>39159</v>
      </c>
      <c r="CJ231" s="182">
        <v>36055</v>
      </c>
      <c r="CK231" s="182">
        <v>34229</v>
      </c>
      <c r="CL231" s="182">
        <v>31019</v>
      </c>
      <c r="CM231" s="182">
        <v>27149</v>
      </c>
      <c r="CN231" s="182">
        <v>23637</v>
      </c>
      <c r="CO231" s="182">
        <v>20037</v>
      </c>
      <c r="CP231" s="182">
        <v>16865</v>
      </c>
      <c r="CQ231" s="182">
        <v>13559</v>
      </c>
      <c r="CR231" s="182">
        <v>10839</v>
      </c>
      <c r="CS231" s="182">
        <v>8360</v>
      </c>
      <c r="CT231" s="182">
        <v>6631</v>
      </c>
      <c r="CU231" s="182">
        <v>4792</v>
      </c>
      <c r="CV231" s="182">
        <v>3381</v>
      </c>
      <c r="CW231" s="182">
        <v>1984</v>
      </c>
      <c r="CX231" s="182">
        <v>1371</v>
      </c>
      <c r="CY231" s="182">
        <v>952</v>
      </c>
      <c r="CZ231" s="182">
        <v>664</v>
      </c>
      <c r="DA231" s="182">
        <v>1078</v>
      </c>
      <c r="DB231" s="183">
        <f t="shared" si="63"/>
        <v>11917598</v>
      </c>
      <c r="DC231" s="184">
        <f t="shared" si="64"/>
        <v>11.917598</v>
      </c>
      <c r="DD231" s="186">
        <f t="shared" si="65"/>
        <v>1.7730873776790178E-2</v>
      </c>
    </row>
    <row r="232" spans="1:108" x14ac:dyDescent="0.2">
      <c r="A232" s="652"/>
      <c r="B232" s="180"/>
      <c r="C232" s="180"/>
      <c r="D232" s="181">
        <v>2016</v>
      </c>
      <c r="E232" s="182">
        <v>166071</v>
      </c>
      <c r="F232" s="182">
        <v>164670</v>
      </c>
      <c r="G232" s="182">
        <v>164186</v>
      </c>
      <c r="H232" s="182">
        <v>163851</v>
      </c>
      <c r="I232" s="182">
        <v>164159</v>
      </c>
      <c r="J232" s="182">
        <v>158316</v>
      </c>
      <c r="K232" s="182">
        <v>161054</v>
      </c>
      <c r="L232" s="182">
        <v>159632</v>
      </c>
      <c r="M232" s="182">
        <v>158533</v>
      </c>
      <c r="N232" s="182">
        <v>156491</v>
      </c>
      <c r="O232" s="182">
        <v>156090</v>
      </c>
      <c r="P232" s="182">
        <v>151479</v>
      </c>
      <c r="Q232" s="182">
        <v>148695</v>
      </c>
      <c r="R232" s="182">
        <v>146530</v>
      </c>
      <c r="S232" s="182">
        <v>146107</v>
      </c>
      <c r="T232" s="182">
        <v>148672</v>
      </c>
      <c r="U232" s="182">
        <v>149349</v>
      </c>
      <c r="V232" s="182">
        <v>151234</v>
      </c>
      <c r="W232" s="182">
        <v>153865</v>
      </c>
      <c r="X232" s="182">
        <v>158434</v>
      </c>
      <c r="Y232" s="182">
        <v>162837</v>
      </c>
      <c r="Z232" s="182">
        <v>168702</v>
      </c>
      <c r="AA232" s="182">
        <v>170160</v>
      </c>
      <c r="AB232" s="182">
        <v>172706</v>
      </c>
      <c r="AC232" s="182">
        <v>174840</v>
      </c>
      <c r="AD232" s="182">
        <v>179240</v>
      </c>
      <c r="AE232" s="182">
        <v>184397</v>
      </c>
      <c r="AF232" s="182">
        <v>182568</v>
      </c>
      <c r="AG232" s="182">
        <v>181861</v>
      </c>
      <c r="AH232" s="182">
        <v>182779</v>
      </c>
      <c r="AI232" s="182">
        <v>185022</v>
      </c>
      <c r="AJ232" s="182">
        <v>185539</v>
      </c>
      <c r="AK232" s="182">
        <v>183707</v>
      </c>
      <c r="AL232" s="182">
        <v>183691</v>
      </c>
      <c r="AM232" s="182">
        <v>178327</v>
      </c>
      <c r="AN232" s="182">
        <v>174351</v>
      </c>
      <c r="AO232" s="182">
        <v>167084</v>
      </c>
      <c r="AP232" s="182">
        <v>163302</v>
      </c>
      <c r="AQ232" s="182">
        <v>159324</v>
      </c>
      <c r="AR232" s="182">
        <v>158478</v>
      </c>
      <c r="AS232" s="182">
        <v>158396</v>
      </c>
      <c r="AT232" s="182">
        <v>160318</v>
      </c>
      <c r="AU232" s="182">
        <v>163024</v>
      </c>
      <c r="AV232" s="182">
        <v>166381</v>
      </c>
      <c r="AW232" s="182">
        <v>172403</v>
      </c>
      <c r="AX232" s="182">
        <v>174055</v>
      </c>
      <c r="AY232" s="182">
        <v>165012</v>
      </c>
      <c r="AZ232" s="182">
        <v>161824</v>
      </c>
      <c r="BA232" s="182">
        <v>155503</v>
      </c>
      <c r="BB232" s="182">
        <v>151412</v>
      </c>
      <c r="BC232" s="182">
        <v>150465</v>
      </c>
      <c r="BD232" s="182">
        <v>151277</v>
      </c>
      <c r="BE232" s="182">
        <v>155193</v>
      </c>
      <c r="BF232" s="182">
        <v>156235</v>
      </c>
      <c r="BG232" s="182">
        <v>156391</v>
      </c>
      <c r="BH232" s="182">
        <v>155136</v>
      </c>
      <c r="BI232" s="182">
        <v>149305</v>
      </c>
      <c r="BJ232" s="182">
        <v>147048</v>
      </c>
      <c r="BK232" s="182">
        <v>142899</v>
      </c>
      <c r="BL232" s="182">
        <v>139619</v>
      </c>
      <c r="BM232" s="182">
        <v>137853</v>
      </c>
      <c r="BN232" s="182">
        <v>132826</v>
      </c>
      <c r="BO232" s="182">
        <v>128322</v>
      </c>
      <c r="BP232" s="182">
        <v>126889</v>
      </c>
      <c r="BQ232" s="182">
        <v>122468</v>
      </c>
      <c r="BR232" s="182">
        <v>120346</v>
      </c>
      <c r="BS232" s="182">
        <v>117560</v>
      </c>
      <c r="BT232" s="182">
        <v>114131</v>
      </c>
      <c r="BU232" s="182">
        <v>114848</v>
      </c>
      <c r="BV232" s="182">
        <v>118298</v>
      </c>
      <c r="BW232" s="182">
        <v>99499</v>
      </c>
      <c r="BX232" s="182">
        <v>94179</v>
      </c>
      <c r="BY232" s="182">
        <v>88881</v>
      </c>
      <c r="BZ232" s="182">
        <v>79340</v>
      </c>
      <c r="CA232" s="182">
        <v>77367</v>
      </c>
      <c r="CB232" s="182">
        <v>70919</v>
      </c>
      <c r="CC232" s="182">
        <v>67270</v>
      </c>
      <c r="CD232" s="182">
        <v>62722</v>
      </c>
      <c r="CE232" s="182">
        <v>57964</v>
      </c>
      <c r="CF232" s="182">
        <v>54050</v>
      </c>
      <c r="CG232" s="182">
        <v>49026</v>
      </c>
      <c r="CH232" s="182">
        <v>43676</v>
      </c>
      <c r="CI232" s="182">
        <v>40028</v>
      </c>
      <c r="CJ232" s="182">
        <v>36616</v>
      </c>
      <c r="CK232" s="182">
        <v>33406</v>
      </c>
      <c r="CL232" s="182">
        <v>31392</v>
      </c>
      <c r="CM232" s="182">
        <v>28117</v>
      </c>
      <c r="CN232" s="182">
        <v>24298</v>
      </c>
      <c r="CO232" s="182">
        <v>20874</v>
      </c>
      <c r="CP232" s="182">
        <v>17441</v>
      </c>
      <c r="CQ232" s="182">
        <v>14460</v>
      </c>
      <c r="CR232" s="182">
        <v>11440</v>
      </c>
      <c r="CS232" s="182">
        <v>8994</v>
      </c>
      <c r="CT232" s="182">
        <v>6804</v>
      </c>
      <c r="CU232" s="182">
        <v>5276</v>
      </c>
      <c r="CV232" s="182">
        <v>3723</v>
      </c>
      <c r="CW232" s="182">
        <v>2570</v>
      </c>
      <c r="CX232" s="182">
        <v>1484</v>
      </c>
      <c r="CY232" s="182">
        <v>1010</v>
      </c>
      <c r="CZ232" s="182">
        <v>690</v>
      </c>
      <c r="DA232" s="182">
        <v>1251</v>
      </c>
      <c r="DB232" s="183">
        <f t="shared" si="63"/>
        <v>12126537</v>
      </c>
      <c r="DC232" s="184">
        <f t="shared" si="64"/>
        <v>12.126537000000001</v>
      </c>
      <c r="DD232" s="186">
        <f t="shared" si="65"/>
        <v>1.7531972466263829E-2</v>
      </c>
    </row>
    <row r="233" spans="1:108" x14ac:dyDescent="0.2">
      <c r="A233" s="652"/>
      <c r="B233" s="180"/>
      <c r="C233" s="180"/>
      <c r="D233" s="181">
        <v>2017</v>
      </c>
      <c r="E233" s="187">
        <v>157778</v>
      </c>
      <c r="F233" s="187">
        <v>165198</v>
      </c>
      <c r="G233" s="187">
        <v>161751</v>
      </c>
      <c r="H233" s="187">
        <v>161586</v>
      </c>
      <c r="I233" s="187">
        <v>164670</v>
      </c>
      <c r="J233" s="187">
        <v>163471</v>
      </c>
      <c r="K233" s="187">
        <v>163077</v>
      </c>
      <c r="L233" s="187">
        <v>163733</v>
      </c>
      <c r="M233" s="187">
        <v>161900</v>
      </c>
      <c r="N233" s="187">
        <v>161846</v>
      </c>
      <c r="O233" s="187">
        <v>160613</v>
      </c>
      <c r="P233" s="187">
        <v>154852</v>
      </c>
      <c r="Q233" s="187">
        <v>149258</v>
      </c>
      <c r="R233" s="187">
        <v>147537</v>
      </c>
      <c r="S233" s="187">
        <v>144953</v>
      </c>
      <c r="T233" s="187">
        <v>145232</v>
      </c>
      <c r="U233" s="187">
        <v>149213</v>
      </c>
      <c r="V233" s="187">
        <v>150372</v>
      </c>
      <c r="W233" s="187">
        <v>154716</v>
      </c>
      <c r="X233" s="187">
        <v>160578</v>
      </c>
      <c r="Y233" s="187">
        <v>164994</v>
      </c>
      <c r="Z233" s="187">
        <v>170083</v>
      </c>
      <c r="AA233" s="187">
        <v>178365</v>
      </c>
      <c r="AB233" s="187">
        <v>182127</v>
      </c>
      <c r="AC233" s="187">
        <v>183102</v>
      </c>
      <c r="AD233" s="187">
        <v>183688</v>
      </c>
      <c r="AE233" s="187">
        <v>185921</v>
      </c>
      <c r="AF233" s="187">
        <v>187819</v>
      </c>
      <c r="AG233" s="187">
        <v>183833</v>
      </c>
      <c r="AH233" s="187">
        <v>183529</v>
      </c>
      <c r="AI233" s="187">
        <v>181877</v>
      </c>
      <c r="AJ233" s="187">
        <v>183689</v>
      </c>
      <c r="AK233" s="187">
        <v>181327</v>
      </c>
      <c r="AL233" s="187">
        <v>181279</v>
      </c>
      <c r="AM233" s="187">
        <v>180395</v>
      </c>
      <c r="AN233" s="187">
        <v>175652</v>
      </c>
      <c r="AO233" s="187">
        <v>171378</v>
      </c>
      <c r="AP233" s="187">
        <v>164599</v>
      </c>
      <c r="AQ233" s="187">
        <v>159538</v>
      </c>
      <c r="AR233" s="187">
        <v>156770</v>
      </c>
      <c r="AS233" s="187">
        <v>156132</v>
      </c>
      <c r="AT233" s="187">
        <v>157498</v>
      </c>
      <c r="AU233" s="187">
        <v>157885</v>
      </c>
      <c r="AV233" s="187">
        <v>162204</v>
      </c>
      <c r="AW233" s="187">
        <v>163888</v>
      </c>
      <c r="AX233" s="187">
        <v>169056</v>
      </c>
      <c r="AY233" s="187">
        <v>169649</v>
      </c>
      <c r="AZ233" s="187">
        <v>159926</v>
      </c>
      <c r="BA233" s="187">
        <v>156439</v>
      </c>
      <c r="BB233" s="187">
        <v>151833</v>
      </c>
      <c r="BC233" s="187">
        <v>147940</v>
      </c>
      <c r="BD233" s="187">
        <v>148771</v>
      </c>
      <c r="BE233" s="187">
        <v>148298</v>
      </c>
      <c r="BF233" s="187">
        <v>154224</v>
      </c>
      <c r="BG233" s="187">
        <v>155305</v>
      </c>
      <c r="BH233" s="187">
        <v>154600</v>
      </c>
      <c r="BI233" s="187">
        <v>152989</v>
      </c>
      <c r="BJ233" s="187">
        <v>147161</v>
      </c>
      <c r="BK233" s="187">
        <v>143672</v>
      </c>
      <c r="BL233" s="187">
        <v>140383</v>
      </c>
      <c r="BM233" s="187">
        <v>136634</v>
      </c>
      <c r="BN233" s="187">
        <v>135014</v>
      </c>
      <c r="BO233" s="187">
        <v>128596</v>
      </c>
      <c r="BP233" s="187">
        <v>124909</v>
      </c>
      <c r="BQ233" s="187">
        <v>124256</v>
      </c>
      <c r="BR233" s="187">
        <v>121229</v>
      </c>
      <c r="BS233" s="187">
        <v>120040</v>
      </c>
      <c r="BT233" s="187">
        <v>117034</v>
      </c>
      <c r="BU233" s="187">
        <v>113826</v>
      </c>
      <c r="BV233" s="187">
        <v>114543</v>
      </c>
      <c r="BW233" s="187">
        <v>117096</v>
      </c>
      <c r="BX233" s="187">
        <v>98064</v>
      </c>
      <c r="BY233" s="187">
        <v>91825</v>
      </c>
      <c r="BZ233" s="187">
        <v>86596</v>
      </c>
      <c r="CA233" s="187">
        <v>76784</v>
      </c>
      <c r="CB233" s="187">
        <v>75129</v>
      </c>
      <c r="CC233" s="187">
        <v>68305</v>
      </c>
      <c r="CD233" s="187">
        <v>64190</v>
      </c>
      <c r="CE233" s="187">
        <v>59364</v>
      </c>
      <c r="CF233" s="187">
        <v>54635</v>
      </c>
      <c r="CG233" s="187">
        <v>50946</v>
      </c>
      <c r="CH233" s="187">
        <v>46456</v>
      </c>
      <c r="CI233" s="187">
        <v>41046</v>
      </c>
      <c r="CJ233" s="187">
        <v>37583</v>
      </c>
      <c r="CK233" s="187">
        <v>33869</v>
      </c>
      <c r="CL233" s="187">
        <v>31062</v>
      </c>
      <c r="CM233" s="187">
        <v>28507</v>
      </c>
      <c r="CN233" s="187">
        <v>25524</v>
      </c>
      <c r="CO233" s="187">
        <v>21325</v>
      </c>
      <c r="CP233" s="187">
        <v>18382</v>
      </c>
      <c r="CQ233" s="187">
        <v>14921</v>
      </c>
      <c r="CR233" s="187">
        <v>12330</v>
      </c>
      <c r="CS233" s="187">
        <v>9384</v>
      </c>
      <c r="CT233" s="187">
        <v>7223</v>
      </c>
      <c r="CU233" s="187">
        <v>5260</v>
      </c>
      <c r="CV233" s="187">
        <v>3936</v>
      </c>
      <c r="CW233" s="187">
        <v>2736</v>
      </c>
      <c r="CX233" s="187">
        <v>1834</v>
      </c>
      <c r="CY233" s="187">
        <v>1034</v>
      </c>
      <c r="CZ233" s="187">
        <v>737</v>
      </c>
      <c r="DA233" s="187">
        <v>887</v>
      </c>
      <c r="DB233" s="183">
        <f t="shared" si="63"/>
        <v>12203203</v>
      </c>
      <c r="DC233" s="184">
        <f t="shared" si="64"/>
        <v>12.203203</v>
      </c>
      <c r="DD233" s="186">
        <f t="shared" si="65"/>
        <v>6.3221676559432798E-3</v>
      </c>
    </row>
    <row r="234" spans="1:108" x14ac:dyDescent="0.2">
      <c r="A234" s="652"/>
      <c r="B234" s="180"/>
      <c r="C234" s="180"/>
      <c r="D234" s="181">
        <v>2018</v>
      </c>
      <c r="E234" s="187">
        <v>165712</v>
      </c>
      <c r="F234" s="187">
        <v>158552</v>
      </c>
      <c r="G234" s="187">
        <v>166826</v>
      </c>
      <c r="H234" s="187">
        <v>163616</v>
      </c>
      <c r="I234" s="187">
        <v>163493</v>
      </c>
      <c r="J234" s="187">
        <v>166510</v>
      </c>
      <c r="K234" s="187">
        <v>165112</v>
      </c>
      <c r="L234" s="187">
        <v>164489</v>
      </c>
      <c r="M234" s="187">
        <v>165022</v>
      </c>
      <c r="N234" s="187">
        <v>163165</v>
      </c>
      <c r="O234" s="187">
        <v>163076</v>
      </c>
      <c r="P234" s="187">
        <v>161801</v>
      </c>
      <c r="Q234" s="187">
        <v>156037</v>
      </c>
      <c r="R234" s="187">
        <v>150431</v>
      </c>
      <c r="S234" s="187">
        <v>148844</v>
      </c>
      <c r="T234" s="187">
        <v>146711</v>
      </c>
      <c r="U234" s="187">
        <v>147396</v>
      </c>
      <c r="V234" s="187">
        <v>152119</v>
      </c>
      <c r="W234" s="187">
        <v>155632</v>
      </c>
      <c r="X234" s="187">
        <v>162164</v>
      </c>
      <c r="Y234" s="187">
        <v>167592</v>
      </c>
      <c r="Z234" s="187">
        <v>170887</v>
      </c>
      <c r="AA234" s="187">
        <v>176940</v>
      </c>
      <c r="AB234" s="187">
        <v>186530</v>
      </c>
      <c r="AC234" s="187">
        <v>189137</v>
      </c>
      <c r="AD234" s="187">
        <v>188078</v>
      </c>
      <c r="AE234" s="187">
        <v>187651</v>
      </c>
      <c r="AF234" s="187">
        <v>189408</v>
      </c>
      <c r="AG234" s="187">
        <v>190967</v>
      </c>
      <c r="AH234" s="187">
        <v>186763</v>
      </c>
      <c r="AI234" s="187">
        <v>186232</v>
      </c>
      <c r="AJ234" s="187">
        <v>184204</v>
      </c>
      <c r="AK234" s="187">
        <v>185758</v>
      </c>
      <c r="AL234" s="187">
        <v>183466</v>
      </c>
      <c r="AM234" s="187">
        <v>183335</v>
      </c>
      <c r="AN234" s="187">
        <v>182131</v>
      </c>
      <c r="AO234" s="187">
        <v>177169</v>
      </c>
      <c r="AP234" s="187">
        <v>172729</v>
      </c>
      <c r="AQ234" s="187">
        <v>165800</v>
      </c>
      <c r="AR234" s="187">
        <v>160640</v>
      </c>
      <c r="AS234" s="187">
        <v>157743</v>
      </c>
      <c r="AT234" s="187">
        <v>156937</v>
      </c>
      <c r="AU234" s="187">
        <v>158124</v>
      </c>
      <c r="AV234" s="187">
        <v>158408</v>
      </c>
      <c r="AW234" s="187">
        <v>162645</v>
      </c>
      <c r="AX234" s="187">
        <v>164200</v>
      </c>
      <c r="AY234" s="187">
        <v>169247</v>
      </c>
      <c r="AZ234" s="187">
        <v>169716</v>
      </c>
      <c r="BA234" s="187">
        <v>159870</v>
      </c>
      <c r="BB234" s="187">
        <v>156285</v>
      </c>
      <c r="BC234" s="187">
        <v>151614</v>
      </c>
      <c r="BD234" s="187">
        <v>147663</v>
      </c>
      <c r="BE234" s="187">
        <v>148448</v>
      </c>
      <c r="BF234" s="187">
        <v>147924</v>
      </c>
      <c r="BG234" s="187">
        <v>153759</v>
      </c>
      <c r="BH234" s="187">
        <v>154740</v>
      </c>
      <c r="BI234" s="187">
        <v>153949</v>
      </c>
      <c r="BJ234" s="187">
        <v>152313</v>
      </c>
      <c r="BK234" s="187">
        <v>146494</v>
      </c>
      <c r="BL234" s="187">
        <v>142999</v>
      </c>
      <c r="BM234" s="187">
        <v>139698</v>
      </c>
      <c r="BN234" s="187">
        <v>135940</v>
      </c>
      <c r="BO234" s="187">
        <v>134254</v>
      </c>
      <c r="BP234" s="187">
        <v>127807</v>
      </c>
      <c r="BQ234" s="187">
        <v>124071</v>
      </c>
      <c r="BR234" s="187">
        <v>123255</v>
      </c>
      <c r="BS234" s="187">
        <v>120103</v>
      </c>
      <c r="BT234" s="187">
        <v>118821</v>
      </c>
      <c r="BU234" s="187">
        <v>115718</v>
      </c>
      <c r="BV234" s="187">
        <v>112387</v>
      </c>
      <c r="BW234" s="187">
        <v>112926</v>
      </c>
      <c r="BX234" s="187">
        <v>115253</v>
      </c>
      <c r="BY234" s="187">
        <v>96346</v>
      </c>
      <c r="BZ234" s="187">
        <v>90031</v>
      </c>
      <c r="CA234" s="187">
        <v>84702</v>
      </c>
      <c r="CB234" s="187">
        <v>74906</v>
      </c>
      <c r="CC234" s="187">
        <v>73075</v>
      </c>
      <c r="CD234" s="187">
        <v>66209</v>
      </c>
      <c r="CE234" s="187">
        <v>61979</v>
      </c>
      <c r="CF234" s="187">
        <v>57059</v>
      </c>
      <c r="CG234" s="187">
        <v>52242</v>
      </c>
      <c r="CH234" s="187">
        <v>48430</v>
      </c>
      <c r="CI234" s="187">
        <v>43857</v>
      </c>
      <c r="CJ234" s="187">
        <v>38454</v>
      </c>
      <c r="CK234" s="187">
        <v>34888</v>
      </c>
      <c r="CL234" s="187">
        <v>31109</v>
      </c>
      <c r="CM234" s="187">
        <v>28203</v>
      </c>
      <c r="CN234" s="187">
        <v>25539</v>
      </c>
      <c r="CO234" s="187">
        <v>22532</v>
      </c>
      <c r="CP234" s="187">
        <v>18537</v>
      </c>
      <c r="CQ234" s="187">
        <v>15715</v>
      </c>
      <c r="CR234" s="187">
        <v>12531</v>
      </c>
      <c r="CS234" s="187">
        <v>10163</v>
      </c>
      <c r="CT234" s="187">
        <v>7569</v>
      </c>
      <c r="CU234" s="187">
        <v>5692</v>
      </c>
      <c r="CV234" s="187">
        <v>4051</v>
      </c>
      <c r="CW234" s="187">
        <v>2960</v>
      </c>
      <c r="CX234" s="187">
        <v>2009</v>
      </c>
      <c r="CY234" s="187">
        <v>1319</v>
      </c>
      <c r="CZ234" s="187">
        <v>727</v>
      </c>
      <c r="DA234" s="187">
        <v>1127</v>
      </c>
      <c r="DB234" s="183">
        <f t="shared" si="63"/>
        <v>12407397</v>
      </c>
      <c r="DC234" s="184">
        <f t="shared" si="64"/>
        <v>12.407397</v>
      </c>
      <c r="DD234" s="186">
        <f t="shared" si="65"/>
        <v>1.6732820063716004E-2</v>
      </c>
    </row>
    <row r="235" spans="1:108" x14ac:dyDescent="0.2">
      <c r="A235" s="652"/>
      <c r="B235" s="180"/>
      <c r="C235" s="180"/>
      <c r="D235" s="181">
        <v>2019</v>
      </c>
      <c r="E235" s="187">
        <v>169190</v>
      </c>
      <c r="F235" s="187">
        <v>166517</v>
      </c>
      <c r="G235" s="187">
        <v>160245</v>
      </c>
      <c r="H235" s="187">
        <v>168764</v>
      </c>
      <c r="I235" s="187">
        <v>165599</v>
      </c>
      <c r="J235" s="187">
        <v>165405</v>
      </c>
      <c r="K235" s="187">
        <v>168216</v>
      </c>
      <c r="L235" s="187">
        <v>166579</v>
      </c>
      <c r="M235" s="187">
        <v>165829</v>
      </c>
      <c r="N235" s="187">
        <v>166337</v>
      </c>
      <c r="O235" s="187">
        <v>164443</v>
      </c>
      <c r="P235" s="187">
        <v>164310</v>
      </c>
      <c r="Q235" s="187">
        <v>163032</v>
      </c>
      <c r="R235" s="187">
        <v>157255</v>
      </c>
      <c r="S235" s="187">
        <v>151790</v>
      </c>
      <c r="T235" s="187">
        <v>150670</v>
      </c>
      <c r="U235" s="187">
        <v>148960</v>
      </c>
      <c r="V235" s="187">
        <v>150416</v>
      </c>
      <c r="W235" s="187">
        <v>157585</v>
      </c>
      <c r="X235" s="187">
        <v>163369</v>
      </c>
      <c r="Y235" s="187">
        <v>169454</v>
      </c>
      <c r="Z235" s="187">
        <v>173714</v>
      </c>
      <c r="AA235" s="187">
        <v>178013</v>
      </c>
      <c r="AB235" s="187">
        <v>185428</v>
      </c>
      <c r="AC235" s="187">
        <v>193813</v>
      </c>
      <c r="AD235" s="187">
        <v>194306</v>
      </c>
      <c r="AE235" s="187">
        <v>192198</v>
      </c>
      <c r="AF235" s="187">
        <v>191280</v>
      </c>
      <c r="AG235" s="187">
        <v>192681</v>
      </c>
      <c r="AH235" s="187">
        <v>194010</v>
      </c>
      <c r="AI235" s="187">
        <v>189575</v>
      </c>
      <c r="AJ235" s="187">
        <v>188654</v>
      </c>
      <c r="AK235" s="187">
        <v>186360</v>
      </c>
      <c r="AL235" s="187">
        <v>187983</v>
      </c>
      <c r="AM235" s="187">
        <v>185608</v>
      </c>
      <c r="AN235" s="187">
        <v>185142</v>
      </c>
      <c r="AO235" s="187">
        <v>183708</v>
      </c>
      <c r="AP235" s="187">
        <v>178574</v>
      </c>
      <c r="AQ235" s="187">
        <v>173976</v>
      </c>
      <c r="AR235" s="187">
        <v>166942</v>
      </c>
      <c r="AS235" s="187">
        <v>161654</v>
      </c>
      <c r="AT235" s="187">
        <v>158585</v>
      </c>
      <c r="AU235" s="187">
        <v>157597</v>
      </c>
      <c r="AV235" s="187">
        <v>158677</v>
      </c>
      <c r="AW235" s="187">
        <v>158885</v>
      </c>
      <c r="AX235" s="187">
        <v>162987</v>
      </c>
      <c r="AY235" s="187">
        <v>164423</v>
      </c>
      <c r="AZ235" s="187">
        <v>169333</v>
      </c>
      <c r="BA235" s="187">
        <v>169648</v>
      </c>
      <c r="BB235" s="187">
        <v>159717</v>
      </c>
      <c r="BC235" s="187">
        <v>156065</v>
      </c>
      <c r="BD235" s="187">
        <v>151333</v>
      </c>
      <c r="BE235" s="187">
        <v>147352</v>
      </c>
      <c r="BF235" s="187">
        <v>148081</v>
      </c>
      <c r="BG235" s="187">
        <v>147490</v>
      </c>
      <c r="BH235" s="187">
        <v>153205</v>
      </c>
      <c r="BI235" s="187">
        <v>154093</v>
      </c>
      <c r="BJ235" s="187">
        <v>153277</v>
      </c>
      <c r="BK235" s="187">
        <v>151629</v>
      </c>
      <c r="BL235" s="187">
        <v>145814</v>
      </c>
      <c r="BM235" s="187">
        <v>142308</v>
      </c>
      <c r="BN235" s="187">
        <v>138998</v>
      </c>
      <c r="BO235" s="187">
        <v>135191</v>
      </c>
      <c r="BP235" s="187">
        <v>133439</v>
      </c>
      <c r="BQ235" s="187">
        <v>126963</v>
      </c>
      <c r="BR235" s="187">
        <v>123092</v>
      </c>
      <c r="BS235" s="187">
        <v>122127</v>
      </c>
      <c r="BT235" s="187">
        <v>118905</v>
      </c>
      <c r="BU235" s="187">
        <v>117507</v>
      </c>
      <c r="BV235" s="187">
        <v>114277</v>
      </c>
      <c r="BW235" s="187">
        <v>110828</v>
      </c>
      <c r="BX235" s="187">
        <v>111181</v>
      </c>
      <c r="BY235" s="187">
        <v>113256</v>
      </c>
      <c r="BZ235" s="187">
        <v>94493</v>
      </c>
      <c r="CA235" s="187">
        <v>88092</v>
      </c>
      <c r="CB235" s="187">
        <v>82657</v>
      </c>
      <c r="CC235" s="187">
        <v>72889</v>
      </c>
      <c r="CD235" s="187">
        <v>70863</v>
      </c>
      <c r="CE235" s="187">
        <v>63958</v>
      </c>
      <c r="CF235" s="187">
        <v>59605</v>
      </c>
      <c r="CG235" s="187">
        <v>54591</v>
      </c>
      <c r="CH235" s="187">
        <v>49692</v>
      </c>
      <c r="CI235" s="187">
        <v>45749</v>
      </c>
      <c r="CJ235" s="187">
        <v>41115</v>
      </c>
      <c r="CK235" s="187">
        <v>35723</v>
      </c>
      <c r="CL235" s="187">
        <v>32071</v>
      </c>
      <c r="CM235" s="187">
        <v>28269</v>
      </c>
      <c r="CN235" s="187">
        <v>25289</v>
      </c>
      <c r="CO235" s="187">
        <v>22567</v>
      </c>
      <c r="CP235" s="187">
        <v>19610</v>
      </c>
      <c r="CQ235" s="187">
        <v>15868</v>
      </c>
      <c r="CR235" s="187">
        <v>13218</v>
      </c>
      <c r="CS235" s="187">
        <v>10345</v>
      </c>
      <c r="CT235" s="187">
        <v>8210</v>
      </c>
      <c r="CU235" s="187">
        <v>5973</v>
      </c>
      <c r="CV235" s="187">
        <v>4389</v>
      </c>
      <c r="CW235" s="187">
        <v>3049</v>
      </c>
      <c r="CX235" s="187">
        <v>2175</v>
      </c>
      <c r="CY235" s="187">
        <v>1446</v>
      </c>
      <c r="CZ235" s="187">
        <v>928</v>
      </c>
      <c r="DA235" s="187">
        <v>1291</v>
      </c>
      <c r="DB235" s="183">
        <f t="shared" si="63"/>
        <v>12617972</v>
      </c>
      <c r="DC235" s="184">
        <f t="shared" si="64"/>
        <v>12.617972</v>
      </c>
      <c r="DD235" s="186">
        <f t="shared" si="65"/>
        <v>1.6971730653899477E-2</v>
      </c>
    </row>
    <row r="236" spans="1:108" x14ac:dyDescent="0.2">
      <c r="A236" s="652"/>
      <c r="B236" s="180"/>
      <c r="C236" s="180"/>
      <c r="D236" s="181">
        <v>2020</v>
      </c>
      <c r="E236" s="187">
        <v>172579</v>
      </c>
      <c r="F236" s="187">
        <v>169990</v>
      </c>
      <c r="G236" s="187">
        <v>168198</v>
      </c>
      <c r="H236" s="187">
        <v>162169</v>
      </c>
      <c r="I236" s="187">
        <v>170732</v>
      </c>
      <c r="J236" s="187">
        <v>167497</v>
      </c>
      <c r="K236" s="187">
        <v>167101</v>
      </c>
      <c r="L236" s="187">
        <v>169672</v>
      </c>
      <c r="M236" s="187">
        <v>167910</v>
      </c>
      <c r="N236" s="187">
        <v>167134</v>
      </c>
      <c r="O236" s="187">
        <v>167605</v>
      </c>
      <c r="P236" s="187">
        <v>165667</v>
      </c>
      <c r="Q236" s="187">
        <v>165531</v>
      </c>
      <c r="R236" s="187">
        <v>164242</v>
      </c>
      <c r="S236" s="187">
        <v>158604</v>
      </c>
      <c r="T236" s="187">
        <v>153601</v>
      </c>
      <c r="U236" s="187">
        <v>152900</v>
      </c>
      <c r="V236" s="187">
        <v>151958</v>
      </c>
      <c r="W236" s="187">
        <v>155841</v>
      </c>
      <c r="X236" s="187">
        <v>165266</v>
      </c>
      <c r="Y236" s="187">
        <v>170603</v>
      </c>
      <c r="Z236" s="187">
        <v>175533</v>
      </c>
      <c r="AA236" s="187">
        <v>180787</v>
      </c>
      <c r="AB236" s="187">
        <v>186437</v>
      </c>
      <c r="AC236" s="187">
        <v>192661</v>
      </c>
      <c r="AD236" s="187">
        <v>198942</v>
      </c>
      <c r="AE236" s="187">
        <v>198392</v>
      </c>
      <c r="AF236" s="187">
        <v>195798</v>
      </c>
      <c r="AG236" s="187">
        <v>194528</v>
      </c>
      <c r="AH236" s="187">
        <v>195703</v>
      </c>
      <c r="AI236" s="187">
        <v>196798</v>
      </c>
      <c r="AJ236" s="187">
        <v>191976</v>
      </c>
      <c r="AK236" s="187">
        <v>190789</v>
      </c>
      <c r="AL236" s="187">
        <v>188569</v>
      </c>
      <c r="AM236" s="187">
        <v>190105</v>
      </c>
      <c r="AN236" s="187">
        <v>187401</v>
      </c>
      <c r="AO236" s="187">
        <v>186703</v>
      </c>
      <c r="AP236" s="187">
        <v>185094</v>
      </c>
      <c r="AQ236" s="187">
        <v>179805</v>
      </c>
      <c r="AR236" s="187">
        <v>175099</v>
      </c>
      <c r="AS236" s="187">
        <v>167940</v>
      </c>
      <c r="AT236" s="187">
        <v>162484</v>
      </c>
      <c r="AU236" s="187">
        <v>159236</v>
      </c>
      <c r="AV236" s="187">
        <v>158148</v>
      </c>
      <c r="AW236" s="187">
        <v>159147</v>
      </c>
      <c r="AX236" s="187">
        <v>159229</v>
      </c>
      <c r="AY236" s="187">
        <v>163208</v>
      </c>
      <c r="AZ236" s="187">
        <v>164517</v>
      </c>
      <c r="BA236" s="187">
        <v>169267</v>
      </c>
      <c r="BB236" s="187">
        <v>169469</v>
      </c>
      <c r="BC236" s="187">
        <v>159484</v>
      </c>
      <c r="BD236" s="187">
        <v>155770</v>
      </c>
      <c r="BE236" s="187">
        <v>151010</v>
      </c>
      <c r="BF236" s="187">
        <v>146991</v>
      </c>
      <c r="BG236" s="187">
        <v>147650</v>
      </c>
      <c r="BH236" s="187">
        <v>146965</v>
      </c>
      <c r="BI236" s="187">
        <v>152569</v>
      </c>
      <c r="BJ236" s="187">
        <v>153422</v>
      </c>
      <c r="BK236" s="187">
        <v>152588</v>
      </c>
      <c r="BL236" s="187">
        <v>150923</v>
      </c>
      <c r="BM236" s="187">
        <v>145111</v>
      </c>
      <c r="BN236" s="187">
        <v>141597</v>
      </c>
      <c r="BO236" s="187">
        <v>138234</v>
      </c>
      <c r="BP236" s="187">
        <v>134376</v>
      </c>
      <c r="BQ236" s="187">
        <v>132557</v>
      </c>
      <c r="BR236" s="187">
        <v>125969</v>
      </c>
      <c r="BS236" s="187">
        <v>121977</v>
      </c>
      <c r="BT236" s="187">
        <v>120923</v>
      </c>
      <c r="BU236" s="187">
        <v>117607</v>
      </c>
      <c r="BV236" s="187">
        <v>116061</v>
      </c>
      <c r="BW236" s="187">
        <v>112713</v>
      </c>
      <c r="BX236" s="187">
        <v>109143</v>
      </c>
      <c r="BY236" s="187">
        <v>109285</v>
      </c>
      <c r="BZ236" s="187">
        <v>111101</v>
      </c>
      <c r="CA236" s="187">
        <v>92484</v>
      </c>
      <c r="CB236" s="187">
        <v>85995</v>
      </c>
      <c r="CC236" s="187">
        <v>80459</v>
      </c>
      <c r="CD236" s="187">
        <v>70713</v>
      </c>
      <c r="CE236" s="187">
        <v>68486</v>
      </c>
      <c r="CF236" s="187">
        <v>61539</v>
      </c>
      <c r="CG236" s="187">
        <v>57058</v>
      </c>
      <c r="CH236" s="187">
        <v>51957</v>
      </c>
      <c r="CI236" s="187">
        <v>46972</v>
      </c>
      <c r="CJ236" s="187">
        <v>42919</v>
      </c>
      <c r="CK236" s="187">
        <v>38222</v>
      </c>
      <c r="CL236" s="187">
        <v>32863</v>
      </c>
      <c r="CM236" s="187">
        <v>29168</v>
      </c>
      <c r="CN236" s="187">
        <v>25370</v>
      </c>
      <c r="CO236" s="187">
        <v>22367</v>
      </c>
      <c r="CP236" s="187">
        <v>19663</v>
      </c>
      <c r="CQ236" s="187">
        <v>16809</v>
      </c>
      <c r="CR236" s="187">
        <v>13366</v>
      </c>
      <c r="CS236" s="187">
        <v>10928</v>
      </c>
      <c r="CT236" s="187">
        <v>8370</v>
      </c>
      <c r="CU236" s="187">
        <v>6489</v>
      </c>
      <c r="CV236" s="187">
        <v>4612</v>
      </c>
      <c r="CW236" s="187">
        <v>3307</v>
      </c>
      <c r="CX236" s="187">
        <v>2242</v>
      </c>
      <c r="CY236" s="187">
        <v>1566</v>
      </c>
      <c r="CZ236" s="187">
        <v>1019</v>
      </c>
      <c r="DA236" s="187">
        <v>1545</v>
      </c>
      <c r="DB236" s="183">
        <f t="shared" si="63"/>
        <v>12829079</v>
      </c>
      <c r="DC236" s="184">
        <f t="shared" si="64"/>
        <v>12.829079</v>
      </c>
      <c r="DD236" s="186">
        <f t="shared" si="65"/>
        <v>1.6730660045845731E-2</v>
      </c>
    </row>
    <row r="237" spans="1:108" x14ac:dyDescent="0.2">
      <c r="A237" s="652"/>
      <c r="B237" s="180"/>
      <c r="C237" s="180"/>
      <c r="D237" s="181">
        <v>2021</v>
      </c>
      <c r="E237" s="187">
        <v>175772</v>
      </c>
      <c r="F237" s="187">
        <v>173364</v>
      </c>
      <c r="G237" s="187">
        <v>171637</v>
      </c>
      <c r="H237" s="187">
        <v>170086</v>
      </c>
      <c r="I237" s="187">
        <v>164100</v>
      </c>
      <c r="J237" s="187">
        <v>172593</v>
      </c>
      <c r="K237" s="187">
        <v>169160</v>
      </c>
      <c r="L237" s="187">
        <v>168529</v>
      </c>
      <c r="M237" s="187">
        <v>170979</v>
      </c>
      <c r="N237" s="187">
        <v>169192</v>
      </c>
      <c r="O237" s="187">
        <v>168380</v>
      </c>
      <c r="P237" s="187">
        <v>168806</v>
      </c>
      <c r="Q237" s="187">
        <v>166866</v>
      </c>
      <c r="R237" s="187">
        <v>166717</v>
      </c>
      <c r="S237" s="187">
        <v>165565</v>
      </c>
      <c r="T237" s="187">
        <v>160380</v>
      </c>
      <c r="U237" s="187">
        <v>155790</v>
      </c>
      <c r="V237" s="187">
        <v>155841</v>
      </c>
      <c r="W237" s="187">
        <v>157282</v>
      </c>
      <c r="X237" s="187">
        <v>163378</v>
      </c>
      <c r="Y237" s="187">
        <v>172364</v>
      </c>
      <c r="Z237" s="187">
        <v>176569</v>
      </c>
      <c r="AA237" s="187">
        <v>182473</v>
      </c>
      <c r="AB237" s="187">
        <v>189053</v>
      </c>
      <c r="AC237" s="187">
        <v>193532</v>
      </c>
      <c r="AD237" s="187">
        <v>197698</v>
      </c>
      <c r="AE237" s="187">
        <v>202950</v>
      </c>
      <c r="AF237" s="187">
        <v>201922</v>
      </c>
      <c r="AG237" s="187">
        <v>198984</v>
      </c>
      <c r="AH237" s="187">
        <v>197492</v>
      </c>
      <c r="AI237" s="187">
        <v>198436</v>
      </c>
      <c r="AJ237" s="187">
        <v>199147</v>
      </c>
      <c r="AK237" s="187">
        <v>194069</v>
      </c>
      <c r="AL237" s="187">
        <v>192954</v>
      </c>
      <c r="AM237" s="187">
        <v>190650</v>
      </c>
      <c r="AN237" s="187">
        <v>191857</v>
      </c>
      <c r="AO237" s="187">
        <v>188931</v>
      </c>
      <c r="AP237" s="187">
        <v>188058</v>
      </c>
      <c r="AQ237" s="187">
        <v>186291</v>
      </c>
      <c r="AR237" s="187">
        <v>180901</v>
      </c>
      <c r="AS237" s="187">
        <v>176065</v>
      </c>
      <c r="AT237" s="187">
        <v>168743</v>
      </c>
      <c r="AU237" s="187">
        <v>163114</v>
      </c>
      <c r="AV237" s="187">
        <v>159767</v>
      </c>
      <c r="AW237" s="187">
        <v>158607</v>
      </c>
      <c r="AX237" s="187">
        <v>159482</v>
      </c>
      <c r="AY237" s="187">
        <v>159449</v>
      </c>
      <c r="AZ237" s="187">
        <v>163296</v>
      </c>
      <c r="BA237" s="187">
        <v>164458</v>
      </c>
      <c r="BB237" s="187">
        <v>169084</v>
      </c>
      <c r="BC237" s="187">
        <v>169208</v>
      </c>
      <c r="BD237" s="187">
        <v>159177</v>
      </c>
      <c r="BE237" s="187">
        <v>155431</v>
      </c>
      <c r="BF237" s="187">
        <v>150636</v>
      </c>
      <c r="BG237" s="187">
        <v>146564</v>
      </c>
      <c r="BH237" s="187">
        <v>147128</v>
      </c>
      <c r="BI237" s="187">
        <v>146359</v>
      </c>
      <c r="BJ237" s="187">
        <v>151909</v>
      </c>
      <c r="BK237" s="187">
        <v>152738</v>
      </c>
      <c r="BL237" s="187">
        <v>151881</v>
      </c>
      <c r="BM237" s="187">
        <v>150193</v>
      </c>
      <c r="BN237" s="187">
        <v>144385</v>
      </c>
      <c r="BO237" s="187">
        <v>140823</v>
      </c>
      <c r="BP237" s="187">
        <v>137406</v>
      </c>
      <c r="BQ237" s="187">
        <v>133499</v>
      </c>
      <c r="BR237" s="187">
        <v>131529</v>
      </c>
      <c r="BS237" s="187">
        <v>124847</v>
      </c>
      <c r="BT237" s="187">
        <v>120795</v>
      </c>
      <c r="BU237" s="187">
        <v>119626</v>
      </c>
      <c r="BV237" s="187">
        <v>116191</v>
      </c>
      <c r="BW237" s="187">
        <v>114505</v>
      </c>
      <c r="BX237" s="187">
        <v>111034</v>
      </c>
      <c r="BY237" s="187">
        <v>107325</v>
      </c>
      <c r="BZ237" s="187">
        <v>107254</v>
      </c>
      <c r="CA237" s="187">
        <v>108788</v>
      </c>
      <c r="CB237" s="187">
        <v>90332</v>
      </c>
      <c r="CC237" s="187">
        <v>83758</v>
      </c>
      <c r="CD237" s="187">
        <v>78106</v>
      </c>
      <c r="CE237" s="187">
        <v>68390</v>
      </c>
      <c r="CF237" s="187">
        <v>65946</v>
      </c>
      <c r="CG237" s="187">
        <v>58959</v>
      </c>
      <c r="CH237" s="187">
        <v>54353</v>
      </c>
      <c r="CI237" s="187">
        <v>49160</v>
      </c>
      <c r="CJ237" s="187">
        <v>44111</v>
      </c>
      <c r="CK237" s="187">
        <v>39945</v>
      </c>
      <c r="CL237" s="187">
        <v>35204</v>
      </c>
      <c r="CM237" s="187">
        <v>29925</v>
      </c>
      <c r="CN237" s="187">
        <v>26213</v>
      </c>
      <c r="CO237" s="187">
        <v>22472</v>
      </c>
      <c r="CP237" s="187">
        <v>19521</v>
      </c>
      <c r="CQ237" s="187">
        <v>16888</v>
      </c>
      <c r="CR237" s="187">
        <v>14192</v>
      </c>
      <c r="CS237" s="187">
        <v>11077</v>
      </c>
      <c r="CT237" s="187">
        <v>8863</v>
      </c>
      <c r="CU237" s="187">
        <v>6630</v>
      </c>
      <c r="CV237" s="187">
        <v>5019</v>
      </c>
      <c r="CW237" s="187">
        <v>3479</v>
      </c>
      <c r="CX237" s="187">
        <v>2435</v>
      </c>
      <c r="CY237" s="187">
        <v>1616</v>
      </c>
      <c r="CZ237" s="187">
        <v>1104</v>
      </c>
      <c r="DA237" s="187">
        <v>1790</v>
      </c>
      <c r="DB237" s="183">
        <f t="shared" si="63"/>
        <v>13039532</v>
      </c>
      <c r="DC237" s="184">
        <f t="shared" si="64"/>
        <v>13.039531999999999</v>
      </c>
      <c r="DD237" s="186">
        <f t="shared" si="65"/>
        <v>1.6404373221179738E-2</v>
      </c>
    </row>
    <row r="238" spans="1:108" x14ac:dyDescent="0.2">
      <c r="A238" s="652"/>
      <c r="B238" s="180"/>
      <c r="C238" s="180"/>
      <c r="D238" s="181">
        <v>2022</v>
      </c>
      <c r="E238" s="187">
        <v>178731</v>
      </c>
      <c r="F238" s="187">
        <v>176544</v>
      </c>
      <c r="G238" s="187">
        <v>174986</v>
      </c>
      <c r="H238" s="187">
        <v>173496</v>
      </c>
      <c r="I238" s="187">
        <v>171986</v>
      </c>
      <c r="J238" s="187">
        <v>165933</v>
      </c>
      <c r="K238" s="187">
        <v>174230</v>
      </c>
      <c r="L238" s="187">
        <v>170566</v>
      </c>
      <c r="M238" s="187">
        <v>169816</v>
      </c>
      <c r="N238" s="187">
        <v>172241</v>
      </c>
      <c r="O238" s="187">
        <v>170419</v>
      </c>
      <c r="P238" s="187">
        <v>169563</v>
      </c>
      <c r="Q238" s="187">
        <v>169987</v>
      </c>
      <c r="R238" s="187">
        <v>168034</v>
      </c>
      <c r="S238" s="187">
        <v>168017</v>
      </c>
      <c r="T238" s="187">
        <v>167314</v>
      </c>
      <c r="U238" s="187">
        <v>162535</v>
      </c>
      <c r="V238" s="187">
        <v>158685</v>
      </c>
      <c r="W238" s="187">
        <v>161083</v>
      </c>
      <c r="X238" s="187">
        <v>164703</v>
      </c>
      <c r="Y238" s="187">
        <v>170369</v>
      </c>
      <c r="Z238" s="187">
        <v>178237</v>
      </c>
      <c r="AA238" s="187">
        <v>183401</v>
      </c>
      <c r="AB238" s="187">
        <v>190613</v>
      </c>
      <c r="AC238" s="187">
        <v>196041</v>
      </c>
      <c r="AD238" s="187">
        <v>198490</v>
      </c>
      <c r="AE238" s="187">
        <v>201645</v>
      </c>
      <c r="AF238" s="187">
        <v>206421</v>
      </c>
      <c r="AG238" s="187">
        <v>205056</v>
      </c>
      <c r="AH238" s="187">
        <v>201898</v>
      </c>
      <c r="AI238" s="187">
        <v>200183</v>
      </c>
      <c r="AJ238" s="187">
        <v>200749</v>
      </c>
      <c r="AK238" s="187">
        <v>201203</v>
      </c>
      <c r="AL238" s="187">
        <v>196197</v>
      </c>
      <c r="AM238" s="187">
        <v>194996</v>
      </c>
      <c r="AN238" s="187">
        <v>192376</v>
      </c>
      <c r="AO238" s="187">
        <v>193354</v>
      </c>
      <c r="AP238" s="187">
        <v>190261</v>
      </c>
      <c r="AQ238" s="187">
        <v>189233</v>
      </c>
      <c r="AR238" s="187">
        <v>187358</v>
      </c>
      <c r="AS238" s="187">
        <v>181841</v>
      </c>
      <c r="AT238" s="187">
        <v>176840</v>
      </c>
      <c r="AU238" s="187">
        <v>169350</v>
      </c>
      <c r="AV238" s="187">
        <v>163628</v>
      </c>
      <c r="AW238" s="187">
        <v>160213</v>
      </c>
      <c r="AX238" s="187">
        <v>158934</v>
      </c>
      <c r="AY238" s="187">
        <v>159694</v>
      </c>
      <c r="AZ238" s="187">
        <v>159540</v>
      </c>
      <c r="BA238" s="187">
        <v>163235</v>
      </c>
      <c r="BB238" s="187">
        <v>164285</v>
      </c>
      <c r="BC238" s="187">
        <v>168820</v>
      </c>
      <c r="BD238" s="187">
        <v>168870</v>
      </c>
      <c r="BE238" s="187">
        <v>158824</v>
      </c>
      <c r="BF238" s="187">
        <v>155040</v>
      </c>
      <c r="BG238" s="187">
        <v>150194</v>
      </c>
      <c r="BH238" s="187">
        <v>146046</v>
      </c>
      <c r="BI238" s="187">
        <v>146522</v>
      </c>
      <c r="BJ238" s="187">
        <v>145729</v>
      </c>
      <c r="BK238" s="187">
        <v>151233</v>
      </c>
      <c r="BL238" s="187">
        <v>152030</v>
      </c>
      <c r="BM238" s="187">
        <v>151147</v>
      </c>
      <c r="BN238" s="187">
        <v>149436</v>
      </c>
      <c r="BO238" s="187">
        <v>143593</v>
      </c>
      <c r="BP238" s="187">
        <v>139978</v>
      </c>
      <c r="BQ238" s="187">
        <v>136508</v>
      </c>
      <c r="BR238" s="187">
        <v>132469</v>
      </c>
      <c r="BS238" s="187">
        <v>130361</v>
      </c>
      <c r="BT238" s="187">
        <v>123646</v>
      </c>
      <c r="BU238" s="187">
        <v>119513</v>
      </c>
      <c r="BV238" s="187">
        <v>118199</v>
      </c>
      <c r="BW238" s="187">
        <v>114651</v>
      </c>
      <c r="BX238" s="187">
        <v>112820</v>
      </c>
      <c r="BY238" s="187">
        <v>109205</v>
      </c>
      <c r="BZ238" s="187">
        <v>105355</v>
      </c>
      <c r="CA238" s="187">
        <v>105047</v>
      </c>
      <c r="CB238" s="187">
        <v>106281</v>
      </c>
      <c r="CC238" s="187">
        <v>88010</v>
      </c>
      <c r="CD238" s="187">
        <v>81336</v>
      </c>
      <c r="CE238" s="187">
        <v>75567</v>
      </c>
      <c r="CF238" s="187">
        <v>65879</v>
      </c>
      <c r="CG238" s="187">
        <v>63208</v>
      </c>
      <c r="CH238" s="187">
        <v>56190</v>
      </c>
      <c r="CI238" s="187">
        <v>51453</v>
      </c>
      <c r="CJ238" s="187">
        <v>46190</v>
      </c>
      <c r="CK238" s="187">
        <v>41077</v>
      </c>
      <c r="CL238" s="187">
        <v>36814</v>
      </c>
      <c r="CM238" s="187">
        <v>32078</v>
      </c>
      <c r="CN238" s="187">
        <v>26912</v>
      </c>
      <c r="CO238" s="187">
        <v>23238</v>
      </c>
      <c r="CP238" s="187">
        <v>19629</v>
      </c>
      <c r="CQ238" s="187">
        <v>16783</v>
      </c>
      <c r="CR238" s="187">
        <v>14275</v>
      </c>
      <c r="CS238" s="187">
        <v>11776</v>
      </c>
      <c r="CT238" s="187">
        <v>8995</v>
      </c>
      <c r="CU238" s="187">
        <v>7029</v>
      </c>
      <c r="CV238" s="187">
        <v>5133</v>
      </c>
      <c r="CW238" s="187">
        <v>3790</v>
      </c>
      <c r="CX238" s="187">
        <v>2563</v>
      </c>
      <c r="CY238" s="187">
        <v>1756</v>
      </c>
      <c r="CZ238" s="187">
        <v>1140</v>
      </c>
      <c r="DA238" s="187">
        <v>2024</v>
      </c>
      <c r="DB238" s="183">
        <f t="shared" si="63"/>
        <v>13248872</v>
      </c>
      <c r="DC238" s="184">
        <f t="shared" si="64"/>
        <v>13.248872</v>
      </c>
      <c r="DD238" s="186">
        <f t="shared" si="65"/>
        <v>1.6054257161990243E-2</v>
      </c>
    </row>
    <row r="239" spans="1:108" x14ac:dyDescent="0.2">
      <c r="A239" s="652"/>
      <c r="B239" s="180"/>
      <c r="C239" s="180"/>
      <c r="D239" s="181">
        <v>2023</v>
      </c>
      <c r="E239" s="187">
        <v>181455</v>
      </c>
      <c r="F239" s="187">
        <v>179480</v>
      </c>
      <c r="G239" s="187">
        <v>178122</v>
      </c>
      <c r="H239" s="187">
        <v>176793</v>
      </c>
      <c r="I239" s="187">
        <v>175346</v>
      </c>
      <c r="J239" s="187">
        <v>173768</v>
      </c>
      <c r="K239" s="187">
        <v>167526</v>
      </c>
      <c r="L239" s="187">
        <v>175597</v>
      </c>
      <c r="M239" s="187">
        <v>171818</v>
      </c>
      <c r="N239" s="187">
        <v>171044</v>
      </c>
      <c r="O239" s="187">
        <v>173434</v>
      </c>
      <c r="P239" s="187">
        <v>171569</v>
      </c>
      <c r="Q239" s="187">
        <v>170711</v>
      </c>
      <c r="R239" s="187">
        <v>171122</v>
      </c>
      <c r="S239" s="187">
        <v>169298</v>
      </c>
      <c r="T239" s="187">
        <v>169717</v>
      </c>
      <c r="U239" s="187">
        <v>169408</v>
      </c>
      <c r="V239" s="187">
        <v>165348</v>
      </c>
      <c r="W239" s="187">
        <v>163783</v>
      </c>
      <c r="X239" s="187">
        <v>168301</v>
      </c>
      <c r="Y239" s="187">
        <v>171504</v>
      </c>
      <c r="Z239" s="187">
        <v>176083</v>
      </c>
      <c r="AA239" s="187">
        <v>184882</v>
      </c>
      <c r="AB239" s="187">
        <v>191317</v>
      </c>
      <c r="AC239" s="187">
        <v>197410</v>
      </c>
      <c r="AD239" s="187">
        <v>200862</v>
      </c>
      <c r="AE239" s="187">
        <v>202328</v>
      </c>
      <c r="AF239" s="187">
        <v>205023</v>
      </c>
      <c r="AG239" s="187">
        <v>209466</v>
      </c>
      <c r="AH239" s="187">
        <v>207886</v>
      </c>
      <c r="AI239" s="187">
        <v>204509</v>
      </c>
      <c r="AJ239" s="187">
        <v>202430</v>
      </c>
      <c r="AK239" s="187">
        <v>202746</v>
      </c>
      <c r="AL239" s="187">
        <v>203264</v>
      </c>
      <c r="AM239" s="187">
        <v>198179</v>
      </c>
      <c r="AN239" s="187">
        <v>196666</v>
      </c>
      <c r="AO239" s="187">
        <v>193830</v>
      </c>
      <c r="AP239" s="187">
        <v>194638</v>
      </c>
      <c r="AQ239" s="187">
        <v>191396</v>
      </c>
      <c r="AR239" s="187">
        <v>190263</v>
      </c>
      <c r="AS239" s="187">
        <v>188259</v>
      </c>
      <c r="AT239" s="187">
        <v>182582</v>
      </c>
      <c r="AU239" s="187">
        <v>177412</v>
      </c>
      <c r="AV239" s="187">
        <v>169832</v>
      </c>
      <c r="AW239" s="187">
        <v>164045</v>
      </c>
      <c r="AX239" s="187">
        <v>160521</v>
      </c>
      <c r="AY239" s="187">
        <v>159134</v>
      </c>
      <c r="AZ239" s="187">
        <v>159773</v>
      </c>
      <c r="BA239" s="187">
        <v>159479</v>
      </c>
      <c r="BB239" s="187">
        <v>163062</v>
      </c>
      <c r="BC239" s="187">
        <v>164031</v>
      </c>
      <c r="BD239" s="187">
        <v>168480</v>
      </c>
      <c r="BE239" s="187">
        <v>168482</v>
      </c>
      <c r="BF239" s="187">
        <v>158419</v>
      </c>
      <c r="BG239" s="187">
        <v>154579</v>
      </c>
      <c r="BH239" s="187">
        <v>149660</v>
      </c>
      <c r="BI239" s="187">
        <v>145445</v>
      </c>
      <c r="BJ239" s="187">
        <v>145893</v>
      </c>
      <c r="BK239" s="187">
        <v>145084</v>
      </c>
      <c r="BL239" s="187">
        <v>150534</v>
      </c>
      <c r="BM239" s="187">
        <v>151293</v>
      </c>
      <c r="BN239" s="187">
        <v>150384</v>
      </c>
      <c r="BO239" s="187">
        <v>148609</v>
      </c>
      <c r="BP239" s="187">
        <v>142727</v>
      </c>
      <c r="BQ239" s="187">
        <v>139062</v>
      </c>
      <c r="BR239" s="187">
        <v>135457</v>
      </c>
      <c r="BS239" s="187">
        <v>131301</v>
      </c>
      <c r="BT239" s="187">
        <v>129111</v>
      </c>
      <c r="BU239" s="187">
        <v>122342</v>
      </c>
      <c r="BV239" s="187">
        <v>118100</v>
      </c>
      <c r="BW239" s="187">
        <v>116646</v>
      </c>
      <c r="BX239" s="187">
        <v>112982</v>
      </c>
      <c r="BY239" s="187">
        <v>110983</v>
      </c>
      <c r="BZ239" s="187">
        <v>107225</v>
      </c>
      <c r="CA239" s="187">
        <v>103214</v>
      </c>
      <c r="CB239" s="187">
        <v>102655</v>
      </c>
      <c r="CC239" s="187">
        <v>103574</v>
      </c>
      <c r="CD239" s="187">
        <v>85494</v>
      </c>
      <c r="CE239" s="187">
        <v>78720</v>
      </c>
      <c r="CF239" s="187">
        <v>72822</v>
      </c>
      <c r="CG239" s="187">
        <v>63171</v>
      </c>
      <c r="CH239" s="187">
        <v>60267</v>
      </c>
      <c r="CI239" s="187">
        <v>53218</v>
      </c>
      <c r="CJ239" s="187">
        <v>48371</v>
      </c>
      <c r="CK239" s="187">
        <v>43037</v>
      </c>
      <c r="CL239" s="187">
        <v>37881</v>
      </c>
      <c r="CM239" s="187">
        <v>33567</v>
      </c>
      <c r="CN239" s="187">
        <v>28871</v>
      </c>
      <c r="CO239" s="187">
        <v>23877</v>
      </c>
      <c r="CP239" s="187">
        <v>20317</v>
      </c>
      <c r="CQ239" s="187">
        <v>16894</v>
      </c>
      <c r="CR239" s="187">
        <v>14202</v>
      </c>
      <c r="CS239" s="187">
        <v>11860</v>
      </c>
      <c r="CT239" s="187">
        <v>9575</v>
      </c>
      <c r="CU239" s="187">
        <v>7141</v>
      </c>
      <c r="CV239" s="187">
        <v>5447</v>
      </c>
      <c r="CW239" s="187">
        <v>3879</v>
      </c>
      <c r="CX239" s="187">
        <v>2794</v>
      </c>
      <c r="CY239" s="187">
        <v>1849</v>
      </c>
      <c r="CZ239" s="187">
        <v>1239</v>
      </c>
      <c r="DA239" s="187">
        <v>2217</v>
      </c>
      <c r="DB239" s="183">
        <f t="shared" si="63"/>
        <v>13455403</v>
      </c>
      <c r="DC239" s="184">
        <f t="shared" si="64"/>
        <v>13.455403</v>
      </c>
      <c r="DD239" s="186">
        <f t="shared" si="65"/>
        <v>1.5588572370538414E-2</v>
      </c>
    </row>
    <row r="240" spans="1:108" x14ac:dyDescent="0.2">
      <c r="A240" s="652"/>
      <c r="B240" s="180"/>
      <c r="C240" s="180"/>
      <c r="D240" s="181">
        <v>2024</v>
      </c>
      <c r="E240" s="187">
        <v>183941</v>
      </c>
      <c r="F240" s="187">
        <v>182184</v>
      </c>
      <c r="G240" s="187">
        <v>181020</v>
      </c>
      <c r="H240" s="187">
        <v>179885</v>
      </c>
      <c r="I240" s="187">
        <v>178598</v>
      </c>
      <c r="J240" s="187">
        <v>177085</v>
      </c>
      <c r="K240" s="187">
        <v>175322</v>
      </c>
      <c r="L240" s="187">
        <v>168861</v>
      </c>
      <c r="M240" s="187">
        <v>176818</v>
      </c>
      <c r="N240" s="187">
        <v>173015</v>
      </c>
      <c r="O240" s="187">
        <v>172208</v>
      </c>
      <c r="P240" s="187">
        <v>174556</v>
      </c>
      <c r="Q240" s="187">
        <v>172689</v>
      </c>
      <c r="R240" s="187">
        <v>171819</v>
      </c>
      <c r="S240" s="187">
        <v>172357</v>
      </c>
      <c r="T240" s="187">
        <v>170957</v>
      </c>
      <c r="U240" s="187">
        <v>171760</v>
      </c>
      <c r="V240" s="187">
        <v>172150</v>
      </c>
      <c r="W240" s="187">
        <v>170320</v>
      </c>
      <c r="X240" s="187">
        <v>170826</v>
      </c>
      <c r="Y240" s="187">
        <v>174936</v>
      </c>
      <c r="Z240" s="187">
        <v>177082</v>
      </c>
      <c r="AA240" s="187">
        <v>182571</v>
      </c>
      <c r="AB240" s="187">
        <v>192608</v>
      </c>
      <c r="AC240" s="187">
        <v>197951</v>
      </c>
      <c r="AD240" s="187">
        <v>202115</v>
      </c>
      <c r="AE240" s="187">
        <v>204608</v>
      </c>
      <c r="AF240" s="187">
        <v>205622</v>
      </c>
      <c r="AG240" s="187">
        <v>207996</v>
      </c>
      <c r="AH240" s="187">
        <v>212225</v>
      </c>
      <c r="AI240" s="187">
        <v>210430</v>
      </c>
      <c r="AJ240" s="187">
        <v>206698</v>
      </c>
      <c r="AK240" s="187">
        <v>204374</v>
      </c>
      <c r="AL240" s="187">
        <v>204754</v>
      </c>
      <c r="AM240" s="187">
        <v>205188</v>
      </c>
      <c r="AN240" s="187">
        <v>199804</v>
      </c>
      <c r="AO240" s="187">
        <v>198079</v>
      </c>
      <c r="AP240" s="187">
        <v>195078</v>
      </c>
      <c r="AQ240" s="187">
        <v>195736</v>
      </c>
      <c r="AR240" s="187">
        <v>192395</v>
      </c>
      <c r="AS240" s="187">
        <v>191131</v>
      </c>
      <c r="AT240" s="187">
        <v>188967</v>
      </c>
      <c r="AU240" s="187">
        <v>183125</v>
      </c>
      <c r="AV240" s="187">
        <v>177866</v>
      </c>
      <c r="AW240" s="187">
        <v>170223</v>
      </c>
      <c r="AX240" s="187">
        <v>164329</v>
      </c>
      <c r="AY240" s="187">
        <v>160705</v>
      </c>
      <c r="AZ240" s="187">
        <v>159205</v>
      </c>
      <c r="BA240" s="187">
        <v>159704</v>
      </c>
      <c r="BB240" s="187">
        <v>159309</v>
      </c>
      <c r="BC240" s="187">
        <v>162806</v>
      </c>
      <c r="BD240" s="187">
        <v>163703</v>
      </c>
      <c r="BE240" s="187">
        <v>168093</v>
      </c>
      <c r="BF240" s="187">
        <v>168039</v>
      </c>
      <c r="BG240" s="187">
        <v>157944</v>
      </c>
      <c r="BH240" s="187">
        <v>154027</v>
      </c>
      <c r="BI240" s="187">
        <v>149043</v>
      </c>
      <c r="BJ240" s="187">
        <v>144821</v>
      </c>
      <c r="BK240" s="187">
        <v>145248</v>
      </c>
      <c r="BL240" s="187">
        <v>144418</v>
      </c>
      <c r="BM240" s="187">
        <v>149806</v>
      </c>
      <c r="BN240" s="187">
        <v>150529</v>
      </c>
      <c r="BO240" s="187">
        <v>149549</v>
      </c>
      <c r="BP240" s="187">
        <v>147708</v>
      </c>
      <c r="BQ240" s="187">
        <v>141791</v>
      </c>
      <c r="BR240" s="187">
        <v>137996</v>
      </c>
      <c r="BS240" s="187">
        <v>134271</v>
      </c>
      <c r="BT240" s="187">
        <v>130052</v>
      </c>
      <c r="BU240" s="187">
        <v>127758</v>
      </c>
      <c r="BV240" s="187">
        <v>120909</v>
      </c>
      <c r="BW240" s="187">
        <v>116567</v>
      </c>
      <c r="BX240" s="187">
        <v>114964</v>
      </c>
      <c r="BY240" s="187">
        <v>111163</v>
      </c>
      <c r="BZ240" s="187">
        <v>108991</v>
      </c>
      <c r="CA240" s="187">
        <v>105073</v>
      </c>
      <c r="CB240" s="187">
        <v>100891</v>
      </c>
      <c r="CC240" s="187">
        <v>100072</v>
      </c>
      <c r="CD240" s="187">
        <v>100643</v>
      </c>
      <c r="CE240" s="187">
        <v>82774</v>
      </c>
      <c r="CF240" s="187">
        <v>75890</v>
      </c>
      <c r="CG240" s="187">
        <v>69859</v>
      </c>
      <c r="CH240" s="187">
        <v>60260</v>
      </c>
      <c r="CI240" s="187">
        <v>57109</v>
      </c>
      <c r="CJ240" s="187">
        <v>50055</v>
      </c>
      <c r="CK240" s="187">
        <v>45095</v>
      </c>
      <c r="CL240" s="187">
        <v>39713</v>
      </c>
      <c r="CM240" s="187">
        <v>34562</v>
      </c>
      <c r="CN240" s="187">
        <v>30232</v>
      </c>
      <c r="CO240" s="187">
        <v>25638</v>
      </c>
      <c r="CP240" s="187">
        <v>20894</v>
      </c>
      <c r="CQ240" s="187">
        <v>17503</v>
      </c>
      <c r="CR240" s="187">
        <v>14312</v>
      </c>
      <c r="CS240" s="187">
        <v>11813</v>
      </c>
      <c r="CT240" s="187">
        <v>9654</v>
      </c>
      <c r="CU240" s="187">
        <v>7611</v>
      </c>
      <c r="CV240" s="187">
        <v>5539</v>
      </c>
      <c r="CW240" s="187">
        <v>4118</v>
      </c>
      <c r="CX240" s="187">
        <v>2861</v>
      </c>
      <c r="CY240" s="187">
        <v>2017</v>
      </c>
      <c r="CZ240" s="187">
        <v>1305</v>
      </c>
      <c r="DA240" s="187">
        <v>2424</v>
      </c>
      <c r="DB240" s="183">
        <f t="shared" si="63"/>
        <v>13659298</v>
      </c>
      <c r="DC240" s="184">
        <f t="shared" si="64"/>
        <v>13.659298</v>
      </c>
      <c r="DD240" s="186">
        <f t="shared" si="65"/>
        <v>1.5153392284125511E-2</v>
      </c>
    </row>
    <row r="241" spans="1:108" x14ac:dyDescent="0.2">
      <c r="A241" s="652"/>
      <c r="B241" s="180"/>
      <c r="C241" s="180"/>
      <c r="D241" s="181">
        <v>2025</v>
      </c>
      <c r="E241" s="187">
        <v>186203</v>
      </c>
      <c r="F241" s="187">
        <v>184647</v>
      </c>
      <c r="G241" s="187">
        <v>183680</v>
      </c>
      <c r="H241" s="187">
        <v>182732</v>
      </c>
      <c r="I241" s="187">
        <v>181638</v>
      </c>
      <c r="J241" s="187">
        <v>180288</v>
      </c>
      <c r="K241" s="187">
        <v>178594</v>
      </c>
      <c r="L241" s="187">
        <v>176618</v>
      </c>
      <c r="M241" s="187">
        <v>170048</v>
      </c>
      <c r="N241" s="187">
        <v>177981</v>
      </c>
      <c r="O241" s="187">
        <v>174146</v>
      </c>
      <c r="P241" s="187">
        <v>173298</v>
      </c>
      <c r="Q241" s="187">
        <v>175644</v>
      </c>
      <c r="R241" s="187">
        <v>173765</v>
      </c>
      <c r="S241" s="187">
        <v>173018</v>
      </c>
      <c r="T241" s="187">
        <v>173968</v>
      </c>
      <c r="U241" s="187">
        <v>172940</v>
      </c>
      <c r="V241" s="187">
        <v>174426</v>
      </c>
      <c r="W241" s="187">
        <v>176978</v>
      </c>
      <c r="X241" s="187">
        <v>177159</v>
      </c>
      <c r="Y241" s="187">
        <v>177271</v>
      </c>
      <c r="Z241" s="187">
        <v>180350</v>
      </c>
      <c r="AA241" s="187">
        <v>183382</v>
      </c>
      <c r="AB241" s="187">
        <v>190078</v>
      </c>
      <c r="AC241" s="187">
        <v>199049</v>
      </c>
      <c r="AD241" s="187">
        <v>202520</v>
      </c>
      <c r="AE241" s="187">
        <v>205753</v>
      </c>
      <c r="AF241" s="187">
        <v>207807</v>
      </c>
      <c r="AG241" s="187">
        <v>208506</v>
      </c>
      <c r="AH241" s="187">
        <v>210675</v>
      </c>
      <c r="AI241" s="187">
        <v>214692</v>
      </c>
      <c r="AJ241" s="187">
        <v>212548</v>
      </c>
      <c r="AK241" s="187">
        <v>208579</v>
      </c>
      <c r="AL241" s="187">
        <v>206321</v>
      </c>
      <c r="AM241" s="187">
        <v>206619</v>
      </c>
      <c r="AN241" s="187">
        <v>206756</v>
      </c>
      <c r="AO241" s="187">
        <v>201165</v>
      </c>
      <c r="AP241" s="187">
        <v>199285</v>
      </c>
      <c r="AQ241" s="187">
        <v>196138</v>
      </c>
      <c r="AR241" s="187">
        <v>196696</v>
      </c>
      <c r="AS241" s="187">
        <v>193230</v>
      </c>
      <c r="AT241" s="187">
        <v>191809</v>
      </c>
      <c r="AU241" s="187">
        <v>189476</v>
      </c>
      <c r="AV241" s="187">
        <v>183546</v>
      </c>
      <c r="AW241" s="187">
        <v>178225</v>
      </c>
      <c r="AX241" s="187">
        <v>170481</v>
      </c>
      <c r="AY241" s="187">
        <v>164493</v>
      </c>
      <c r="AZ241" s="187">
        <v>160761</v>
      </c>
      <c r="BA241" s="187">
        <v>159129</v>
      </c>
      <c r="BB241" s="187">
        <v>159529</v>
      </c>
      <c r="BC241" s="187">
        <v>159060</v>
      </c>
      <c r="BD241" s="187">
        <v>162479</v>
      </c>
      <c r="BE241" s="187">
        <v>163329</v>
      </c>
      <c r="BF241" s="187">
        <v>167647</v>
      </c>
      <c r="BG241" s="187">
        <v>167528</v>
      </c>
      <c r="BH241" s="187">
        <v>157377</v>
      </c>
      <c r="BI241" s="187">
        <v>153391</v>
      </c>
      <c r="BJ241" s="187">
        <v>148401</v>
      </c>
      <c r="BK241" s="187">
        <v>144181</v>
      </c>
      <c r="BL241" s="187">
        <v>144579</v>
      </c>
      <c r="BM241" s="187">
        <v>143727</v>
      </c>
      <c r="BN241" s="187">
        <v>149049</v>
      </c>
      <c r="BO241" s="187">
        <v>149694</v>
      </c>
      <c r="BP241" s="187">
        <v>148643</v>
      </c>
      <c r="BQ241" s="187">
        <v>146735</v>
      </c>
      <c r="BR241" s="187">
        <v>140706</v>
      </c>
      <c r="BS241" s="187">
        <v>136792</v>
      </c>
      <c r="BT241" s="187">
        <v>133002</v>
      </c>
      <c r="BU241" s="187">
        <v>128699</v>
      </c>
      <c r="BV241" s="187">
        <v>126273</v>
      </c>
      <c r="BW241" s="187">
        <v>119352</v>
      </c>
      <c r="BX241" s="187">
        <v>114905</v>
      </c>
      <c r="BY241" s="187">
        <v>113134</v>
      </c>
      <c r="BZ241" s="187">
        <v>109192</v>
      </c>
      <c r="CA241" s="187">
        <v>106827</v>
      </c>
      <c r="CB241" s="187">
        <v>102735</v>
      </c>
      <c r="CC241" s="187">
        <v>98381</v>
      </c>
      <c r="CD241" s="187">
        <v>97273</v>
      </c>
      <c r="CE241" s="187">
        <v>97475</v>
      </c>
      <c r="CF241" s="187">
        <v>79829</v>
      </c>
      <c r="CG241" s="187">
        <v>72833</v>
      </c>
      <c r="CH241" s="187">
        <v>66670</v>
      </c>
      <c r="CI241" s="187">
        <v>57130</v>
      </c>
      <c r="CJ241" s="187">
        <v>53743</v>
      </c>
      <c r="CK241" s="187">
        <v>46691</v>
      </c>
      <c r="CL241" s="187">
        <v>41636</v>
      </c>
      <c r="CM241" s="187">
        <v>36258</v>
      </c>
      <c r="CN241" s="187">
        <v>31150</v>
      </c>
      <c r="CO241" s="187">
        <v>26867</v>
      </c>
      <c r="CP241" s="187">
        <v>22458</v>
      </c>
      <c r="CQ241" s="187">
        <v>18018</v>
      </c>
      <c r="CR241" s="187">
        <v>14845</v>
      </c>
      <c r="CS241" s="187">
        <v>11919</v>
      </c>
      <c r="CT241" s="187">
        <v>9628</v>
      </c>
      <c r="CU241" s="187">
        <v>7683</v>
      </c>
      <c r="CV241" s="187">
        <v>5910</v>
      </c>
      <c r="CW241" s="187">
        <v>4191</v>
      </c>
      <c r="CX241" s="187">
        <v>3039</v>
      </c>
      <c r="CY241" s="187">
        <v>2066</v>
      </c>
      <c r="CZ241" s="187">
        <v>1424</v>
      </c>
      <c r="DA241" s="187">
        <v>2619</v>
      </c>
      <c r="DB241" s="183">
        <f t="shared" si="63"/>
        <v>13859813</v>
      </c>
      <c r="DC241" s="184">
        <f t="shared" si="64"/>
        <v>13.859813000000001</v>
      </c>
      <c r="DD241" s="186">
        <f t="shared" si="65"/>
        <v>1.4679744156691004E-2</v>
      </c>
    </row>
    <row r="242" spans="1:108" x14ac:dyDescent="0.2">
      <c r="A242" s="652"/>
      <c r="B242" s="180"/>
      <c r="C242" s="180"/>
      <c r="D242" s="181">
        <v>2026</v>
      </c>
      <c r="E242" s="187">
        <v>188247</v>
      </c>
      <c r="F242" s="187">
        <v>186890</v>
      </c>
      <c r="G242" s="187">
        <v>186104</v>
      </c>
      <c r="H242" s="187">
        <v>185347</v>
      </c>
      <c r="I242" s="187">
        <v>184440</v>
      </c>
      <c r="J242" s="187">
        <v>183285</v>
      </c>
      <c r="K242" s="187">
        <v>181759</v>
      </c>
      <c r="L242" s="187">
        <v>179856</v>
      </c>
      <c r="M242" s="187">
        <v>177774</v>
      </c>
      <c r="N242" s="187">
        <v>171182</v>
      </c>
      <c r="O242" s="187">
        <v>179082</v>
      </c>
      <c r="P242" s="187">
        <v>175208</v>
      </c>
      <c r="Q242" s="187">
        <v>174358</v>
      </c>
      <c r="R242" s="187">
        <v>176692</v>
      </c>
      <c r="S242" s="187">
        <v>174931</v>
      </c>
      <c r="T242" s="187">
        <v>174589</v>
      </c>
      <c r="U242" s="187">
        <v>175901</v>
      </c>
      <c r="V242" s="187">
        <v>175537</v>
      </c>
      <c r="W242" s="187">
        <v>179130</v>
      </c>
      <c r="X242" s="187">
        <v>183641</v>
      </c>
      <c r="Y242" s="187">
        <v>183438</v>
      </c>
      <c r="Z242" s="187">
        <v>182546</v>
      </c>
      <c r="AA242" s="187">
        <v>186491</v>
      </c>
      <c r="AB242" s="187">
        <v>190697</v>
      </c>
      <c r="AC242" s="187">
        <v>196358</v>
      </c>
      <c r="AD242" s="187">
        <v>203501</v>
      </c>
      <c r="AE242" s="187">
        <v>206066</v>
      </c>
      <c r="AF242" s="187">
        <v>208871</v>
      </c>
      <c r="AG242" s="187">
        <v>210616</v>
      </c>
      <c r="AH242" s="187">
        <v>211116</v>
      </c>
      <c r="AI242" s="187">
        <v>213079</v>
      </c>
      <c r="AJ242" s="187">
        <v>216752</v>
      </c>
      <c r="AK242" s="187">
        <v>214377</v>
      </c>
      <c r="AL242" s="187">
        <v>210470</v>
      </c>
      <c r="AM242" s="187">
        <v>208135</v>
      </c>
      <c r="AN242" s="187">
        <v>208142</v>
      </c>
      <c r="AO242" s="187">
        <v>208073</v>
      </c>
      <c r="AP242" s="187">
        <v>202332</v>
      </c>
      <c r="AQ242" s="187">
        <v>200310</v>
      </c>
      <c r="AR242" s="187">
        <v>197066</v>
      </c>
      <c r="AS242" s="187">
        <v>197500</v>
      </c>
      <c r="AT242" s="187">
        <v>193881</v>
      </c>
      <c r="AU242" s="187">
        <v>192298</v>
      </c>
      <c r="AV242" s="187">
        <v>189871</v>
      </c>
      <c r="AW242" s="187">
        <v>183878</v>
      </c>
      <c r="AX242" s="187">
        <v>178453</v>
      </c>
      <c r="AY242" s="187">
        <v>170620</v>
      </c>
      <c r="AZ242" s="187">
        <v>164530</v>
      </c>
      <c r="BA242" s="187">
        <v>160674</v>
      </c>
      <c r="BB242" s="187">
        <v>158948</v>
      </c>
      <c r="BC242" s="187">
        <v>159276</v>
      </c>
      <c r="BD242" s="187">
        <v>158742</v>
      </c>
      <c r="BE242" s="187">
        <v>162105</v>
      </c>
      <c r="BF242" s="187">
        <v>162901</v>
      </c>
      <c r="BG242" s="187">
        <v>167133</v>
      </c>
      <c r="BH242" s="187">
        <v>166921</v>
      </c>
      <c r="BI242" s="187">
        <v>156727</v>
      </c>
      <c r="BJ242" s="187">
        <v>152728</v>
      </c>
      <c r="BK242" s="187">
        <v>147741</v>
      </c>
      <c r="BL242" s="187">
        <v>143520</v>
      </c>
      <c r="BM242" s="187">
        <v>143886</v>
      </c>
      <c r="BN242" s="187">
        <v>143012</v>
      </c>
      <c r="BO242" s="187">
        <v>148227</v>
      </c>
      <c r="BP242" s="187">
        <v>148789</v>
      </c>
      <c r="BQ242" s="187">
        <v>147665</v>
      </c>
      <c r="BR242" s="187">
        <v>145616</v>
      </c>
      <c r="BS242" s="187">
        <v>139487</v>
      </c>
      <c r="BT242" s="187">
        <v>135509</v>
      </c>
      <c r="BU242" s="187">
        <v>131631</v>
      </c>
      <c r="BV242" s="187">
        <v>127215</v>
      </c>
      <c r="BW242" s="187">
        <v>124661</v>
      </c>
      <c r="BX242" s="187">
        <v>117668</v>
      </c>
      <c r="BY242" s="187">
        <v>113095</v>
      </c>
      <c r="BZ242" s="187">
        <v>111151</v>
      </c>
      <c r="CA242" s="187">
        <v>107051</v>
      </c>
      <c r="CB242" s="187">
        <v>104478</v>
      </c>
      <c r="CC242" s="187">
        <v>100207</v>
      </c>
      <c r="CD242" s="187">
        <v>95660</v>
      </c>
      <c r="CE242" s="187">
        <v>94245</v>
      </c>
      <c r="CF242" s="187">
        <v>94043</v>
      </c>
      <c r="CG242" s="187">
        <v>76644</v>
      </c>
      <c r="CH242" s="187">
        <v>69539</v>
      </c>
      <c r="CI242" s="187">
        <v>63237</v>
      </c>
      <c r="CJ242" s="187">
        <v>53791</v>
      </c>
      <c r="CK242" s="187">
        <v>50160</v>
      </c>
      <c r="CL242" s="187">
        <v>43135</v>
      </c>
      <c r="CM242" s="187">
        <v>38037</v>
      </c>
      <c r="CN242" s="187">
        <v>32702</v>
      </c>
      <c r="CO242" s="187">
        <v>27706</v>
      </c>
      <c r="CP242" s="187">
        <v>23555</v>
      </c>
      <c r="CQ242" s="187">
        <v>19389</v>
      </c>
      <c r="CR242" s="187">
        <v>15299</v>
      </c>
      <c r="CS242" s="187">
        <v>12378</v>
      </c>
      <c r="CT242" s="187">
        <v>9726</v>
      </c>
      <c r="CU242" s="187">
        <v>7671</v>
      </c>
      <c r="CV242" s="187">
        <v>5971</v>
      </c>
      <c r="CW242" s="187">
        <v>4475</v>
      </c>
      <c r="CX242" s="187">
        <v>3095</v>
      </c>
      <c r="CY242" s="187">
        <v>2195</v>
      </c>
      <c r="CZ242" s="187">
        <v>1460</v>
      </c>
      <c r="DA242" s="187">
        <v>2841</v>
      </c>
      <c r="DB242" s="183">
        <f t="shared" si="63"/>
        <v>14057138</v>
      </c>
      <c r="DC242" s="184">
        <f t="shared" si="64"/>
        <v>14.057138</v>
      </c>
      <c r="DD242" s="186">
        <f t="shared" si="65"/>
        <v>1.4237205076287776E-2</v>
      </c>
    </row>
    <row r="243" spans="1:108" x14ac:dyDescent="0.2">
      <c r="A243" s="652"/>
      <c r="B243" s="180"/>
      <c r="C243" s="180"/>
      <c r="D243" s="181">
        <v>2027</v>
      </c>
      <c r="E243" s="187">
        <v>190076</v>
      </c>
      <c r="F243" s="187">
        <v>188912</v>
      </c>
      <c r="G243" s="187">
        <v>188302</v>
      </c>
      <c r="H243" s="187">
        <v>187721</v>
      </c>
      <c r="I243" s="187">
        <v>187003</v>
      </c>
      <c r="J243" s="187">
        <v>186038</v>
      </c>
      <c r="K243" s="187">
        <v>184710</v>
      </c>
      <c r="L243" s="187">
        <v>182983</v>
      </c>
      <c r="M243" s="187">
        <v>180977</v>
      </c>
      <c r="N243" s="187">
        <v>178873</v>
      </c>
      <c r="O243" s="187">
        <v>172250</v>
      </c>
      <c r="P243" s="187">
        <v>180111</v>
      </c>
      <c r="Q243" s="187">
        <v>176236</v>
      </c>
      <c r="R243" s="187">
        <v>175374</v>
      </c>
      <c r="S243" s="187">
        <v>177822</v>
      </c>
      <c r="T243" s="187">
        <v>176453</v>
      </c>
      <c r="U243" s="187">
        <v>176463</v>
      </c>
      <c r="V243" s="187">
        <v>178418</v>
      </c>
      <c r="W243" s="187">
        <v>180097</v>
      </c>
      <c r="X243" s="187">
        <v>185591</v>
      </c>
      <c r="Y243" s="187">
        <v>189726</v>
      </c>
      <c r="Z243" s="187">
        <v>188552</v>
      </c>
      <c r="AA243" s="187">
        <v>188498</v>
      </c>
      <c r="AB243" s="187">
        <v>193584</v>
      </c>
      <c r="AC243" s="187">
        <v>196787</v>
      </c>
      <c r="AD243" s="187">
        <v>200674</v>
      </c>
      <c r="AE243" s="187">
        <v>206936</v>
      </c>
      <c r="AF243" s="187">
        <v>209088</v>
      </c>
      <c r="AG243" s="187">
        <v>211591</v>
      </c>
      <c r="AH243" s="187">
        <v>213145</v>
      </c>
      <c r="AI243" s="187">
        <v>213443</v>
      </c>
      <c r="AJ243" s="187">
        <v>215074</v>
      </c>
      <c r="AK243" s="187">
        <v>218519</v>
      </c>
      <c r="AL243" s="187">
        <v>216203</v>
      </c>
      <c r="AM243" s="187">
        <v>212221</v>
      </c>
      <c r="AN243" s="187">
        <v>209607</v>
      </c>
      <c r="AO243" s="187">
        <v>209414</v>
      </c>
      <c r="AP243" s="187">
        <v>209191</v>
      </c>
      <c r="AQ243" s="187">
        <v>203316</v>
      </c>
      <c r="AR243" s="187">
        <v>201199</v>
      </c>
      <c r="AS243" s="187">
        <v>197838</v>
      </c>
      <c r="AT243" s="187">
        <v>198117</v>
      </c>
      <c r="AU243" s="187">
        <v>194343</v>
      </c>
      <c r="AV243" s="187">
        <v>192667</v>
      </c>
      <c r="AW243" s="187">
        <v>190174</v>
      </c>
      <c r="AX243" s="187">
        <v>184080</v>
      </c>
      <c r="AY243" s="187">
        <v>178559</v>
      </c>
      <c r="AZ243" s="187">
        <v>170634</v>
      </c>
      <c r="BA243" s="187">
        <v>164426</v>
      </c>
      <c r="BB243" s="187">
        <v>160483</v>
      </c>
      <c r="BC243" s="187">
        <v>158689</v>
      </c>
      <c r="BD243" s="187">
        <v>158952</v>
      </c>
      <c r="BE243" s="187">
        <v>158377</v>
      </c>
      <c r="BF243" s="187">
        <v>161677</v>
      </c>
      <c r="BG243" s="187">
        <v>162404</v>
      </c>
      <c r="BH243" s="187">
        <v>166527</v>
      </c>
      <c r="BI243" s="187">
        <v>166226</v>
      </c>
      <c r="BJ243" s="187">
        <v>156047</v>
      </c>
      <c r="BK243" s="187">
        <v>152043</v>
      </c>
      <c r="BL243" s="187">
        <v>147057</v>
      </c>
      <c r="BM243" s="187">
        <v>142832</v>
      </c>
      <c r="BN243" s="187">
        <v>143166</v>
      </c>
      <c r="BO243" s="187">
        <v>142230</v>
      </c>
      <c r="BP243" s="187">
        <v>147334</v>
      </c>
      <c r="BQ243" s="187">
        <v>147811</v>
      </c>
      <c r="BR243" s="187">
        <v>146538</v>
      </c>
      <c r="BS243" s="187">
        <v>144355</v>
      </c>
      <c r="BT243" s="187">
        <v>138181</v>
      </c>
      <c r="BU243" s="187">
        <v>134114</v>
      </c>
      <c r="BV243" s="187">
        <v>130120</v>
      </c>
      <c r="BW243" s="187">
        <v>125600</v>
      </c>
      <c r="BX243" s="187">
        <v>122910</v>
      </c>
      <c r="BY243" s="187">
        <v>115827</v>
      </c>
      <c r="BZ243" s="187">
        <v>111126</v>
      </c>
      <c r="CA243" s="187">
        <v>108983</v>
      </c>
      <c r="CB243" s="187">
        <v>104714</v>
      </c>
      <c r="CC243" s="187">
        <v>101924</v>
      </c>
      <c r="CD243" s="187">
        <v>97453</v>
      </c>
      <c r="CE243" s="187">
        <v>92702</v>
      </c>
      <c r="CF243" s="187">
        <v>90949</v>
      </c>
      <c r="CG243" s="187">
        <v>90314</v>
      </c>
      <c r="CH243" s="187">
        <v>73196</v>
      </c>
      <c r="CI243" s="187">
        <v>65978</v>
      </c>
      <c r="CJ243" s="187">
        <v>59559</v>
      </c>
      <c r="CK243" s="187">
        <v>50220</v>
      </c>
      <c r="CL243" s="187">
        <v>46358</v>
      </c>
      <c r="CM243" s="187">
        <v>39422</v>
      </c>
      <c r="CN243" s="187">
        <v>34323</v>
      </c>
      <c r="CO243" s="187">
        <v>29101</v>
      </c>
      <c r="CP243" s="187">
        <v>24304</v>
      </c>
      <c r="CQ243" s="187">
        <v>20349</v>
      </c>
      <c r="CR243" s="187">
        <v>16476</v>
      </c>
      <c r="CS243" s="187">
        <v>12766</v>
      </c>
      <c r="CT243" s="187">
        <v>10108</v>
      </c>
      <c r="CU243" s="187">
        <v>7754</v>
      </c>
      <c r="CV243" s="187">
        <v>5965</v>
      </c>
      <c r="CW243" s="187">
        <v>4523</v>
      </c>
      <c r="CX243" s="187">
        <v>3306</v>
      </c>
      <c r="CY243" s="187">
        <v>2237</v>
      </c>
      <c r="CZ243" s="187">
        <v>1551</v>
      </c>
      <c r="DA243" s="187">
        <v>3026</v>
      </c>
      <c r="DB243" s="183">
        <f t="shared" si="63"/>
        <v>14250203</v>
      </c>
      <c r="DC243" s="184">
        <f t="shared" si="64"/>
        <v>14.250203000000001</v>
      </c>
      <c r="DD243" s="186">
        <f t="shared" si="65"/>
        <v>1.3734303526080537E-2</v>
      </c>
    </row>
    <row r="244" spans="1:108" x14ac:dyDescent="0.2">
      <c r="A244" s="652"/>
      <c r="B244" s="180"/>
      <c r="C244" s="180"/>
      <c r="D244" s="181">
        <v>2028</v>
      </c>
      <c r="E244" s="187">
        <v>191708</v>
      </c>
      <c r="F244" s="187">
        <v>190742</v>
      </c>
      <c r="G244" s="187">
        <v>190324</v>
      </c>
      <c r="H244" s="187">
        <v>189918</v>
      </c>
      <c r="I244" s="187">
        <v>189376</v>
      </c>
      <c r="J244" s="187">
        <v>188601</v>
      </c>
      <c r="K244" s="187">
        <v>187463</v>
      </c>
      <c r="L244" s="187">
        <v>185933</v>
      </c>
      <c r="M244" s="187">
        <v>184104</v>
      </c>
      <c r="N244" s="187">
        <v>182076</v>
      </c>
      <c r="O244" s="187">
        <v>179941</v>
      </c>
      <c r="P244" s="187">
        <v>173280</v>
      </c>
      <c r="Q244" s="187">
        <v>181139</v>
      </c>
      <c r="R244" s="187">
        <v>177252</v>
      </c>
      <c r="S244" s="187">
        <v>176505</v>
      </c>
      <c r="T244" s="187">
        <v>179344</v>
      </c>
      <c r="U244" s="187">
        <v>178326</v>
      </c>
      <c r="V244" s="187">
        <v>178979</v>
      </c>
      <c r="W244" s="187">
        <v>182979</v>
      </c>
      <c r="X244" s="187">
        <v>186558</v>
      </c>
      <c r="Y244" s="187">
        <v>191675</v>
      </c>
      <c r="Z244" s="187">
        <v>194835</v>
      </c>
      <c r="AA244" s="187">
        <v>194503</v>
      </c>
      <c r="AB244" s="187">
        <v>195588</v>
      </c>
      <c r="AC244" s="187">
        <v>199672</v>
      </c>
      <c r="AD244" s="187">
        <v>201106</v>
      </c>
      <c r="AE244" s="187">
        <v>204113</v>
      </c>
      <c r="AF244" s="187">
        <v>209958</v>
      </c>
      <c r="AG244" s="187">
        <v>211810</v>
      </c>
      <c r="AH244" s="187">
        <v>214119</v>
      </c>
      <c r="AI244" s="187">
        <v>215471</v>
      </c>
      <c r="AJ244" s="187">
        <v>215440</v>
      </c>
      <c r="AK244" s="187">
        <v>216842</v>
      </c>
      <c r="AL244" s="187">
        <v>220342</v>
      </c>
      <c r="AM244" s="187">
        <v>217951</v>
      </c>
      <c r="AN244" s="187">
        <v>213689</v>
      </c>
      <c r="AO244" s="187">
        <v>210876</v>
      </c>
      <c r="AP244" s="187">
        <v>210531</v>
      </c>
      <c r="AQ244" s="187">
        <v>210169</v>
      </c>
      <c r="AR244" s="187">
        <v>204202</v>
      </c>
      <c r="AS244" s="187">
        <v>201967</v>
      </c>
      <c r="AT244" s="187">
        <v>198457</v>
      </c>
      <c r="AU244" s="187">
        <v>198573</v>
      </c>
      <c r="AV244" s="187">
        <v>194708</v>
      </c>
      <c r="AW244" s="187">
        <v>192965</v>
      </c>
      <c r="AX244" s="187">
        <v>190364</v>
      </c>
      <c r="AY244" s="187">
        <v>184176</v>
      </c>
      <c r="AZ244" s="187">
        <v>178553</v>
      </c>
      <c r="BA244" s="187">
        <v>170517</v>
      </c>
      <c r="BB244" s="187">
        <v>164225</v>
      </c>
      <c r="BC244" s="187">
        <v>160224</v>
      </c>
      <c r="BD244" s="187">
        <v>158367</v>
      </c>
      <c r="BE244" s="187">
        <v>158588</v>
      </c>
      <c r="BF244" s="187">
        <v>157962</v>
      </c>
      <c r="BG244" s="187">
        <v>161184</v>
      </c>
      <c r="BH244" s="187">
        <v>161817</v>
      </c>
      <c r="BI244" s="187">
        <v>165837</v>
      </c>
      <c r="BJ244" s="187">
        <v>165501</v>
      </c>
      <c r="BK244" s="187">
        <v>155348</v>
      </c>
      <c r="BL244" s="187">
        <v>151336</v>
      </c>
      <c r="BM244" s="187">
        <v>146349</v>
      </c>
      <c r="BN244" s="187">
        <v>142122</v>
      </c>
      <c r="BO244" s="187">
        <v>142386</v>
      </c>
      <c r="BP244" s="187">
        <v>141386</v>
      </c>
      <c r="BQ244" s="187">
        <v>146374</v>
      </c>
      <c r="BR244" s="187">
        <v>146690</v>
      </c>
      <c r="BS244" s="187">
        <v>145279</v>
      </c>
      <c r="BT244" s="187">
        <v>143007</v>
      </c>
      <c r="BU244" s="187">
        <v>136767</v>
      </c>
      <c r="BV244" s="187">
        <v>132583</v>
      </c>
      <c r="BW244" s="187">
        <v>128477</v>
      </c>
      <c r="BX244" s="187">
        <v>123849</v>
      </c>
      <c r="BY244" s="187">
        <v>120998</v>
      </c>
      <c r="BZ244" s="187">
        <v>113825</v>
      </c>
      <c r="CA244" s="187">
        <v>108976</v>
      </c>
      <c r="CB244" s="187">
        <v>106620</v>
      </c>
      <c r="CC244" s="187">
        <v>102173</v>
      </c>
      <c r="CD244" s="187">
        <v>99141</v>
      </c>
      <c r="CE244" s="187">
        <v>94458</v>
      </c>
      <c r="CF244" s="187">
        <v>89480</v>
      </c>
      <c r="CG244" s="187">
        <v>87366</v>
      </c>
      <c r="CH244" s="187">
        <v>86274</v>
      </c>
      <c r="CI244" s="187">
        <v>69468</v>
      </c>
      <c r="CJ244" s="187">
        <v>62161</v>
      </c>
      <c r="CK244" s="187">
        <v>55625</v>
      </c>
      <c r="CL244" s="187">
        <v>46430</v>
      </c>
      <c r="CM244" s="187">
        <v>42385</v>
      </c>
      <c r="CN244" s="187">
        <v>35588</v>
      </c>
      <c r="CO244" s="187">
        <v>30559</v>
      </c>
      <c r="CP244" s="187">
        <v>25543</v>
      </c>
      <c r="CQ244" s="187">
        <v>21009</v>
      </c>
      <c r="CR244" s="187">
        <v>17304</v>
      </c>
      <c r="CS244" s="187">
        <v>13758</v>
      </c>
      <c r="CT244" s="187">
        <v>10433</v>
      </c>
      <c r="CU244" s="187">
        <v>8064</v>
      </c>
      <c r="CV244" s="187">
        <v>6033</v>
      </c>
      <c r="CW244" s="187">
        <v>4520</v>
      </c>
      <c r="CX244" s="187">
        <v>3342</v>
      </c>
      <c r="CY244" s="187">
        <v>2390</v>
      </c>
      <c r="CZ244" s="187">
        <v>1582</v>
      </c>
      <c r="DA244" s="187">
        <v>3221</v>
      </c>
      <c r="DB244" s="183">
        <f t="shared" si="63"/>
        <v>14442104</v>
      </c>
      <c r="DC244" s="184">
        <f t="shared" si="64"/>
        <v>14.442104</v>
      </c>
      <c r="DD244" s="186">
        <f t="shared" si="65"/>
        <v>1.346654500290274E-2</v>
      </c>
    </row>
    <row r="245" spans="1:108" x14ac:dyDescent="0.2">
      <c r="A245" s="652"/>
      <c r="B245" s="180"/>
      <c r="C245" s="180"/>
      <c r="D245" s="181">
        <v>2029</v>
      </c>
      <c r="E245" s="187">
        <v>193186</v>
      </c>
      <c r="F245" s="187">
        <v>192376</v>
      </c>
      <c r="G245" s="187">
        <v>192154</v>
      </c>
      <c r="H245" s="187">
        <v>191940</v>
      </c>
      <c r="I245" s="187">
        <v>191573</v>
      </c>
      <c r="J245" s="187">
        <v>190974</v>
      </c>
      <c r="K245" s="187">
        <v>190025</v>
      </c>
      <c r="L245" s="187">
        <v>188688</v>
      </c>
      <c r="M245" s="187">
        <v>187053</v>
      </c>
      <c r="N245" s="187">
        <v>185203</v>
      </c>
      <c r="O245" s="187">
        <v>183144</v>
      </c>
      <c r="P245" s="187">
        <v>180970</v>
      </c>
      <c r="Q245" s="187">
        <v>174308</v>
      </c>
      <c r="R245" s="187">
        <v>182155</v>
      </c>
      <c r="S245" s="187">
        <v>178384</v>
      </c>
      <c r="T245" s="187">
        <v>178027</v>
      </c>
      <c r="U245" s="187">
        <v>181217</v>
      </c>
      <c r="V245" s="187">
        <v>180842</v>
      </c>
      <c r="W245" s="187">
        <v>183540</v>
      </c>
      <c r="X245" s="187">
        <v>189440</v>
      </c>
      <c r="Y245" s="187">
        <v>192642</v>
      </c>
      <c r="Z245" s="187">
        <v>196785</v>
      </c>
      <c r="AA245" s="187">
        <v>200783</v>
      </c>
      <c r="AB245" s="187">
        <v>201591</v>
      </c>
      <c r="AC245" s="187">
        <v>201677</v>
      </c>
      <c r="AD245" s="187">
        <v>203990</v>
      </c>
      <c r="AE245" s="187">
        <v>204544</v>
      </c>
      <c r="AF245" s="187">
        <v>207136</v>
      </c>
      <c r="AG245" s="187">
        <v>212682</v>
      </c>
      <c r="AH245" s="187">
        <v>214338</v>
      </c>
      <c r="AI245" s="187">
        <v>216447</v>
      </c>
      <c r="AJ245" s="187">
        <v>217467</v>
      </c>
      <c r="AK245" s="187">
        <v>217210</v>
      </c>
      <c r="AL245" s="187">
        <v>218666</v>
      </c>
      <c r="AM245" s="187">
        <v>222086</v>
      </c>
      <c r="AN245" s="187">
        <v>219414</v>
      </c>
      <c r="AO245" s="187">
        <v>214956</v>
      </c>
      <c r="AP245" s="187">
        <v>211993</v>
      </c>
      <c r="AQ245" s="187">
        <v>211507</v>
      </c>
      <c r="AR245" s="187">
        <v>211046</v>
      </c>
      <c r="AS245" s="187">
        <v>204964</v>
      </c>
      <c r="AT245" s="187">
        <v>202580</v>
      </c>
      <c r="AU245" s="187">
        <v>198914</v>
      </c>
      <c r="AV245" s="187">
        <v>198933</v>
      </c>
      <c r="AW245" s="187">
        <v>195002</v>
      </c>
      <c r="AX245" s="187">
        <v>193150</v>
      </c>
      <c r="AY245" s="187">
        <v>190449</v>
      </c>
      <c r="AZ245" s="187">
        <v>184158</v>
      </c>
      <c r="BA245" s="187">
        <v>178417</v>
      </c>
      <c r="BB245" s="187">
        <v>170302</v>
      </c>
      <c r="BC245" s="187">
        <v>163956</v>
      </c>
      <c r="BD245" s="187">
        <v>159898</v>
      </c>
      <c r="BE245" s="187">
        <v>158005</v>
      </c>
      <c r="BF245" s="187">
        <v>158174</v>
      </c>
      <c r="BG245" s="187">
        <v>157485</v>
      </c>
      <c r="BH245" s="187">
        <v>160604</v>
      </c>
      <c r="BI245" s="187">
        <v>161150</v>
      </c>
      <c r="BJ245" s="187">
        <v>165114</v>
      </c>
      <c r="BK245" s="187">
        <v>164754</v>
      </c>
      <c r="BL245" s="187">
        <v>154626</v>
      </c>
      <c r="BM245" s="187">
        <v>150605</v>
      </c>
      <c r="BN245" s="187">
        <v>145619</v>
      </c>
      <c r="BO245" s="187">
        <v>141353</v>
      </c>
      <c r="BP245" s="187">
        <v>141546</v>
      </c>
      <c r="BQ245" s="187">
        <v>140478</v>
      </c>
      <c r="BR245" s="187">
        <v>145271</v>
      </c>
      <c r="BS245" s="187">
        <v>145437</v>
      </c>
      <c r="BT245" s="187">
        <v>143932</v>
      </c>
      <c r="BU245" s="187">
        <v>141550</v>
      </c>
      <c r="BV245" s="187">
        <v>135215</v>
      </c>
      <c r="BW245" s="187">
        <v>130921</v>
      </c>
      <c r="BX245" s="187">
        <v>126696</v>
      </c>
      <c r="BY245" s="187">
        <v>121936</v>
      </c>
      <c r="BZ245" s="187">
        <v>118921</v>
      </c>
      <c r="CA245" s="187">
        <v>111639</v>
      </c>
      <c r="CB245" s="187">
        <v>106630</v>
      </c>
      <c r="CC245" s="187">
        <v>104051</v>
      </c>
      <c r="CD245" s="187">
        <v>99403</v>
      </c>
      <c r="CE245" s="187">
        <v>96115</v>
      </c>
      <c r="CF245" s="187">
        <v>91194</v>
      </c>
      <c r="CG245" s="187">
        <v>85975</v>
      </c>
      <c r="CH245" s="187">
        <v>83482</v>
      </c>
      <c r="CI245" s="187">
        <v>81904</v>
      </c>
      <c r="CJ245" s="187">
        <v>65467</v>
      </c>
      <c r="CK245" s="187">
        <v>58074</v>
      </c>
      <c r="CL245" s="187">
        <v>51447</v>
      </c>
      <c r="CM245" s="187">
        <v>42466</v>
      </c>
      <c r="CN245" s="187">
        <v>38281</v>
      </c>
      <c r="CO245" s="187">
        <v>31701</v>
      </c>
      <c r="CP245" s="187">
        <v>26838</v>
      </c>
      <c r="CQ245" s="187">
        <v>22095</v>
      </c>
      <c r="CR245" s="187">
        <v>17878</v>
      </c>
      <c r="CS245" s="187">
        <v>14460</v>
      </c>
      <c r="CT245" s="187">
        <v>11252</v>
      </c>
      <c r="CU245" s="187">
        <v>8329</v>
      </c>
      <c r="CV245" s="187">
        <v>6277</v>
      </c>
      <c r="CW245" s="187">
        <v>4574</v>
      </c>
      <c r="CX245" s="187">
        <v>3341</v>
      </c>
      <c r="CY245" s="187">
        <v>2416</v>
      </c>
      <c r="CZ245" s="187">
        <v>1690</v>
      </c>
      <c r="DA245" s="187">
        <v>3385</v>
      </c>
      <c r="DB245" s="183">
        <f>SUM(E245:DA245)</f>
        <v>14632638</v>
      </c>
      <c r="DC245" s="184">
        <f>DB245/1000000</f>
        <v>14.632638</v>
      </c>
      <c r="DD245" s="186">
        <f>(DC245-DC244)/DC244</f>
        <v>1.3192953048946299E-2</v>
      </c>
    </row>
    <row r="246" spans="1:108" x14ac:dyDescent="0.2">
      <c r="A246" s="652"/>
      <c r="B246" s="180"/>
      <c r="C246" s="180"/>
      <c r="D246" s="181">
        <v>2030</v>
      </c>
      <c r="E246" s="187">
        <v>194571</v>
      </c>
      <c r="F246" s="187">
        <v>193853</v>
      </c>
      <c r="G246" s="187">
        <v>193788</v>
      </c>
      <c r="H246" s="187">
        <v>193770</v>
      </c>
      <c r="I246" s="187">
        <v>193595</v>
      </c>
      <c r="J246" s="187">
        <v>193171</v>
      </c>
      <c r="K246" s="187">
        <v>192398</v>
      </c>
      <c r="L246" s="187">
        <v>191250</v>
      </c>
      <c r="M246" s="187">
        <v>189808</v>
      </c>
      <c r="N246" s="187">
        <v>188151</v>
      </c>
      <c r="O246" s="187">
        <v>186271</v>
      </c>
      <c r="P246" s="187">
        <v>184173</v>
      </c>
      <c r="Q246" s="187">
        <v>181997</v>
      </c>
      <c r="R246" s="187">
        <v>175325</v>
      </c>
      <c r="S246" s="187">
        <v>183287</v>
      </c>
      <c r="T246" s="187">
        <v>179906</v>
      </c>
      <c r="U246" s="187">
        <v>179902</v>
      </c>
      <c r="V246" s="187">
        <v>183732</v>
      </c>
      <c r="W246" s="187">
        <v>185402</v>
      </c>
      <c r="X246" s="187">
        <v>190001</v>
      </c>
      <c r="Y246" s="187">
        <v>195522</v>
      </c>
      <c r="Z246" s="187">
        <v>197754</v>
      </c>
      <c r="AA246" s="187">
        <v>202732</v>
      </c>
      <c r="AB246" s="187">
        <v>207870</v>
      </c>
      <c r="AC246" s="187">
        <v>207677</v>
      </c>
      <c r="AD246" s="187">
        <v>205994</v>
      </c>
      <c r="AE246" s="187">
        <v>207427</v>
      </c>
      <c r="AF246" s="187">
        <v>207571</v>
      </c>
      <c r="AG246" s="187">
        <v>209861</v>
      </c>
      <c r="AH246" s="187">
        <v>215210</v>
      </c>
      <c r="AI246" s="187">
        <v>216666</v>
      </c>
      <c r="AJ246" s="187">
        <v>218444</v>
      </c>
      <c r="AK246" s="187">
        <v>219238</v>
      </c>
      <c r="AL246" s="187">
        <v>219034</v>
      </c>
      <c r="AM246" s="187">
        <v>220412</v>
      </c>
      <c r="AN246" s="187">
        <v>223547</v>
      </c>
      <c r="AO246" s="187">
        <v>220677</v>
      </c>
      <c r="AP246" s="187">
        <v>216071</v>
      </c>
      <c r="AQ246" s="187">
        <v>212968</v>
      </c>
      <c r="AR246" s="187">
        <v>212385</v>
      </c>
      <c r="AS246" s="187">
        <v>211799</v>
      </c>
      <c r="AT246" s="187">
        <v>205573</v>
      </c>
      <c r="AU246" s="187">
        <v>203031</v>
      </c>
      <c r="AV246" s="187">
        <v>199274</v>
      </c>
      <c r="AW246" s="187">
        <v>199222</v>
      </c>
      <c r="AX246" s="187">
        <v>195183</v>
      </c>
      <c r="AY246" s="187">
        <v>193230</v>
      </c>
      <c r="AZ246" s="187">
        <v>190417</v>
      </c>
      <c r="BA246" s="187">
        <v>184009</v>
      </c>
      <c r="BB246" s="187">
        <v>178180</v>
      </c>
      <c r="BC246" s="187">
        <v>170016</v>
      </c>
      <c r="BD246" s="187">
        <v>163618</v>
      </c>
      <c r="BE246" s="187">
        <v>159532</v>
      </c>
      <c r="BF246" s="187">
        <v>157594</v>
      </c>
      <c r="BG246" s="187">
        <v>157696</v>
      </c>
      <c r="BH246" s="187">
        <v>156922</v>
      </c>
      <c r="BI246" s="187">
        <v>159944</v>
      </c>
      <c r="BJ246" s="187">
        <v>160455</v>
      </c>
      <c r="BK246" s="187">
        <v>164371</v>
      </c>
      <c r="BL246" s="187">
        <v>163982</v>
      </c>
      <c r="BM246" s="187">
        <v>153879</v>
      </c>
      <c r="BN246" s="187">
        <v>149852</v>
      </c>
      <c r="BO246" s="187">
        <v>144830</v>
      </c>
      <c r="BP246" s="187">
        <v>140524</v>
      </c>
      <c r="BQ246" s="187">
        <v>140643</v>
      </c>
      <c r="BR246" s="187">
        <v>139432</v>
      </c>
      <c r="BS246" s="187">
        <v>144036</v>
      </c>
      <c r="BT246" s="187">
        <v>144097</v>
      </c>
      <c r="BU246" s="187">
        <v>142473</v>
      </c>
      <c r="BV246" s="187">
        <v>139953</v>
      </c>
      <c r="BW246" s="187">
        <v>133531</v>
      </c>
      <c r="BX246" s="187">
        <v>129119</v>
      </c>
      <c r="BY246" s="187">
        <v>124753</v>
      </c>
      <c r="BZ246" s="187">
        <v>119856</v>
      </c>
      <c r="CA246" s="187">
        <v>116651</v>
      </c>
      <c r="CB246" s="187">
        <v>109253</v>
      </c>
      <c r="CC246" s="187">
        <v>104078</v>
      </c>
      <c r="CD246" s="187">
        <v>101249</v>
      </c>
      <c r="CE246" s="187">
        <v>96389</v>
      </c>
      <c r="CF246" s="187">
        <v>92816</v>
      </c>
      <c r="CG246" s="187">
        <v>87643</v>
      </c>
      <c r="CH246" s="187">
        <v>82173</v>
      </c>
      <c r="CI246" s="187">
        <v>79276</v>
      </c>
      <c r="CJ246" s="187">
        <v>77211</v>
      </c>
      <c r="CK246" s="187">
        <v>61184</v>
      </c>
      <c r="CL246" s="187">
        <v>53732</v>
      </c>
      <c r="CM246" s="187">
        <v>47074</v>
      </c>
      <c r="CN246" s="187">
        <v>38369</v>
      </c>
      <c r="CO246" s="187">
        <v>34118</v>
      </c>
      <c r="CP246" s="187">
        <v>27856</v>
      </c>
      <c r="CQ246" s="187">
        <v>23230</v>
      </c>
      <c r="CR246" s="187">
        <v>18816</v>
      </c>
      <c r="CS246" s="187">
        <v>14951</v>
      </c>
      <c r="CT246" s="187">
        <v>11834</v>
      </c>
      <c r="CU246" s="187">
        <v>8989</v>
      </c>
      <c r="CV246" s="187">
        <v>6487</v>
      </c>
      <c r="CW246" s="187">
        <v>4761</v>
      </c>
      <c r="CX246" s="187">
        <v>3383</v>
      </c>
      <c r="CY246" s="187">
        <v>2416</v>
      </c>
      <c r="CZ246" s="187">
        <v>1709</v>
      </c>
      <c r="DA246" s="187">
        <v>3577</v>
      </c>
      <c r="DB246" s="183">
        <f>SUM(E246:DA246)</f>
        <v>14821662</v>
      </c>
      <c r="DC246" s="184">
        <f>DB246/1000000</f>
        <v>14.821662</v>
      </c>
      <c r="DD246" s="186">
        <f>(DC246-DC245)/DC245</f>
        <v>1.291797145531789E-2</v>
      </c>
    </row>
    <row r="247" spans="1:108" x14ac:dyDescent="0.2">
      <c r="A247" s="652"/>
      <c r="B247" s="180"/>
      <c r="C247" s="180"/>
      <c r="D247" s="188"/>
      <c r="E247" s="189"/>
      <c r="F247" s="189"/>
      <c r="G247" s="189"/>
      <c r="H247" s="189"/>
      <c r="I247" s="189"/>
      <c r="J247" s="189"/>
      <c r="K247" s="189"/>
      <c r="L247" s="189"/>
      <c r="M247" s="189"/>
      <c r="N247" s="189"/>
      <c r="O247" s="189"/>
      <c r="P247" s="189"/>
      <c r="Q247" s="189"/>
      <c r="R247" s="189"/>
      <c r="S247" s="189"/>
      <c r="T247" s="189"/>
      <c r="U247" s="189"/>
      <c r="V247" s="189"/>
      <c r="W247" s="189"/>
      <c r="X247" s="189"/>
      <c r="Y247" s="189"/>
      <c r="Z247" s="189"/>
      <c r="AA247" s="189"/>
      <c r="AB247" s="189"/>
      <c r="AC247" s="189"/>
      <c r="AD247" s="189"/>
      <c r="AE247" s="189"/>
      <c r="AF247" s="189"/>
      <c r="AG247" s="189"/>
      <c r="AH247" s="189"/>
      <c r="AI247" s="189"/>
      <c r="AJ247" s="189"/>
      <c r="AK247" s="189"/>
      <c r="AL247" s="189"/>
      <c r="AM247" s="189"/>
      <c r="AN247" s="189"/>
      <c r="AO247" s="189"/>
      <c r="AP247" s="189"/>
      <c r="AQ247" s="189"/>
      <c r="AR247" s="189"/>
      <c r="AS247" s="189"/>
      <c r="AT247" s="189"/>
      <c r="AU247" s="189"/>
      <c r="AV247" s="189"/>
      <c r="AW247" s="189"/>
      <c r="AX247" s="189"/>
      <c r="AY247" s="189"/>
      <c r="AZ247" s="189"/>
      <c r="BA247" s="189"/>
      <c r="BB247" s="189"/>
      <c r="BC247" s="189"/>
      <c r="BD247" s="189"/>
      <c r="BE247" s="189"/>
      <c r="BF247" s="189"/>
      <c r="BG247" s="189"/>
      <c r="BH247" s="189"/>
      <c r="BI247" s="189"/>
      <c r="BJ247" s="189"/>
      <c r="BK247" s="189"/>
      <c r="BL247" s="189"/>
      <c r="BM247" s="189"/>
      <c r="BN247" s="189"/>
      <c r="BO247" s="189"/>
      <c r="BP247" s="189"/>
      <c r="BQ247" s="189"/>
      <c r="BR247" s="189"/>
      <c r="BS247" s="189"/>
      <c r="BT247" s="189"/>
      <c r="BU247" s="189"/>
      <c r="BV247" s="189"/>
      <c r="BW247" s="189"/>
      <c r="BX247" s="189"/>
      <c r="BY247" s="189"/>
      <c r="BZ247" s="189"/>
      <c r="CA247" s="189"/>
      <c r="CB247" s="189"/>
      <c r="CC247" s="189"/>
      <c r="CD247" s="189"/>
      <c r="CE247" s="189"/>
      <c r="CF247" s="189"/>
      <c r="CG247" s="189"/>
      <c r="CH247" s="189"/>
      <c r="CI247" s="189"/>
      <c r="CJ247" s="189"/>
      <c r="CK247" s="189"/>
      <c r="CL247" s="189"/>
      <c r="CM247" s="190"/>
      <c r="CN247" s="190"/>
      <c r="CO247" s="190"/>
      <c r="CP247" s="190"/>
      <c r="CQ247" s="190"/>
      <c r="CR247" s="190"/>
      <c r="CS247" s="190"/>
      <c r="CT247" s="190"/>
      <c r="CU247" s="190"/>
      <c r="CV247" s="190"/>
      <c r="CW247" s="190"/>
      <c r="CX247" s="190"/>
      <c r="CY247" s="190"/>
      <c r="CZ247" s="190"/>
      <c r="DA247" s="190"/>
      <c r="DB247" s="191"/>
      <c r="DC247" s="192"/>
      <c r="DD247" s="180"/>
    </row>
    <row r="248" spans="1:108" x14ac:dyDescent="0.2">
      <c r="A248" s="652"/>
      <c r="B248" s="180"/>
      <c r="C248" s="180"/>
      <c r="D248" s="188"/>
      <c r="E248" s="189"/>
      <c r="F248" s="189"/>
      <c r="G248" s="189"/>
      <c r="H248" s="189"/>
      <c r="I248" s="189"/>
      <c r="J248" s="189"/>
      <c r="K248" s="189"/>
      <c r="L248" s="189"/>
      <c r="M248" s="189"/>
      <c r="N248" s="189"/>
      <c r="O248" s="189"/>
      <c r="P248" s="189"/>
      <c r="Q248" s="189"/>
      <c r="R248" s="189"/>
      <c r="S248" s="189"/>
      <c r="T248" s="189"/>
      <c r="U248" s="189"/>
      <c r="V248" s="189"/>
      <c r="W248" s="189"/>
      <c r="X248" s="189"/>
      <c r="Y248" s="189"/>
      <c r="Z248" s="189"/>
      <c r="AA248" s="189"/>
      <c r="AB248" s="189"/>
      <c r="AC248" s="189"/>
      <c r="AD248" s="189"/>
      <c r="AE248" s="189"/>
      <c r="AF248" s="189"/>
      <c r="AG248" s="189"/>
      <c r="AH248" s="189"/>
      <c r="AI248" s="189"/>
      <c r="AJ248" s="189"/>
      <c r="AK248" s="189"/>
      <c r="AL248" s="189"/>
      <c r="AM248" s="189"/>
      <c r="AN248" s="189"/>
      <c r="AO248" s="189"/>
      <c r="AP248" s="189"/>
      <c r="AQ248" s="189"/>
      <c r="AR248" s="189"/>
      <c r="AS248" s="189"/>
      <c r="AT248" s="189"/>
      <c r="AU248" s="189"/>
      <c r="AV248" s="189"/>
      <c r="AW248" s="189"/>
      <c r="AX248" s="189"/>
      <c r="AY248" s="189"/>
      <c r="AZ248" s="189"/>
      <c r="BA248" s="189"/>
      <c r="BB248" s="189"/>
      <c r="BC248" s="189"/>
      <c r="BD248" s="189"/>
      <c r="BE248" s="189"/>
      <c r="BF248" s="189"/>
      <c r="BG248" s="189"/>
      <c r="BH248" s="189"/>
      <c r="BI248" s="189"/>
      <c r="BJ248" s="189"/>
      <c r="BK248" s="189"/>
      <c r="BL248" s="189"/>
      <c r="BM248" s="189"/>
      <c r="BN248" s="189"/>
      <c r="BO248" s="189"/>
      <c r="BP248" s="189"/>
      <c r="BQ248" s="189"/>
      <c r="BR248" s="189"/>
      <c r="BS248" s="189"/>
      <c r="BT248" s="189"/>
      <c r="BU248" s="189"/>
      <c r="BV248" s="189"/>
      <c r="BW248" s="189"/>
      <c r="BX248" s="189"/>
      <c r="BY248" s="189"/>
      <c r="BZ248" s="189"/>
      <c r="CA248" s="189"/>
      <c r="CB248" s="189"/>
      <c r="CC248" s="189"/>
      <c r="CD248" s="189"/>
      <c r="CE248" s="189"/>
      <c r="CF248" s="189"/>
      <c r="CG248" s="189"/>
      <c r="CH248" s="189"/>
      <c r="CI248" s="189"/>
      <c r="CJ248" s="189"/>
      <c r="CK248" s="189"/>
      <c r="CL248" s="189"/>
      <c r="CM248" s="190"/>
      <c r="CN248" s="190"/>
      <c r="CO248" s="190"/>
      <c r="CP248" s="190"/>
      <c r="CQ248" s="190"/>
      <c r="CR248" s="190"/>
      <c r="CS248" s="190"/>
      <c r="CT248" s="190"/>
      <c r="CU248" s="190"/>
      <c r="CV248" s="190"/>
      <c r="CW248" s="190"/>
      <c r="CX248" s="190"/>
      <c r="CY248" s="190"/>
      <c r="CZ248" s="190"/>
      <c r="DA248" s="190"/>
      <c r="DB248" s="191"/>
      <c r="DC248" s="192"/>
      <c r="DD248" s="180"/>
    </row>
    <row r="249" spans="1:108" ht="15.75" x14ac:dyDescent="0.2">
      <c r="A249" s="162"/>
      <c r="B249" s="162"/>
      <c r="C249" s="162"/>
      <c r="D249" s="123" t="s">
        <v>882</v>
      </c>
      <c r="E249" s="127"/>
      <c r="F249" s="127"/>
      <c r="G249" s="127"/>
      <c r="H249" s="127"/>
      <c r="I249" s="127"/>
      <c r="J249" s="127"/>
      <c r="K249" s="127"/>
      <c r="L249" s="127"/>
      <c r="M249" s="127"/>
      <c r="N249" s="127"/>
      <c r="O249" s="127"/>
      <c r="P249" s="127"/>
      <c r="Q249" s="127"/>
      <c r="R249" s="127"/>
      <c r="S249" s="127"/>
      <c r="T249" s="127"/>
      <c r="U249" s="127"/>
      <c r="V249" s="127"/>
      <c r="W249" s="127"/>
      <c r="X249" s="127"/>
      <c r="Y249" s="127"/>
      <c r="Z249" s="127"/>
      <c r="AA249" s="127"/>
      <c r="AB249" s="127"/>
      <c r="AC249" s="127"/>
      <c r="AD249" s="127"/>
      <c r="AE249" s="127"/>
      <c r="AF249" s="127"/>
      <c r="AG249" s="127"/>
      <c r="AH249" s="127"/>
      <c r="AI249" s="127"/>
      <c r="AJ249" s="127"/>
      <c r="AK249" s="127"/>
      <c r="AL249" s="127"/>
      <c r="AM249" s="127"/>
      <c r="AN249" s="127"/>
      <c r="AO249" s="127"/>
      <c r="AP249" s="127"/>
      <c r="AQ249" s="127"/>
      <c r="AR249" s="127"/>
      <c r="AS249" s="127"/>
      <c r="AT249" s="127"/>
      <c r="AU249" s="127"/>
      <c r="AV249" s="127"/>
      <c r="AW249" s="127"/>
      <c r="AX249" s="127"/>
      <c r="AY249" s="127"/>
      <c r="AZ249" s="127"/>
      <c r="BA249" s="127"/>
      <c r="BB249" s="127"/>
      <c r="BC249" s="127"/>
      <c r="BD249" s="127"/>
      <c r="BE249" s="127"/>
      <c r="BF249" s="127"/>
      <c r="BG249" s="127"/>
      <c r="BH249" s="127"/>
      <c r="BI249" s="127"/>
      <c r="BJ249" s="127"/>
      <c r="BK249" s="127"/>
      <c r="BL249" s="127"/>
      <c r="BM249" s="127"/>
      <c r="BN249" s="127"/>
      <c r="BO249" s="127"/>
      <c r="BP249" s="127"/>
      <c r="BQ249" s="127"/>
      <c r="BR249" s="127"/>
      <c r="BS249" s="127"/>
      <c r="BT249" s="127"/>
      <c r="BU249" s="127"/>
      <c r="BV249" s="127"/>
      <c r="BW249" s="127"/>
      <c r="BX249" s="127"/>
      <c r="BY249" s="127"/>
      <c r="BZ249" s="127"/>
      <c r="CA249" s="127"/>
      <c r="CB249" s="127"/>
      <c r="CC249" s="127"/>
      <c r="CD249" s="127"/>
      <c r="CE249" s="127"/>
      <c r="CF249" s="127"/>
      <c r="CG249" s="127"/>
      <c r="CH249" s="127"/>
      <c r="CI249" s="127"/>
      <c r="CJ249" s="127"/>
      <c r="CK249" s="127"/>
      <c r="CL249" s="127"/>
      <c r="CM249" s="127"/>
      <c r="CN249" s="127"/>
      <c r="CO249" s="127"/>
      <c r="CP249" s="127"/>
      <c r="CQ249" s="127"/>
      <c r="CR249" s="127"/>
      <c r="CS249" s="127"/>
      <c r="CT249" s="127"/>
      <c r="CU249" s="127"/>
      <c r="CV249" s="127"/>
      <c r="CW249" s="127"/>
      <c r="CX249" s="127"/>
      <c r="CY249" s="127"/>
      <c r="CZ249" s="127"/>
      <c r="DA249" s="127"/>
      <c r="DB249" s="127"/>
      <c r="DC249" s="127"/>
      <c r="DD249" s="127"/>
    </row>
    <row r="250" spans="1:108" x14ac:dyDescent="0.2">
      <c r="A250" s="121"/>
      <c r="B250" s="121"/>
      <c r="C250" s="121"/>
      <c r="D250" s="121"/>
      <c r="E250" s="121"/>
      <c r="F250" s="121"/>
      <c r="G250" s="121"/>
      <c r="H250" s="121"/>
      <c r="I250" s="121"/>
      <c r="J250" s="121"/>
      <c r="K250" s="121"/>
      <c r="L250" s="121"/>
      <c r="M250" s="121"/>
      <c r="N250" s="121"/>
      <c r="O250" s="121"/>
      <c r="P250" s="121"/>
      <c r="Q250" s="121"/>
      <c r="R250" s="121"/>
      <c r="S250" s="121"/>
      <c r="T250" s="121"/>
      <c r="U250" s="121"/>
      <c r="V250" s="121"/>
      <c r="W250" s="121"/>
      <c r="X250" s="121"/>
      <c r="Y250" s="121"/>
      <c r="Z250" s="121"/>
      <c r="AA250" s="121"/>
      <c r="AB250" s="121"/>
      <c r="AC250" s="121"/>
      <c r="AD250" s="121"/>
      <c r="AE250" s="121"/>
      <c r="AF250" s="121"/>
      <c r="AG250" s="121"/>
      <c r="AH250" s="121"/>
      <c r="AI250" s="121"/>
      <c r="AJ250" s="121"/>
      <c r="AK250" s="121"/>
      <c r="AL250" s="121"/>
      <c r="AM250" s="121"/>
      <c r="AN250" s="121"/>
      <c r="AO250" s="121"/>
      <c r="AP250" s="121"/>
      <c r="AQ250" s="121"/>
      <c r="AR250" s="121"/>
      <c r="AS250" s="121"/>
      <c r="AT250" s="121"/>
      <c r="AU250" s="121"/>
      <c r="AV250" s="121"/>
      <c r="AW250" s="121"/>
      <c r="AX250" s="121"/>
      <c r="AY250" s="121"/>
      <c r="AZ250" s="121"/>
      <c r="BA250" s="121"/>
      <c r="BB250" s="121"/>
      <c r="BC250" s="121"/>
      <c r="BD250" s="121"/>
      <c r="BE250" s="121"/>
      <c r="BF250" s="121"/>
      <c r="BG250" s="121"/>
      <c r="BH250" s="121"/>
      <c r="BI250" s="121"/>
      <c r="BJ250" s="121"/>
      <c r="BK250" s="121"/>
      <c r="BL250" s="121"/>
      <c r="BM250" s="121"/>
      <c r="BN250" s="121"/>
      <c r="BO250" s="121"/>
      <c r="BP250" s="121"/>
      <c r="BQ250" s="121"/>
      <c r="BR250" s="121"/>
      <c r="BS250" s="121"/>
      <c r="BT250" s="121"/>
      <c r="BU250" s="121"/>
      <c r="BV250" s="121"/>
      <c r="BW250" s="121"/>
      <c r="BX250" s="121"/>
      <c r="BY250" s="121"/>
      <c r="BZ250" s="121"/>
      <c r="CA250" s="121"/>
      <c r="CB250" s="121"/>
      <c r="CC250" s="121"/>
      <c r="CD250" s="121"/>
      <c r="CE250" s="121"/>
      <c r="CF250" s="121"/>
      <c r="CG250" s="121"/>
      <c r="CH250" s="121"/>
      <c r="CI250" s="121"/>
      <c r="CJ250" s="121"/>
      <c r="CK250" s="121"/>
      <c r="CL250" s="121"/>
      <c r="CM250" s="121"/>
      <c r="CN250" s="121"/>
      <c r="CO250" s="121"/>
      <c r="CP250" s="121"/>
      <c r="CQ250" s="121"/>
      <c r="CR250" s="121"/>
      <c r="CS250" s="121"/>
      <c r="CT250" s="121"/>
      <c r="CU250" s="121"/>
      <c r="CV250" s="121"/>
      <c r="CW250" s="121"/>
      <c r="CX250" s="121"/>
      <c r="CY250" s="121"/>
      <c r="CZ250" s="121"/>
      <c r="DA250" s="121"/>
      <c r="DB250" s="121"/>
      <c r="DC250" s="121"/>
      <c r="DD250" s="121"/>
    </row>
    <row r="251" spans="1:108" x14ac:dyDescent="0.2">
      <c r="A251" s="121"/>
      <c r="B251" s="121"/>
      <c r="C251" s="121"/>
      <c r="D251" s="121"/>
      <c r="E251" s="178" t="s">
        <v>241</v>
      </c>
      <c r="F251" s="121"/>
      <c r="G251" s="121"/>
      <c r="H251" s="121"/>
      <c r="I251" s="121"/>
      <c r="J251" s="121"/>
      <c r="K251" s="121"/>
      <c r="L251" s="121"/>
      <c r="M251" s="121"/>
      <c r="N251" s="121"/>
      <c r="O251" s="121"/>
      <c r="P251" s="121"/>
      <c r="Q251" s="121"/>
      <c r="R251" s="121"/>
      <c r="S251" s="121"/>
      <c r="T251" s="121"/>
      <c r="U251" s="121"/>
      <c r="V251" s="121"/>
      <c r="W251" s="121"/>
      <c r="X251" s="121"/>
      <c r="Y251" s="121"/>
      <c r="Z251" s="121"/>
      <c r="AA251" s="121"/>
      <c r="AB251" s="121"/>
      <c r="AC251" s="121"/>
      <c r="AD251" s="121"/>
      <c r="AE251" s="121"/>
      <c r="AF251" s="121"/>
      <c r="AG251" s="121"/>
      <c r="AH251" s="121"/>
      <c r="AI251" s="121"/>
      <c r="AJ251" s="121"/>
      <c r="AK251" s="121"/>
      <c r="AL251" s="121"/>
      <c r="AM251" s="121"/>
      <c r="AN251" s="121"/>
      <c r="AO251" s="121"/>
      <c r="AP251" s="121"/>
      <c r="AQ251" s="121"/>
      <c r="AR251" s="121"/>
      <c r="AS251" s="121"/>
      <c r="AT251" s="121"/>
      <c r="AU251" s="121"/>
      <c r="AV251" s="121"/>
      <c r="AW251" s="121"/>
      <c r="AX251" s="121"/>
      <c r="AY251" s="121"/>
      <c r="AZ251" s="121"/>
      <c r="BA251" s="121"/>
      <c r="BB251" s="121"/>
      <c r="BC251" s="121"/>
      <c r="BD251" s="121"/>
      <c r="BE251" s="121"/>
      <c r="BF251" s="121"/>
      <c r="BG251" s="121"/>
      <c r="BH251" s="121"/>
      <c r="BI251" s="121"/>
      <c r="BJ251" s="121"/>
      <c r="BK251" s="121"/>
      <c r="BL251" s="121"/>
      <c r="BM251" s="121"/>
      <c r="BN251" s="121"/>
      <c r="BO251" s="121"/>
      <c r="BP251" s="121"/>
      <c r="BQ251" s="121"/>
      <c r="BR251" s="121"/>
      <c r="BS251" s="121"/>
      <c r="BT251" s="121"/>
      <c r="BU251" s="121"/>
      <c r="BV251" s="121"/>
      <c r="BW251" s="121"/>
      <c r="BX251" s="121"/>
      <c r="BY251" s="121"/>
      <c r="BZ251" s="121"/>
      <c r="CA251" s="121"/>
      <c r="CB251" s="121"/>
      <c r="CC251" s="121"/>
      <c r="CD251" s="121"/>
      <c r="CE251" s="121"/>
      <c r="CF251" s="121"/>
      <c r="CG251" s="121"/>
      <c r="CH251" s="121"/>
      <c r="CI251" s="121"/>
      <c r="CJ251" s="121"/>
      <c r="CK251" s="121"/>
      <c r="CL251" s="121"/>
      <c r="CM251" s="121"/>
      <c r="CN251" s="121"/>
      <c r="CO251" s="121"/>
      <c r="CP251" s="121"/>
      <c r="CQ251" s="121"/>
      <c r="CR251" s="121"/>
      <c r="CS251" s="121"/>
      <c r="CT251" s="121"/>
      <c r="CU251" s="121"/>
      <c r="CV251" s="121"/>
      <c r="CW251" s="121"/>
      <c r="CX251" s="121"/>
      <c r="CY251" s="121"/>
      <c r="CZ251" s="121"/>
      <c r="DA251" s="121"/>
      <c r="DB251" s="121"/>
      <c r="DC251" s="121"/>
      <c r="DD251" s="121"/>
    </row>
    <row r="252" spans="1:108" x14ac:dyDescent="0.2">
      <c r="A252" s="179"/>
      <c r="B252" s="179"/>
      <c r="C252" s="179"/>
      <c r="D252" s="179"/>
      <c r="E252" s="37">
        <v>0</v>
      </c>
      <c r="F252" s="37">
        <v>1</v>
      </c>
      <c r="G252" s="37">
        <v>2</v>
      </c>
      <c r="H252" s="37">
        <v>3</v>
      </c>
      <c r="I252" s="37">
        <v>4</v>
      </c>
      <c r="J252" s="37">
        <v>5</v>
      </c>
      <c r="K252" s="37">
        <v>6</v>
      </c>
      <c r="L252" s="37">
        <v>7</v>
      </c>
      <c r="M252" s="37">
        <v>8</v>
      </c>
      <c r="N252" s="37">
        <v>9</v>
      </c>
      <c r="O252" s="37">
        <v>10</v>
      </c>
      <c r="P252" s="37">
        <v>11</v>
      </c>
      <c r="Q252" s="37">
        <v>12</v>
      </c>
      <c r="R252" s="37">
        <v>13</v>
      </c>
      <c r="S252" s="37">
        <v>14</v>
      </c>
      <c r="T252" s="37">
        <v>15</v>
      </c>
      <c r="U252" s="37">
        <v>16</v>
      </c>
      <c r="V252" s="37">
        <v>17</v>
      </c>
      <c r="W252" s="37">
        <v>18</v>
      </c>
      <c r="X252" s="37">
        <v>19</v>
      </c>
      <c r="Y252" s="37">
        <v>20</v>
      </c>
      <c r="Z252" s="37">
        <v>21</v>
      </c>
      <c r="AA252" s="37">
        <v>22</v>
      </c>
      <c r="AB252" s="37">
        <v>23</v>
      </c>
      <c r="AC252" s="37">
        <v>24</v>
      </c>
      <c r="AD252" s="37">
        <v>25</v>
      </c>
      <c r="AE252" s="37">
        <v>26</v>
      </c>
      <c r="AF252" s="37">
        <v>27</v>
      </c>
      <c r="AG252" s="37">
        <v>28</v>
      </c>
      <c r="AH252" s="37">
        <v>29</v>
      </c>
      <c r="AI252" s="37">
        <v>30</v>
      </c>
      <c r="AJ252" s="37">
        <v>31</v>
      </c>
      <c r="AK252" s="37">
        <v>32</v>
      </c>
      <c r="AL252" s="37">
        <v>33</v>
      </c>
      <c r="AM252" s="37">
        <v>34</v>
      </c>
      <c r="AN252" s="37">
        <v>35</v>
      </c>
      <c r="AO252" s="37">
        <v>36</v>
      </c>
      <c r="AP252" s="37">
        <v>37</v>
      </c>
      <c r="AQ252" s="37">
        <v>38</v>
      </c>
      <c r="AR252" s="37">
        <v>39</v>
      </c>
      <c r="AS252" s="37">
        <v>40</v>
      </c>
      <c r="AT252" s="37">
        <v>41</v>
      </c>
      <c r="AU252" s="37">
        <v>42</v>
      </c>
      <c r="AV252" s="37">
        <v>43</v>
      </c>
      <c r="AW252" s="37">
        <v>44</v>
      </c>
      <c r="AX252" s="37">
        <v>45</v>
      </c>
      <c r="AY252" s="37">
        <v>46</v>
      </c>
      <c r="AZ252" s="37">
        <v>47</v>
      </c>
      <c r="BA252" s="37">
        <v>48</v>
      </c>
      <c r="BB252" s="37">
        <v>49</v>
      </c>
      <c r="BC252" s="37">
        <v>50</v>
      </c>
      <c r="BD252" s="37">
        <v>51</v>
      </c>
      <c r="BE252" s="37">
        <v>52</v>
      </c>
      <c r="BF252" s="37">
        <v>53</v>
      </c>
      <c r="BG252" s="37">
        <v>54</v>
      </c>
      <c r="BH252" s="37">
        <v>55</v>
      </c>
      <c r="BI252" s="37">
        <v>56</v>
      </c>
      <c r="BJ252" s="37">
        <v>57</v>
      </c>
      <c r="BK252" s="37">
        <v>58</v>
      </c>
      <c r="BL252" s="37">
        <v>59</v>
      </c>
      <c r="BM252" s="37">
        <v>60</v>
      </c>
      <c r="BN252" s="37">
        <v>61</v>
      </c>
      <c r="BO252" s="37">
        <v>62</v>
      </c>
      <c r="BP252" s="37">
        <v>63</v>
      </c>
      <c r="BQ252" s="37">
        <v>64</v>
      </c>
      <c r="BR252" s="37">
        <v>65</v>
      </c>
      <c r="BS252" s="37">
        <v>66</v>
      </c>
      <c r="BT252" s="37">
        <v>67</v>
      </c>
      <c r="BU252" s="37">
        <v>68</v>
      </c>
      <c r="BV252" s="37">
        <v>69</v>
      </c>
      <c r="BW252" s="37">
        <v>70</v>
      </c>
      <c r="BX252" s="37">
        <v>71</v>
      </c>
      <c r="BY252" s="37">
        <v>72</v>
      </c>
      <c r="BZ252" s="37">
        <v>73</v>
      </c>
      <c r="CA252" s="37">
        <v>74</v>
      </c>
      <c r="CB252" s="37">
        <v>75</v>
      </c>
      <c r="CC252" s="37">
        <v>76</v>
      </c>
      <c r="CD252" s="37">
        <v>77</v>
      </c>
      <c r="CE252" s="37">
        <v>78</v>
      </c>
      <c r="CF252" s="37">
        <v>79</v>
      </c>
      <c r="CG252" s="37">
        <v>80</v>
      </c>
      <c r="CH252" s="37">
        <v>81</v>
      </c>
      <c r="CI252" s="37">
        <v>82</v>
      </c>
      <c r="CJ252" s="37">
        <v>83</v>
      </c>
      <c r="CK252" s="37">
        <v>84</v>
      </c>
      <c r="CL252" s="37">
        <v>85</v>
      </c>
      <c r="CM252" s="37">
        <v>86</v>
      </c>
      <c r="CN252" s="37">
        <v>87</v>
      </c>
      <c r="CO252" s="37">
        <v>88</v>
      </c>
      <c r="CP252" s="37">
        <v>89</v>
      </c>
      <c r="CQ252" s="37">
        <v>90</v>
      </c>
      <c r="CR252" s="37">
        <v>91</v>
      </c>
      <c r="CS252" s="37">
        <v>92</v>
      </c>
      <c r="CT252" s="37">
        <v>93</v>
      </c>
      <c r="CU252" s="37">
        <v>94</v>
      </c>
      <c r="CV252" s="37">
        <v>95</v>
      </c>
      <c r="CW252" s="37">
        <v>96</v>
      </c>
      <c r="CX252" s="37">
        <v>97</v>
      </c>
      <c r="CY252" s="37">
        <v>98</v>
      </c>
      <c r="CZ252" s="37">
        <v>99</v>
      </c>
      <c r="DA252" s="37">
        <v>100</v>
      </c>
      <c r="DB252" s="52" t="s">
        <v>73</v>
      </c>
      <c r="DC252" s="52" t="s">
        <v>300</v>
      </c>
      <c r="DD252" s="52" t="s">
        <v>301</v>
      </c>
    </row>
    <row r="253" spans="1:108" x14ac:dyDescent="0.2">
      <c r="A253" s="180"/>
      <c r="B253" s="180"/>
      <c r="C253" s="180"/>
      <c r="D253" s="181">
        <v>2012</v>
      </c>
      <c r="E253" s="182">
        <v>148342</v>
      </c>
      <c r="F253" s="182">
        <v>142692</v>
      </c>
      <c r="G253" s="182">
        <v>145149</v>
      </c>
      <c r="H253" s="182">
        <v>144412</v>
      </c>
      <c r="I253" s="182">
        <v>144080</v>
      </c>
      <c r="J253" s="182">
        <v>141791</v>
      </c>
      <c r="K253" s="182">
        <v>141988</v>
      </c>
      <c r="L253" s="182">
        <v>137197</v>
      </c>
      <c r="M253" s="182">
        <v>135064</v>
      </c>
      <c r="N253" s="182">
        <v>134140</v>
      </c>
      <c r="O253" s="182">
        <v>133925</v>
      </c>
      <c r="P253" s="182">
        <v>135423</v>
      </c>
      <c r="Q253" s="182">
        <v>136313</v>
      </c>
      <c r="R253" s="182">
        <v>136590</v>
      </c>
      <c r="S253" s="182">
        <v>136050</v>
      </c>
      <c r="T253" s="182">
        <v>138210</v>
      </c>
      <c r="U253" s="182">
        <v>139015</v>
      </c>
      <c r="V253" s="182">
        <v>142527</v>
      </c>
      <c r="W253" s="182">
        <v>143110</v>
      </c>
      <c r="X253" s="182">
        <v>146422</v>
      </c>
      <c r="Y253" s="182">
        <v>150446</v>
      </c>
      <c r="Z253" s="182">
        <v>157013</v>
      </c>
      <c r="AA253" s="182">
        <v>161993</v>
      </c>
      <c r="AB253" s="182">
        <v>162831</v>
      </c>
      <c r="AC253" s="182">
        <v>163251</v>
      </c>
      <c r="AD253" s="182">
        <v>163949</v>
      </c>
      <c r="AE253" s="182">
        <v>166354</v>
      </c>
      <c r="AF253" s="182">
        <v>168714</v>
      </c>
      <c r="AG253" s="182">
        <v>168311</v>
      </c>
      <c r="AH253" s="182">
        <v>169095</v>
      </c>
      <c r="AI253" s="182">
        <v>165094</v>
      </c>
      <c r="AJ253" s="182">
        <v>162735</v>
      </c>
      <c r="AK253" s="182">
        <v>157273</v>
      </c>
      <c r="AL253" s="182">
        <v>154571</v>
      </c>
      <c r="AM253" s="182">
        <v>152199</v>
      </c>
      <c r="AN253" s="182">
        <v>151814</v>
      </c>
      <c r="AO253" s="182">
        <v>152234</v>
      </c>
      <c r="AP253" s="182">
        <v>154749</v>
      </c>
      <c r="AQ253" s="182">
        <v>158683</v>
      </c>
      <c r="AR253" s="182">
        <v>163381</v>
      </c>
      <c r="AS253" s="182">
        <v>170640</v>
      </c>
      <c r="AT253" s="182">
        <v>173676</v>
      </c>
      <c r="AU253" s="182">
        <v>163449</v>
      </c>
      <c r="AV253" s="182">
        <v>161854</v>
      </c>
      <c r="AW253" s="182">
        <v>155221</v>
      </c>
      <c r="AX253" s="182">
        <v>151639</v>
      </c>
      <c r="AY253" s="182">
        <v>151473</v>
      </c>
      <c r="AZ253" s="182">
        <v>153263</v>
      </c>
      <c r="BA253" s="182">
        <v>157143</v>
      </c>
      <c r="BB253" s="182">
        <v>159202</v>
      </c>
      <c r="BC253" s="182">
        <v>158727</v>
      </c>
      <c r="BD253" s="182">
        <v>158672</v>
      </c>
      <c r="BE253" s="182">
        <v>153537</v>
      </c>
      <c r="BF253" s="182">
        <v>151034</v>
      </c>
      <c r="BG253" s="182">
        <v>147845</v>
      </c>
      <c r="BH253" s="182">
        <v>144068</v>
      </c>
      <c r="BI253" s="182">
        <v>141605</v>
      </c>
      <c r="BJ253" s="182">
        <v>138186</v>
      </c>
      <c r="BK253" s="182">
        <v>134082</v>
      </c>
      <c r="BL253" s="182">
        <v>132241</v>
      </c>
      <c r="BM253" s="182">
        <v>127324</v>
      </c>
      <c r="BN253" s="182">
        <v>125683</v>
      </c>
      <c r="BO253" s="182">
        <v>123276</v>
      </c>
      <c r="BP253" s="182">
        <v>119415</v>
      </c>
      <c r="BQ253" s="182">
        <v>119884</v>
      </c>
      <c r="BR253" s="182">
        <v>124284</v>
      </c>
      <c r="BS253" s="182">
        <v>105058</v>
      </c>
      <c r="BT253" s="182">
        <v>101561</v>
      </c>
      <c r="BU253" s="182">
        <v>96890</v>
      </c>
      <c r="BV253" s="182">
        <v>87626</v>
      </c>
      <c r="BW253" s="182">
        <v>85414</v>
      </c>
      <c r="BX253" s="182">
        <v>79636</v>
      </c>
      <c r="BY253" s="182">
        <v>76578</v>
      </c>
      <c r="BZ253" s="182">
        <v>73299</v>
      </c>
      <c r="CA253" s="182">
        <v>69368</v>
      </c>
      <c r="CB253" s="182">
        <v>66425</v>
      </c>
      <c r="CC253" s="182">
        <v>64680</v>
      </c>
      <c r="CD253" s="182">
        <v>60969</v>
      </c>
      <c r="CE253" s="182">
        <v>57623</v>
      </c>
      <c r="CF253" s="182">
        <v>55927</v>
      </c>
      <c r="CG253" s="182">
        <v>53599</v>
      </c>
      <c r="CH253" s="182">
        <v>53865</v>
      </c>
      <c r="CI253" s="182">
        <v>51591</v>
      </c>
      <c r="CJ253" s="182">
        <v>48343</v>
      </c>
      <c r="CK253" s="182">
        <v>45698</v>
      </c>
      <c r="CL253" s="182">
        <v>42194</v>
      </c>
      <c r="CM253" s="182">
        <v>38855</v>
      </c>
      <c r="CN253" s="182">
        <v>35299</v>
      </c>
      <c r="CO253" s="182">
        <v>31092</v>
      </c>
      <c r="CP253" s="182">
        <v>26994</v>
      </c>
      <c r="CQ253" s="182">
        <v>23366</v>
      </c>
      <c r="CR253" s="182">
        <v>19364</v>
      </c>
      <c r="CS253" s="182">
        <v>14973</v>
      </c>
      <c r="CT253" s="182">
        <v>10535</v>
      </c>
      <c r="CU253" s="182">
        <v>8498</v>
      </c>
      <c r="CV253" s="182">
        <v>6663</v>
      </c>
      <c r="CW253" s="182">
        <v>4983</v>
      </c>
      <c r="CX253" s="182">
        <v>3769</v>
      </c>
      <c r="CY253" s="182">
        <v>2496</v>
      </c>
      <c r="CZ253" s="182">
        <v>1660</v>
      </c>
      <c r="DA253" s="182">
        <v>2660</v>
      </c>
      <c r="DB253" s="183">
        <f t="shared" ref="DB253:DB269" si="66">SUM(E253:DA253)</f>
        <v>11412104</v>
      </c>
      <c r="DC253" s="184">
        <f t="shared" ref="DC253:DC269" si="67">DB253/1000000</f>
        <v>11.412103999999999</v>
      </c>
      <c r="DD253" s="185"/>
    </row>
    <row r="254" spans="1:108" x14ac:dyDescent="0.2">
      <c r="A254" s="180"/>
      <c r="B254" s="180"/>
      <c r="C254" s="180"/>
      <c r="D254" s="181">
        <v>2013</v>
      </c>
      <c r="E254" s="182">
        <v>150654</v>
      </c>
      <c r="F254" s="182">
        <v>149326</v>
      </c>
      <c r="G254" s="182">
        <v>144519</v>
      </c>
      <c r="H254" s="182">
        <v>147067</v>
      </c>
      <c r="I254" s="182">
        <v>146306</v>
      </c>
      <c r="J254" s="182">
        <v>145897</v>
      </c>
      <c r="K254" s="182">
        <v>143470</v>
      </c>
      <c r="L254" s="182">
        <v>143512</v>
      </c>
      <c r="M254" s="182">
        <v>138649</v>
      </c>
      <c r="N254" s="182">
        <v>136489</v>
      </c>
      <c r="O254" s="182">
        <v>135513</v>
      </c>
      <c r="P254" s="182">
        <v>135252</v>
      </c>
      <c r="Q254" s="182">
        <v>136741</v>
      </c>
      <c r="R254" s="182">
        <v>137613</v>
      </c>
      <c r="S254" s="182">
        <v>137903</v>
      </c>
      <c r="T254" s="182">
        <v>137607</v>
      </c>
      <c r="U254" s="182">
        <v>140189</v>
      </c>
      <c r="V254" s="182">
        <v>141469</v>
      </c>
      <c r="W254" s="182">
        <v>145884</v>
      </c>
      <c r="X254" s="182">
        <v>147632</v>
      </c>
      <c r="Y254" s="182">
        <v>151372</v>
      </c>
      <c r="Z254" s="182">
        <v>155026</v>
      </c>
      <c r="AA254" s="182">
        <v>161567</v>
      </c>
      <c r="AB254" s="182">
        <v>166834</v>
      </c>
      <c r="AC254" s="182">
        <v>167225</v>
      </c>
      <c r="AD254" s="182">
        <v>167041</v>
      </c>
      <c r="AE254" s="182">
        <v>167645</v>
      </c>
      <c r="AF254" s="182">
        <v>170136</v>
      </c>
      <c r="AG254" s="182">
        <v>172574</v>
      </c>
      <c r="AH254" s="182">
        <v>172178</v>
      </c>
      <c r="AI254" s="182">
        <v>172795</v>
      </c>
      <c r="AJ254" s="182">
        <v>168334</v>
      </c>
      <c r="AK254" s="182">
        <v>165489</v>
      </c>
      <c r="AL254" s="182">
        <v>159771</v>
      </c>
      <c r="AM254" s="182">
        <v>156885</v>
      </c>
      <c r="AN254" s="182">
        <v>154336</v>
      </c>
      <c r="AO254" s="182">
        <v>153810</v>
      </c>
      <c r="AP254" s="182">
        <v>154075</v>
      </c>
      <c r="AQ254" s="182">
        <v>156479</v>
      </c>
      <c r="AR254" s="182">
        <v>160349</v>
      </c>
      <c r="AS254" s="182">
        <v>164961</v>
      </c>
      <c r="AT254" s="182">
        <v>172098</v>
      </c>
      <c r="AU254" s="182">
        <v>175001</v>
      </c>
      <c r="AV254" s="182">
        <v>164644</v>
      </c>
      <c r="AW254" s="182">
        <v>162833</v>
      </c>
      <c r="AX254" s="182">
        <v>155979</v>
      </c>
      <c r="AY254" s="182">
        <v>152281</v>
      </c>
      <c r="AZ254" s="182">
        <v>152040</v>
      </c>
      <c r="BA254" s="182">
        <v>153752</v>
      </c>
      <c r="BB254" s="182">
        <v>157541</v>
      </c>
      <c r="BC254" s="182">
        <v>159524</v>
      </c>
      <c r="BD254" s="182">
        <v>158982</v>
      </c>
      <c r="BE254" s="182">
        <v>158865</v>
      </c>
      <c r="BF254" s="182">
        <v>153714</v>
      </c>
      <c r="BG254" s="182">
        <v>151172</v>
      </c>
      <c r="BH254" s="182">
        <v>147890</v>
      </c>
      <c r="BI254" s="182">
        <v>144036</v>
      </c>
      <c r="BJ254" s="182">
        <v>141539</v>
      </c>
      <c r="BK254" s="182">
        <v>138087</v>
      </c>
      <c r="BL254" s="182">
        <v>133943</v>
      </c>
      <c r="BM254" s="182">
        <v>132047</v>
      </c>
      <c r="BN254" s="182">
        <v>127079</v>
      </c>
      <c r="BO254" s="182">
        <v>125364</v>
      </c>
      <c r="BP254" s="182">
        <v>122897</v>
      </c>
      <c r="BQ254" s="182">
        <v>118962</v>
      </c>
      <c r="BR254" s="182">
        <v>119325</v>
      </c>
      <c r="BS254" s="182">
        <v>123603</v>
      </c>
      <c r="BT254" s="182">
        <v>104430</v>
      </c>
      <c r="BU254" s="182">
        <v>100877</v>
      </c>
      <c r="BV254" s="182">
        <v>96142</v>
      </c>
      <c r="BW254" s="182">
        <v>86856</v>
      </c>
      <c r="BX254" s="182">
        <v>84564</v>
      </c>
      <c r="BY254" s="182">
        <v>78737</v>
      </c>
      <c r="BZ254" s="182">
        <v>75599</v>
      </c>
      <c r="CA254" s="182">
        <v>72248</v>
      </c>
      <c r="CB254" s="182">
        <v>68250</v>
      </c>
      <c r="CC254" s="182">
        <v>65218</v>
      </c>
      <c r="CD254" s="182">
        <v>63353</v>
      </c>
      <c r="CE254" s="182">
        <v>59555</v>
      </c>
      <c r="CF254" s="182">
        <v>56093</v>
      </c>
      <c r="CG254" s="182">
        <v>54223</v>
      </c>
      <c r="CH254" s="182">
        <v>51723</v>
      </c>
      <c r="CI254" s="182">
        <v>51690</v>
      </c>
      <c r="CJ254" s="182">
        <v>49184</v>
      </c>
      <c r="CK254" s="182">
        <v>45754</v>
      </c>
      <c r="CL254" s="182">
        <v>42892</v>
      </c>
      <c r="CM254" s="182">
        <v>39214</v>
      </c>
      <c r="CN254" s="182">
        <v>35706</v>
      </c>
      <c r="CO254" s="182">
        <v>32038</v>
      </c>
      <c r="CP254" s="182">
        <v>27834</v>
      </c>
      <c r="CQ254" s="182">
        <v>23799</v>
      </c>
      <c r="CR254" s="182">
        <v>20264</v>
      </c>
      <c r="CS254" s="182">
        <v>16505</v>
      </c>
      <c r="CT254" s="182">
        <v>12513</v>
      </c>
      <c r="CU254" s="182">
        <v>8596</v>
      </c>
      <c r="CV254" s="182">
        <v>6765</v>
      </c>
      <c r="CW254" s="182">
        <v>5184</v>
      </c>
      <c r="CX254" s="182">
        <v>3794</v>
      </c>
      <c r="CY254" s="182">
        <v>2813</v>
      </c>
      <c r="CZ254" s="182">
        <v>1826</v>
      </c>
      <c r="DA254" s="182">
        <v>3156</v>
      </c>
      <c r="DB254" s="183">
        <f t="shared" si="66"/>
        <v>11611167</v>
      </c>
      <c r="DC254" s="184">
        <f t="shared" si="67"/>
        <v>11.611167</v>
      </c>
      <c r="DD254" s="186">
        <f>(DC254-DC253)/DC253</f>
        <v>1.7443146329546303E-2</v>
      </c>
    </row>
    <row r="255" spans="1:108" x14ac:dyDescent="0.2">
      <c r="A255" s="180"/>
      <c r="B255" s="180"/>
      <c r="C255" s="180"/>
      <c r="D255" s="181">
        <v>2014</v>
      </c>
      <c r="E255" s="182">
        <v>152933</v>
      </c>
      <c r="F255" s="182">
        <v>151661</v>
      </c>
      <c r="G255" s="182">
        <v>151193</v>
      </c>
      <c r="H255" s="182">
        <v>146478</v>
      </c>
      <c r="I255" s="182">
        <v>149000</v>
      </c>
      <c r="J255" s="182">
        <v>148161</v>
      </c>
      <c r="K255" s="182">
        <v>147613</v>
      </c>
      <c r="L255" s="182">
        <v>145026</v>
      </c>
      <c r="M255" s="182">
        <v>144995</v>
      </c>
      <c r="N255" s="182">
        <v>140105</v>
      </c>
      <c r="O255" s="182">
        <v>137892</v>
      </c>
      <c r="P255" s="182">
        <v>136869</v>
      </c>
      <c r="Q255" s="182">
        <v>136601</v>
      </c>
      <c r="R255" s="182">
        <v>138067</v>
      </c>
      <c r="S255" s="182">
        <v>138954</v>
      </c>
      <c r="T255" s="182">
        <v>139494</v>
      </c>
      <c r="U255" s="182">
        <v>139629</v>
      </c>
      <c r="V255" s="182">
        <v>142695</v>
      </c>
      <c r="W255" s="182">
        <v>144900</v>
      </c>
      <c r="X255" s="182">
        <v>150504</v>
      </c>
      <c r="Y255" s="182">
        <v>152688</v>
      </c>
      <c r="Z255" s="182">
        <v>156050</v>
      </c>
      <c r="AA255" s="182">
        <v>159678</v>
      </c>
      <c r="AB255" s="182">
        <v>166512</v>
      </c>
      <c r="AC255" s="182">
        <v>171323</v>
      </c>
      <c r="AD255" s="182">
        <v>171096</v>
      </c>
      <c r="AE255" s="182">
        <v>170817</v>
      </c>
      <c r="AF255" s="182">
        <v>171508</v>
      </c>
      <c r="AG255" s="182">
        <v>174080</v>
      </c>
      <c r="AH255" s="182">
        <v>176524</v>
      </c>
      <c r="AI255" s="182">
        <v>175958</v>
      </c>
      <c r="AJ255" s="182">
        <v>176104</v>
      </c>
      <c r="AK255" s="182">
        <v>171147</v>
      </c>
      <c r="AL255" s="182">
        <v>168041</v>
      </c>
      <c r="AM255" s="182">
        <v>162133</v>
      </c>
      <c r="AN255" s="182">
        <v>159069</v>
      </c>
      <c r="AO255" s="182">
        <v>156374</v>
      </c>
      <c r="AP255" s="182">
        <v>155692</v>
      </c>
      <c r="AQ255" s="182">
        <v>155846</v>
      </c>
      <c r="AR255" s="182">
        <v>158188</v>
      </c>
      <c r="AS255" s="182">
        <v>161968</v>
      </c>
      <c r="AT255" s="182">
        <v>166459</v>
      </c>
      <c r="AU255" s="182">
        <v>173457</v>
      </c>
      <c r="AV255" s="182">
        <v>176217</v>
      </c>
      <c r="AW255" s="182">
        <v>165645</v>
      </c>
      <c r="AX255" s="182">
        <v>163603</v>
      </c>
      <c r="AY255" s="182">
        <v>156636</v>
      </c>
      <c r="AZ255" s="182">
        <v>152865</v>
      </c>
      <c r="BA255" s="182">
        <v>152549</v>
      </c>
      <c r="BB255" s="182">
        <v>154173</v>
      </c>
      <c r="BC255" s="182">
        <v>157882</v>
      </c>
      <c r="BD255" s="182">
        <v>159794</v>
      </c>
      <c r="BE255" s="182">
        <v>159192</v>
      </c>
      <c r="BF255" s="182">
        <v>159049</v>
      </c>
      <c r="BG255" s="182">
        <v>153866</v>
      </c>
      <c r="BH255" s="182">
        <v>151227</v>
      </c>
      <c r="BI255" s="182">
        <v>147863</v>
      </c>
      <c r="BJ255" s="182">
        <v>143982</v>
      </c>
      <c r="BK255" s="182">
        <v>141447</v>
      </c>
      <c r="BL255" s="182">
        <v>137953</v>
      </c>
      <c r="BM255" s="182">
        <v>133764</v>
      </c>
      <c r="BN255" s="182">
        <v>131801</v>
      </c>
      <c r="BO255" s="182">
        <v>126778</v>
      </c>
      <c r="BP255" s="182">
        <v>124996</v>
      </c>
      <c r="BQ255" s="182">
        <v>122449</v>
      </c>
      <c r="BR255" s="182">
        <v>118430</v>
      </c>
      <c r="BS255" s="182">
        <v>118701</v>
      </c>
      <c r="BT255" s="182">
        <v>122872</v>
      </c>
      <c r="BU255" s="182">
        <v>103751</v>
      </c>
      <c r="BV255" s="182">
        <v>100123</v>
      </c>
      <c r="BW255" s="182">
        <v>95321</v>
      </c>
      <c r="BX255" s="182">
        <v>86020</v>
      </c>
      <c r="BY255" s="182">
        <v>83638</v>
      </c>
      <c r="BZ255" s="182">
        <v>77761</v>
      </c>
      <c r="CA255" s="182">
        <v>74546</v>
      </c>
      <c r="CB255" s="182">
        <v>71116</v>
      </c>
      <c r="CC255" s="182">
        <v>67043</v>
      </c>
      <c r="CD255" s="182">
        <v>63915</v>
      </c>
      <c r="CE255" s="182">
        <v>61919</v>
      </c>
      <c r="CF255" s="182">
        <v>58013</v>
      </c>
      <c r="CG255" s="182">
        <v>54424</v>
      </c>
      <c r="CH255" s="182">
        <v>52369</v>
      </c>
      <c r="CI255" s="182">
        <v>49679</v>
      </c>
      <c r="CJ255" s="182">
        <v>49327</v>
      </c>
      <c r="CK255" s="182">
        <v>46599</v>
      </c>
      <c r="CL255" s="182">
        <v>42992</v>
      </c>
      <c r="CM255" s="182">
        <v>39910</v>
      </c>
      <c r="CN255" s="182">
        <v>36080</v>
      </c>
      <c r="CO255" s="182">
        <v>32449</v>
      </c>
      <c r="CP255" s="182">
        <v>28718</v>
      </c>
      <c r="CQ255" s="182">
        <v>24571</v>
      </c>
      <c r="CR255" s="182">
        <v>20666</v>
      </c>
      <c r="CS255" s="182">
        <v>17294</v>
      </c>
      <c r="CT255" s="182">
        <v>13809</v>
      </c>
      <c r="CU255" s="182">
        <v>10220</v>
      </c>
      <c r="CV255" s="182">
        <v>6847</v>
      </c>
      <c r="CW255" s="182">
        <v>5265</v>
      </c>
      <c r="CX255" s="182">
        <v>3948</v>
      </c>
      <c r="CY255" s="182">
        <v>2832</v>
      </c>
      <c r="CZ255" s="182">
        <v>2058</v>
      </c>
      <c r="DA255" s="182">
        <v>3646</v>
      </c>
      <c r="DB255" s="183">
        <f t="shared" si="66"/>
        <v>11814085</v>
      </c>
      <c r="DC255" s="184">
        <f t="shared" si="67"/>
        <v>11.814085</v>
      </c>
      <c r="DD255" s="186">
        <f t="shared" ref="DD255:DD269" si="68">(DC255-DC254)/DC254</f>
        <v>1.7476107268115288E-2</v>
      </c>
    </row>
    <row r="256" spans="1:108" x14ac:dyDescent="0.2">
      <c r="A256" s="180"/>
      <c r="B256" s="180"/>
      <c r="C256" s="180"/>
      <c r="D256" s="181">
        <v>2015</v>
      </c>
      <c r="E256" s="182">
        <v>155275</v>
      </c>
      <c r="F256" s="182">
        <v>153982</v>
      </c>
      <c r="G256" s="182">
        <v>153598</v>
      </c>
      <c r="H256" s="182">
        <v>153228</v>
      </c>
      <c r="I256" s="182">
        <v>148484</v>
      </c>
      <c r="J256" s="182">
        <v>150924</v>
      </c>
      <c r="K256" s="182">
        <v>149940</v>
      </c>
      <c r="L256" s="182">
        <v>149227</v>
      </c>
      <c r="M256" s="182">
        <v>146565</v>
      </c>
      <c r="N256" s="182">
        <v>146506</v>
      </c>
      <c r="O256" s="182">
        <v>141561</v>
      </c>
      <c r="P256" s="182">
        <v>139298</v>
      </c>
      <c r="Q256" s="182">
        <v>138268</v>
      </c>
      <c r="R256" s="182">
        <v>137977</v>
      </c>
      <c r="S256" s="182">
        <v>139460</v>
      </c>
      <c r="T256" s="182">
        <v>140607</v>
      </c>
      <c r="U256" s="182">
        <v>141591</v>
      </c>
      <c r="V256" s="182">
        <v>142232</v>
      </c>
      <c r="W256" s="182">
        <v>146255</v>
      </c>
      <c r="X256" s="182">
        <v>149693</v>
      </c>
      <c r="Y256" s="182">
        <v>155750</v>
      </c>
      <c r="Z256" s="182">
        <v>157542</v>
      </c>
      <c r="AA256" s="182">
        <v>160876</v>
      </c>
      <c r="AB256" s="182">
        <v>164807</v>
      </c>
      <c r="AC256" s="182">
        <v>171169</v>
      </c>
      <c r="AD256" s="182">
        <v>175341</v>
      </c>
      <c r="AE256" s="182">
        <v>175013</v>
      </c>
      <c r="AF256" s="182">
        <v>174824</v>
      </c>
      <c r="AG256" s="182">
        <v>175598</v>
      </c>
      <c r="AH256" s="182">
        <v>178180</v>
      </c>
      <c r="AI256" s="182">
        <v>180445</v>
      </c>
      <c r="AJ256" s="182">
        <v>179391</v>
      </c>
      <c r="AK256" s="182">
        <v>179021</v>
      </c>
      <c r="AL256" s="182">
        <v>173794</v>
      </c>
      <c r="AM256" s="182">
        <v>170490</v>
      </c>
      <c r="AN256" s="182">
        <v>164397</v>
      </c>
      <c r="AO256" s="182">
        <v>161185</v>
      </c>
      <c r="AP256" s="182">
        <v>158329</v>
      </c>
      <c r="AQ256" s="182">
        <v>157533</v>
      </c>
      <c r="AR256" s="182">
        <v>157624</v>
      </c>
      <c r="AS256" s="182">
        <v>159876</v>
      </c>
      <c r="AT256" s="182">
        <v>163529</v>
      </c>
      <c r="AU256" s="182">
        <v>167881</v>
      </c>
      <c r="AV256" s="182">
        <v>174727</v>
      </c>
      <c r="AW256" s="182">
        <v>177252</v>
      </c>
      <c r="AX256" s="182">
        <v>166449</v>
      </c>
      <c r="AY256" s="182">
        <v>164284</v>
      </c>
      <c r="AZ256" s="182">
        <v>157248</v>
      </c>
      <c r="BA256" s="182">
        <v>153403</v>
      </c>
      <c r="BB256" s="182">
        <v>153002</v>
      </c>
      <c r="BC256" s="182">
        <v>154546</v>
      </c>
      <c r="BD256" s="182">
        <v>158181</v>
      </c>
      <c r="BE256" s="182">
        <v>160028</v>
      </c>
      <c r="BF256" s="182">
        <v>159401</v>
      </c>
      <c r="BG256" s="182">
        <v>159214</v>
      </c>
      <c r="BH256" s="182">
        <v>153938</v>
      </c>
      <c r="BI256" s="182">
        <v>151215</v>
      </c>
      <c r="BJ256" s="182">
        <v>147820</v>
      </c>
      <c r="BK256" s="182">
        <v>143906</v>
      </c>
      <c r="BL256" s="182">
        <v>141327</v>
      </c>
      <c r="BM256" s="182">
        <v>137782</v>
      </c>
      <c r="BN256" s="182">
        <v>133538</v>
      </c>
      <c r="BO256" s="182">
        <v>131504</v>
      </c>
      <c r="BP256" s="182">
        <v>126430</v>
      </c>
      <c r="BQ256" s="182">
        <v>124561</v>
      </c>
      <c r="BR256" s="182">
        <v>121923</v>
      </c>
      <c r="BS256" s="182">
        <v>117836</v>
      </c>
      <c r="BT256" s="182">
        <v>118030</v>
      </c>
      <c r="BU256" s="182">
        <v>122085</v>
      </c>
      <c r="BV256" s="182">
        <v>103002</v>
      </c>
      <c r="BW256" s="182">
        <v>99294</v>
      </c>
      <c r="BX256" s="182">
        <v>94429</v>
      </c>
      <c r="BY256" s="182">
        <v>85109</v>
      </c>
      <c r="BZ256" s="182">
        <v>82631</v>
      </c>
      <c r="CA256" s="182">
        <v>76710</v>
      </c>
      <c r="CB256" s="182">
        <v>73411</v>
      </c>
      <c r="CC256" s="182">
        <v>69893</v>
      </c>
      <c r="CD256" s="182">
        <v>65738</v>
      </c>
      <c r="CE256" s="182">
        <v>62505</v>
      </c>
      <c r="CF256" s="182">
        <v>60353</v>
      </c>
      <c r="CG256" s="182">
        <v>56328</v>
      </c>
      <c r="CH256" s="182">
        <v>52604</v>
      </c>
      <c r="CI256" s="182">
        <v>50344</v>
      </c>
      <c r="CJ256" s="182">
        <v>47454</v>
      </c>
      <c r="CK256" s="182">
        <v>46783</v>
      </c>
      <c r="CL256" s="182">
        <v>43835</v>
      </c>
      <c r="CM256" s="182">
        <v>40049</v>
      </c>
      <c r="CN256" s="182">
        <v>36765</v>
      </c>
      <c r="CO256" s="182">
        <v>32828</v>
      </c>
      <c r="CP256" s="182">
        <v>29124</v>
      </c>
      <c r="CQ256" s="182">
        <v>25385</v>
      </c>
      <c r="CR256" s="182">
        <v>21363</v>
      </c>
      <c r="CS256" s="182">
        <v>17658</v>
      </c>
      <c r="CT256" s="182">
        <v>14486</v>
      </c>
      <c r="CU256" s="182">
        <v>11289</v>
      </c>
      <c r="CV256" s="182">
        <v>8147</v>
      </c>
      <c r="CW256" s="182">
        <v>5332</v>
      </c>
      <c r="CX256" s="182">
        <v>4011</v>
      </c>
      <c r="CY256" s="182">
        <v>2947</v>
      </c>
      <c r="CZ256" s="182">
        <v>2072</v>
      </c>
      <c r="DA256" s="182">
        <v>4179</v>
      </c>
      <c r="DB256" s="183">
        <f t="shared" si="66"/>
        <v>12022954</v>
      </c>
      <c r="DC256" s="184">
        <f t="shared" si="67"/>
        <v>12.022954</v>
      </c>
      <c r="DD256" s="186">
        <f t="shared" si="68"/>
        <v>1.7679659491192077E-2</v>
      </c>
    </row>
    <row r="257" spans="1:108" x14ac:dyDescent="0.2">
      <c r="A257" s="180"/>
      <c r="B257" s="180"/>
      <c r="C257" s="180"/>
      <c r="D257" s="181">
        <v>2016</v>
      </c>
      <c r="E257" s="182">
        <v>157593</v>
      </c>
      <c r="F257" s="182">
        <v>156326</v>
      </c>
      <c r="G257" s="182">
        <v>155918</v>
      </c>
      <c r="H257" s="182">
        <v>155632</v>
      </c>
      <c r="I257" s="182">
        <v>155235</v>
      </c>
      <c r="J257" s="182">
        <v>150410</v>
      </c>
      <c r="K257" s="182">
        <v>152703</v>
      </c>
      <c r="L257" s="182">
        <v>151553</v>
      </c>
      <c r="M257" s="182">
        <v>150766</v>
      </c>
      <c r="N257" s="182">
        <v>148076</v>
      </c>
      <c r="O257" s="182">
        <v>147961</v>
      </c>
      <c r="P257" s="182">
        <v>142967</v>
      </c>
      <c r="Q257" s="182">
        <v>140697</v>
      </c>
      <c r="R257" s="182">
        <v>139645</v>
      </c>
      <c r="S257" s="182">
        <v>139369</v>
      </c>
      <c r="T257" s="182">
        <v>141114</v>
      </c>
      <c r="U257" s="182">
        <v>142706</v>
      </c>
      <c r="V257" s="182">
        <v>144194</v>
      </c>
      <c r="W257" s="182">
        <v>145794</v>
      </c>
      <c r="X257" s="182">
        <v>151051</v>
      </c>
      <c r="Y257" s="182">
        <v>154939</v>
      </c>
      <c r="Z257" s="182">
        <v>160604</v>
      </c>
      <c r="AA257" s="182">
        <v>162369</v>
      </c>
      <c r="AB257" s="182">
        <v>166008</v>
      </c>
      <c r="AC257" s="182">
        <v>169467</v>
      </c>
      <c r="AD257" s="182">
        <v>175187</v>
      </c>
      <c r="AE257" s="182">
        <v>179258</v>
      </c>
      <c r="AF257" s="182">
        <v>179022</v>
      </c>
      <c r="AG257" s="182">
        <v>178915</v>
      </c>
      <c r="AH257" s="182">
        <v>179698</v>
      </c>
      <c r="AI257" s="182">
        <v>182104</v>
      </c>
      <c r="AJ257" s="182">
        <v>183878</v>
      </c>
      <c r="AK257" s="182">
        <v>182307</v>
      </c>
      <c r="AL257" s="182">
        <v>181666</v>
      </c>
      <c r="AM257" s="182">
        <v>176242</v>
      </c>
      <c r="AN257" s="182">
        <v>172754</v>
      </c>
      <c r="AO257" s="182">
        <v>166510</v>
      </c>
      <c r="AP257" s="182">
        <v>163137</v>
      </c>
      <c r="AQ257" s="182">
        <v>160168</v>
      </c>
      <c r="AR257" s="182">
        <v>159312</v>
      </c>
      <c r="AS257" s="182">
        <v>159313</v>
      </c>
      <c r="AT257" s="182">
        <v>161442</v>
      </c>
      <c r="AU257" s="182">
        <v>164955</v>
      </c>
      <c r="AV257" s="182">
        <v>169158</v>
      </c>
      <c r="AW257" s="182">
        <v>175765</v>
      </c>
      <c r="AX257" s="182">
        <v>178047</v>
      </c>
      <c r="AY257" s="182">
        <v>167128</v>
      </c>
      <c r="AZ257" s="182">
        <v>164885</v>
      </c>
      <c r="BA257" s="182">
        <v>157783</v>
      </c>
      <c r="BB257" s="182">
        <v>153858</v>
      </c>
      <c r="BC257" s="182">
        <v>153381</v>
      </c>
      <c r="BD257" s="182">
        <v>154854</v>
      </c>
      <c r="BE257" s="182">
        <v>158425</v>
      </c>
      <c r="BF257" s="182">
        <v>160240</v>
      </c>
      <c r="BG257" s="182">
        <v>159571</v>
      </c>
      <c r="BH257" s="182">
        <v>159281</v>
      </c>
      <c r="BI257" s="182">
        <v>153927</v>
      </c>
      <c r="BJ257" s="182">
        <v>151173</v>
      </c>
      <c r="BK257" s="182">
        <v>147741</v>
      </c>
      <c r="BL257" s="182">
        <v>143789</v>
      </c>
      <c r="BM257" s="182">
        <v>141158</v>
      </c>
      <c r="BN257" s="182">
        <v>137556</v>
      </c>
      <c r="BO257" s="182">
        <v>133249</v>
      </c>
      <c r="BP257" s="182">
        <v>131150</v>
      </c>
      <c r="BQ257" s="182">
        <v>126007</v>
      </c>
      <c r="BR257" s="182">
        <v>124043</v>
      </c>
      <c r="BS257" s="182">
        <v>121329</v>
      </c>
      <c r="BT257" s="182">
        <v>117193</v>
      </c>
      <c r="BU257" s="182">
        <v>117303</v>
      </c>
      <c r="BV257" s="182">
        <v>121216</v>
      </c>
      <c r="BW257" s="182">
        <v>102175</v>
      </c>
      <c r="BX257" s="182">
        <v>98391</v>
      </c>
      <c r="BY257" s="182">
        <v>93454</v>
      </c>
      <c r="BZ257" s="182">
        <v>84115</v>
      </c>
      <c r="CA257" s="182">
        <v>81544</v>
      </c>
      <c r="CB257" s="182">
        <v>75574</v>
      </c>
      <c r="CC257" s="182">
        <v>72181</v>
      </c>
      <c r="CD257" s="182">
        <v>68567</v>
      </c>
      <c r="CE257" s="182">
        <v>64324</v>
      </c>
      <c r="CF257" s="182">
        <v>60962</v>
      </c>
      <c r="CG257" s="182">
        <v>58640</v>
      </c>
      <c r="CH257" s="182">
        <v>54488</v>
      </c>
      <c r="CI257" s="182">
        <v>50614</v>
      </c>
      <c r="CJ257" s="182">
        <v>48135</v>
      </c>
      <c r="CK257" s="182">
        <v>45053</v>
      </c>
      <c r="CL257" s="182">
        <v>44055</v>
      </c>
      <c r="CM257" s="182">
        <v>40881</v>
      </c>
      <c r="CN257" s="182">
        <v>36936</v>
      </c>
      <c r="CO257" s="182">
        <v>33494</v>
      </c>
      <c r="CP257" s="182">
        <v>29500</v>
      </c>
      <c r="CQ257" s="182">
        <v>25777</v>
      </c>
      <c r="CR257" s="182">
        <v>22099</v>
      </c>
      <c r="CS257" s="182">
        <v>18275</v>
      </c>
      <c r="CT257" s="182">
        <v>14806</v>
      </c>
      <c r="CU257" s="182">
        <v>11853</v>
      </c>
      <c r="CV257" s="182">
        <v>9006</v>
      </c>
      <c r="CW257" s="182">
        <v>6347</v>
      </c>
      <c r="CX257" s="182">
        <v>4063</v>
      </c>
      <c r="CY257" s="182">
        <v>2996</v>
      </c>
      <c r="CZ257" s="182">
        <v>2157</v>
      </c>
      <c r="DA257" s="182">
        <v>4587</v>
      </c>
      <c r="DB257" s="183">
        <f t="shared" si="66"/>
        <v>12233224</v>
      </c>
      <c r="DC257" s="184">
        <f t="shared" si="67"/>
        <v>12.233224</v>
      </c>
      <c r="DD257" s="186">
        <f t="shared" si="68"/>
        <v>1.7489046369136861E-2</v>
      </c>
    </row>
    <row r="258" spans="1:108" x14ac:dyDescent="0.2">
      <c r="A258" s="180"/>
      <c r="B258" s="180"/>
      <c r="C258" s="180"/>
      <c r="D258" s="181">
        <v>2017</v>
      </c>
      <c r="E258" s="187">
        <v>148888</v>
      </c>
      <c r="F258" s="187">
        <v>155891</v>
      </c>
      <c r="G258" s="187">
        <v>153630</v>
      </c>
      <c r="H258" s="187">
        <v>153641</v>
      </c>
      <c r="I258" s="187">
        <v>155834</v>
      </c>
      <c r="J258" s="187">
        <v>154840</v>
      </c>
      <c r="K258" s="187">
        <v>154837</v>
      </c>
      <c r="L258" s="187">
        <v>155930</v>
      </c>
      <c r="M258" s="187">
        <v>153423</v>
      </c>
      <c r="N258" s="187">
        <v>153819</v>
      </c>
      <c r="O258" s="187">
        <v>151923</v>
      </c>
      <c r="P258" s="187">
        <v>146709</v>
      </c>
      <c r="Q258" s="187">
        <v>140755</v>
      </c>
      <c r="R258" s="187">
        <v>138650</v>
      </c>
      <c r="S258" s="187">
        <v>137974</v>
      </c>
      <c r="T258" s="187">
        <v>138070</v>
      </c>
      <c r="U258" s="187">
        <v>141236</v>
      </c>
      <c r="V258" s="187">
        <v>143999</v>
      </c>
      <c r="W258" s="187">
        <v>146779</v>
      </c>
      <c r="X258" s="187">
        <v>152396</v>
      </c>
      <c r="Y258" s="187">
        <v>157807</v>
      </c>
      <c r="Z258" s="187">
        <v>161737</v>
      </c>
      <c r="AA258" s="187">
        <v>169096</v>
      </c>
      <c r="AB258" s="187">
        <v>174801</v>
      </c>
      <c r="AC258" s="187">
        <v>177131</v>
      </c>
      <c r="AD258" s="187">
        <v>179467</v>
      </c>
      <c r="AE258" s="187">
        <v>184352</v>
      </c>
      <c r="AF258" s="187">
        <v>188130</v>
      </c>
      <c r="AG258" s="187">
        <v>185959</v>
      </c>
      <c r="AH258" s="187">
        <v>186295</v>
      </c>
      <c r="AI258" s="187">
        <v>185302</v>
      </c>
      <c r="AJ258" s="187">
        <v>187167</v>
      </c>
      <c r="AK258" s="187">
        <v>185246</v>
      </c>
      <c r="AL258" s="187">
        <v>184223</v>
      </c>
      <c r="AM258" s="187">
        <v>182378</v>
      </c>
      <c r="AN258" s="187">
        <v>176401</v>
      </c>
      <c r="AO258" s="187">
        <v>171988</v>
      </c>
      <c r="AP258" s="187">
        <v>165609</v>
      </c>
      <c r="AQ258" s="187">
        <v>160935</v>
      </c>
      <c r="AR258" s="187">
        <v>158049</v>
      </c>
      <c r="AS258" s="187">
        <v>157005</v>
      </c>
      <c r="AT258" s="187">
        <v>158292</v>
      </c>
      <c r="AU258" s="187">
        <v>159086</v>
      </c>
      <c r="AV258" s="187">
        <v>163895</v>
      </c>
      <c r="AW258" s="187">
        <v>168024</v>
      </c>
      <c r="AX258" s="187">
        <v>174518</v>
      </c>
      <c r="AY258" s="187">
        <v>177661</v>
      </c>
      <c r="AZ258" s="187">
        <v>166171</v>
      </c>
      <c r="BA258" s="187">
        <v>164240</v>
      </c>
      <c r="BB258" s="187">
        <v>158630</v>
      </c>
      <c r="BC258" s="187">
        <v>154110</v>
      </c>
      <c r="BD258" s="187">
        <v>154021</v>
      </c>
      <c r="BE258" s="187">
        <v>153624</v>
      </c>
      <c r="BF258" s="187">
        <v>159188</v>
      </c>
      <c r="BG258" s="187">
        <v>160191</v>
      </c>
      <c r="BH258" s="187">
        <v>158959</v>
      </c>
      <c r="BI258" s="187">
        <v>158441</v>
      </c>
      <c r="BJ258" s="187">
        <v>153637</v>
      </c>
      <c r="BK258" s="187">
        <v>149372</v>
      </c>
      <c r="BL258" s="187">
        <v>147382</v>
      </c>
      <c r="BM258" s="187">
        <v>143075</v>
      </c>
      <c r="BN258" s="187">
        <v>140398</v>
      </c>
      <c r="BO258" s="187">
        <v>135905</v>
      </c>
      <c r="BP258" s="187">
        <v>132867</v>
      </c>
      <c r="BQ258" s="187">
        <v>130562</v>
      </c>
      <c r="BR258" s="187">
        <v>126193</v>
      </c>
      <c r="BS258" s="187">
        <v>124817</v>
      </c>
      <c r="BT258" s="187">
        <v>121677</v>
      </c>
      <c r="BU258" s="187">
        <v>117125</v>
      </c>
      <c r="BV258" s="187">
        <v>116998</v>
      </c>
      <c r="BW258" s="187">
        <v>119627</v>
      </c>
      <c r="BX258" s="187">
        <v>100374</v>
      </c>
      <c r="BY258" s="187">
        <v>95446</v>
      </c>
      <c r="BZ258" s="187">
        <v>90669</v>
      </c>
      <c r="CA258" s="187">
        <v>81506</v>
      </c>
      <c r="CB258" s="187">
        <v>79834</v>
      </c>
      <c r="CC258" s="187">
        <v>74430</v>
      </c>
      <c r="CD258" s="187">
        <v>70884</v>
      </c>
      <c r="CE258" s="187">
        <v>67116</v>
      </c>
      <c r="CF258" s="187">
        <v>63178</v>
      </c>
      <c r="CG258" s="187">
        <v>59666</v>
      </c>
      <c r="CH258" s="187">
        <v>55940</v>
      </c>
      <c r="CI258" s="187">
        <v>51106</v>
      </c>
      <c r="CJ258" s="187">
        <v>47603</v>
      </c>
      <c r="CK258" s="187">
        <v>44961</v>
      </c>
      <c r="CL258" s="187">
        <v>42043</v>
      </c>
      <c r="CM258" s="187">
        <v>40616</v>
      </c>
      <c r="CN258" s="187">
        <v>37459</v>
      </c>
      <c r="CO258" s="187">
        <v>33017</v>
      </c>
      <c r="CP258" s="187">
        <v>29820</v>
      </c>
      <c r="CQ258" s="187">
        <v>26251</v>
      </c>
      <c r="CR258" s="187">
        <v>22717</v>
      </c>
      <c r="CS258" s="187">
        <v>18885</v>
      </c>
      <c r="CT258" s="187">
        <v>15389</v>
      </c>
      <c r="CU258" s="187">
        <v>12197</v>
      </c>
      <c r="CV258" s="187">
        <v>9516</v>
      </c>
      <c r="CW258" s="187">
        <v>7182</v>
      </c>
      <c r="CX258" s="187">
        <v>4808</v>
      </c>
      <c r="CY258" s="187">
        <v>2829</v>
      </c>
      <c r="CZ258" s="187">
        <v>2174</v>
      </c>
      <c r="DA258" s="187">
        <v>2970</v>
      </c>
      <c r="DB258" s="183">
        <f t="shared" si="66"/>
        <v>12397574</v>
      </c>
      <c r="DC258" s="184">
        <f t="shared" si="67"/>
        <v>12.397574000000001</v>
      </c>
      <c r="DD258" s="186">
        <f t="shared" si="68"/>
        <v>1.3434724975198743E-2</v>
      </c>
    </row>
    <row r="259" spans="1:108" x14ac:dyDescent="0.2">
      <c r="A259" s="180"/>
      <c r="B259" s="180"/>
      <c r="C259" s="180"/>
      <c r="D259" s="181">
        <v>2018</v>
      </c>
      <c r="E259" s="187">
        <v>157102</v>
      </c>
      <c r="F259" s="187">
        <v>149640</v>
      </c>
      <c r="G259" s="187">
        <v>157467</v>
      </c>
      <c r="H259" s="187">
        <v>155447</v>
      </c>
      <c r="I259" s="187">
        <v>155512</v>
      </c>
      <c r="J259" s="187">
        <v>157651</v>
      </c>
      <c r="K259" s="187">
        <v>156467</v>
      </c>
      <c r="L259" s="187">
        <v>156247</v>
      </c>
      <c r="M259" s="187">
        <v>157223</v>
      </c>
      <c r="N259" s="187">
        <v>154666</v>
      </c>
      <c r="O259" s="187">
        <v>155008</v>
      </c>
      <c r="P259" s="187">
        <v>153051</v>
      </c>
      <c r="Q259" s="187">
        <v>147817</v>
      </c>
      <c r="R259" s="187">
        <v>141880</v>
      </c>
      <c r="S259" s="187">
        <v>139930</v>
      </c>
      <c r="T259" s="187">
        <v>139674</v>
      </c>
      <c r="U259" s="187">
        <v>140203</v>
      </c>
      <c r="V259" s="187">
        <v>144166</v>
      </c>
      <c r="W259" s="187">
        <v>149078</v>
      </c>
      <c r="X259" s="187">
        <v>153836</v>
      </c>
      <c r="Y259" s="187">
        <v>159189</v>
      </c>
      <c r="Z259" s="187">
        <v>163707</v>
      </c>
      <c r="AA259" s="187">
        <v>168741</v>
      </c>
      <c r="AB259" s="187">
        <v>177479</v>
      </c>
      <c r="AC259" s="187">
        <v>182066</v>
      </c>
      <c r="AD259" s="187">
        <v>182694</v>
      </c>
      <c r="AE259" s="187">
        <v>184407</v>
      </c>
      <c r="AF259" s="187">
        <v>188991</v>
      </c>
      <c r="AG259" s="187">
        <v>192400</v>
      </c>
      <c r="AH259" s="187">
        <v>189827</v>
      </c>
      <c r="AI259" s="187">
        <v>189799</v>
      </c>
      <c r="AJ259" s="187">
        <v>188304</v>
      </c>
      <c r="AK259" s="187">
        <v>189775</v>
      </c>
      <c r="AL259" s="187">
        <v>187761</v>
      </c>
      <c r="AM259" s="187">
        <v>186611</v>
      </c>
      <c r="AN259" s="187">
        <v>184465</v>
      </c>
      <c r="AO259" s="187">
        <v>178227</v>
      </c>
      <c r="AP259" s="187">
        <v>173622</v>
      </c>
      <c r="AQ259" s="187">
        <v>167064</v>
      </c>
      <c r="AR259" s="187">
        <v>162261</v>
      </c>
      <c r="AS259" s="187">
        <v>159267</v>
      </c>
      <c r="AT259" s="187">
        <v>158069</v>
      </c>
      <c r="AU259" s="187">
        <v>159205</v>
      </c>
      <c r="AV259" s="187">
        <v>159889</v>
      </c>
      <c r="AW259" s="187">
        <v>164595</v>
      </c>
      <c r="AX259" s="187">
        <v>168582</v>
      </c>
      <c r="AY259" s="187">
        <v>174945</v>
      </c>
      <c r="AZ259" s="187">
        <v>177967</v>
      </c>
      <c r="BA259" s="187">
        <v>166360</v>
      </c>
      <c r="BB259" s="187">
        <v>164345</v>
      </c>
      <c r="BC259" s="187">
        <v>158667</v>
      </c>
      <c r="BD259" s="187">
        <v>154081</v>
      </c>
      <c r="BE259" s="187">
        <v>153974</v>
      </c>
      <c r="BF259" s="187">
        <v>153554</v>
      </c>
      <c r="BG259" s="187">
        <v>159074</v>
      </c>
      <c r="BH259" s="187">
        <v>160026</v>
      </c>
      <c r="BI259" s="187">
        <v>158739</v>
      </c>
      <c r="BJ259" s="187">
        <v>158218</v>
      </c>
      <c r="BK259" s="187">
        <v>153433</v>
      </c>
      <c r="BL259" s="187">
        <v>149169</v>
      </c>
      <c r="BM259" s="187">
        <v>147163</v>
      </c>
      <c r="BN259" s="187">
        <v>142839</v>
      </c>
      <c r="BO259" s="187">
        <v>140114</v>
      </c>
      <c r="BP259" s="187">
        <v>135560</v>
      </c>
      <c r="BQ259" s="187">
        <v>132458</v>
      </c>
      <c r="BR259" s="187">
        <v>130048</v>
      </c>
      <c r="BS259" s="187">
        <v>125596</v>
      </c>
      <c r="BT259" s="187">
        <v>124136</v>
      </c>
      <c r="BU259" s="187">
        <v>120909</v>
      </c>
      <c r="BV259" s="187">
        <v>116274</v>
      </c>
      <c r="BW259" s="187">
        <v>116018</v>
      </c>
      <c r="BX259" s="187">
        <v>118479</v>
      </c>
      <c r="BY259" s="187">
        <v>99288</v>
      </c>
      <c r="BZ259" s="187">
        <v>94273</v>
      </c>
      <c r="CA259" s="187">
        <v>89397</v>
      </c>
      <c r="CB259" s="187">
        <v>80219</v>
      </c>
      <c r="CC259" s="187">
        <v>78412</v>
      </c>
      <c r="CD259" s="187">
        <v>72927</v>
      </c>
      <c r="CE259" s="187">
        <v>69270</v>
      </c>
      <c r="CF259" s="187">
        <v>65386</v>
      </c>
      <c r="CG259" s="187">
        <v>61327</v>
      </c>
      <c r="CH259" s="187">
        <v>57671</v>
      </c>
      <c r="CI259" s="187">
        <v>53791</v>
      </c>
      <c r="CJ259" s="187">
        <v>48844</v>
      </c>
      <c r="CK259" s="187">
        <v>45175</v>
      </c>
      <c r="CL259" s="187">
        <v>42306</v>
      </c>
      <c r="CM259" s="187">
        <v>39197</v>
      </c>
      <c r="CN259" s="187">
        <v>37470</v>
      </c>
      <c r="CO259" s="187">
        <v>34121</v>
      </c>
      <c r="CP259" s="187">
        <v>29662</v>
      </c>
      <c r="CQ259" s="187">
        <v>26373</v>
      </c>
      <c r="CR259" s="187">
        <v>22817</v>
      </c>
      <c r="CS259" s="187">
        <v>19369</v>
      </c>
      <c r="CT259" s="187">
        <v>15753</v>
      </c>
      <c r="CU259" s="187">
        <v>12540</v>
      </c>
      <c r="CV259" s="187">
        <v>9691</v>
      </c>
      <c r="CW259" s="187">
        <v>7359</v>
      </c>
      <c r="CX259" s="187">
        <v>5393</v>
      </c>
      <c r="CY259" s="187">
        <v>3505</v>
      </c>
      <c r="CZ259" s="187">
        <v>2008</v>
      </c>
      <c r="DA259" s="187">
        <v>3676</v>
      </c>
      <c r="DB259" s="183">
        <f t="shared" si="66"/>
        <v>12608428</v>
      </c>
      <c r="DC259" s="184">
        <f t="shared" si="67"/>
        <v>12.608428</v>
      </c>
      <c r="DD259" s="186">
        <f t="shared" si="68"/>
        <v>1.700768230945824E-2</v>
      </c>
    </row>
    <row r="260" spans="1:108" x14ac:dyDescent="0.2">
      <c r="A260" s="180"/>
      <c r="B260" s="180"/>
      <c r="C260" s="180"/>
      <c r="D260" s="181">
        <v>2019</v>
      </c>
      <c r="E260" s="187">
        <v>160396</v>
      </c>
      <c r="F260" s="187">
        <v>157883</v>
      </c>
      <c r="G260" s="187">
        <v>151278</v>
      </c>
      <c r="H260" s="187">
        <v>159356</v>
      </c>
      <c r="I260" s="187">
        <v>157390</v>
      </c>
      <c r="J260" s="187">
        <v>157399</v>
      </c>
      <c r="K260" s="187">
        <v>159341</v>
      </c>
      <c r="L260" s="187">
        <v>157931</v>
      </c>
      <c r="M260" s="187">
        <v>157590</v>
      </c>
      <c r="N260" s="187">
        <v>158514</v>
      </c>
      <c r="O260" s="187">
        <v>155901</v>
      </c>
      <c r="P260" s="187">
        <v>156180</v>
      </c>
      <c r="Q260" s="187">
        <v>154201</v>
      </c>
      <c r="R260" s="187">
        <v>148985</v>
      </c>
      <c r="S260" s="187">
        <v>143210</v>
      </c>
      <c r="T260" s="187">
        <v>141697</v>
      </c>
      <c r="U260" s="187">
        <v>141890</v>
      </c>
      <c r="V260" s="187">
        <v>143247</v>
      </c>
      <c r="W260" s="187">
        <v>149441</v>
      </c>
      <c r="X260" s="187">
        <v>156409</v>
      </c>
      <c r="Y260" s="187">
        <v>160892</v>
      </c>
      <c r="Z260" s="187">
        <v>165318</v>
      </c>
      <c r="AA260" s="187">
        <v>170981</v>
      </c>
      <c r="AB260" s="187">
        <v>177447</v>
      </c>
      <c r="AC260" s="187">
        <v>185025</v>
      </c>
      <c r="AD260" s="187">
        <v>187846</v>
      </c>
      <c r="AE260" s="187">
        <v>187824</v>
      </c>
      <c r="AF260" s="187">
        <v>189226</v>
      </c>
      <c r="AG260" s="187">
        <v>193427</v>
      </c>
      <c r="AH260" s="187">
        <v>196417</v>
      </c>
      <c r="AI260" s="187">
        <v>193467</v>
      </c>
      <c r="AJ260" s="187">
        <v>192918</v>
      </c>
      <c r="AK260" s="187">
        <v>191015</v>
      </c>
      <c r="AL260" s="187">
        <v>192390</v>
      </c>
      <c r="AM260" s="187">
        <v>190243</v>
      </c>
      <c r="AN260" s="187">
        <v>188786</v>
      </c>
      <c r="AO260" s="187">
        <v>186361</v>
      </c>
      <c r="AP260" s="187">
        <v>179924</v>
      </c>
      <c r="AQ260" s="187">
        <v>175132</v>
      </c>
      <c r="AR260" s="187">
        <v>168441</v>
      </c>
      <c r="AS260" s="187">
        <v>163527</v>
      </c>
      <c r="AT260" s="187">
        <v>160375</v>
      </c>
      <c r="AU260" s="187">
        <v>159022</v>
      </c>
      <c r="AV260" s="187">
        <v>160046</v>
      </c>
      <c r="AW260" s="187">
        <v>160628</v>
      </c>
      <c r="AX260" s="187">
        <v>165188</v>
      </c>
      <c r="AY260" s="187">
        <v>169041</v>
      </c>
      <c r="AZ260" s="187">
        <v>175276</v>
      </c>
      <c r="BA260" s="187">
        <v>178154</v>
      </c>
      <c r="BB260" s="187">
        <v>166475</v>
      </c>
      <c r="BC260" s="187">
        <v>164385</v>
      </c>
      <c r="BD260" s="187">
        <v>158643</v>
      </c>
      <c r="BE260" s="187">
        <v>154042</v>
      </c>
      <c r="BF260" s="187">
        <v>153917</v>
      </c>
      <c r="BG260" s="187">
        <v>153466</v>
      </c>
      <c r="BH260" s="187">
        <v>158923</v>
      </c>
      <c r="BI260" s="187">
        <v>159812</v>
      </c>
      <c r="BJ260" s="187">
        <v>158526</v>
      </c>
      <c r="BK260" s="187">
        <v>158014</v>
      </c>
      <c r="BL260" s="187">
        <v>153231</v>
      </c>
      <c r="BM260" s="187">
        <v>148959</v>
      </c>
      <c r="BN260" s="187">
        <v>146926</v>
      </c>
      <c r="BO260" s="187">
        <v>142562</v>
      </c>
      <c r="BP260" s="187">
        <v>139766</v>
      </c>
      <c r="BQ260" s="187">
        <v>135151</v>
      </c>
      <c r="BR260" s="187">
        <v>131948</v>
      </c>
      <c r="BS260" s="187">
        <v>129442</v>
      </c>
      <c r="BT260" s="187">
        <v>124923</v>
      </c>
      <c r="BU260" s="187">
        <v>123363</v>
      </c>
      <c r="BV260" s="187">
        <v>120041</v>
      </c>
      <c r="BW260" s="187">
        <v>115314</v>
      </c>
      <c r="BX260" s="187">
        <v>114921</v>
      </c>
      <c r="BY260" s="187">
        <v>117200</v>
      </c>
      <c r="BZ260" s="187">
        <v>98078</v>
      </c>
      <c r="CA260" s="187">
        <v>92962</v>
      </c>
      <c r="CB260" s="187">
        <v>87994</v>
      </c>
      <c r="CC260" s="187">
        <v>78803</v>
      </c>
      <c r="CD260" s="187">
        <v>76841</v>
      </c>
      <c r="CE260" s="187">
        <v>71280</v>
      </c>
      <c r="CF260" s="187">
        <v>67497</v>
      </c>
      <c r="CG260" s="187">
        <v>63484</v>
      </c>
      <c r="CH260" s="187">
        <v>59289</v>
      </c>
      <c r="CI260" s="187">
        <v>55469</v>
      </c>
      <c r="CJ260" s="187">
        <v>51424</v>
      </c>
      <c r="CK260" s="187">
        <v>46366</v>
      </c>
      <c r="CL260" s="187">
        <v>42522</v>
      </c>
      <c r="CM260" s="187">
        <v>39456</v>
      </c>
      <c r="CN260" s="187">
        <v>36174</v>
      </c>
      <c r="CO260" s="187">
        <v>34144</v>
      </c>
      <c r="CP260" s="187">
        <v>30669</v>
      </c>
      <c r="CQ260" s="187">
        <v>26246</v>
      </c>
      <c r="CR260" s="187">
        <v>22936</v>
      </c>
      <c r="CS260" s="187">
        <v>19466</v>
      </c>
      <c r="CT260" s="187">
        <v>16166</v>
      </c>
      <c r="CU260" s="187">
        <v>12842</v>
      </c>
      <c r="CV260" s="187">
        <v>9967</v>
      </c>
      <c r="CW260" s="187">
        <v>7496</v>
      </c>
      <c r="CX260" s="187">
        <v>5527</v>
      </c>
      <c r="CY260" s="187">
        <v>3932</v>
      </c>
      <c r="CZ260" s="187">
        <v>2492</v>
      </c>
      <c r="DA260" s="187">
        <v>4084</v>
      </c>
      <c r="DB260" s="183">
        <f t="shared" si="66"/>
        <v>12826132</v>
      </c>
      <c r="DC260" s="184">
        <f t="shared" si="67"/>
        <v>12.826131999999999</v>
      </c>
      <c r="DD260" s="186">
        <f t="shared" si="68"/>
        <v>1.7266545837435043E-2</v>
      </c>
    </row>
    <row r="261" spans="1:108" x14ac:dyDescent="0.2">
      <c r="A261" s="180"/>
      <c r="B261" s="180"/>
      <c r="C261" s="180"/>
      <c r="D261" s="181">
        <v>2020</v>
      </c>
      <c r="E261" s="187">
        <v>163605</v>
      </c>
      <c r="F261" s="187">
        <v>161172</v>
      </c>
      <c r="G261" s="187">
        <v>159507</v>
      </c>
      <c r="H261" s="187">
        <v>153154</v>
      </c>
      <c r="I261" s="187">
        <v>161286</v>
      </c>
      <c r="J261" s="187">
        <v>159263</v>
      </c>
      <c r="K261" s="187">
        <v>159076</v>
      </c>
      <c r="L261" s="187">
        <v>160794</v>
      </c>
      <c r="M261" s="187">
        <v>159264</v>
      </c>
      <c r="N261" s="187">
        <v>158871</v>
      </c>
      <c r="O261" s="187">
        <v>159740</v>
      </c>
      <c r="P261" s="187">
        <v>157065</v>
      </c>
      <c r="Q261" s="187">
        <v>157321</v>
      </c>
      <c r="R261" s="187">
        <v>155359</v>
      </c>
      <c r="S261" s="187">
        <v>150304</v>
      </c>
      <c r="T261" s="187">
        <v>144961</v>
      </c>
      <c r="U261" s="187">
        <v>143898</v>
      </c>
      <c r="V261" s="187">
        <v>144912</v>
      </c>
      <c r="W261" s="187">
        <v>148483</v>
      </c>
      <c r="X261" s="187">
        <v>156719</v>
      </c>
      <c r="Y261" s="187">
        <v>163412</v>
      </c>
      <c r="Z261" s="187">
        <v>166975</v>
      </c>
      <c r="AA261" s="187">
        <v>172538</v>
      </c>
      <c r="AB261" s="187">
        <v>179621</v>
      </c>
      <c r="AC261" s="187">
        <v>184937</v>
      </c>
      <c r="AD261" s="187">
        <v>190761</v>
      </c>
      <c r="AE261" s="187">
        <v>192936</v>
      </c>
      <c r="AF261" s="187">
        <v>192606</v>
      </c>
      <c r="AG261" s="187">
        <v>193629</v>
      </c>
      <c r="AH261" s="187">
        <v>197414</v>
      </c>
      <c r="AI261" s="187">
        <v>200028</v>
      </c>
      <c r="AJ261" s="187">
        <v>196561</v>
      </c>
      <c r="AK261" s="187">
        <v>195607</v>
      </c>
      <c r="AL261" s="187">
        <v>193609</v>
      </c>
      <c r="AM261" s="187">
        <v>194850</v>
      </c>
      <c r="AN261" s="187">
        <v>192397</v>
      </c>
      <c r="AO261" s="187">
        <v>190666</v>
      </c>
      <c r="AP261" s="187">
        <v>188044</v>
      </c>
      <c r="AQ261" s="187">
        <v>181420</v>
      </c>
      <c r="AR261" s="187">
        <v>176493</v>
      </c>
      <c r="AS261" s="187">
        <v>169694</v>
      </c>
      <c r="AT261" s="187">
        <v>164625</v>
      </c>
      <c r="AU261" s="187">
        <v>161318</v>
      </c>
      <c r="AV261" s="187">
        <v>159855</v>
      </c>
      <c r="AW261" s="187">
        <v>160778</v>
      </c>
      <c r="AX261" s="187">
        <v>161219</v>
      </c>
      <c r="AY261" s="187">
        <v>165645</v>
      </c>
      <c r="AZ261" s="187">
        <v>169375</v>
      </c>
      <c r="BA261" s="187">
        <v>175465</v>
      </c>
      <c r="BB261" s="187">
        <v>178248</v>
      </c>
      <c r="BC261" s="187">
        <v>166510</v>
      </c>
      <c r="BD261" s="187">
        <v>164348</v>
      </c>
      <c r="BE261" s="187">
        <v>158596</v>
      </c>
      <c r="BF261" s="187">
        <v>153982</v>
      </c>
      <c r="BG261" s="187">
        <v>153827</v>
      </c>
      <c r="BH261" s="187">
        <v>153329</v>
      </c>
      <c r="BI261" s="187">
        <v>158711</v>
      </c>
      <c r="BJ261" s="187">
        <v>159595</v>
      </c>
      <c r="BK261" s="187">
        <v>158319</v>
      </c>
      <c r="BL261" s="187">
        <v>157798</v>
      </c>
      <c r="BM261" s="187">
        <v>153005</v>
      </c>
      <c r="BN261" s="187">
        <v>148717</v>
      </c>
      <c r="BO261" s="187">
        <v>146632</v>
      </c>
      <c r="BP261" s="187">
        <v>142205</v>
      </c>
      <c r="BQ261" s="187">
        <v>139339</v>
      </c>
      <c r="BR261" s="187">
        <v>134630</v>
      </c>
      <c r="BS261" s="187">
        <v>131335</v>
      </c>
      <c r="BT261" s="187">
        <v>128749</v>
      </c>
      <c r="BU261" s="187">
        <v>124152</v>
      </c>
      <c r="BV261" s="187">
        <v>122482</v>
      </c>
      <c r="BW261" s="187">
        <v>119057</v>
      </c>
      <c r="BX261" s="187">
        <v>114233</v>
      </c>
      <c r="BY261" s="187">
        <v>113693</v>
      </c>
      <c r="BZ261" s="187">
        <v>115776</v>
      </c>
      <c r="CA261" s="187">
        <v>96724</v>
      </c>
      <c r="CB261" s="187">
        <v>91515</v>
      </c>
      <c r="CC261" s="187">
        <v>86451</v>
      </c>
      <c r="CD261" s="187">
        <v>77236</v>
      </c>
      <c r="CE261" s="187">
        <v>75117</v>
      </c>
      <c r="CF261" s="187">
        <v>69469</v>
      </c>
      <c r="CG261" s="187">
        <v>65547</v>
      </c>
      <c r="CH261" s="187">
        <v>61389</v>
      </c>
      <c r="CI261" s="187">
        <v>57039</v>
      </c>
      <c r="CJ261" s="187">
        <v>53042</v>
      </c>
      <c r="CK261" s="187">
        <v>48828</v>
      </c>
      <c r="CL261" s="187">
        <v>43657</v>
      </c>
      <c r="CM261" s="187">
        <v>39671</v>
      </c>
      <c r="CN261" s="187">
        <v>36425</v>
      </c>
      <c r="CO261" s="187">
        <v>32974</v>
      </c>
      <c r="CP261" s="187">
        <v>30703</v>
      </c>
      <c r="CQ261" s="187">
        <v>27152</v>
      </c>
      <c r="CR261" s="187">
        <v>22838</v>
      </c>
      <c r="CS261" s="187">
        <v>19578</v>
      </c>
      <c r="CT261" s="187">
        <v>16256</v>
      </c>
      <c r="CU261" s="187">
        <v>13185</v>
      </c>
      <c r="CV261" s="187">
        <v>10211</v>
      </c>
      <c r="CW261" s="187">
        <v>7710</v>
      </c>
      <c r="CX261" s="187">
        <v>5631</v>
      </c>
      <c r="CY261" s="187">
        <v>4030</v>
      </c>
      <c r="CZ261" s="187">
        <v>2800</v>
      </c>
      <c r="DA261" s="187">
        <v>4723</v>
      </c>
      <c r="DB261" s="183">
        <f t="shared" si="66"/>
        <v>13044401</v>
      </c>
      <c r="DC261" s="184">
        <f t="shared" si="67"/>
        <v>13.044401000000001</v>
      </c>
      <c r="DD261" s="186">
        <f t="shared" si="68"/>
        <v>1.7017523287613225E-2</v>
      </c>
    </row>
    <row r="262" spans="1:108" x14ac:dyDescent="0.2">
      <c r="A262" s="180"/>
      <c r="B262" s="180"/>
      <c r="C262" s="180"/>
      <c r="D262" s="181">
        <v>2021</v>
      </c>
      <c r="E262" s="187">
        <v>166625</v>
      </c>
      <c r="F262" s="187">
        <v>164366</v>
      </c>
      <c r="G262" s="187">
        <v>162765</v>
      </c>
      <c r="H262" s="187">
        <v>161346</v>
      </c>
      <c r="I262" s="187">
        <v>155050</v>
      </c>
      <c r="J262" s="187">
        <v>163123</v>
      </c>
      <c r="K262" s="187">
        <v>160909</v>
      </c>
      <c r="L262" s="187">
        <v>160502</v>
      </c>
      <c r="M262" s="187">
        <v>162102</v>
      </c>
      <c r="N262" s="187">
        <v>160521</v>
      </c>
      <c r="O262" s="187">
        <v>160074</v>
      </c>
      <c r="P262" s="187">
        <v>160881</v>
      </c>
      <c r="Q262" s="187">
        <v>158185</v>
      </c>
      <c r="R262" s="187">
        <v>158457</v>
      </c>
      <c r="S262" s="187">
        <v>156652</v>
      </c>
      <c r="T262" s="187">
        <v>152023</v>
      </c>
      <c r="U262" s="187">
        <v>147121</v>
      </c>
      <c r="V262" s="187">
        <v>146862</v>
      </c>
      <c r="W262" s="187">
        <v>150049</v>
      </c>
      <c r="X262" s="187">
        <v>155624</v>
      </c>
      <c r="Y262" s="187">
        <v>163590</v>
      </c>
      <c r="Z262" s="187">
        <v>169381</v>
      </c>
      <c r="AA262" s="187">
        <v>174059</v>
      </c>
      <c r="AB262" s="187">
        <v>181016</v>
      </c>
      <c r="AC262" s="187">
        <v>186971</v>
      </c>
      <c r="AD262" s="187">
        <v>190566</v>
      </c>
      <c r="AE262" s="187">
        <v>195755</v>
      </c>
      <c r="AF262" s="187">
        <v>197630</v>
      </c>
      <c r="AG262" s="187">
        <v>196925</v>
      </c>
      <c r="AH262" s="187">
        <v>197540</v>
      </c>
      <c r="AI262" s="187">
        <v>200955</v>
      </c>
      <c r="AJ262" s="187">
        <v>203060</v>
      </c>
      <c r="AK262" s="187">
        <v>199195</v>
      </c>
      <c r="AL262" s="187">
        <v>198149</v>
      </c>
      <c r="AM262" s="187">
        <v>196023</v>
      </c>
      <c r="AN262" s="187">
        <v>196960</v>
      </c>
      <c r="AO262" s="187">
        <v>194238</v>
      </c>
      <c r="AP262" s="187">
        <v>192310</v>
      </c>
      <c r="AQ262" s="187">
        <v>189506</v>
      </c>
      <c r="AR262" s="187">
        <v>182749</v>
      </c>
      <c r="AS262" s="187">
        <v>177715</v>
      </c>
      <c r="AT262" s="187">
        <v>170765</v>
      </c>
      <c r="AU262" s="187">
        <v>165544</v>
      </c>
      <c r="AV262" s="187">
        <v>162131</v>
      </c>
      <c r="AW262" s="187">
        <v>160571</v>
      </c>
      <c r="AX262" s="187">
        <v>161355</v>
      </c>
      <c r="AY262" s="187">
        <v>161669</v>
      </c>
      <c r="AZ262" s="187">
        <v>165975</v>
      </c>
      <c r="BA262" s="187">
        <v>169564</v>
      </c>
      <c r="BB262" s="187">
        <v>175559</v>
      </c>
      <c r="BC262" s="187">
        <v>178256</v>
      </c>
      <c r="BD262" s="187">
        <v>166464</v>
      </c>
      <c r="BE262" s="187">
        <v>164286</v>
      </c>
      <c r="BF262" s="187">
        <v>158523</v>
      </c>
      <c r="BG262" s="187">
        <v>153890</v>
      </c>
      <c r="BH262" s="187">
        <v>153686</v>
      </c>
      <c r="BI262" s="187">
        <v>153130</v>
      </c>
      <c r="BJ262" s="187">
        <v>158498</v>
      </c>
      <c r="BK262" s="187">
        <v>159384</v>
      </c>
      <c r="BL262" s="187">
        <v>158098</v>
      </c>
      <c r="BM262" s="187">
        <v>157553</v>
      </c>
      <c r="BN262" s="187">
        <v>152746</v>
      </c>
      <c r="BO262" s="187">
        <v>148416</v>
      </c>
      <c r="BP262" s="187">
        <v>146257</v>
      </c>
      <c r="BQ262" s="187">
        <v>141769</v>
      </c>
      <c r="BR262" s="187">
        <v>138800</v>
      </c>
      <c r="BS262" s="187">
        <v>134006</v>
      </c>
      <c r="BT262" s="187">
        <v>130636</v>
      </c>
      <c r="BU262" s="187">
        <v>127960</v>
      </c>
      <c r="BV262" s="187">
        <v>123277</v>
      </c>
      <c r="BW262" s="187">
        <v>121489</v>
      </c>
      <c r="BX262" s="187">
        <v>117954</v>
      </c>
      <c r="BY262" s="187">
        <v>113029</v>
      </c>
      <c r="BZ262" s="187">
        <v>112331</v>
      </c>
      <c r="CA262" s="187">
        <v>114195</v>
      </c>
      <c r="CB262" s="187">
        <v>95237</v>
      </c>
      <c r="CC262" s="187">
        <v>89929</v>
      </c>
      <c r="CD262" s="187">
        <v>84751</v>
      </c>
      <c r="CE262" s="187">
        <v>75523</v>
      </c>
      <c r="CF262" s="187">
        <v>73230</v>
      </c>
      <c r="CG262" s="187">
        <v>67482</v>
      </c>
      <c r="CH262" s="187">
        <v>63405</v>
      </c>
      <c r="CI262" s="187">
        <v>59081</v>
      </c>
      <c r="CJ262" s="187">
        <v>54566</v>
      </c>
      <c r="CK262" s="187">
        <v>50388</v>
      </c>
      <c r="CL262" s="187">
        <v>45998</v>
      </c>
      <c r="CM262" s="187">
        <v>40750</v>
      </c>
      <c r="CN262" s="187">
        <v>36644</v>
      </c>
      <c r="CO262" s="187">
        <v>33223</v>
      </c>
      <c r="CP262" s="187">
        <v>29669</v>
      </c>
      <c r="CQ262" s="187">
        <v>27201</v>
      </c>
      <c r="CR262" s="187">
        <v>23645</v>
      </c>
      <c r="CS262" s="187">
        <v>19511</v>
      </c>
      <c r="CT262" s="187">
        <v>16363</v>
      </c>
      <c r="CU262" s="187">
        <v>13268</v>
      </c>
      <c r="CV262" s="187">
        <v>10489</v>
      </c>
      <c r="CW262" s="187">
        <v>7901</v>
      </c>
      <c r="CX262" s="187">
        <v>5793</v>
      </c>
      <c r="CY262" s="187">
        <v>4107</v>
      </c>
      <c r="CZ262" s="187">
        <v>2877</v>
      </c>
      <c r="DA262" s="187">
        <v>5415</v>
      </c>
      <c r="DB262" s="183">
        <f t="shared" si="66"/>
        <v>13261742</v>
      </c>
      <c r="DC262" s="184">
        <f t="shared" si="67"/>
        <v>13.261742</v>
      </c>
      <c r="DD262" s="186">
        <f t="shared" si="68"/>
        <v>1.666163130066297E-2</v>
      </c>
    </row>
    <row r="263" spans="1:108" x14ac:dyDescent="0.2">
      <c r="A263" s="180"/>
      <c r="B263" s="180"/>
      <c r="C263" s="180"/>
      <c r="D263" s="181">
        <v>2022</v>
      </c>
      <c r="E263" s="187">
        <v>169428</v>
      </c>
      <c r="F263" s="187">
        <v>167373</v>
      </c>
      <c r="G263" s="187">
        <v>165934</v>
      </c>
      <c r="H263" s="187">
        <v>164576</v>
      </c>
      <c r="I263" s="187">
        <v>163212</v>
      </c>
      <c r="J263" s="187">
        <v>156860</v>
      </c>
      <c r="K263" s="187">
        <v>164745</v>
      </c>
      <c r="L263" s="187">
        <v>162313</v>
      </c>
      <c r="M263" s="187">
        <v>161790</v>
      </c>
      <c r="N263" s="187">
        <v>163340</v>
      </c>
      <c r="O263" s="187">
        <v>161705</v>
      </c>
      <c r="P263" s="187">
        <v>161198</v>
      </c>
      <c r="Q263" s="187">
        <v>161983</v>
      </c>
      <c r="R263" s="187">
        <v>159303</v>
      </c>
      <c r="S263" s="187">
        <v>159730</v>
      </c>
      <c r="T263" s="187">
        <v>158346</v>
      </c>
      <c r="U263" s="187">
        <v>154149</v>
      </c>
      <c r="V263" s="187">
        <v>150040</v>
      </c>
      <c r="W263" s="187">
        <v>151921</v>
      </c>
      <c r="X263" s="187">
        <v>157081</v>
      </c>
      <c r="Y263" s="187">
        <v>162391</v>
      </c>
      <c r="Z263" s="187">
        <v>169467</v>
      </c>
      <c r="AA263" s="187">
        <v>176356</v>
      </c>
      <c r="AB263" s="187">
        <v>182410</v>
      </c>
      <c r="AC263" s="187">
        <v>188254</v>
      </c>
      <c r="AD263" s="187">
        <v>192514</v>
      </c>
      <c r="AE263" s="187">
        <v>195483</v>
      </c>
      <c r="AF263" s="187">
        <v>200376</v>
      </c>
      <c r="AG263" s="187">
        <v>201883</v>
      </c>
      <c r="AH263" s="187">
        <v>200774</v>
      </c>
      <c r="AI263" s="187">
        <v>201028</v>
      </c>
      <c r="AJ263" s="187">
        <v>203942</v>
      </c>
      <c r="AK263" s="187">
        <v>205650</v>
      </c>
      <c r="AL263" s="187">
        <v>201696</v>
      </c>
      <c r="AM263" s="187">
        <v>200523</v>
      </c>
      <c r="AN263" s="187">
        <v>198099</v>
      </c>
      <c r="AO263" s="187">
        <v>198769</v>
      </c>
      <c r="AP263" s="187">
        <v>195853</v>
      </c>
      <c r="AQ263" s="187">
        <v>193745</v>
      </c>
      <c r="AR263" s="187">
        <v>190807</v>
      </c>
      <c r="AS263" s="187">
        <v>183945</v>
      </c>
      <c r="AT263" s="187">
        <v>178759</v>
      </c>
      <c r="AU263" s="187">
        <v>171664</v>
      </c>
      <c r="AV263" s="187">
        <v>166337</v>
      </c>
      <c r="AW263" s="187">
        <v>162831</v>
      </c>
      <c r="AX263" s="187">
        <v>161136</v>
      </c>
      <c r="AY263" s="187">
        <v>161796</v>
      </c>
      <c r="AZ263" s="187">
        <v>161996</v>
      </c>
      <c r="BA263" s="187">
        <v>166164</v>
      </c>
      <c r="BB263" s="187">
        <v>169662</v>
      </c>
      <c r="BC263" s="187">
        <v>175567</v>
      </c>
      <c r="BD263" s="187">
        <v>178186</v>
      </c>
      <c r="BE263" s="187">
        <v>166394</v>
      </c>
      <c r="BF263" s="187">
        <v>164196</v>
      </c>
      <c r="BG263" s="187">
        <v>158416</v>
      </c>
      <c r="BH263" s="187">
        <v>153748</v>
      </c>
      <c r="BI263" s="187">
        <v>153486</v>
      </c>
      <c r="BJ263" s="187">
        <v>152930</v>
      </c>
      <c r="BK263" s="187">
        <v>158286</v>
      </c>
      <c r="BL263" s="187">
        <v>159157</v>
      </c>
      <c r="BM263" s="187">
        <v>157849</v>
      </c>
      <c r="BN263" s="187">
        <v>157272</v>
      </c>
      <c r="BO263" s="187">
        <v>152425</v>
      </c>
      <c r="BP263" s="187">
        <v>148033</v>
      </c>
      <c r="BQ263" s="187">
        <v>145800</v>
      </c>
      <c r="BR263" s="187">
        <v>141218</v>
      </c>
      <c r="BS263" s="187">
        <v>138158</v>
      </c>
      <c r="BT263" s="187">
        <v>133296</v>
      </c>
      <c r="BU263" s="187">
        <v>129837</v>
      </c>
      <c r="BV263" s="187">
        <v>127061</v>
      </c>
      <c r="BW263" s="187">
        <v>122283</v>
      </c>
      <c r="BX263" s="187">
        <v>120369</v>
      </c>
      <c r="BY263" s="187">
        <v>116717</v>
      </c>
      <c r="BZ263" s="187">
        <v>111684</v>
      </c>
      <c r="CA263" s="187">
        <v>110808</v>
      </c>
      <c r="CB263" s="187">
        <v>112447</v>
      </c>
      <c r="CC263" s="187">
        <v>93596</v>
      </c>
      <c r="CD263" s="187">
        <v>88173</v>
      </c>
      <c r="CE263" s="187">
        <v>82884</v>
      </c>
      <c r="CF263" s="187">
        <v>73638</v>
      </c>
      <c r="CG263" s="187">
        <v>71149</v>
      </c>
      <c r="CH263" s="187">
        <v>65289</v>
      </c>
      <c r="CI263" s="187">
        <v>61035</v>
      </c>
      <c r="CJ263" s="187">
        <v>56532</v>
      </c>
      <c r="CK263" s="187">
        <v>51848</v>
      </c>
      <c r="CL263" s="187">
        <v>47480</v>
      </c>
      <c r="CM263" s="187">
        <v>42949</v>
      </c>
      <c r="CN263" s="187">
        <v>37654</v>
      </c>
      <c r="CO263" s="187">
        <v>33434</v>
      </c>
      <c r="CP263" s="187">
        <v>29904</v>
      </c>
      <c r="CQ263" s="187">
        <v>26296</v>
      </c>
      <c r="CR263" s="187">
        <v>23700</v>
      </c>
      <c r="CS263" s="187">
        <v>20209</v>
      </c>
      <c r="CT263" s="187">
        <v>16314</v>
      </c>
      <c r="CU263" s="187">
        <v>13362</v>
      </c>
      <c r="CV263" s="187">
        <v>10558</v>
      </c>
      <c r="CW263" s="187">
        <v>8117</v>
      </c>
      <c r="CX263" s="187">
        <v>5937</v>
      </c>
      <c r="CY263" s="187">
        <v>4225</v>
      </c>
      <c r="CZ263" s="187">
        <v>2932</v>
      </c>
      <c r="DA263" s="187">
        <v>5978</v>
      </c>
      <c r="DB263" s="183">
        <f t="shared" si="66"/>
        <v>13478153</v>
      </c>
      <c r="DC263" s="184">
        <f t="shared" si="67"/>
        <v>13.478153000000001</v>
      </c>
      <c r="DD263" s="186">
        <f t="shared" si="68"/>
        <v>1.6318444439652104E-2</v>
      </c>
    </row>
    <row r="264" spans="1:108" x14ac:dyDescent="0.2">
      <c r="A264" s="180"/>
      <c r="B264" s="180"/>
      <c r="C264" s="180"/>
      <c r="D264" s="181">
        <v>2023</v>
      </c>
      <c r="E264" s="187">
        <v>172007</v>
      </c>
      <c r="F264" s="187">
        <v>170154</v>
      </c>
      <c r="G264" s="187">
        <v>168899</v>
      </c>
      <c r="H264" s="187">
        <v>167695</v>
      </c>
      <c r="I264" s="187">
        <v>166391</v>
      </c>
      <c r="J264" s="187">
        <v>164972</v>
      </c>
      <c r="K264" s="187">
        <v>158438</v>
      </c>
      <c r="L264" s="187">
        <v>166110</v>
      </c>
      <c r="M264" s="187">
        <v>163565</v>
      </c>
      <c r="N264" s="187">
        <v>162994</v>
      </c>
      <c r="O264" s="187">
        <v>164492</v>
      </c>
      <c r="P264" s="187">
        <v>162798</v>
      </c>
      <c r="Q264" s="187">
        <v>162270</v>
      </c>
      <c r="R264" s="187">
        <v>163070</v>
      </c>
      <c r="S264" s="187">
        <v>160541</v>
      </c>
      <c r="T264" s="187">
        <v>161377</v>
      </c>
      <c r="U264" s="187">
        <v>160413</v>
      </c>
      <c r="V264" s="187">
        <v>156986</v>
      </c>
      <c r="W264" s="187">
        <v>154960</v>
      </c>
      <c r="X264" s="187">
        <v>158761</v>
      </c>
      <c r="Y264" s="187">
        <v>163663</v>
      </c>
      <c r="Z264" s="187">
        <v>168110</v>
      </c>
      <c r="AA264" s="187">
        <v>176252</v>
      </c>
      <c r="AB264" s="187">
        <v>184480</v>
      </c>
      <c r="AC264" s="187">
        <v>189448</v>
      </c>
      <c r="AD264" s="187">
        <v>193645</v>
      </c>
      <c r="AE264" s="187">
        <v>197298</v>
      </c>
      <c r="AF264" s="187">
        <v>199978</v>
      </c>
      <c r="AG264" s="187">
        <v>204511</v>
      </c>
      <c r="AH264" s="187">
        <v>205625</v>
      </c>
      <c r="AI264" s="187">
        <v>204165</v>
      </c>
      <c r="AJ264" s="187">
        <v>203934</v>
      </c>
      <c r="AK264" s="187">
        <v>206461</v>
      </c>
      <c r="AL264" s="187">
        <v>208078</v>
      </c>
      <c r="AM264" s="187">
        <v>204002</v>
      </c>
      <c r="AN264" s="187">
        <v>202538</v>
      </c>
      <c r="AO264" s="187">
        <v>199855</v>
      </c>
      <c r="AP264" s="187">
        <v>200335</v>
      </c>
      <c r="AQ264" s="187">
        <v>197244</v>
      </c>
      <c r="AR264" s="187">
        <v>195005</v>
      </c>
      <c r="AS264" s="187">
        <v>191960</v>
      </c>
      <c r="AT264" s="187">
        <v>184954</v>
      </c>
      <c r="AU264" s="187">
        <v>179623</v>
      </c>
      <c r="AV264" s="187">
        <v>172425</v>
      </c>
      <c r="AW264" s="187">
        <v>167009</v>
      </c>
      <c r="AX264" s="187">
        <v>163375</v>
      </c>
      <c r="AY264" s="187">
        <v>161559</v>
      </c>
      <c r="AZ264" s="187">
        <v>162108</v>
      </c>
      <c r="BA264" s="187">
        <v>162178</v>
      </c>
      <c r="BB264" s="187">
        <v>166259</v>
      </c>
      <c r="BC264" s="187">
        <v>169673</v>
      </c>
      <c r="BD264" s="187">
        <v>175494</v>
      </c>
      <c r="BE264" s="187">
        <v>178085</v>
      </c>
      <c r="BF264" s="187">
        <v>166294</v>
      </c>
      <c r="BG264" s="187">
        <v>164068</v>
      </c>
      <c r="BH264" s="187">
        <v>158255</v>
      </c>
      <c r="BI264" s="187">
        <v>153541</v>
      </c>
      <c r="BJ264" s="187">
        <v>153279</v>
      </c>
      <c r="BK264" s="187">
        <v>152731</v>
      </c>
      <c r="BL264" s="187">
        <v>158058</v>
      </c>
      <c r="BM264" s="187">
        <v>158899</v>
      </c>
      <c r="BN264" s="187">
        <v>157561</v>
      </c>
      <c r="BO264" s="187">
        <v>156927</v>
      </c>
      <c r="BP264" s="187">
        <v>152018</v>
      </c>
      <c r="BQ264" s="187">
        <v>147566</v>
      </c>
      <c r="BR264" s="187">
        <v>145227</v>
      </c>
      <c r="BS264" s="187">
        <v>140561</v>
      </c>
      <c r="BT264" s="187">
        <v>137423</v>
      </c>
      <c r="BU264" s="187">
        <v>132482</v>
      </c>
      <c r="BV264" s="187">
        <v>128928</v>
      </c>
      <c r="BW264" s="187">
        <v>126040</v>
      </c>
      <c r="BX264" s="187">
        <v>121162</v>
      </c>
      <c r="BY264" s="187">
        <v>119113</v>
      </c>
      <c r="BZ264" s="187">
        <v>115336</v>
      </c>
      <c r="CA264" s="187">
        <v>110182</v>
      </c>
      <c r="CB264" s="187">
        <v>109124</v>
      </c>
      <c r="CC264" s="187">
        <v>110520</v>
      </c>
      <c r="CD264" s="187">
        <v>91782</v>
      </c>
      <c r="CE264" s="187">
        <v>86242</v>
      </c>
      <c r="CF264" s="187">
        <v>80827</v>
      </c>
      <c r="CG264" s="187">
        <v>71558</v>
      </c>
      <c r="CH264" s="187">
        <v>68850</v>
      </c>
      <c r="CI264" s="187">
        <v>62862</v>
      </c>
      <c r="CJ264" s="187">
        <v>58415</v>
      </c>
      <c r="CK264" s="187">
        <v>53730</v>
      </c>
      <c r="CL264" s="187">
        <v>48870</v>
      </c>
      <c r="CM264" s="187">
        <v>44346</v>
      </c>
      <c r="CN264" s="187">
        <v>39699</v>
      </c>
      <c r="CO264" s="187">
        <v>34369</v>
      </c>
      <c r="CP264" s="187">
        <v>30106</v>
      </c>
      <c r="CQ264" s="187">
        <v>26515</v>
      </c>
      <c r="CR264" s="187">
        <v>22922</v>
      </c>
      <c r="CS264" s="187">
        <v>20267</v>
      </c>
      <c r="CT264" s="187">
        <v>16906</v>
      </c>
      <c r="CU264" s="187">
        <v>13326</v>
      </c>
      <c r="CV264" s="187">
        <v>10636</v>
      </c>
      <c r="CW264" s="187">
        <v>8173</v>
      </c>
      <c r="CX264" s="187">
        <v>6100</v>
      </c>
      <c r="CY264" s="187">
        <v>4330</v>
      </c>
      <c r="CZ264" s="187">
        <v>3017</v>
      </c>
      <c r="DA264" s="187">
        <v>6431</v>
      </c>
      <c r="DB264" s="183">
        <f t="shared" si="66"/>
        <v>13691796</v>
      </c>
      <c r="DC264" s="184">
        <f t="shared" si="67"/>
        <v>13.691796</v>
      </c>
      <c r="DD264" s="186">
        <f t="shared" si="68"/>
        <v>1.5851059117669857E-2</v>
      </c>
    </row>
    <row r="265" spans="1:108" x14ac:dyDescent="0.2">
      <c r="A265" s="180"/>
      <c r="B265" s="180"/>
      <c r="C265" s="180"/>
      <c r="D265" s="181">
        <v>2024</v>
      </c>
      <c r="E265" s="187">
        <v>174363</v>
      </c>
      <c r="F265" s="187">
        <v>172713</v>
      </c>
      <c r="G265" s="187">
        <v>171643</v>
      </c>
      <c r="H265" s="187">
        <v>170617</v>
      </c>
      <c r="I265" s="187">
        <v>169466</v>
      </c>
      <c r="J265" s="187">
        <v>168108</v>
      </c>
      <c r="K265" s="187">
        <v>166513</v>
      </c>
      <c r="L265" s="187">
        <v>159771</v>
      </c>
      <c r="M265" s="187">
        <v>167332</v>
      </c>
      <c r="N265" s="187">
        <v>164739</v>
      </c>
      <c r="O265" s="187">
        <v>164118</v>
      </c>
      <c r="P265" s="187">
        <v>165558</v>
      </c>
      <c r="Q265" s="187">
        <v>163844</v>
      </c>
      <c r="R265" s="187">
        <v>163333</v>
      </c>
      <c r="S265" s="187">
        <v>164278</v>
      </c>
      <c r="T265" s="187">
        <v>162146</v>
      </c>
      <c r="U265" s="187">
        <v>163393</v>
      </c>
      <c r="V265" s="187">
        <v>163183</v>
      </c>
      <c r="W265" s="187">
        <v>161787</v>
      </c>
      <c r="X265" s="187">
        <v>161636</v>
      </c>
      <c r="Y265" s="187">
        <v>165186</v>
      </c>
      <c r="Z265" s="187">
        <v>169244</v>
      </c>
      <c r="AA265" s="187">
        <v>174733</v>
      </c>
      <c r="AB265" s="187">
        <v>184181</v>
      </c>
      <c r="AC265" s="187">
        <v>191349</v>
      </c>
      <c r="AD265" s="187">
        <v>194709</v>
      </c>
      <c r="AE265" s="187">
        <v>198314</v>
      </c>
      <c r="AF265" s="187">
        <v>201684</v>
      </c>
      <c r="AG265" s="187">
        <v>204013</v>
      </c>
      <c r="AH265" s="187">
        <v>208162</v>
      </c>
      <c r="AI265" s="187">
        <v>208932</v>
      </c>
      <c r="AJ265" s="187">
        <v>206999</v>
      </c>
      <c r="AK265" s="187">
        <v>206391</v>
      </c>
      <c r="AL265" s="187">
        <v>208831</v>
      </c>
      <c r="AM265" s="187">
        <v>210323</v>
      </c>
      <c r="AN265" s="187">
        <v>205964</v>
      </c>
      <c r="AO265" s="187">
        <v>204248</v>
      </c>
      <c r="AP265" s="187">
        <v>201380</v>
      </c>
      <c r="AQ265" s="187">
        <v>201685</v>
      </c>
      <c r="AR265" s="187">
        <v>198468</v>
      </c>
      <c r="AS265" s="187">
        <v>196126</v>
      </c>
      <c r="AT265" s="187">
        <v>192935</v>
      </c>
      <c r="AU265" s="187">
        <v>185787</v>
      </c>
      <c r="AV265" s="187">
        <v>180356</v>
      </c>
      <c r="AW265" s="187">
        <v>173070</v>
      </c>
      <c r="AX265" s="187">
        <v>167531</v>
      </c>
      <c r="AY265" s="187">
        <v>163781</v>
      </c>
      <c r="AZ265" s="187">
        <v>161859</v>
      </c>
      <c r="BA265" s="187">
        <v>162281</v>
      </c>
      <c r="BB265" s="187">
        <v>162271</v>
      </c>
      <c r="BC265" s="187">
        <v>166269</v>
      </c>
      <c r="BD265" s="187">
        <v>169607</v>
      </c>
      <c r="BE265" s="187">
        <v>175394</v>
      </c>
      <c r="BF265" s="187">
        <v>177953</v>
      </c>
      <c r="BG265" s="187">
        <v>166157</v>
      </c>
      <c r="BH265" s="187">
        <v>163889</v>
      </c>
      <c r="BI265" s="187">
        <v>158033</v>
      </c>
      <c r="BJ265" s="187">
        <v>153331</v>
      </c>
      <c r="BK265" s="187">
        <v>153072</v>
      </c>
      <c r="BL265" s="187">
        <v>152516</v>
      </c>
      <c r="BM265" s="187">
        <v>157799</v>
      </c>
      <c r="BN265" s="187">
        <v>158602</v>
      </c>
      <c r="BO265" s="187">
        <v>157211</v>
      </c>
      <c r="BP265" s="187">
        <v>156497</v>
      </c>
      <c r="BQ265" s="187">
        <v>151528</v>
      </c>
      <c r="BR265" s="187">
        <v>146985</v>
      </c>
      <c r="BS265" s="187">
        <v>144548</v>
      </c>
      <c r="BT265" s="187">
        <v>139814</v>
      </c>
      <c r="BU265" s="187">
        <v>136586</v>
      </c>
      <c r="BV265" s="187">
        <v>131557</v>
      </c>
      <c r="BW265" s="187">
        <v>127896</v>
      </c>
      <c r="BX265" s="187">
        <v>124890</v>
      </c>
      <c r="BY265" s="187">
        <v>119909</v>
      </c>
      <c r="BZ265" s="187">
        <v>117713</v>
      </c>
      <c r="CA265" s="187">
        <v>113794</v>
      </c>
      <c r="CB265" s="187">
        <v>108521</v>
      </c>
      <c r="CC265" s="187">
        <v>107268</v>
      </c>
      <c r="CD265" s="187">
        <v>108390</v>
      </c>
      <c r="CE265" s="187">
        <v>89785</v>
      </c>
      <c r="CF265" s="187">
        <v>84116</v>
      </c>
      <c r="CG265" s="187">
        <v>78558</v>
      </c>
      <c r="CH265" s="187">
        <v>69259</v>
      </c>
      <c r="CI265" s="187">
        <v>66303</v>
      </c>
      <c r="CJ265" s="187">
        <v>60178</v>
      </c>
      <c r="CK265" s="187">
        <v>55535</v>
      </c>
      <c r="CL265" s="187">
        <v>50658</v>
      </c>
      <c r="CM265" s="187">
        <v>45658</v>
      </c>
      <c r="CN265" s="187">
        <v>41003</v>
      </c>
      <c r="CO265" s="187">
        <v>36249</v>
      </c>
      <c r="CP265" s="187">
        <v>30960</v>
      </c>
      <c r="CQ265" s="187">
        <v>26706</v>
      </c>
      <c r="CR265" s="187">
        <v>23124</v>
      </c>
      <c r="CS265" s="187">
        <v>19611</v>
      </c>
      <c r="CT265" s="187">
        <v>16962</v>
      </c>
      <c r="CU265" s="187">
        <v>13816</v>
      </c>
      <c r="CV265" s="187">
        <v>10610</v>
      </c>
      <c r="CW265" s="187">
        <v>8235</v>
      </c>
      <c r="CX265" s="187">
        <v>6143</v>
      </c>
      <c r="CY265" s="187">
        <v>4450</v>
      </c>
      <c r="CZ265" s="187">
        <v>3091</v>
      </c>
      <c r="DA265" s="187">
        <v>6824</v>
      </c>
      <c r="DB265" s="183">
        <f t="shared" si="66"/>
        <v>13902897</v>
      </c>
      <c r="DC265" s="184">
        <f t="shared" si="67"/>
        <v>13.902896999999999</v>
      </c>
      <c r="DD265" s="186">
        <f t="shared" si="68"/>
        <v>1.5418064949258615E-2</v>
      </c>
    </row>
    <row r="266" spans="1:108" x14ac:dyDescent="0.2">
      <c r="A266" s="180"/>
      <c r="B266" s="180"/>
      <c r="C266" s="180"/>
      <c r="D266" s="181">
        <v>2025</v>
      </c>
      <c r="E266" s="187">
        <v>176503</v>
      </c>
      <c r="F266" s="187">
        <v>175047</v>
      </c>
      <c r="G266" s="187">
        <v>174161</v>
      </c>
      <c r="H266" s="187">
        <v>173312</v>
      </c>
      <c r="I266" s="187">
        <v>172337</v>
      </c>
      <c r="J266" s="187">
        <v>171133</v>
      </c>
      <c r="K266" s="187">
        <v>169605</v>
      </c>
      <c r="L266" s="187">
        <v>167807</v>
      </c>
      <c r="M266" s="187">
        <v>160958</v>
      </c>
      <c r="N266" s="187">
        <v>168472</v>
      </c>
      <c r="O266" s="187">
        <v>165830</v>
      </c>
      <c r="P266" s="187">
        <v>165153</v>
      </c>
      <c r="Q266" s="187">
        <v>166574</v>
      </c>
      <c r="R266" s="187">
        <v>164878</v>
      </c>
      <c r="S266" s="187">
        <v>164506</v>
      </c>
      <c r="T266" s="187">
        <v>165837</v>
      </c>
      <c r="U266" s="187">
        <v>164104</v>
      </c>
      <c r="V266" s="187">
        <v>166082</v>
      </c>
      <c r="W266" s="187">
        <v>167845</v>
      </c>
      <c r="X266" s="187">
        <v>168270</v>
      </c>
      <c r="Y266" s="187">
        <v>167879</v>
      </c>
      <c r="Z266" s="187">
        <v>170607</v>
      </c>
      <c r="AA266" s="187">
        <v>175677</v>
      </c>
      <c r="AB266" s="187">
        <v>182436</v>
      </c>
      <c r="AC266" s="187">
        <v>190853</v>
      </c>
      <c r="AD266" s="187">
        <v>196458</v>
      </c>
      <c r="AE266" s="187">
        <v>199243</v>
      </c>
      <c r="AF266" s="187">
        <v>202573</v>
      </c>
      <c r="AG266" s="187">
        <v>205602</v>
      </c>
      <c r="AH266" s="187">
        <v>207558</v>
      </c>
      <c r="AI266" s="187">
        <v>211372</v>
      </c>
      <c r="AJ266" s="187">
        <v>211682</v>
      </c>
      <c r="AK266" s="187">
        <v>209383</v>
      </c>
      <c r="AL266" s="187">
        <v>208691</v>
      </c>
      <c r="AM266" s="187">
        <v>211009</v>
      </c>
      <c r="AN266" s="187">
        <v>212225</v>
      </c>
      <c r="AO266" s="187">
        <v>207618</v>
      </c>
      <c r="AP266" s="187">
        <v>205725</v>
      </c>
      <c r="AQ266" s="187">
        <v>202687</v>
      </c>
      <c r="AR266" s="187">
        <v>202867</v>
      </c>
      <c r="AS266" s="187">
        <v>199550</v>
      </c>
      <c r="AT266" s="187">
        <v>197065</v>
      </c>
      <c r="AU266" s="187">
        <v>193732</v>
      </c>
      <c r="AV266" s="187">
        <v>186488</v>
      </c>
      <c r="AW266" s="187">
        <v>180971</v>
      </c>
      <c r="AX266" s="187">
        <v>173565</v>
      </c>
      <c r="AY266" s="187">
        <v>167915</v>
      </c>
      <c r="AZ266" s="187">
        <v>164064</v>
      </c>
      <c r="BA266" s="187">
        <v>162021</v>
      </c>
      <c r="BB266" s="187">
        <v>162364</v>
      </c>
      <c r="BC266" s="187">
        <v>162280</v>
      </c>
      <c r="BD266" s="187">
        <v>166203</v>
      </c>
      <c r="BE266" s="187">
        <v>169512</v>
      </c>
      <c r="BF266" s="187">
        <v>175261</v>
      </c>
      <c r="BG266" s="187">
        <v>177782</v>
      </c>
      <c r="BH266" s="187">
        <v>165967</v>
      </c>
      <c r="BI266" s="187">
        <v>163647</v>
      </c>
      <c r="BJ266" s="187">
        <v>157803</v>
      </c>
      <c r="BK266" s="187">
        <v>153119</v>
      </c>
      <c r="BL266" s="187">
        <v>152850</v>
      </c>
      <c r="BM266" s="187">
        <v>152270</v>
      </c>
      <c r="BN266" s="187">
        <v>157500</v>
      </c>
      <c r="BO266" s="187">
        <v>158242</v>
      </c>
      <c r="BP266" s="187">
        <v>156778</v>
      </c>
      <c r="BQ266" s="187">
        <v>155984</v>
      </c>
      <c r="BR266" s="187">
        <v>150926</v>
      </c>
      <c r="BS266" s="187">
        <v>146298</v>
      </c>
      <c r="BT266" s="187">
        <v>143778</v>
      </c>
      <c r="BU266" s="187">
        <v>138963</v>
      </c>
      <c r="BV266" s="187">
        <v>135633</v>
      </c>
      <c r="BW266" s="187">
        <v>130509</v>
      </c>
      <c r="BX266" s="187">
        <v>126735</v>
      </c>
      <c r="BY266" s="187">
        <v>123605</v>
      </c>
      <c r="BZ266" s="187">
        <v>118509</v>
      </c>
      <c r="CA266" s="187">
        <v>116148</v>
      </c>
      <c r="CB266" s="187">
        <v>112089</v>
      </c>
      <c r="CC266" s="187">
        <v>106688</v>
      </c>
      <c r="CD266" s="187">
        <v>105216</v>
      </c>
      <c r="CE266" s="187">
        <v>106046</v>
      </c>
      <c r="CF266" s="187">
        <v>87585</v>
      </c>
      <c r="CG266" s="187">
        <v>81770</v>
      </c>
      <c r="CH266" s="187">
        <v>76048</v>
      </c>
      <c r="CI266" s="187">
        <v>66712</v>
      </c>
      <c r="CJ266" s="187">
        <v>63487</v>
      </c>
      <c r="CK266" s="187">
        <v>57224</v>
      </c>
      <c r="CL266" s="187">
        <v>52375</v>
      </c>
      <c r="CM266" s="187">
        <v>47343</v>
      </c>
      <c r="CN266" s="187">
        <v>42229</v>
      </c>
      <c r="CO266" s="187">
        <v>37455</v>
      </c>
      <c r="CP266" s="187">
        <v>32668</v>
      </c>
      <c r="CQ266" s="187">
        <v>27477</v>
      </c>
      <c r="CR266" s="187">
        <v>23301</v>
      </c>
      <c r="CS266" s="187">
        <v>19793</v>
      </c>
      <c r="CT266" s="187">
        <v>16420</v>
      </c>
      <c r="CU266" s="187">
        <v>13866</v>
      </c>
      <c r="CV266" s="187">
        <v>11004</v>
      </c>
      <c r="CW266" s="187">
        <v>8215</v>
      </c>
      <c r="CX266" s="187">
        <v>6190</v>
      </c>
      <c r="CY266" s="187">
        <v>4481</v>
      </c>
      <c r="CZ266" s="187">
        <v>3177</v>
      </c>
      <c r="DA266" s="187">
        <v>7167</v>
      </c>
      <c r="DB266" s="183">
        <f t="shared" si="66"/>
        <v>14110622</v>
      </c>
      <c r="DC266" s="184">
        <f t="shared" si="67"/>
        <v>14.110621999999999</v>
      </c>
      <c r="DD266" s="186">
        <f t="shared" si="68"/>
        <v>1.4941130614720079E-2</v>
      </c>
    </row>
    <row r="267" spans="1:108" x14ac:dyDescent="0.2">
      <c r="A267" s="180"/>
      <c r="B267" s="180"/>
      <c r="C267" s="180"/>
      <c r="D267" s="181">
        <v>2026</v>
      </c>
      <c r="E267" s="187">
        <v>178440</v>
      </c>
      <c r="F267" s="187">
        <v>177167</v>
      </c>
      <c r="G267" s="187">
        <v>176457</v>
      </c>
      <c r="H267" s="187">
        <v>175787</v>
      </c>
      <c r="I267" s="187">
        <v>174988</v>
      </c>
      <c r="J267" s="187">
        <v>173962</v>
      </c>
      <c r="K267" s="187">
        <v>172592</v>
      </c>
      <c r="L267" s="187">
        <v>170867</v>
      </c>
      <c r="M267" s="187">
        <v>168965</v>
      </c>
      <c r="N267" s="187">
        <v>162072</v>
      </c>
      <c r="O267" s="187">
        <v>169536</v>
      </c>
      <c r="P267" s="187">
        <v>166841</v>
      </c>
      <c r="Q267" s="187">
        <v>166143</v>
      </c>
      <c r="R267" s="187">
        <v>167581</v>
      </c>
      <c r="S267" s="187">
        <v>166021</v>
      </c>
      <c r="T267" s="187">
        <v>166025</v>
      </c>
      <c r="U267" s="187">
        <v>167744</v>
      </c>
      <c r="V267" s="187">
        <v>166725</v>
      </c>
      <c r="W267" s="187">
        <v>170625</v>
      </c>
      <c r="X267" s="187">
        <v>174163</v>
      </c>
      <c r="Y267" s="187">
        <v>174353</v>
      </c>
      <c r="Z267" s="187">
        <v>173163</v>
      </c>
      <c r="AA267" s="187">
        <v>176877</v>
      </c>
      <c r="AB267" s="187">
        <v>183185</v>
      </c>
      <c r="AC267" s="187">
        <v>188944</v>
      </c>
      <c r="AD267" s="187">
        <v>195833</v>
      </c>
      <c r="AE267" s="187">
        <v>200878</v>
      </c>
      <c r="AF267" s="187">
        <v>203396</v>
      </c>
      <c r="AG267" s="187">
        <v>206393</v>
      </c>
      <c r="AH267" s="187">
        <v>209058</v>
      </c>
      <c r="AI267" s="187">
        <v>210684</v>
      </c>
      <c r="AJ267" s="187">
        <v>214050</v>
      </c>
      <c r="AK267" s="187">
        <v>214005</v>
      </c>
      <c r="AL267" s="187">
        <v>211619</v>
      </c>
      <c r="AM267" s="187">
        <v>210814</v>
      </c>
      <c r="AN267" s="187">
        <v>212861</v>
      </c>
      <c r="AO267" s="187">
        <v>213833</v>
      </c>
      <c r="AP267" s="187">
        <v>209053</v>
      </c>
      <c r="AQ267" s="187">
        <v>206993</v>
      </c>
      <c r="AR267" s="187">
        <v>203835</v>
      </c>
      <c r="AS267" s="187">
        <v>203915</v>
      </c>
      <c r="AT267" s="187">
        <v>200459</v>
      </c>
      <c r="AU267" s="187">
        <v>197834</v>
      </c>
      <c r="AV267" s="187">
        <v>194404</v>
      </c>
      <c r="AW267" s="187">
        <v>187078</v>
      </c>
      <c r="AX267" s="187">
        <v>181439</v>
      </c>
      <c r="AY267" s="187">
        <v>173926</v>
      </c>
      <c r="AZ267" s="187">
        <v>168179</v>
      </c>
      <c r="BA267" s="187">
        <v>164214</v>
      </c>
      <c r="BB267" s="187">
        <v>162096</v>
      </c>
      <c r="BC267" s="187">
        <v>162365</v>
      </c>
      <c r="BD267" s="187">
        <v>162215</v>
      </c>
      <c r="BE267" s="187">
        <v>166110</v>
      </c>
      <c r="BF267" s="187">
        <v>169389</v>
      </c>
      <c r="BG267" s="187">
        <v>175091</v>
      </c>
      <c r="BH267" s="187">
        <v>177557</v>
      </c>
      <c r="BI267" s="187">
        <v>165714</v>
      </c>
      <c r="BJ267" s="187">
        <v>163396</v>
      </c>
      <c r="BK267" s="187">
        <v>157573</v>
      </c>
      <c r="BL267" s="187">
        <v>152889</v>
      </c>
      <c r="BM267" s="187">
        <v>152598</v>
      </c>
      <c r="BN267" s="187">
        <v>151988</v>
      </c>
      <c r="BO267" s="187">
        <v>157140</v>
      </c>
      <c r="BP267" s="187">
        <v>157799</v>
      </c>
      <c r="BQ267" s="187">
        <v>156263</v>
      </c>
      <c r="BR267" s="187">
        <v>155358</v>
      </c>
      <c r="BS267" s="187">
        <v>150219</v>
      </c>
      <c r="BT267" s="187">
        <v>145519</v>
      </c>
      <c r="BU267" s="187">
        <v>142903</v>
      </c>
      <c r="BV267" s="187">
        <v>137998</v>
      </c>
      <c r="BW267" s="187">
        <v>134556</v>
      </c>
      <c r="BX267" s="187">
        <v>129330</v>
      </c>
      <c r="BY267" s="187">
        <v>125438</v>
      </c>
      <c r="BZ267" s="187">
        <v>122169</v>
      </c>
      <c r="CA267" s="187">
        <v>116946</v>
      </c>
      <c r="CB267" s="187">
        <v>114420</v>
      </c>
      <c r="CC267" s="187">
        <v>110209</v>
      </c>
      <c r="CD267" s="187">
        <v>104661</v>
      </c>
      <c r="CE267" s="187">
        <v>102958</v>
      </c>
      <c r="CF267" s="187">
        <v>103463</v>
      </c>
      <c r="CG267" s="187">
        <v>85155</v>
      </c>
      <c r="CH267" s="187">
        <v>79173</v>
      </c>
      <c r="CI267" s="187">
        <v>73266</v>
      </c>
      <c r="CJ267" s="187">
        <v>63893</v>
      </c>
      <c r="CK267" s="187">
        <v>60386</v>
      </c>
      <c r="CL267" s="187">
        <v>53982</v>
      </c>
      <c r="CM267" s="187">
        <v>48962</v>
      </c>
      <c r="CN267" s="187">
        <v>43803</v>
      </c>
      <c r="CO267" s="187">
        <v>38589</v>
      </c>
      <c r="CP267" s="187">
        <v>33769</v>
      </c>
      <c r="CQ267" s="187">
        <v>29005</v>
      </c>
      <c r="CR267" s="187">
        <v>23985</v>
      </c>
      <c r="CS267" s="187">
        <v>19955</v>
      </c>
      <c r="CT267" s="187">
        <v>16580</v>
      </c>
      <c r="CU267" s="187">
        <v>13428</v>
      </c>
      <c r="CV267" s="187">
        <v>11046</v>
      </c>
      <c r="CW267" s="187">
        <v>8522</v>
      </c>
      <c r="CX267" s="187">
        <v>6176</v>
      </c>
      <c r="CY267" s="187">
        <v>4516</v>
      </c>
      <c r="CZ267" s="187">
        <v>3200</v>
      </c>
      <c r="DA267" s="187">
        <v>7480</v>
      </c>
      <c r="DB267" s="183">
        <f t="shared" si="66"/>
        <v>14315177</v>
      </c>
      <c r="DC267" s="184">
        <f t="shared" si="67"/>
        <v>14.315177</v>
      </c>
      <c r="DD267" s="186">
        <f t="shared" si="68"/>
        <v>1.4496526092187923E-2</v>
      </c>
    </row>
    <row r="268" spans="1:108" x14ac:dyDescent="0.2">
      <c r="A268" s="180"/>
      <c r="B268" s="180"/>
      <c r="C268" s="180"/>
      <c r="D268" s="181">
        <v>2027</v>
      </c>
      <c r="E268" s="187">
        <v>180176</v>
      </c>
      <c r="F268" s="187">
        <v>179085</v>
      </c>
      <c r="G268" s="187">
        <v>178534</v>
      </c>
      <c r="H268" s="187">
        <v>178034</v>
      </c>
      <c r="I268" s="187">
        <v>177412</v>
      </c>
      <c r="J268" s="187">
        <v>176563</v>
      </c>
      <c r="K268" s="187">
        <v>175376</v>
      </c>
      <c r="L268" s="187">
        <v>173815</v>
      </c>
      <c r="M268" s="187">
        <v>171990</v>
      </c>
      <c r="N268" s="187">
        <v>170044</v>
      </c>
      <c r="O268" s="187">
        <v>163105</v>
      </c>
      <c r="P268" s="187">
        <v>170516</v>
      </c>
      <c r="Q268" s="187">
        <v>167801</v>
      </c>
      <c r="R268" s="187">
        <v>167119</v>
      </c>
      <c r="S268" s="187">
        <v>168689</v>
      </c>
      <c r="T268" s="187">
        <v>167493</v>
      </c>
      <c r="U268" s="187">
        <v>167874</v>
      </c>
      <c r="V268" s="187">
        <v>170285</v>
      </c>
      <c r="W268" s="187">
        <v>171130</v>
      </c>
      <c r="X268" s="187">
        <v>176752</v>
      </c>
      <c r="Y268" s="187">
        <v>180061</v>
      </c>
      <c r="Z268" s="187">
        <v>179475</v>
      </c>
      <c r="AA268" s="187">
        <v>179242</v>
      </c>
      <c r="AB268" s="187">
        <v>184157</v>
      </c>
      <c r="AC268" s="187">
        <v>189495</v>
      </c>
      <c r="AD268" s="187">
        <v>193774</v>
      </c>
      <c r="AE268" s="187">
        <v>200120</v>
      </c>
      <c r="AF268" s="187">
        <v>204904</v>
      </c>
      <c r="AG268" s="187">
        <v>207100</v>
      </c>
      <c r="AH268" s="187">
        <v>209743</v>
      </c>
      <c r="AI268" s="187">
        <v>212090</v>
      </c>
      <c r="AJ268" s="187">
        <v>213279</v>
      </c>
      <c r="AK268" s="187">
        <v>216299</v>
      </c>
      <c r="AL268" s="187">
        <v>216170</v>
      </c>
      <c r="AM268" s="187">
        <v>213674</v>
      </c>
      <c r="AN268" s="187">
        <v>212607</v>
      </c>
      <c r="AO268" s="187">
        <v>214416</v>
      </c>
      <c r="AP268" s="187">
        <v>215218</v>
      </c>
      <c r="AQ268" s="187">
        <v>210277</v>
      </c>
      <c r="AR268" s="187">
        <v>208099</v>
      </c>
      <c r="AS268" s="187">
        <v>204846</v>
      </c>
      <c r="AT268" s="187">
        <v>204788</v>
      </c>
      <c r="AU268" s="187">
        <v>201197</v>
      </c>
      <c r="AV268" s="187">
        <v>198478</v>
      </c>
      <c r="AW268" s="187">
        <v>194960</v>
      </c>
      <c r="AX268" s="187">
        <v>187519</v>
      </c>
      <c r="AY268" s="187">
        <v>181773</v>
      </c>
      <c r="AZ268" s="187">
        <v>174171</v>
      </c>
      <c r="BA268" s="187">
        <v>168310</v>
      </c>
      <c r="BB268" s="187">
        <v>164276</v>
      </c>
      <c r="BC268" s="187">
        <v>162091</v>
      </c>
      <c r="BD268" s="187">
        <v>162294</v>
      </c>
      <c r="BE268" s="187">
        <v>162122</v>
      </c>
      <c r="BF268" s="187">
        <v>165985</v>
      </c>
      <c r="BG268" s="187">
        <v>169227</v>
      </c>
      <c r="BH268" s="187">
        <v>174868</v>
      </c>
      <c r="BI268" s="187">
        <v>177270</v>
      </c>
      <c r="BJ268" s="187">
        <v>165450</v>
      </c>
      <c r="BK268" s="187">
        <v>163141</v>
      </c>
      <c r="BL268" s="187">
        <v>157321</v>
      </c>
      <c r="BM268" s="187">
        <v>152629</v>
      </c>
      <c r="BN268" s="187">
        <v>152308</v>
      </c>
      <c r="BO268" s="187">
        <v>151645</v>
      </c>
      <c r="BP268" s="187">
        <v>156697</v>
      </c>
      <c r="BQ268" s="187">
        <v>157273</v>
      </c>
      <c r="BR268" s="187">
        <v>155633</v>
      </c>
      <c r="BS268" s="187">
        <v>154624</v>
      </c>
      <c r="BT268" s="187">
        <v>149416</v>
      </c>
      <c r="BU268" s="187">
        <v>144633</v>
      </c>
      <c r="BV268" s="187">
        <v>141908</v>
      </c>
      <c r="BW268" s="187">
        <v>136903</v>
      </c>
      <c r="BX268" s="187">
        <v>133343</v>
      </c>
      <c r="BY268" s="187">
        <v>128009</v>
      </c>
      <c r="BZ268" s="187">
        <v>123987</v>
      </c>
      <c r="CA268" s="187">
        <v>120564</v>
      </c>
      <c r="CB268" s="187">
        <v>115211</v>
      </c>
      <c r="CC268" s="187">
        <v>112508</v>
      </c>
      <c r="CD268" s="187">
        <v>108121</v>
      </c>
      <c r="CE268" s="187">
        <v>102421</v>
      </c>
      <c r="CF268" s="187">
        <v>100460</v>
      </c>
      <c r="CG268" s="187">
        <v>100600</v>
      </c>
      <c r="CH268" s="187">
        <v>82458</v>
      </c>
      <c r="CI268" s="187">
        <v>76286</v>
      </c>
      <c r="CJ268" s="187">
        <v>70178</v>
      </c>
      <c r="CK268" s="187">
        <v>60780</v>
      </c>
      <c r="CL268" s="187">
        <v>56974</v>
      </c>
      <c r="CM268" s="187">
        <v>50473</v>
      </c>
      <c r="CN268" s="187">
        <v>45309</v>
      </c>
      <c r="CO268" s="187">
        <v>40036</v>
      </c>
      <c r="CP268" s="187">
        <v>34799</v>
      </c>
      <c r="CQ268" s="187">
        <v>29991</v>
      </c>
      <c r="CR268" s="187">
        <v>25326</v>
      </c>
      <c r="CS268" s="187">
        <v>20546</v>
      </c>
      <c r="CT268" s="187">
        <v>16721</v>
      </c>
      <c r="CU268" s="187">
        <v>13562</v>
      </c>
      <c r="CV268" s="187">
        <v>10699</v>
      </c>
      <c r="CW268" s="187">
        <v>8556</v>
      </c>
      <c r="CX268" s="187">
        <v>6407</v>
      </c>
      <c r="CY268" s="187">
        <v>4506</v>
      </c>
      <c r="CZ268" s="187">
        <v>3225</v>
      </c>
      <c r="DA268" s="187">
        <v>7726</v>
      </c>
      <c r="DB268" s="183">
        <f t="shared" si="66"/>
        <v>14515531</v>
      </c>
      <c r="DC268" s="184">
        <f t="shared" si="67"/>
        <v>14.515530999999999</v>
      </c>
      <c r="DD268" s="186">
        <f t="shared" si="68"/>
        <v>1.3995914964935399E-2</v>
      </c>
    </row>
    <row r="269" spans="1:108" x14ac:dyDescent="0.2">
      <c r="A269" s="180"/>
      <c r="B269" s="180"/>
      <c r="C269" s="180"/>
      <c r="D269" s="181">
        <v>2028</v>
      </c>
      <c r="E269" s="187">
        <v>181725</v>
      </c>
      <c r="F269" s="187">
        <v>180822</v>
      </c>
      <c r="G269" s="187">
        <v>180452</v>
      </c>
      <c r="H269" s="187">
        <v>180110</v>
      </c>
      <c r="I269" s="187">
        <v>179659</v>
      </c>
      <c r="J269" s="187">
        <v>178987</v>
      </c>
      <c r="K269" s="187">
        <v>177977</v>
      </c>
      <c r="L269" s="187">
        <v>176599</v>
      </c>
      <c r="M269" s="187">
        <v>174938</v>
      </c>
      <c r="N269" s="187">
        <v>173069</v>
      </c>
      <c r="O269" s="187">
        <v>171076</v>
      </c>
      <c r="P269" s="187">
        <v>164087</v>
      </c>
      <c r="Q269" s="187">
        <v>171475</v>
      </c>
      <c r="R269" s="187">
        <v>168777</v>
      </c>
      <c r="S269" s="187">
        <v>168227</v>
      </c>
      <c r="T269" s="187">
        <v>170161</v>
      </c>
      <c r="U269" s="187">
        <v>169342</v>
      </c>
      <c r="V269" s="187">
        <v>170413</v>
      </c>
      <c r="W269" s="187">
        <v>174693</v>
      </c>
      <c r="X269" s="187">
        <v>177257</v>
      </c>
      <c r="Y269" s="187">
        <v>182650</v>
      </c>
      <c r="Z269" s="187">
        <v>185182</v>
      </c>
      <c r="AA269" s="187">
        <v>185555</v>
      </c>
      <c r="AB269" s="187">
        <v>186522</v>
      </c>
      <c r="AC269" s="187">
        <v>190467</v>
      </c>
      <c r="AD269" s="187">
        <v>194324</v>
      </c>
      <c r="AE269" s="187">
        <v>198061</v>
      </c>
      <c r="AF269" s="187">
        <v>204146</v>
      </c>
      <c r="AG269" s="187">
        <v>208607</v>
      </c>
      <c r="AH269" s="187">
        <v>210450</v>
      </c>
      <c r="AI269" s="187">
        <v>212774</v>
      </c>
      <c r="AJ269" s="187">
        <v>214685</v>
      </c>
      <c r="AK269" s="187">
        <v>215528</v>
      </c>
      <c r="AL269" s="187">
        <v>218463</v>
      </c>
      <c r="AM269" s="187">
        <v>218223</v>
      </c>
      <c r="AN269" s="187">
        <v>215465</v>
      </c>
      <c r="AO269" s="187">
        <v>214167</v>
      </c>
      <c r="AP269" s="187">
        <v>215801</v>
      </c>
      <c r="AQ269" s="187">
        <v>216438</v>
      </c>
      <c r="AR269" s="187">
        <v>211381</v>
      </c>
      <c r="AS269" s="187">
        <v>209107</v>
      </c>
      <c r="AT269" s="187">
        <v>205718</v>
      </c>
      <c r="AU269" s="187">
        <v>205522</v>
      </c>
      <c r="AV269" s="187">
        <v>201837</v>
      </c>
      <c r="AW269" s="187">
        <v>199030</v>
      </c>
      <c r="AX269" s="187">
        <v>195392</v>
      </c>
      <c r="AY269" s="187">
        <v>187846</v>
      </c>
      <c r="AZ269" s="187">
        <v>182007</v>
      </c>
      <c r="BA269" s="187">
        <v>174294</v>
      </c>
      <c r="BB269" s="187">
        <v>168366</v>
      </c>
      <c r="BC269" s="187">
        <v>164269</v>
      </c>
      <c r="BD269" s="187">
        <v>162021</v>
      </c>
      <c r="BE269" s="187">
        <v>162201</v>
      </c>
      <c r="BF269" s="187">
        <v>162006</v>
      </c>
      <c r="BG269" s="187">
        <v>165831</v>
      </c>
      <c r="BH269" s="187">
        <v>169019</v>
      </c>
      <c r="BI269" s="187">
        <v>174590</v>
      </c>
      <c r="BJ269" s="187">
        <v>176974</v>
      </c>
      <c r="BK269" s="187">
        <v>165188</v>
      </c>
      <c r="BL269" s="187">
        <v>162872</v>
      </c>
      <c r="BM269" s="187">
        <v>157045</v>
      </c>
      <c r="BN269" s="187">
        <v>152340</v>
      </c>
      <c r="BO269" s="187">
        <v>151965</v>
      </c>
      <c r="BP269" s="187">
        <v>151229</v>
      </c>
      <c r="BQ269" s="187">
        <v>156179</v>
      </c>
      <c r="BR269" s="187">
        <v>156644</v>
      </c>
      <c r="BS269" s="187">
        <v>154901</v>
      </c>
      <c r="BT269" s="187">
        <v>153797</v>
      </c>
      <c r="BU269" s="187">
        <v>148506</v>
      </c>
      <c r="BV269" s="187">
        <v>143629</v>
      </c>
      <c r="BW269" s="187">
        <v>140784</v>
      </c>
      <c r="BX269" s="187">
        <v>135674</v>
      </c>
      <c r="BY269" s="187">
        <v>131985</v>
      </c>
      <c r="BZ269" s="187">
        <v>126534</v>
      </c>
      <c r="CA269" s="187">
        <v>122363</v>
      </c>
      <c r="CB269" s="187">
        <v>118783</v>
      </c>
      <c r="CC269" s="187">
        <v>113292</v>
      </c>
      <c r="CD269" s="187">
        <v>110384</v>
      </c>
      <c r="CE269" s="187">
        <v>105816</v>
      </c>
      <c r="CF269" s="187">
        <v>99944</v>
      </c>
      <c r="CG269" s="187">
        <v>97690</v>
      </c>
      <c r="CH269" s="187">
        <v>97424</v>
      </c>
      <c r="CI269" s="187">
        <v>79460</v>
      </c>
      <c r="CJ269" s="187">
        <v>73080</v>
      </c>
      <c r="CK269" s="187">
        <v>66767</v>
      </c>
      <c r="CL269" s="187">
        <v>57355</v>
      </c>
      <c r="CM269" s="187">
        <v>53280</v>
      </c>
      <c r="CN269" s="187">
        <v>46716</v>
      </c>
      <c r="CO269" s="187">
        <v>41422</v>
      </c>
      <c r="CP269" s="187">
        <v>36112</v>
      </c>
      <c r="CQ269" s="187">
        <v>30914</v>
      </c>
      <c r="CR269" s="187">
        <v>26194</v>
      </c>
      <c r="CS269" s="187">
        <v>21702</v>
      </c>
      <c r="CT269" s="187">
        <v>17220</v>
      </c>
      <c r="CU269" s="187">
        <v>13681</v>
      </c>
      <c r="CV269" s="187">
        <v>10807</v>
      </c>
      <c r="CW269" s="187">
        <v>8287</v>
      </c>
      <c r="CX269" s="187">
        <v>6433</v>
      </c>
      <c r="CY269" s="187">
        <v>4675</v>
      </c>
      <c r="CZ269" s="187">
        <v>3217</v>
      </c>
      <c r="DA269" s="187">
        <v>7926</v>
      </c>
      <c r="DB269" s="183">
        <f t="shared" si="66"/>
        <v>14714981</v>
      </c>
      <c r="DC269" s="184">
        <f t="shared" si="67"/>
        <v>14.714981</v>
      </c>
      <c r="DD269" s="186">
        <f t="shared" si="68"/>
        <v>1.3740454965099147E-2</v>
      </c>
    </row>
    <row r="270" spans="1:108" ht="12.75" customHeight="1" x14ac:dyDescent="0.2">
      <c r="D270" s="181">
        <v>2029</v>
      </c>
      <c r="E270" s="187">
        <v>183132</v>
      </c>
      <c r="F270" s="187">
        <v>182372</v>
      </c>
      <c r="G270" s="187">
        <v>182189</v>
      </c>
      <c r="H270" s="187">
        <v>182028</v>
      </c>
      <c r="I270" s="187">
        <v>181735</v>
      </c>
      <c r="J270" s="187">
        <v>181234</v>
      </c>
      <c r="K270" s="187">
        <v>180400</v>
      </c>
      <c r="L270" s="187">
        <v>179200</v>
      </c>
      <c r="M270" s="187">
        <v>177722</v>
      </c>
      <c r="N270" s="187">
        <v>176017</v>
      </c>
      <c r="O270" s="187">
        <v>174101</v>
      </c>
      <c r="P270" s="187">
        <v>172057</v>
      </c>
      <c r="Q270" s="187">
        <v>165047</v>
      </c>
      <c r="R270" s="187">
        <v>172451</v>
      </c>
      <c r="S270" s="187">
        <v>169884</v>
      </c>
      <c r="T270" s="187">
        <v>169699</v>
      </c>
      <c r="U270" s="187">
        <v>172010</v>
      </c>
      <c r="V270" s="187">
        <v>171881</v>
      </c>
      <c r="W270" s="187">
        <v>174821</v>
      </c>
      <c r="X270" s="187">
        <v>180819</v>
      </c>
      <c r="Y270" s="187">
        <v>183154</v>
      </c>
      <c r="Z270" s="187">
        <v>187770</v>
      </c>
      <c r="AA270" s="187">
        <v>191260</v>
      </c>
      <c r="AB270" s="187">
        <v>192833</v>
      </c>
      <c r="AC270" s="187">
        <v>192831</v>
      </c>
      <c r="AD270" s="187">
        <v>195296</v>
      </c>
      <c r="AE270" s="187">
        <v>198611</v>
      </c>
      <c r="AF270" s="187">
        <v>202087</v>
      </c>
      <c r="AG270" s="187">
        <v>207849</v>
      </c>
      <c r="AH270" s="187">
        <v>211957</v>
      </c>
      <c r="AI270" s="187">
        <v>213483</v>
      </c>
      <c r="AJ270" s="187">
        <v>215369</v>
      </c>
      <c r="AK270" s="187">
        <v>216934</v>
      </c>
      <c r="AL270" s="187">
        <v>217692</v>
      </c>
      <c r="AM270" s="187">
        <v>220515</v>
      </c>
      <c r="AN270" s="187">
        <v>220012</v>
      </c>
      <c r="AO270" s="187">
        <v>217023</v>
      </c>
      <c r="AP270" s="187">
        <v>215552</v>
      </c>
      <c r="AQ270" s="187">
        <v>217021</v>
      </c>
      <c r="AR270" s="187">
        <v>217538</v>
      </c>
      <c r="AS270" s="187">
        <v>212386</v>
      </c>
      <c r="AT270" s="187">
        <v>209976</v>
      </c>
      <c r="AU270" s="187">
        <v>206453</v>
      </c>
      <c r="AV270" s="187">
        <v>206158</v>
      </c>
      <c r="AW270" s="187">
        <v>202385</v>
      </c>
      <c r="AX270" s="187">
        <v>199457</v>
      </c>
      <c r="AY270" s="187">
        <v>195709</v>
      </c>
      <c r="AZ270" s="187">
        <v>188072</v>
      </c>
      <c r="BA270" s="187">
        <v>182120</v>
      </c>
      <c r="BB270" s="187">
        <v>174340</v>
      </c>
      <c r="BC270" s="187">
        <v>168352</v>
      </c>
      <c r="BD270" s="187">
        <v>164195</v>
      </c>
      <c r="BE270" s="187">
        <v>161930</v>
      </c>
      <c r="BF270" s="187">
        <v>162086</v>
      </c>
      <c r="BG270" s="187">
        <v>161861</v>
      </c>
      <c r="BH270" s="187">
        <v>165631</v>
      </c>
      <c r="BI270" s="187">
        <v>168757</v>
      </c>
      <c r="BJ270" s="187">
        <v>174304</v>
      </c>
      <c r="BK270" s="187">
        <v>176676</v>
      </c>
      <c r="BL270" s="187">
        <v>164915</v>
      </c>
      <c r="BM270" s="187">
        <v>162578</v>
      </c>
      <c r="BN270" s="187">
        <v>156741</v>
      </c>
      <c r="BO270" s="187">
        <v>151999</v>
      </c>
      <c r="BP270" s="187">
        <v>151550</v>
      </c>
      <c r="BQ270" s="187">
        <v>150741</v>
      </c>
      <c r="BR270" s="187">
        <v>155557</v>
      </c>
      <c r="BS270" s="187">
        <v>155911</v>
      </c>
      <c r="BT270" s="187">
        <v>154075</v>
      </c>
      <c r="BU270" s="187">
        <v>152860</v>
      </c>
      <c r="BV270" s="187">
        <v>147479</v>
      </c>
      <c r="BW270" s="187">
        <v>142496</v>
      </c>
      <c r="BX270" s="187">
        <v>139523</v>
      </c>
      <c r="BY270" s="187">
        <v>134298</v>
      </c>
      <c r="BZ270" s="187">
        <v>130470</v>
      </c>
      <c r="CA270" s="187">
        <v>124884</v>
      </c>
      <c r="CB270" s="187">
        <v>120563</v>
      </c>
      <c r="CC270" s="187">
        <v>116810</v>
      </c>
      <c r="CD270" s="187">
        <v>111161</v>
      </c>
      <c r="CE270" s="187">
        <v>108040</v>
      </c>
      <c r="CF270" s="187">
        <v>103265</v>
      </c>
      <c r="CG270" s="187">
        <v>97198</v>
      </c>
      <c r="CH270" s="187">
        <v>94616</v>
      </c>
      <c r="CI270" s="187">
        <v>93892</v>
      </c>
      <c r="CJ270" s="187">
        <v>76130</v>
      </c>
      <c r="CK270" s="187">
        <v>69537</v>
      </c>
      <c r="CL270" s="187">
        <v>63016</v>
      </c>
      <c r="CM270" s="187">
        <v>53644</v>
      </c>
      <c r="CN270" s="187">
        <v>49324</v>
      </c>
      <c r="CO270" s="187">
        <v>42717</v>
      </c>
      <c r="CP270" s="187">
        <v>37372</v>
      </c>
      <c r="CQ270" s="187">
        <v>32089</v>
      </c>
      <c r="CR270" s="187">
        <v>27008</v>
      </c>
      <c r="CS270" s="187">
        <v>22451</v>
      </c>
      <c r="CT270" s="187">
        <v>18195</v>
      </c>
      <c r="CU270" s="187">
        <v>14092</v>
      </c>
      <c r="CV270" s="187">
        <v>10904</v>
      </c>
      <c r="CW270" s="187">
        <v>8372</v>
      </c>
      <c r="CX270" s="187">
        <v>6231</v>
      </c>
      <c r="CY270" s="187">
        <v>4693</v>
      </c>
      <c r="CZ270" s="187">
        <v>3339</v>
      </c>
      <c r="DA270" s="187">
        <v>8069</v>
      </c>
      <c r="DB270" s="183">
        <f>SUM(E270:DA270)</f>
        <v>14913239</v>
      </c>
      <c r="DC270" s="184">
        <f>DB270/1000000</f>
        <v>14.913239000000001</v>
      </c>
      <c r="DD270" s="186">
        <f>(DC270-DC269)/DC269</f>
        <v>1.3473208018413407E-2</v>
      </c>
    </row>
    <row r="271" spans="1:108" ht="12.75" customHeight="1" x14ac:dyDescent="0.2">
      <c r="D271" s="181">
        <v>2030</v>
      </c>
      <c r="E271" s="187">
        <v>184447</v>
      </c>
      <c r="F271" s="187">
        <v>183778</v>
      </c>
      <c r="G271" s="187">
        <v>183738</v>
      </c>
      <c r="H271" s="187">
        <v>183765</v>
      </c>
      <c r="I271" s="187">
        <v>183653</v>
      </c>
      <c r="J271" s="187">
        <v>183310</v>
      </c>
      <c r="K271" s="187">
        <v>182647</v>
      </c>
      <c r="L271" s="187">
        <v>181622</v>
      </c>
      <c r="M271" s="187">
        <v>180323</v>
      </c>
      <c r="N271" s="187">
        <v>178801</v>
      </c>
      <c r="O271" s="187">
        <v>177049</v>
      </c>
      <c r="P271" s="187">
        <v>175082</v>
      </c>
      <c r="Q271" s="187">
        <v>173016</v>
      </c>
      <c r="R271" s="187">
        <v>166023</v>
      </c>
      <c r="S271" s="187">
        <v>173558</v>
      </c>
      <c r="T271" s="187">
        <v>171356</v>
      </c>
      <c r="U271" s="187">
        <v>171548</v>
      </c>
      <c r="V271" s="187">
        <v>174548</v>
      </c>
      <c r="W271" s="187">
        <v>176289</v>
      </c>
      <c r="X271" s="187">
        <v>180947</v>
      </c>
      <c r="Y271" s="187">
        <v>186716</v>
      </c>
      <c r="Z271" s="187">
        <v>188274</v>
      </c>
      <c r="AA271" s="187">
        <v>193848</v>
      </c>
      <c r="AB271" s="187">
        <v>198537</v>
      </c>
      <c r="AC271" s="187">
        <v>199141</v>
      </c>
      <c r="AD271" s="187">
        <v>197660</v>
      </c>
      <c r="AE271" s="187">
        <v>199583</v>
      </c>
      <c r="AF271" s="187">
        <v>202637</v>
      </c>
      <c r="AG271" s="187">
        <v>205791</v>
      </c>
      <c r="AH271" s="187">
        <v>211199</v>
      </c>
      <c r="AI271" s="187">
        <v>214990</v>
      </c>
      <c r="AJ271" s="187">
        <v>216079</v>
      </c>
      <c r="AK271" s="187">
        <v>217618</v>
      </c>
      <c r="AL271" s="187">
        <v>219097</v>
      </c>
      <c r="AM271" s="187">
        <v>219744</v>
      </c>
      <c r="AN271" s="187">
        <v>222303</v>
      </c>
      <c r="AO271" s="187">
        <v>221568</v>
      </c>
      <c r="AP271" s="187">
        <v>218406</v>
      </c>
      <c r="AQ271" s="187">
        <v>216774</v>
      </c>
      <c r="AR271" s="187">
        <v>218120</v>
      </c>
      <c r="AS271" s="187">
        <v>218539</v>
      </c>
      <c r="AT271" s="187">
        <v>213252</v>
      </c>
      <c r="AU271" s="187">
        <v>210707</v>
      </c>
      <c r="AV271" s="187">
        <v>207088</v>
      </c>
      <c r="AW271" s="187">
        <v>206702</v>
      </c>
      <c r="AX271" s="187">
        <v>202808</v>
      </c>
      <c r="AY271" s="187">
        <v>199769</v>
      </c>
      <c r="AZ271" s="187">
        <v>195925</v>
      </c>
      <c r="BA271" s="187">
        <v>188176</v>
      </c>
      <c r="BB271" s="187">
        <v>182156</v>
      </c>
      <c r="BC271" s="187">
        <v>174315</v>
      </c>
      <c r="BD271" s="187">
        <v>168272</v>
      </c>
      <c r="BE271" s="187">
        <v>164100</v>
      </c>
      <c r="BF271" s="187">
        <v>161816</v>
      </c>
      <c r="BG271" s="187">
        <v>161941</v>
      </c>
      <c r="BH271" s="187">
        <v>161673</v>
      </c>
      <c r="BI271" s="187">
        <v>165378</v>
      </c>
      <c r="BJ271" s="187">
        <v>168488</v>
      </c>
      <c r="BK271" s="187">
        <v>174018</v>
      </c>
      <c r="BL271" s="187">
        <v>176365</v>
      </c>
      <c r="BM271" s="187">
        <v>164615</v>
      </c>
      <c r="BN271" s="187">
        <v>162254</v>
      </c>
      <c r="BO271" s="187">
        <v>156383</v>
      </c>
      <c r="BP271" s="187">
        <v>151587</v>
      </c>
      <c r="BQ271" s="187">
        <v>151063</v>
      </c>
      <c r="BR271" s="187">
        <v>150149</v>
      </c>
      <c r="BS271" s="187">
        <v>154833</v>
      </c>
      <c r="BT271" s="187">
        <v>155083</v>
      </c>
      <c r="BU271" s="187">
        <v>153142</v>
      </c>
      <c r="BV271" s="187">
        <v>151804</v>
      </c>
      <c r="BW271" s="187">
        <v>146319</v>
      </c>
      <c r="BX271" s="187">
        <v>141223</v>
      </c>
      <c r="BY271" s="187">
        <v>138112</v>
      </c>
      <c r="BZ271" s="187">
        <v>132762</v>
      </c>
      <c r="CA271" s="187">
        <v>128774</v>
      </c>
      <c r="CB271" s="187">
        <v>123052</v>
      </c>
      <c r="CC271" s="187">
        <v>118569</v>
      </c>
      <c r="CD271" s="187">
        <v>114622</v>
      </c>
      <c r="CE271" s="187">
        <v>108809</v>
      </c>
      <c r="CF271" s="187">
        <v>105444</v>
      </c>
      <c r="CG271" s="187">
        <v>100438</v>
      </c>
      <c r="CH271" s="187">
        <v>94147</v>
      </c>
      <c r="CI271" s="187">
        <v>91195</v>
      </c>
      <c r="CJ271" s="187">
        <v>89969</v>
      </c>
      <c r="CK271" s="187">
        <v>72450</v>
      </c>
      <c r="CL271" s="187">
        <v>65640</v>
      </c>
      <c r="CM271" s="187">
        <v>58950</v>
      </c>
      <c r="CN271" s="187">
        <v>49668</v>
      </c>
      <c r="CO271" s="187">
        <v>45113</v>
      </c>
      <c r="CP271" s="187">
        <v>38550</v>
      </c>
      <c r="CQ271" s="187">
        <v>33217</v>
      </c>
      <c r="CR271" s="187">
        <v>28042</v>
      </c>
      <c r="CS271" s="187">
        <v>23155</v>
      </c>
      <c r="CT271" s="187">
        <v>18828</v>
      </c>
      <c r="CU271" s="187">
        <v>14895</v>
      </c>
      <c r="CV271" s="187">
        <v>11234</v>
      </c>
      <c r="CW271" s="187">
        <v>8447</v>
      </c>
      <c r="CX271" s="187">
        <v>6295</v>
      </c>
      <c r="CY271" s="187">
        <v>4546</v>
      </c>
      <c r="CZ271" s="187">
        <v>3352</v>
      </c>
      <c r="DA271" s="187">
        <v>8260</v>
      </c>
      <c r="DB271" s="183">
        <f>SUM(E271:DA271)</f>
        <v>15110063</v>
      </c>
      <c r="DC271" s="184">
        <f>DB271/1000000</f>
        <v>15.110063</v>
      </c>
      <c r="DD271" s="186">
        <f>(DC271-DC270)/DC270</f>
        <v>1.3197937751818999E-2</v>
      </c>
    </row>
  </sheetData>
  <sheetProtection selectLockedCells="1"/>
  <mergeCells count="11">
    <mergeCell ref="X1:Z1"/>
    <mergeCell ref="J25:O25"/>
    <mergeCell ref="J43:O43"/>
    <mergeCell ref="J61:O61"/>
    <mergeCell ref="J79:O79"/>
    <mergeCell ref="J187:O187"/>
    <mergeCell ref="J97:O97"/>
    <mergeCell ref="J115:O115"/>
    <mergeCell ref="J133:O133"/>
    <mergeCell ref="J151:O151"/>
    <mergeCell ref="J169:O169"/>
  </mergeCells>
  <dataValidations count="2">
    <dataValidation type="list" allowBlank="1" showInputMessage="1" showErrorMessage="1" sqref="H22 H40 H58 H76 H94 H112 H130 H148 H166 H184">
      <formula1>Gender</formula1>
    </dataValidation>
    <dataValidation type="list" allowBlank="1" showInputMessage="1" showErrorMessage="1" sqref="D25 D43 D61 D169 D79 D97 D115 D133 D151 D187">
      <formula1>ABSRate</formula1>
    </dataValidation>
  </dataValidations>
  <pageMargins left="0.75" right="0.75" top="1" bottom="1" header="0.5" footer="0.5"/>
  <pageSetup paperSize="9" orientation="portrait" verticalDpi="0" r:id="rId1"/>
  <headerFooter alignWithMargins="0"/>
  <ignoredErrors>
    <ignoredError sqref="DB203:DB221 DB228:DB244 DB253:DB269 DB245:DB246 DB270:DB271" formulaRange="1"/>
  </ignoredError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theme="6"/>
  </sheetPr>
  <dimension ref="A1:AA188"/>
  <sheetViews>
    <sheetView showGridLines="0" zoomScaleNormal="100" workbookViewId="0"/>
  </sheetViews>
  <sheetFormatPr defaultColWidth="13" defaultRowHeight="12.75" customHeight="1" outlineLevelRow="1" x14ac:dyDescent="0.2"/>
  <cols>
    <col min="1" max="1" width="3.7109375" customWidth="1"/>
    <col min="2" max="3" width="3.7109375" hidden="1" customWidth="1"/>
    <col min="4" max="4" width="15.7109375" customWidth="1"/>
    <col min="5" max="10" width="10.7109375" customWidth="1"/>
    <col min="11" max="11" width="3.7109375" customWidth="1"/>
    <col min="12" max="23" width="10.7109375" customWidth="1"/>
    <col min="24" max="108" width="13" customWidth="1"/>
  </cols>
  <sheetData>
    <row r="1" spans="1:27" ht="23.25" x14ac:dyDescent="0.2">
      <c r="A1" s="107">
        <f>IF((SUM(E8:J17)&lt;&gt;0),2,0)</f>
        <v>0</v>
      </c>
      <c r="B1" s="117"/>
      <c r="C1" s="117"/>
      <c r="D1" s="116" t="s">
        <v>934</v>
      </c>
      <c r="E1" s="117"/>
      <c r="F1" s="117"/>
      <c r="G1" s="117"/>
      <c r="H1" s="117"/>
      <c r="I1" s="117"/>
      <c r="J1" s="117"/>
      <c r="K1" s="117"/>
      <c r="L1" s="117"/>
      <c r="M1" s="259"/>
      <c r="N1" s="259"/>
      <c r="O1" s="259"/>
      <c r="P1" s="259"/>
      <c r="Q1" s="259"/>
      <c r="R1" s="259"/>
      <c r="S1" s="259"/>
      <c r="T1" s="259"/>
      <c r="U1" s="259"/>
      <c r="V1" s="259"/>
      <c r="W1" s="259"/>
      <c r="X1" s="820" t="str">
        <f>IF(A1=0,MsgNotUsed,"")</f>
        <v>** NOT USED **</v>
      </c>
      <c r="Y1" s="820"/>
      <c r="Z1" s="820"/>
    </row>
    <row r="2" spans="1:27" ht="15.75" x14ac:dyDescent="0.2">
      <c r="A2" s="117"/>
      <c r="B2" s="117"/>
      <c r="C2" s="117"/>
      <c r="D2" s="110" t="str">
        <f>CONCATENATE("Name of medicine: ", MedicineBrand)</f>
        <v xml:space="preserve">Name of medicine: </v>
      </c>
      <c r="E2" s="117"/>
      <c r="F2" s="117"/>
      <c r="G2" s="117"/>
      <c r="H2" s="117"/>
      <c r="I2" s="117"/>
      <c r="J2" s="117"/>
      <c r="K2" s="117"/>
      <c r="L2" s="117"/>
      <c r="M2" s="259"/>
      <c r="N2" s="259"/>
      <c r="O2" s="259"/>
      <c r="P2" s="259"/>
      <c r="Q2" s="259"/>
      <c r="R2" s="259"/>
      <c r="S2" s="259"/>
      <c r="T2" s="259"/>
      <c r="U2" s="259"/>
      <c r="V2" s="259"/>
      <c r="W2" s="259"/>
      <c r="X2" s="259"/>
      <c r="Y2" s="259"/>
      <c r="Z2" s="259"/>
    </row>
    <row r="3" spans="1:27" ht="15.75" x14ac:dyDescent="0.2">
      <c r="A3" s="117"/>
      <c r="B3" s="117"/>
      <c r="C3" s="117"/>
      <c r="D3" s="110" t="str">
        <f>CONCATENATE("Indication: ",Indication)</f>
        <v xml:space="preserve">Indication: </v>
      </c>
      <c r="E3" s="117"/>
      <c r="F3" s="117"/>
      <c r="G3" s="117"/>
      <c r="H3" s="117"/>
      <c r="I3" s="117"/>
      <c r="J3" s="117"/>
      <c r="K3" s="117"/>
      <c r="L3" s="117"/>
      <c r="M3" s="259"/>
      <c r="N3" s="259"/>
      <c r="O3" s="259"/>
      <c r="P3" s="259"/>
      <c r="Q3" s="259"/>
      <c r="R3" s="259"/>
      <c r="S3" s="259"/>
      <c r="T3" s="259"/>
      <c r="U3" s="259"/>
      <c r="V3" s="259"/>
      <c r="W3" s="259"/>
      <c r="X3" s="259"/>
      <c r="Y3" s="259"/>
      <c r="Z3" s="259"/>
    </row>
    <row r="4" spans="1:27" x14ac:dyDescent="0.2">
      <c r="A4" s="125"/>
      <c r="B4" s="125"/>
      <c r="C4" s="125"/>
      <c r="D4" s="125"/>
      <c r="E4" s="125"/>
      <c r="F4" s="125"/>
      <c r="G4" s="125"/>
      <c r="H4" s="125"/>
      <c r="I4" s="125"/>
      <c r="J4" s="125"/>
      <c r="K4" s="125"/>
      <c r="L4" s="125"/>
      <c r="M4" s="125"/>
      <c r="N4" s="125"/>
      <c r="O4" s="125"/>
      <c r="P4" s="125"/>
      <c r="Q4" s="125"/>
      <c r="R4" s="125"/>
      <c r="S4" s="125"/>
      <c r="T4" s="125"/>
      <c r="U4" s="125"/>
      <c r="V4" s="125"/>
      <c r="W4" s="125"/>
      <c r="X4" s="125"/>
      <c r="Y4" s="125"/>
      <c r="Z4" s="125"/>
      <c r="AA4" s="615"/>
    </row>
    <row r="5" spans="1:27" ht="15.75" x14ac:dyDescent="0.2">
      <c r="A5" s="162"/>
      <c r="B5" s="162"/>
      <c r="C5" s="162"/>
      <c r="D5" s="123" t="s">
        <v>879</v>
      </c>
      <c r="E5" s="127"/>
      <c r="F5" s="127"/>
      <c r="G5" s="127"/>
      <c r="H5" s="127"/>
      <c r="I5" s="127"/>
      <c r="J5" s="127"/>
      <c r="K5" s="127"/>
      <c r="L5" s="127"/>
      <c r="M5" s="260"/>
      <c r="N5" s="260"/>
      <c r="O5" s="260"/>
      <c r="P5" s="260"/>
      <c r="Q5" s="260"/>
      <c r="R5" s="260"/>
      <c r="S5" s="260"/>
      <c r="T5" s="260"/>
      <c r="U5" s="260"/>
      <c r="V5" s="260"/>
      <c r="W5" s="260"/>
      <c r="X5" s="260"/>
      <c r="Y5" s="260"/>
      <c r="Z5" s="260"/>
    </row>
    <row r="6" spans="1:27" s="420" customFormat="1" hidden="1" x14ac:dyDescent="0.2">
      <c r="A6" s="125"/>
      <c r="B6" s="125"/>
      <c r="C6" s="125"/>
      <c r="D6" s="125"/>
      <c r="E6" s="125"/>
      <c r="F6" s="125"/>
      <c r="G6" s="125"/>
      <c r="H6" s="125"/>
      <c r="I6" s="125"/>
      <c r="J6" s="125"/>
      <c r="K6" s="125"/>
      <c r="L6" s="125"/>
      <c r="M6" s="125"/>
      <c r="N6" s="125"/>
      <c r="O6" s="125"/>
      <c r="P6" s="125"/>
      <c r="Q6" s="125"/>
      <c r="R6" s="125"/>
      <c r="S6" s="125"/>
      <c r="T6" s="125"/>
      <c r="U6" s="125"/>
      <c r="V6" s="125"/>
      <c r="W6" s="125"/>
      <c r="X6" s="125"/>
      <c r="Y6" s="125"/>
      <c r="Z6" s="125"/>
      <c r="AA6" s="615"/>
    </row>
    <row r="7" spans="1:27" hidden="1" x14ac:dyDescent="0.2">
      <c r="A7" s="162"/>
      <c r="B7" s="162"/>
      <c r="C7" s="162"/>
      <c r="D7" s="648"/>
      <c r="E7" s="78">
        <f>FirstYear</f>
        <v>2021</v>
      </c>
      <c r="F7" s="81">
        <f>E7+1</f>
        <v>2022</v>
      </c>
      <c r="G7" s="81">
        <f>F7+1</f>
        <v>2023</v>
      </c>
      <c r="H7" s="81">
        <f>G7+1</f>
        <v>2024</v>
      </c>
      <c r="I7" s="81">
        <f>H7+1</f>
        <v>2025</v>
      </c>
      <c r="J7" s="81">
        <f>I7+1</f>
        <v>2026</v>
      </c>
      <c r="K7" s="162"/>
      <c r="L7" s="162"/>
      <c r="M7" s="641"/>
      <c r="N7" s="641"/>
      <c r="O7" s="641"/>
      <c r="P7" s="641"/>
      <c r="Q7" s="641"/>
      <c r="R7" s="641"/>
      <c r="S7" s="641"/>
      <c r="T7" s="641"/>
      <c r="U7" s="641"/>
      <c r="V7" s="641"/>
      <c r="W7" s="641"/>
      <c r="X7" s="641"/>
      <c r="Y7" s="641"/>
      <c r="Z7" s="641"/>
    </row>
    <row r="8" spans="1:27" hidden="1" x14ac:dyDescent="0.2">
      <c r="A8" s="162"/>
      <c r="B8" s="162"/>
      <c r="C8" s="162"/>
      <c r="D8" s="649">
        <v>1</v>
      </c>
      <c r="E8" s="174">
        <f t="shared" ref="E8:J8" si="0">E27</f>
        <v>0</v>
      </c>
      <c r="F8" s="174">
        <f t="shared" si="0"/>
        <v>0</v>
      </c>
      <c r="G8" s="174">
        <f t="shared" si="0"/>
        <v>0</v>
      </c>
      <c r="H8" s="174">
        <f t="shared" si="0"/>
        <v>0</v>
      </c>
      <c r="I8" s="174">
        <f t="shared" si="0"/>
        <v>0</v>
      </c>
      <c r="J8" s="174">
        <f t="shared" si="0"/>
        <v>0</v>
      </c>
      <c r="K8" s="162"/>
      <c r="L8" s="162"/>
      <c r="M8" s="641"/>
      <c r="N8" s="641"/>
      <c r="O8" s="641"/>
      <c r="P8" s="641"/>
      <c r="Q8" s="641"/>
      <c r="R8" s="641"/>
      <c r="S8" s="641"/>
      <c r="T8" s="641"/>
      <c r="U8" s="641"/>
      <c r="V8" s="641"/>
      <c r="W8" s="641"/>
      <c r="X8" s="641"/>
      <c r="Y8" s="641"/>
      <c r="Z8" s="641"/>
    </row>
    <row r="9" spans="1:27" hidden="1" x14ac:dyDescent="0.2">
      <c r="A9" s="162"/>
      <c r="B9" s="162"/>
      <c r="C9" s="162"/>
      <c r="D9" s="649">
        <v>2</v>
      </c>
      <c r="E9" s="174">
        <f t="shared" ref="E9:J9" si="1">E44</f>
        <v>0</v>
      </c>
      <c r="F9" s="174">
        <f t="shared" si="1"/>
        <v>0</v>
      </c>
      <c r="G9" s="174">
        <f t="shared" si="1"/>
        <v>0</v>
      </c>
      <c r="H9" s="174">
        <f t="shared" si="1"/>
        <v>0</v>
      </c>
      <c r="I9" s="174">
        <f t="shared" si="1"/>
        <v>0</v>
      </c>
      <c r="J9" s="174">
        <f t="shared" si="1"/>
        <v>0</v>
      </c>
      <c r="K9" s="162"/>
      <c r="L9" s="162"/>
      <c r="M9" s="641"/>
      <c r="N9" s="641"/>
      <c r="O9" s="641"/>
      <c r="P9" s="641"/>
      <c r="Q9" s="641"/>
      <c r="R9" s="641"/>
      <c r="S9" s="641"/>
      <c r="T9" s="641"/>
      <c r="U9" s="641"/>
      <c r="V9" s="641"/>
      <c r="W9" s="641"/>
      <c r="X9" s="641"/>
      <c r="Y9" s="641"/>
      <c r="Z9" s="641"/>
    </row>
    <row r="10" spans="1:27" hidden="1" x14ac:dyDescent="0.2">
      <c r="A10" s="162"/>
      <c r="B10" s="162"/>
      <c r="C10" s="162"/>
      <c r="D10" s="649">
        <v>3</v>
      </c>
      <c r="E10" s="174">
        <f t="shared" ref="E10:J10" si="2">E61</f>
        <v>0</v>
      </c>
      <c r="F10" s="174">
        <f t="shared" si="2"/>
        <v>0</v>
      </c>
      <c r="G10" s="174">
        <f t="shared" si="2"/>
        <v>0</v>
      </c>
      <c r="H10" s="174">
        <f t="shared" si="2"/>
        <v>0</v>
      </c>
      <c r="I10" s="174">
        <f t="shared" si="2"/>
        <v>0</v>
      </c>
      <c r="J10" s="174">
        <f t="shared" si="2"/>
        <v>0</v>
      </c>
      <c r="K10" s="162"/>
      <c r="L10" s="162"/>
      <c r="M10" s="641"/>
      <c r="N10" s="641"/>
      <c r="O10" s="641"/>
      <c r="P10" s="641"/>
      <c r="Q10" s="641"/>
      <c r="R10" s="641"/>
      <c r="S10" s="641"/>
      <c r="T10" s="641"/>
      <c r="U10" s="641"/>
      <c r="V10" s="641"/>
      <c r="W10" s="641"/>
      <c r="X10" s="641"/>
      <c r="Y10" s="641"/>
      <c r="Z10" s="641"/>
    </row>
    <row r="11" spans="1:27" hidden="1" x14ac:dyDescent="0.2">
      <c r="A11" s="162"/>
      <c r="B11" s="162"/>
      <c r="C11" s="162"/>
      <c r="D11" s="649">
        <v>4</v>
      </c>
      <c r="E11" s="174">
        <f t="shared" ref="E11:J11" si="3">E78</f>
        <v>0</v>
      </c>
      <c r="F11" s="174">
        <f t="shared" si="3"/>
        <v>0</v>
      </c>
      <c r="G11" s="174">
        <f t="shared" si="3"/>
        <v>0</v>
      </c>
      <c r="H11" s="174">
        <f t="shared" si="3"/>
        <v>0</v>
      </c>
      <c r="I11" s="174">
        <f t="shared" si="3"/>
        <v>0</v>
      </c>
      <c r="J11" s="174">
        <f t="shared" si="3"/>
        <v>0</v>
      </c>
      <c r="K11" s="162"/>
      <c r="L11" s="162"/>
      <c r="M11" s="641"/>
      <c r="N11" s="641"/>
      <c r="O11" s="641"/>
      <c r="P11" s="641"/>
      <c r="Q11" s="641"/>
      <c r="R11" s="641"/>
      <c r="S11" s="641"/>
      <c r="T11" s="641"/>
      <c r="U11" s="641"/>
      <c r="V11" s="641"/>
      <c r="W11" s="641"/>
      <c r="X11" s="641"/>
      <c r="Y11" s="641"/>
      <c r="Z11" s="641"/>
    </row>
    <row r="12" spans="1:27" hidden="1" x14ac:dyDescent="0.2">
      <c r="A12" s="162"/>
      <c r="B12" s="162"/>
      <c r="C12" s="162"/>
      <c r="D12" s="649">
        <v>5</v>
      </c>
      <c r="E12" s="174">
        <f t="shared" ref="E12:J12" si="4">E95</f>
        <v>0</v>
      </c>
      <c r="F12" s="174">
        <f t="shared" si="4"/>
        <v>0</v>
      </c>
      <c r="G12" s="174">
        <f t="shared" si="4"/>
        <v>0</v>
      </c>
      <c r="H12" s="174">
        <f t="shared" si="4"/>
        <v>0</v>
      </c>
      <c r="I12" s="174">
        <f t="shared" si="4"/>
        <v>0</v>
      </c>
      <c r="J12" s="174">
        <f t="shared" si="4"/>
        <v>0</v>
      </c>
      <c r="K12" s="162"/>
      <c r="L12" s="162"/>
      <c r="M12" s="641"/>
      <c r="N12" s="641"/>
      <c r="O12" s="641"/>
      <c r="P12" s="641"/>
      <c r="Q12" s="641"/>
      <c r="R12" s="641"/>
      <c r="S12" s="641"/>
      <c r="T12" s="641"/>
      <c r="U12" s="641"/>
      <c r="V12" s="641"/>
      <c r="W12" s="641"/>
      <c r="X12" s="641"/>
      <c r="Y12" s="641"/>
      <c r="Z12" s="641"/>
    </row>
    <row r="13" spans="1:27" hidden="1" x14ac:dyDescent="0.2">
      <c r="A13" s="162"/>
      <c r="B13" s="162"/>
      <c r="C13" s="162"/>
      <c r="D13" s="649">
        <v>6</v>
      </c>
      <c r="E13" s="174">
        <f t="shared" ref="E13:J13" si="5">E112</f>
        <v>0</v>
      </c>
      <c r="F13" s="174">
        <f t="shared" si="5"/>
        <v>0</v>
      </c>
      <c r="G13" s="174">
        <f t="shared" si="5"/>
        <v>0</v>
      </c>
      <c r="H13" s="174">
        <f t="shared" si="5"/>
        <v>0</v>
      </c>
      <c r="I13" s="174">
        <f t="shared" si="5"/>
        <v>0</v>
      </c>
      <c r="J13" s="174">
        <f t="shared" si="5"/>
        <v>0</v>
      </c>
      <c r="K13" s="162"/>
      <c r="L13" s="162"/>
      <c r="M13" s="641"/>
      <c r="N13" s="641"/>
      <c r="O13" s="641"/>
      <c r="P13" s="641"/>
      <c r="Q13" s="641"/>
      <c r="R13" s="641"/>
      <c r="S13" s="641"/>
      <c r="T13" s="641"/>
      <c r="U13" s="641"/>
      <c r="V13" s="641"/>
      <c r="W13" s="641"/>
      <c r="X13" s="641"/>
      <c r="Y13" s="641"/>
      <c r="Z13" s="641"/>
    </row>
    <row r="14" spans="1:27" hidden="1" x14ac:dyDescent="0.2">
      <c r="A14" s="162"/>
      <c r="B14" s="162"/>
      <c r="C14" s="162"/>
      <c r="D14" s="649">
        <v>7</v>
      </c>
      <c r="E14" s="174">
        <f t="shared" ref="E14:J14" si="6">E129</f>
        <v>0</v>
      </c>
      <c r="F14" s="174">
        <f t="shared" si="6"/>
        <v>0</v>
      </c>
      <c r="G14" s="174">
        <f t="shared" si="6"/>
        <v>0</v>
      </c>
      <c r="H14" s="174">
        <f t="shared" si="6"/>
        <v>0</v>
      </c>
      <c r="I14" s="174">
        <f t="shared" si="6"/>
        <v>0</v>
      </c>
      <c r="J14" s="174">
        <f t="shared" si="6"/>
        <v>0</v>
      </c>
      <c r="K14" s="162"/>
      <c r="L14" s="162"/>
      <c r="M14" s="641"/>
      <c r="N14" s="641"/>
      <c r="O14" s="641"/>
      <c r="P14" s="641"/>
      <c r="Q14" s="641"/>
      <c r="R14" s="641"/>
      <c r="S14" s="641"/>
      <c r="T14" s="641"/>
      <c r="U14" s="641"/>
      <c r="V14" s="641"/>
      <c r="W14" s="641"/>
      <c r="X14" s="641"/>
      <c r="Y14" s="641"/>
      <c r="Z14" s="641"/>
    </row>
    <row r="15" spans="1:27" hidden="1" x14ac:dyDescent="0.2">
      <c r="A15" s="162"/>
      <c r="B15" s="162"/>
      <c r="C15" s="162"/>
      <c r="D15" s="649">
        <v>8</v>
      </c>
      <c r="E15" s="174">
        <f t="shared" ref="E15:J15" si="7">E146</f>
        <v>0</v>
      </c>
      <c r="F15" s="174">
        <f t="shared" si="7"/>
        <v>0</v>
      </c>
      <c r="G15" s="174">
        <f t="shared" si="7"/>
        <v>0</v>
      </c>
      <c r="H15" s="174">
        <f t="shared" si="7"/>
        <v>0</v>
      </c>
      <c r="I15" s="174">
        <f t="shared" si="7"/>
        <v>0</v>
      </c>
      <c r="J15" s="174">
        <f t="shared" si="7"/>
        <v>0</v>
      </c>
      <c r="K15" s="162"/>
      <c r="L15" s="162"/>
      <c r="M15" s="641"/>
      <c r="N15" s="641"/>
      <c r="O15" s="641"/>
      <c r="P15" s="641"/>
      <c r="Q15" s="641"/>
      <c r="R15" s="641"/>
      <c r="S15" s="641"/>
      <c r="T15" s="641"/>
      <c r="U15" s="641"/>
      <c r="V15" s="641"/>
      <c r="W15" s="641"/>
      <c r="X15" s="641"/>
      <c r="Y15" s="641"/>
      <c r="Z15" s="641"/>
    </row>
    <row r="16" spans="1:27" hidden="1" x14ac:dyDescent="0.2">
      <c r="A16" s="162"/>
      <c r="B16" s="162"/>
      <c r="C16" s="162"/>
      <c r="D16" s="649">
        <v>9</v>
      </c>
      <c r="E16" s="174">
        <f t="shared" ref="E16:J16" si="8">E163</f>
        <v>0</v>
      </c>
      <c r="F16" s="174">
        <f t="shared" si="8"/>
        <v>0</v>
      </c>
      <c r="G16" s="174">
        <f t="shared" si="8"/>
        <v>0</v>
      </c>
      <c r="H16" s="174">
        <f t="shared" si="8"/>
        <v>0</v>
      </c>
      <c r="I16" s="174">
        <f t="shared" si="8"/>
        <v>0</v>
      </c>
      <c r="J16" s="174">
        <f t="shared" si="8"/>
        <v>0</v>
      </c>
      <c r="K16" s="162"/>
      <c r="L16" s="162"/>
      <c r="M16" s="641"/>
      <c r="N16" s="641"/>
      <c r="O16" s="641"/>
      <c r="P16" s="641"/>
      <c r="Q16" s="641"/>
      <c r="R16" s="641"/>
      <c r="S16" s="641"/>
      <c r="T16" s="641"/>
      <c r="U16" s="641"/>
      <c r="V16" s="641"/>
      <c r="W16" s="641"/>
      <c r="X16" s="641"/>
      <c r="Y16" s="641"/>
      <c r="Z16" s="641"/>
    </row>
    <row r="17" spans="1:26" hidden="1" x14ac:dyDescent="0.2">
      <c r="A17" s="162"/>
      <c r="B17" s="162"/>
      <c r="C17" s="162"/>
      <c r="D17" s="649">
        <v>10</v>
      </c>
      <c r="E17" s="174">
        <f t="shared" ref="E17:J17" si="9">E180</f>
        <v>0</v>
      </c>
      <c r="F17" s="174">
        <f t="shared" si="9"/>
        <v>0</v>
      </c>
      <c r="G17" s="174">
        <f t="shared" si="9"/>
        <v>0</v>
      </c>
      <c r="H17" s="174">
        <f t="shared" si="9"/>
        <v>0</v>
      </c>
      <c r="I17" s="174">
        <f t="shared" si="9"/>
        <v>0</v>
      </c>
      <c r="J17" s="174">
        <f t="shared" si="9"/>
        <v>0</v>
      </c>
      <c r="K17" s="162"/>
      <c r="L17" s="162"/>
      <c r="M17" s="641"/>
      <c r="N17" s="641"/>
      <c r="O17" s="641"/>
      <c r="P17" s="641"/>
      <c r="Q17" s="641"/>
      <c r="R17" s="641"/>
      <c r="S17" s="641"/>
      <c r="T17" s="641"/>
      <c r="U17" s="641"/>
      <c r="V17" s="641"/>
      <c r="W17" s="641"/>
      <c r="X17" s="641"/>
      <c r="Y17" s="641"/>
      <c r="Z17" s="641"/>
    </row>
    <row r="18" spans="1:26" x14ac:dyDescent="0.2">
      <c r="A18" s="162"/>
      <c r="B18" s="162"/>
      <c r="C18" s="162"/>
      <c r="D18" s="648"/>
      <c r="E18" s="162"/>
      <c r="F18" s="162"/>
      <c r="G18" s="162"/>
      <c r="H18" s="162"/>
      <c r="I18" s="162"/>
      <c r="J18" s="162"/>
      <c r="K18" s="162"/>
      <c r="L18" s="162"/>
      <c r="M18" s="641"/>
      <c r="N18" s="641"/>
      <c r="O18" s="641"/>
      <c r="P18" s="641"/>
      <c r="Q18" s="641"/>
      <c r="R18" s="641"/>
      <c r="S18" s="641"/>
      <c r="T18" s="641"/>
      <c r="U18" s="641"/>
      <c r="V18" s="641"/>
      <c r="W18" s="641"/>
      <c r="X18" s="641"/>
      <c r="Y18" s="641"/>
      <c r="Z18" s="641"/>
    </row>
    <row r="19" spans="1:26" ht="15.75" x14ac:dyDescent="0.2">
      <c r="A19" s="194"/>
      <c r="B19" s="242">
        <f>IF(E23&lt;&gt;"",VLOOKUP(E23,GenderCode,2,FALSE),0)</f>
        <v>0</v>
      </c>
      <c r="C19" s="58">
        <v>1</v>
      </c>
      <c r="D19" s="79" t="str">
        <f>IF(B19=0,MsgNotUsed, CONCATENATE("AIHW ", C19, ": ", E21,": ", E23, " (", E26, "-", J26, ")"))</f>
        <v>** NOT USED **</v>
      </c>
      <c r="E19" s="127"/>
      <c r="F19" s="127"/>
      <c r="G19" s="127"/>
      <c r="H19" s="127"/>
      <c r="I19" s="175"/>
      <c r="J19" s="127"/>
      <c r="K19" s="127"/>
      <c r="L19" s="127"/>
      <c r="M19" s="260"/>
      <c r="N19" s="260"/>
      <c r="O19" s="260"/>
      <c r="P19" s="260"/>
      <c r="Q19" s="260"/>
      <c r="R19" s="260"/>
      <c r="S19" s="260"/>
      <c r="T19" s="260"/>
      <c r="U19" s="260"/>
      <c r="V19" s="260"/>
      <c r="W19" s="260"/>
      <c r="X19" s="260"/>
      <c r="Y19" s="260"/>
      <c r="Z19" s="260"/>
    </row>
    <row r="20" spans="1:26" s="420" customFormat="1" hidden="1" outlineLevel="1" x14ac:dyDescent="0.2">
      <c r="A20" s="646"/>
      <c r="B20" s="646"/>
      <c r="C20" s="646"/>
      <c r="D20" s="648"/>
      <c r="E20" s="162"/>
      <c r="F20" s="162"/>
      <c r="G20" s="162"/>
      <c r="H20" s="162"/>
      <c r="I20" s="162"/>
      <c r="J20" s="162"/>
      <c r="K20" s="162"/>
      <c r="L20" s="162"/>
      <c r="M20" s="162"/>
      <c r="N20" s="162"/>
      <c r="O20" s="162"/>
      <c r="P20" s="162"/>
      <c r="Q20" s="162"/>
      <c r="R20" s="162"/>
      <c r="S20" s="162"/>
      <c r="T20" s="162"/>
      <c r="U20" s="162"/>
      <c r="V20" s="162"/>
      <c r="W20" s="162"/>
      <c r="X20" s="162"/>
      <c r="Y20" s="162"/>
      <c r="Z20" s="162"/>
    </row>
    <row r="21" spans="1:26" hidden="1" outlineLevel="1" x14ac:dyDescent="0.2">
      <c r="A21" s="194"/>
      <c r="B21" s="194"/>
      <c r="C21" s="194"/>
      <c r="D21" s="42" t="s">
        <v>279</v>
      </c>
      <c r="E21" s="913"/>
      <c r="F21" s="881"/>
      <c r="G21" s="881"/>
      <c r="H21" s="881"/>
      <c r="I21" s="881"/>
      <c r="J21" s="882"/>
      <c r="K21" s="162"/>
      <c r="L21" s="42" t="s">
        <v>270</v>
      </c>
      <c r="M21" s="913"/>
      <c r="N21" s="881"/>
      <c r="O21" s="881"/>
      <c r="P21" s="881"/>
      <c r="Q21" s="881"/>
      <c r="R21" s="882"/>
      <c r="S21" s="43"/>
      <c r="T21" s="43"/>
      <c r="U21" s="43"/>
      <c r="V21" s="43"/>
      <c r="W21" s="43"/>
      <c r="X21" s="43"/>
      <c r="Y21" s="43"/>
      <c r="Z21" s="43"/>
    </row>
    <row r="22" spans="1:26" hidden="1" outlineLevel="1" x14ac:dyDescent="0.2">
      <c r="A22" s="646"/>
      <c r="B22" s="646"/>
      <c r="C22" s="646"/>
      <c r="D22" s="648"/>
      <c r="E22" s="162"/>
      <c r="F22" s="162"/>
      <c r="G22" s="162"/>
      <c r="H22" s="162"/>
      <c r="I22" s="162"/>
      <c r="J22" s="162"/>
      <c r="K22" s="162"/>
      <c r="L22" s="162"/>
      <c r="M22" s="162"/>
      <c r="N22" s="162"/>
      <c r="O22" s="162"/>
      <c r="P22" s="162"/>
      <c r="Q22" s="162"/>
      <c r="R22" s="162"/>
      <c r="S22" s="162"/>
      <c r="T22" s="162"/>
      <c r="U22" s="162"/>
      <c r="V22" s="162"/>
      <c r="W22" s="162"/>
      <c r="X22" s="162"/>
      <c r="Y22" s="162"/>
      <c r="Z22" s="162"/>
    </row>
    <row r="23" spans="1:26" hidden="1" outlineLevel="1" x14ac:dyDescent="0.2">
      <c r="A23" s="194"/>
      <c r="B23" s="194"/>
      <c r="C23" s="194"/>
      <c r="D23" s="83" t="s">
        <v>51</v>
      </c>
      <c r="E23" s="77"/>
      <c r="F23" s="162"/>
      <c r="G23" s="646"/>
      <c r="H23" s="646"/>
      <c r="I23" s="83" t="s">
        <v>365</v>
      </c>
      <c r="J23" s="77"/>
      <c r="K23" s="162"/>
      <c r="L23" s="195"/>
      <c r="M23" s="43"/>
      <c r="N23" s="43"/>
      <c r="O23" s="43"/>
      <c r="P23" s="43"/>
      <c r="Q23" s="43"/>
      <c r="R23" s="43"/>
      <c r="S23" s="43"/>
      <c r="T23" s="43"/>
      <c r="U23" s="43"/>
      <c r="V23" s="43"/>
      <c r="W23" s="43"/>
      <c r="X23" s="43"/>
      <c r="Y23" s="43"/>
      <c r="Z23" s="43"/>
    </row>
    <row r="24" spans="1:26" hidden="1" outlineLevel="1" x14ac:dyDescent="0.2">
      <c r="A24" s="646"/>
      <c r="B24" s="646"/>
      <c r="C24" s="646"/>
      <c r="D24" s="162"/>
      <c r="E24" s="162"/>
      <c r="F24" s="162"/>
      <c r="G24" s="162"/>
      <c r="H24" s="162"/>
      <c r="I24" s="162"/>
      <c r="J24" s="162"/>
      <c r="K24" s="162"/>
      <c r="L24" s="195"/>
      <c r="M24" s="43"/>
      <c r="N24" s="43"/>
      <c r="O24" s="43"/>
      <c r="P24" s="43"/>
      <c r="Q24" s="43"/>
      <c r="R24" s="43"/>
      <c r="S24" s="43"/>
      <c r="T24" s="43"/>
      <c r="U24" s="43"/>
      <c r="V24" s="43"/>
      <c r="W24" s="43"/>
      <c r="X24" s="43"/>
      <c r="Y24" s="43"/>
      <c r="Z24" s="43"/>
    </row>
    <row r="25" spans="1:26" hidden="1" outlineLevel="1" x14ac:dyDescent="0.2">
      <c r="A25" s="646"/>
      <c r="B25" s="646"/>
      <c r="C25" s="646"/>
      <c r="D25" s="162"/>
      <c r="E25" s="616" t="s">
        <v>255</v>
      </c>
      <c r="F25" s="162"/>
      <c r="G25" s="162"/>
      <c r="H25" s="162"/>
      <c r="I25" s="162"/>
      <c r="J25" s="162"/>
      <c r="K25" s="162"/>
      <c r="L25" s="195"/>
      <c r="M25" s="43"/>
      <c r="N25" s="43"/>
      <c r="O25" s="43"/>
      <c r="P25" s="43"/>
      <c r="Q25" s="43"/>
      <c r="R25" s="43"/>
      <c r="S25" s="43"/>
      <c r="T25" s="43"/>
      <c r="U25" s="43"/>
      <c r="V25" s="43"/>
      <c r="W25" s="43"/>
      <c r="X25" s="43"/>
      <c r="Y25" s="43"/>
      <c r="Z25" s="43"/>
    </row>
    <row r="26" spans="1:26" hidden="1" outlineLevel="1" x14ac:dyDescent="0.2">
      <c r="A26" s="646"/>
      <c r="B26" s="646"/>
      <c r="C26" s="646"/>
      <c r="D26" s="162"/>
      <c r="E26" s="78">
        <f>IF(J23&lt;&gt;"",J23,FirstYear)</f>
        <v>2021</v>
      </c>
      <c r="F26" s="81">
        <f>E26+1</f>
        <v>2022</v>
      </c>
      <c r="G26" s="81">
        <f>F26+1</f>
        <v>2023</v>
      </c>
      <c r="H26" s="81">
        <f>G26+1</f>
        <v>2024</v>
      </c>
      <c r="I26" s="81">
        <f>H26+1</f>
        <v>2025</v>
      </c>
      <c r="J26" s="81">
        <f>I26+1</f>
        <v>2026</v>
      </c>
      <c r="K26" s="162"/>
      <c r="L26" s="195"/>
      <c r="M26" s="43"/>
      <c r="N26" s="43"/>
      <c r="O26" s="43"/>
      <c r="P26" s="43"/>
      <c r="Q26" s="43"/>
      <c r="R26" s="43"/>
      <c r="S26" s="43"/>
      <c r="T26" s="43"/>
      <c r="U26" s="43"/>
      <c r="V26" s="43"/>
      <c r="W26" s="43"/>
      <c r="X26" s="43"/>
      <c r="Y26" s="43"/>
      <c r="Z26" s="43"/>
    </row>
    <row r="27" spans="1:26" hidden="1" outlineLevel="1" x14ac:dyDescent="0.2">
      <c r="A27" s="646"/>
      <c r="B27" s="646"/>
      <c r="C27" s="646"/>
      <c r="D27" s="162"/>
      <c r="E27" s="63">
        <f t="shared" ref="E27:J27" si="10">IF($B$19&lt;&gt;0,VLOOKUP($B$19,$C$31:$J$33,E28),0)</f>
        <v>0</v>
      </c>
      <c r="F27" s="63">
        <f t="shared" si="10"/>
        <v>0</v>
      </c>
      <c r="G27" s="63">
        <f t="shared" si="10"/>
        <v>0</v>
      </c>
      <c r="H27" s="63">
        <f t="shared" si="10"/>
        <v>0</v>
      </c>
      <c r="I27" s="63">
        <f t="shared" si="10"/>
        <v>0</v>
      </c>
      <c r="J27" s="63">
        <f t="shared" si="10"/>
        <v>0</v>
      </c>
      <c r="K27" s="162"/>
      <c r="L27" s="195"/>
      <c r="M27" s="43"/>
      <c r="N27" s="43"/>
      <c r="O27" s="43"/>
      <c r="P27" s="43"/>
      <c r="Q27" s="43"/>
      <c r="R27" s="43"/>
      <c r="S27" s="43"/>
      <c r="T27" s="43"/>
      <c r="U27" s="43"/>
      <c r="V27" s="43"/>
      <c r="W27" s="43"/>
      <c r="X27" s="43"/>
      <c r="Y27" s="43"/>
      <c r="Z27" s="43"/>
    </row>
    <row r="28" spans="1:26" hidden="1" outlineLevel="1" x14ac:dyDescent="0.2">
      <c r="A28" s="646"/>
      <c r="B28" s="646"/>
      <c r="C28" s="646"/>
      <c r="D28" s="162"/>
      <c r="E28" s="176">
        <v>3</v>
      </c>
      <c r="F28" s="176">
        <v>4</v>
      </c>
      <c r="G28" s="176">
        <v>5</v>
      </c>
      <c r="H28" s="176">
        <v>6</v>
      </c>
      <c r="I28" s="176">
        <v>7</v>
      </c>
      <c r="J28" s="176">
        <v>8</v>
      </c>
      <c r="K28" s="162"/>
      <c r="L28" s="195"/>
      <c r="M28" s="43"/>
      <c r="N28" s="43"/>
      <c r="O28" s="43"/>
      <c r="P28" s="43"/>
      <c r="Q28" s="43"/>
      <c r="R28" s="43"/>
      <c r="S28" s="43"/>
      <c r="T28" s="43"/>
      <c r="U28" s="43"/>
      <c r="V28" s="43"/>
      <c r="W28" s="43"/>
      <c r="X28" s="43"/>
      <c r="Y28" s="43"/>
      <c r="Z28" s="43"/>
    </row>
    <row r="29" spans="1:26" hidden="1" outlineLevel="1" x14ac:dyDescent="0.2">
      <c r="A29" s="194"/>
      <c r="B29" s="194"/>
      <c r="C29" s="194"/>
      <c r="D29" s="31" t="s">
        <v>324</v>
      </c>
      <c r="E29" s="78">
        <f t="shared" ref="E29:J29" si="11">E26</f>
        <v>2021</v>
      </c>
      <c r="F29" s="78">
        <f t="shared" si="11"/>
        <v>2022</v>
      </c>
      <c r="G29" s="78">
        <f t="shared" si="11"/>
        <v>2023</v>
      </c>
      <c r="H29" s="78">
        <f t="shared" si="11"/>
        <v>2024</v>
      </c>
      <c r="I29" s="78">
        <f t="shared" si="11"/>
        <v>2025</v>
      </c>
      <c r="J29" s="78">
        <f t="shared" si="11"/>
        <v>2026</v>
      </c>
      <c r="K29" s="162"/>
      <c r="L29" s="194"/>
      <c r="M29" s="44"/>
      <c r="N29" s="44"/>
      <c r="O29" s="44"/>
      <c r="P29" s="44"/>
      <c r="Q29" s="44"/>
      <c r="R29" s="44"/>
      <c r="S29" s="44"/>
      <c r="T29" s="44"/>
      <c r="U29" s="44"/>
      <c r="V29" s="44"/>
      <c r="W29" s="44"/>
      <c r="X29" s="44"/>
      <c r="Y29" s="44"/>
      <c r="Z29" s="44"/>
    </row>
    <row r="30" spans="1:26" hidden="1" outlineLevel="1" x14ac:dyDescent="0.2">
      <c r="A30" s="194"/>
      <c r="B30" s="194"/>
      <c r="D30" s="177" t="s">
        <v>240</v>
      </c>
      <c r="E30" s="63">
        <f t="shared" ref="E30:J30" si="12">IF(OR(E31="",E31=0),SUM(E32:E33),E31)</f>
        <v>0</v>
      </c>
      <c r="F30" s="63">
        <f t="shared" si="12"/>
        <v>0</v>
      </c>
      <c r="G30" s="63">
        <f t="shared" si="12"/>
        <v>0</v>
      </c>
      <c r="H30" s="63">
        <f t="shared" si="12"/>
        <v>0</v>
      </c>
      <c r="I30" s="63">
        <f t="shared" si="12"/>
        <v>0</v>
      </c>
      <c r="J30" s="63">
        <f t="shared" si="12"/>
        <v>0</v>
      </c>
      <c r="K30" s="162"/>
      <c r="L30" s="194"/>
      <c r="M30" s="44"/>
      <c r="N30" s="44"/>
      <c r="O30" s="44"/>
      <c r="P30" s="44"/>
      <c r="Q30" s="44"/>
      <c r="R30" s="44"/>
      <c r="S30" s="44"/>
      <c r="T30" s="44"/>
      <c r="U30" s="44"/>
      <c r="V30" s="44"/>
      <c r="W30" s="44"/>
      <c r="X30" s="44"/>
      <c r="Y30" s="44"/>
      <c r="Z30" s="44"/>
    </row>
    <row r="31" spans="1:26" hidden="1" outlineLevel="1" x14ac:dyDescent="0.2">
      <c r="A31" s="194"/>
      <c r="B31" s="194"/>
      <c r="C31" s="58">
        <v>1</v>
      </c>
      <c r="D31" s="177" t="s">
        <v>366</v>
      </c>
      <c r="E31" s="366"/>
      <c r="F31" s="366"/>
      <c r="G31" s="366"/>
      <c r="H31" s="366"/>
      <c r="I31" s="366"/>
      <c r="J31" s="366"/>
      <c r="K31" s="162"/>
      <c r="L31" s="194"/>
      <c r="M31" s="44"/>
      <c r="N31" s="44"/>
      <c r="O31" s="44"/>
      <c r="P31" s="44"/>
      <c r="Q31" s="44"/>
      <c r="R31" s="44"/>
      <c r="S31" s="44"/>
      <c r="T31" s="44"/>
      <c r="U31" s="44"/>
      <c r="V31" s="44"/>
      <c r="W31" s="44"/>
      <c r="X31" s="44"/>
      <c r="Y31" s="44"/>
      <c r="Z31" s="44"/>
    </row>
    <row r="32" spans="1:26" hidden="1" outlineLevel="1" x14ac:dyDescent="0.2">
      <c r="A32" s="194"/>
      <c r="B32" s="194"/>
      <c r="C32" s="58">
        <v>2</v>
      </c>
      <c r="D32" s="177" t="s">
        <v>243</v>
      </c>
      <c r="E32" s="366"/>
      <c r="F32" s="366"/>
      <c r="G32" s="366"/>
      <c r="H32" s="366"/>
      <c r="I32" s="366"/>
      <c r="J32" s="366"/>
      <c r="K32" s="162"/>
      <c r="L32" s="194"/>
      <c r="M32" s="44"/>
      <c r="N32" s="44"/>
      <c r="O32" s="44"/>
      <c r="P32" s="44"/>
      <c r="Q32" s="44"/>
      <c r="R32" s="44"/>
      <c r="S32" s="44"/>
      <c r="T32" s="44"/>
      <c r="U32" s="44"/>
      <c r="V32" s="44"/>
      <c r="W32" s="44"/>
      <c r="X32" s="44"/>
      <c r="Y32" s="44"/>
      <c r="Z32" s="44"/>
    </row>
    <row r="33" spans="1:26" hidden="1" outlineLevel="1" x14ac:dyDescent="0.2">
      <c r="A33" s="194"/>
      <c r="B33" s="194"/>
      <c r="C33" s="58">
        <v>3</v>
      </c>
      <c r="D33" s="177" t="s">
        <v>244</v>
      </c>
      <c r="E33" s="366"/>
      <c r="F33" s="366"/>
      <c r="G33" s="366"/>
      <c r="H33" s="366"/>
      <c r="I33" s="366"/>
      <c r="J33" s="366"/>
      <c r="K33" s="162"/>
      <c r="L33" s="194"/>
      <c r="M33" s="44"/>
      <c r="N33" s="44"/>
      <c r="O33" s="44"/>
      <c r="P33" s="44"/>
      <c r="Q33" s="44"/>
      <c r="R33" s="44"/>
      <c r="S33" s="44"/>
      <c r="T33" s="44"/>
      <c r="U33" s="44"/>
      <c r="V33" s="44"/>
      <c r="W33" s="44"/>
      <c r="X33" s="44"/>
      <c r="Y33" s="44"/>
      <c r="Z33" s="44"/>
    </row>
    <row r="34" spans="1:26" hidden="1" outlineLevel="1" x14ac:dyDescent="0.2">
      <c r="A34" s="194"/>
      <c r="B34" s="194"/>
      <c r="C34" s="646"/>
      <c r="D34" s="162"/>
      <c r="E34" s="162"/>
      <c r="F34" s="162"/>
      <c r="G34" s="162"/>
      <c r="H34" s="162"/>
      <c r="I34" s="162"/>
      <c r="J34" s="162"/>
      <c r="K34" s="162"/>
      <c r="L34" s="194"/>
      <c r="M34" s="44"/>
      <c r="N34" s="44"/>
      <c r="O34" s="44"/>
      <c r="P34" s="44"/>
      <c r="Q34" s="44"/>
      <c r="R34" s="44"/>
      <c r="S34" s="44"/>
      <c r="T34" s="44"/>
      <c r="U34" s="44"/>
      <c r="V34" s="44"/>
      <c r="W34" s="44"/>
      <c r="X34" s="44"/>
      <c r="Y34" s="44"/>
      <c r="Z34" s="44"/>
    </row>
    <row r="35" spans="1:26" collapsed="1" x14ac:dyDescent="0.2">
      <c r="A35" s="194"/>
      <c r="B35" s="194"/>
      <c r="C35" s="646"/>
      <c r="D35" s="162"/>
      <c r="E35" s="162"/>
      <c r="F35" s="162"/>
      <c r="G35" s="162"/>
      <c r="H35" s="162"/>
      <c r="I35" s="162"/>
      <c r="J35" s="162"/>
      <c r="K35" s="162"/>
      <c r="L35" s="194"/>
      <c r="M35" s="44"/>
      <c r="N35" s="44"/>
      <c r="O35" s="44"/>
      <c r="P35" s="44"/>
      <c r="Q35" s="44"/>
      <c r="R35" s="44"/>
      <c r="S35" s="44"/>
      <c r="T35" s="44"/>
      <c r="U35" s="44"/>
      <c r="V35" s="44"/>
      <c r="W35" s="44"/>
      <c r="X35" s="44"/>
      <c r="Y35" s="44"/>
      <c r="Z35" s="44"/>
    </row>
    <row r="36" spans="1:26" ht="15.75" x14ac:dyDescent="0.2">
      <c r="A36" s="194"/>
      <c r="B36" s="242">
        <f>IF(E40&lt;&gt;"",VLOOKUP(E40,GenderCode,2,FALSE),0)</f>
        <v>0</v>
      </c>
      <c r="C36" s="58">
        <v>2</v>
      </c>
      <c r="D36" s="79" t="str">
        <f>IF(B36=0,MsgNotUsed, CONCATENATE("AIHW ", C36, ": ", E38,": ", E40, " (", E43, "-", J43, ")"))</f>
        <v>** NOT USED **</v>
      </c>
      <c r="E36" s="127"/>
      <c r="F36" s="127"/>
      <c r="G36" s="127"/>
      <c r="H36" s="127"/>
      <c r="I36" s="175"/>
      <c r="J36" s="127"/>
      <c r="K36" s="127"/>
      <c r="L36" s="127"/>
      <c r="M36" s="260"/>
      <c r="N36" s="260"/>
      <c r="O36" s="260"/>
      <c r="P36" s="260"/>
      <c r="Q36" s="260"/>
      <c r="R36" s="260"/>
      <c r="S36" s="260"/>
      <c r="T36" s="260"/>
      <c r="U36" s="260"/>
      <c r="V36" s="260"/>
      <c r="W36" s="260"/>
      <c r="X36" s="260"/>
      <c r="Y36" s="260"/>
      <c r="Z36" s="260"/>
    </row>
    <row r="37" spans="1:26" hidden="1" outlineLevel="1" x14ac:dyDescent="0.2">
      <c r="A37" s="194"/>
      <c r="B37" s="646"/>
      <c r="C37" s="646"/>
      <c r="D37" s="648"/>
      <c r="E37" s="162"/>
      <c r="F37" s="162"/>
      <c r="G37" s="162"/>
      <c r="H37" s="162"/>
      <c r="I37" s="162"/>
      <c r="J37" s="162"/>
      <c r="K37" s="162"/>
      <c r="L37" s="162"/>
      <c r="M37" s="162"/>
      <c r="N37" s="162"/>
      <c r="O37" s="162"/>
      <c r="P37" s="162"/>
      <c r="Q37" s="162"/>
      <c r="R37" s="162"/>
      <c r="S37" s="364"/>
      <c r="T37" s="364"/>
      <c r="U37" s="364"/>
      <c r="V37" s="364"/>
      <c r="W37" s="364"/>
      <c r="X37" s="417"/>
      <c r="Y37" s="417"/>
      <c r="Z37" s="417"/>
    </row>
    <row r="38" spans="1:26" hidden="1" outlineLevel="1" x14ac:dyDescent="0.2">
      <c r="A38" s="194"/>
      <c r="B38" s="194"/>
      <c r="C38" s="194"/>
      <c r="D38" s="42" t="s">
        <v>279</v>
      </c>
      <c r="E38" s="913"/>
      <c r="F38" s="881"/>
      <c r="G38" s="881"/>
      <c r="H38" s="881"/>
      <c r="I38" s="881"/>
      <c r="J38" s="882"/>
      <c r="K38" s="162"/>
      <c r="L38" s="42" t="s">
        <v>270</v>
      </c>
      <c r="M38" s="913"/>
      <c r="N38" s="881"/>
      <c r="O38" s="881"/>
      <c r="P38" s="881"/>
      <c r="Q38" s="881"/>
      <c r="R38" s="882"/>
      <c r="S38" s="43"/>
      <c r="T38" s="43"/>
      <c r="U38" s="43"/>
      <c r="V38" s="43"/>
      <c r="W38" s="43"/>
      <c r="X38" s="43"/>
      <c r="Y38" s="43"/>
      <c r="Z38" s="43"/>
    </row>
    <row r="39" spans="1:26" hidden="1" outlineLevel="1" x14ac:dyDescent="0.2">
      <c r="A39" s="194"/>
      <c r="B39" s="646"/>
      <c r="C39" s="646"/>
      <c r="D39" s="648"/>
      <c r="E39" s="162"/>
      <c r="F39" s="162"/>
      <c r="G39" s="162"/>
      <c r="H39" s="162"/>
      <c r="I39" s="162"/>
      <c r="J39" s="162"/>
      <c r="K39" s="162"/>
      <c r="L39" s="162"/>
      <c r="M39" s="162"/>
      <c r="N39" s="162"/>
      <c r="O39" s="162"/>
      <c r="P39" s="162"/>
      <c r="Q39" s="162"/>
      <c r="R39" s="162"/>
      <c r="S39" s="43"/>
      <c r="T39" s="43"/>
      <c r="U39" s="43"/>
      <c r="V39" s="43"/>
      <c r="W39" s="43"/>
      <c r="X39" s="43"/>
      <c r="Y39" s="43"/>
      <c r="Z39" s="43"/>
    </row>
    <row r="40" spans="1:26" hidden="1" outlineLevel="1" x14ac:dyDescent="0.2">
      <c r="A40" s="194"/>
      <c r="B40" s="194"/>
      <c r="C40" s="194"/>
      <c r="D40" s="632" t="s">
        <v>51</v>
      </c>
      <c r="E40" s="360"/>
      <c r="F40" s="162"/>
      <c r="G40" s="646"/>
      <c r="H40" s="646"/>
      <c r="I40" s="632" t="s">
        <v>365</v>
      </c>
      <c r="J40" s="360"/>
      <c r="K40" s="162"/>
      <c r="L40" s="195"/>
      <c r="M40" s="43"/>
      <c r="N40" s="43"/>
      <c r="O40" s="43"/>
      <c r="P40" s="43"/>
      <c r="Q40" s="43"/>
      <c r="R40" s="43"/>
      <c r="S40" s="43"/>
      <c r="T40" s="43"/>
      <c r="U40" s="43"/>
      <c r="V40" s="43"/>
      <c r="W40" s="43"/>
      <c r="X40" s="43"/>
      <c r="Y40" s="43"/>
      <c r="Z40" s="43"/>
    </row>
    <row r="41" spans="1:26" hidden="1" outlineLevel="1" x14ac:dyDescent="0.2">
      <c r="A41" s="194"/>
      <c r="B41" s="646"/>
      <c r="C41" s="646"/>
      <c r="D41" s="162"/>
      <c r="E41" s="162"/>
      <c r="F41" s="162"/>
      <c r="G41" s="162"/>
      <c r="H41" s="162"/>
      <c r="I41" s="162"/>
      <c r="J41" s="162"/>
      <c r="K41" s="162"/>
      <c r="L41" s="195"/>
      <c r="M41" s="43"/>
      <c r="N41" s="43"/>
      <c r="O41" s="43"/>
      <c r="P41" s="43"/>
      <c r="Q41" s="43"/>
      <c r="R41" s="43"/>
      <c r="S41" s="43"/>
      <c r="T41" s="43"/>
      <c r="U41" s="43"/>
      <c r="V41" s="43"/>
      <c r="W41" s="43"/>
      <c r="X41" s="43"/>
      <c r="Y41" s="43"/>
      <c r="Z41" s="43"/>
    </row>
    <row r="42" spans="1:26" hidden="1" outlineLevel="1" x14ac:dyDescent="0.2">
      <c r="A42" s="194"/>
      <c r="B42" s="646"/>
      <c r="C42" s="646"/>
      <c r="D42" s="162"/>
      <c r="E42" s="616" t="s">
        <v>255</v>
      </c>
      <c r="F42" s="162"/>
      <c r="G42" s="162"/>
      <c r="H42" s="162"/>
      <c r="I42" s="162"/>
      <c r="J42" s="162"/>
      <c r="K42" s="162"/>
      <c r="L42" s="195"/>
      <c r="M42" s="43"/>
      <c r="N42" s="43"/>
      <c r="O42" s="43"/>
      <c r="P42" s="43"/>
      <c r="Q42" s="43"/>
      <c r="R42" s="43"/>
      <c r="S42" s="43"/>
      <c r="T42" s="43"/>
      <c r="U42" s="43"/>
      <c r="V42" s="43"/>
      <c r="W42" s="43"/>
      <c r="X42" s="43"/>
      <c r="Y42" s="43"/>
      <c r="Z42" s="43"/>
    </row>
    <row r="43" spans="1:26" hidden="1" outlineLevel="1" x14ac:dyDescent="0.2">
      <c r="A43" s="194"/>
      <c r="B43" s="646"/>
      <c r="C43" s="646"/>
      <c r="D43" s="162"/>
      <c r="E43" s="78">
        <f>IF(J40&lt;&gt;"",J40,FirstYear)</f>
        <v>2021</v>
      </c>
      <c r="F43" s="630">
        <f>E43+1</f>
        <v>2022</v>
      </c>
      <c r="G43" s="630">
        <f>F43+1</f>
        <v>2023</v>
      </c>
      <c r="H43" s="630">
        <f>G43+1</f>
        <v>2024</v>
      </c>
      <c r="I43" s="630">
        <f>H43+1</f>
        <v>2025</v>
      </c>
      <c r="J43" s="630">
        <f>I43+1</f>
        <v>2026</v>
      </c>
      <c r="K43" s="162"/>
      <c r="L43" s="195"/>
      <c r="M43" s="43"/>
      <c r="N43" s="43"/>
      <c r="O43" s="43"/>
      <c r="P43" s="43"/>
      <c r="Q43" s="43"/>
      <c r="R43" s="43"/>
      <c r="S43" s="43"/>
      <c r="T43" s="43"/>
      <c r="U43" s="43"/>
      <c r="V43" s="43"/>
      <c r="W43" s="43"/>
      <c r="X43" s="43"/>
      <c r="Y43" s="43"/>
      <c r="Z43" s="43"/>
    </row>
    <row r="44" spans="1:26" hidden="1" outlineLevel="1" x14ac:dyDescent="0.2">
      <c r="A44" s="194"/>
      <c r="B44" s="646"/>
      <c r="C44" s="646"/>
      <c r="D44" s="162"/>
      <c r="E44" s="63">
        <f t="shared" ref="E44:J44" si="13">IF($B$36&lt;&gt;0,VLOOKUP($B$36,$C$48:$J$50,E45),0)</f>
        <v>0</v>
      </c>
      <c r="F44" s="63">
        <f t="shared" si="13"/>
        <v>0</v>
      </c>
      <c r="G44" s="63">
        <f t="shared" si="13"/>
        <v>0</v>
      </c>
      <c r="H44" s="63">
        <f t="shared" si="13"/>
        <v>0</v>
      </c>
      <c r="I44" s="63">
        <f t="shared" si="13"/>
        <v>0</v>
      </c>
      <c r="J44" s="63">
        <f t="shared" si="13"/>
        <v>0</v>
      </c>
      <c r="K44" s="162"/>
      <c r="L44" s="195"/>
      <c r="M44" s="43"/>
      <c r="N44" s="43"/>
      <c r="O44" s="43"/>
      <c r="P44" s="43"/>
      <c r="Q44" s="43"/>
      <c r="R44" s="43"/>
      <c r="S44" s="43"/>
      <c r="T44" s="43"/>
      <c r="U44" s="43"/>
      <c r="V44" s="43"/>
      <c r="W44" s="43"/>
      <c r="X44" s="43"/>
      <c r="Y44" s="43"/>
      <c r="Z44" s="43"/>
    </row>
    <row r="45" spans="1:26" hidden="1" outlineLevel="1" x14ac:dyDescent="0.2">
      <c r="A45" s="194"/>
      <c r="B45" s="646"/>
      <c r="C45" s="646"/>
      <c r="D45" s="162"/>
      <c r="E45" s="176">
        <v>3</v>
      </c>
      <c r="F45" s="176">
        <v>4</v>
      </c>
      <c r="G45" s="176">
        <v>5</v>
      </c>
      <c r="H45" s="176">
        <v>6</v>
      </c>
      <c r="I45" s="176">
        <v>7</v>
      </c>
      <c r="J45" s="176">
        <v>8</v>
      </c>
      <c r="K45" s="162"/>
      <c r="L45" s="195"/>
      <c r="M45" s="43"/>
      <c r="N45" s="43"/>
      <c r="O45" s="43"/>
      <c r="P45" s="43"/>
      <c r="Q45" s="43"/>
      <c r="R45" s="43"/>
      <c r="S45" s="43"/>
      <c r="T45" s="43"/>
      <c r="U45" s="43"/>
      <c r="V45" s="43"/>
      <c r="W45" s="43"/>
      <c r="X45" s="43"/>
      <c r="Y45" s="43"/>
      <c r="Z45" s="43"/>
    </row>
    <row r="46" spans="1:26" hidden="1" outlineLevel="1" x14ac:dyDescent="0.2">
      <c r="A46" s="194"/>
      <c r="B46" s="194"/>
      <c r="C46" s="194"/>
      <c r="D46" s="31" t="s">
        <v>324</v>
      </c>
      <c r="E46" s="78">
        <f t="shared" ref="E46:J46" si="14">E43</f>
        <v>2021</v>
      </c>
      <c r="F46" s="78">
        <f t="shared" si="14"/>
        <v>2022</v>
      </c>
      <c r="G46" s="78">
        <f t="shared" si="14"/>
        <v>2023</v>
      </c>
      <c r="H46" s="78">
        <f t="shared" si="14"/>
        <v>2024</v>
      </c>
      <c r="I46" s="78">
        <f t="shared" si="14"/>
        <v>2025</v>
      </c>
      <c r="J46" s="78">
        <f t="shared" si="14"/>
        <v>2026</v>
      </c>
      <c r="K46" s="162"/>
      <c r="L46" s="194"/>
      <c r="M46" s="44"/>
      <c r="N46" s="44"/>
      <c r="O46" s="44"/>
      <c r="P46" s="44"/>
      <c r="Q46" s="44"/>
      <c r="R46" s="44"/>
      <c r="S46" s="44"/>
      <c r="T46" s="44"/>
      <c r="U46" s="44"/>
      <c r="V46" s="44"/>
      <c r="W46" s="44"/>
      <c r="X46" s="44"/>
      <c r="Y46" s="44"/>
      <c r="Z46" s="44"/>
    </row>
    <row r="47" spans="1:26" hidden="1" outlineLevel="1" x14ac:dyDescent="0.2">
      <c r="A47" s="194"/>
      <c r="B47" s="194"/>
      <c r="C47" s="416"/>
      <c r="D47" s="177" t="s">
        <v>240</v>
      </c>
      <c r="E47" s="63">
        <f t="shared" ref="E47:J47" si="15">IF(OR(E48="",E48=0),SUM(E49:E50),E48)</f>
        <v>0</v>
      </c>
      <c r="F47" s="63">
        <f t="shared" si="15"/>
        <v>0</v>
      </c>
      <c r="G47" s="63">
        <f t="shared" si="15"/>
        <v>0</v>
      </c>
      <c r="H47" s="63">
        <f t="shared" si="15"/>
        <v>0</v>
      </c>
      <c r="I47" s="63">
        <f t="shared" si="15"/>
        <v>0</v>
      </c>
      <c r="J47" s="63">
        <f t="shared" si="15"/>
        <v>0</v>
      </c>
      <c r="K47" s="162"/>
      <c r="L47" s="194"/>
      <c r="M47" s="44"/>
      <c r="N47" s="44"/>
      <c r="O47" s="44"/>
      <c r="P47" s="44"/>
      <c r="Q47" s="44"/>
      <c r="R47" s="44"/>
      <c r="S47" s="44"/>
      <c r="T47" s="44"/>
      <c r="U47" s="44"/>
      <c r="V47" s="44"/>
      <c r="W47" s="44"/>
      <c r="X47" s="44"/>
      <c r="Y47" s="44"/>
      <c r="Z47" s="44"/>
    </row>
    <row r="48" spans="1:26" hidden="1" outlineLevel="1" x14ac:dyDescent="0.2">
      <c r="A48" s="194"/>
      <c r="B48" s="194"/>
      <c r="C48" s="58">
        <v>1</v>
      </c>
      <c r="D48" s="177" t="s">
        <v>366</v>
      </c>
      <c r="E48" s="427"/>
      <c r="F48" s="427"/>
      <c r="G48" s="427"/>
      <c r="H48" s="427"/>
      <c r="I48" s="427"/>
      <c r="J48" s="427"/>
      <c r="K48" s="162"/>
      <c r="L48" s="194"/>
      <c r="M48" s="44"/>
      <c r="N48" s="44"/>
      <c r="O48" s="44"/>
      <c r="P48" s="44"/>
      <c r="Q48" s="44"/>
      <c r="R48" s="44"/>
      <c r="S48" s="44"/>
      <c r="T48" s="44"/>
      <c r="U48" s="44"/>
      <c r="V48" s="44"/>
      <c r="W48" s="44"/>
      <c r="X48" s="44"/>
      <c r="Y48" s="44"/>
      <c r="Z48" s="44"/>
    </row>
    <row r="49" spans="1:26" hidden="1" outlineLevel="1" x14ac:dyDescent="0.2">
      <c r="A49" s="194"/>
      <c r="B49" s="194"/>
      <c r="C49" s="58">
        <v>2</v>
      </c>
      <c r="D49" s="177" t="s">
        <v>243</v>
      </c>
      <c r="E49" s="427"/>
      <c r="F49" s="427"/>
      <c r="G49" s="427"/>
      <c r="H49" s="427"/>
      <c r="I49" s="427"/>
      <c r="J49" s="427"/>
      <c r="K49" s="162"/>
      <c r="L49" s="194"/>
      <c r="M49" s="44"/>
      <c r="N49" s="44"/>
      <c r="O49" s="44"/>
      <c r="P49" s="44"/>
      <c r="Q49" s="44"/>
      <c r="R49" s="44"/>
      <c r="S49" s="44"/>
      <c r="T49" s="44"/>
      <c r="U49" s="44"/>
      <c r="V49" s="44"/>
      <c r="W49" s="44"/>
      <c r="X49" s="44"/>
      <c r="Y49" s="44"/>
      <c r="Z49" s="44"/>
    </row>
    <row r="50" spans="1:26" hidden="1" outlineLevel="1" x14ac:dyDescent="0.2">
      <c r="A50" s="194"/>
      <c r="B50" s="194"/>
      <c r="C50" s="58">
        <v>3</v>
      </c>
      <c r="D50" s="177" t="s">
        <v>244</v>
      </c>
      <c r="E50" s="427"/>
      <c r="F50" s="427"/>
      <c r="G50" s="427"/>
      <c r="H50" s="427"/>
      <c r="I50" s="427"/>
      <c r="J50" s="427"/>
      <c r="K50" s="162"/>
      <c r="L50" s="194"/>
      <c r="M50" s="44"/>
      <c r="N50" s="44"/>
      <c r="O50" s="44"/>
      <c r="P50" s="44"/>
      <c r="Q50" s="44"/>
      <c r="R50" s="44"/>
      <c r="S50" s="44"/>
      <c r="T50" s="44"/>
      <c r="U50" s="44"/>
      <c r="V50" s="44"/>
      <c r="W50" s="44"/>
      <c r="X50" s="44"/>
      <c r="Y50" s="44"/>
      <c r="Z50" s="44"/>
    </row>
    <row r="51" spans="1:26" hidden="1" outlineLevel="1" x14ac:dyDescent="0.2">
      <c r="A51" s="194"/>
      <c r="B51" s="194"/>
      <c r="C51" s="646"/>
      <c r="D51" s="162"/>
      <c r="E51" s="162"/>
      <c r="F51" s="162"/>
      <c r="G51" s="162"/>
      <c r="H51" s="162"/>
      <c r="I51" s="162"/>
      <c r="J51" s="162"/>
      <c r="K51" s="162"/>
      <c r="L51" s="194"/>
      <c r="M51" s="44"/>
      <c r="N51" s="44"/>
      <c r="O51" s="44"/>
      <c r="P51" s="44"/>
      <c r="Q51" s="44"/>
      <c r="R51" s="44"/>
      <c r="S51" s="44"/>
      <c r="T51" s="44"/>
      <c r="U51" s="44"/>
      <c r="V51" s="44"/>
      <c r="W51" s="44"/>
      <c r="X51" s="44"/>
      <c r="Y51" s="44"/>
      <c r="Z51" s="44"/>
    </row>
    <row r="52" spans="1:26" collapsed="1" x14ac:dyDescent="0.2">
      <c r="A52" s="194"/>
      <c r="B52" s="194"/>
      <c r="C52" s="646"/>
      <c r="D52" s="162"/>
      <c r="E52" s="162"/>
      <c r="F52" s="162"/>
      <c r="G52" s="162"/>
      <c r="H52" s="162"/>
      <c r="I52" s="162"/>
      <c r="J52" s="162"/>
      <c r="K52" s="162"/>
      <c r="L52" s="194"/>
      <c r="M52" s="44"/>
      <c r="N52" s="44"/>
      <c r="O52" s="44"/>
      <c r="P52" s="44"/>
      <c r="Q52" s="44"/>
      <c r="R52" s="44"/>
      <c r="S52" s="44"/>
      <c r="T52" s="44"/>
      <c r="U52" s="44"/>
      <c r="V52" s="44"/>
      <c r="W52" s="44"/>
      <c r="X52" s="44"/>
      <c r="Y52" s="44"/>
      <c r="Z52" s="44"/>
    </row>
    <row r="53" spans="1:26" ht="15.75" x14ac:dyDescent="0.2">
      <c r="A53" s="194"/>
      <c r="B53" s="242">
        <f>IF(E57&lt;&gt;"",VLOOKUP(E57,GenderCode,2,FALSE),0)</f>
        <v>0</v>
      </c>
      <c r="C53" s="58">
        <v>3</v>
      </c>
      <c r="D53" s="79" t="str">
        <f>IF(B53=0,MsgNotUsed, CONCATENATE("AIHW ", C53, ": ", E55,": ", E57, " (", E60, "-", J60, ")"))</f>
        <v>** NOT USED **</v>
      </c>
      <c r="E53" s="127"/>
      <c r="F53" s="127"/>
      <c r="G53" s="127"/>
      <c r="H53" s="127"/>
      <c r="I53" s="175"/>
      <c r="J53" s="127"/>
      <c r="K53" s="127"/>
      <c r="L53" s="127"/>
      <c r="M53" s="260"/>
      <c r="N53" s="260"/>
      <c r="O53" s="260"/>
      <c r="P53" s="260"/>
      <c r="Q53" s="260"/>
      <c r="R53" s="260"/>
      <c r="S53" s="260"/>
      <c r="T53" s="260"/>
      <c r="U53" s="260"/>
      <c r="V53" s="260"/>
      <c r="W53" s="260"/>
      <c r="X53" s="260"/>
      <c r="Y53" s="260"/>
      <c r="Z53" s="260"/>
    </row>
    <row r="54" spans="1:26" hidden="1" outlineLevel="1" x14ac:dyDescent="0.2">
      <c r="A54" s="194"/>
      <c r="B54" s="646"/>
      <c r="C54" s="646"/>
      <c r="D54" s="648"/>
      <c r="E54" s="162"/>
      <c r="F54" s="162"/>
      <c r="G54" s="162"/>
      <c r="H54" s="162"/>
      <c r="I54" s="162"/>
      <c r="J54" s="162"/>
      <c r="K54" s="162"/>
      <c r="L54" s="162"/>
      <c r="M54" s="162"/>
      <c r="N54" s="162"/>
      <c r="O54" s="162"/>
      <c r="P54" s="162"/>
      <c r="Q54" s="162"/>
      <c r="R54" s="162"/>
      <c r="S54" s="364"/>
      <c r="T54" s="364"/>
      <c r="U54" s="364"/>
      <c r="V54" s="364"/>
      <c r="W54" s="364"/>
      <c r="X54" s="417"/>
      <c r="Y54" s="417"/>
      <c r="Z54" s="417"/>
    </row>
    <row r="55" spans="1:26" hidden="1" outlineLevel="1" x14ac:dyDescent="0.2">
      <c r="A55" s="194"/>
      <c r="B55" s="194"/>
      <c r="C55" s="194"/>
      <c r="D55" s="42" t="s">
        <v>279</v>
      </c>
      <c r="E55" s="913"/>
      <c r="F55" s="881"/>
      <c r="G55" s="881"/>
      <c r="H55" s="881"/>
      <c r="I55" s="881"/>
      <c r="J55" s="882"/>
      <c r="K55" s="162"/>
      <c r="L55" s="42" t="s">
        <v>270</v>
      </c>
      <c r="M55" s="913"/>
      <c r="N55" s="881"/>
      <c r="O55" s="881"/>
      <c r="P55" s="881"/>
      <c r="Q55" s="881"/>
      <c r="R55" s="882"/>
      <c r="S55" s="43"/>
      <c r="T55" s="43"/>
      <c r="U55" s="43"/>
      <c r="V55" s="43"/>
      <c r="W55" s="43"/>
      <c r="X55" s="43"/>
      <c r="Y55" s="43"/>
      <c r="Z55" s="43"/>
    </row>
    <row r="56" spans="1:26" hidden="1" outlineLevel="1" x14ac:dyDescent="0.2">
      <c r="A56" s="194"/>
      <c r="B56" s="646"/>
      <c r="C56" s="646"/>
      <c r="D56" s="648"/>
      <c r="E56" s="162"/>
      <c r="F56" s="162"/>
      <c r="G56" s="162"/>
      <c r="H56" s="162"/>
      <c r="I56" s="162"/>
      <c r="J56" s="162"/>
      <c r="K56" s="162"/>
      <c r="L56" s="162"/>
      <c r="M56" s="162"/>
      <c r="N56" s="162"/>
      <c r="O56" s="162"/>
      <c r="P56" s="162"/>
      <c r="Q56" s="162"/>
      <c r="R56" s="162"/>
      <c r="S56" s="43"/>
      <c r="T56" s="43"/>
      <c r="U56" s="43"/>
      <c r="V56" s="43"/>
      <c r="W56" s="43"/>
      <c r="X56" s="43"/>
      <c r="Y56" s="43"/>
      <c r="Z56" s="43"/>
    </row>
    <row r="57" spans="1:26" hidden="1" outlineLevel="1" x14ac:dyDescent="0.2">
      <c r="A57" s="194"/>
      <c r="B57" s="194"/>
      <c r="C57" s="194"/>
      <c r="D57" s="632" t="s">
        <v>51</v>
      </c>
      <c r="E57" s="360"/>
      <c r="F57" s="162"/>
      <c r="G57" s="646"/>
      <c r="H57" s="646"/>
      <c r="I57" s="632" t="s">
        <v>365</v>
      </c>
      <c r="J57" s="360"/>
      <c r="K57" s="162"/>
      <c r="L57" s="195"/>
      <c r="M57" s="43"/>
      <c r="N57" s="43"/>
      <c r="O57" s="43"/>
      <c r="P57" s="43"/>
      <c r="Q57" s="43"/>
      <c r="R57" s="43"/>
      <c r="S57" s="43"/>
      <c r="T57" s="43"/>
      <c r="U57" s="43"/>
      <c r="V57" s="43"/>
      <c r="W57" s="43"/>
      <c r="X57" s="43"/>
      <c r="Y57" s="43"/>
      <c r="Z57" s="43"/>
    </row>
    <row r="58" spans="1:26" hidden="1" outlineLevel="1" x14ac:dyDescent="0.2">
      <c r="A58" s="194"/>
      <c r="B58" s="646"/>
      <c r="C58" s="646"/>
      <c r="D58" s="162"/>
      <c r="E58" s="162"/>
      <c r="F58" s="162"/>
      <c r="G58" s="162"/>
      <c r="H58" s="162"/>
      <c r="I58" s="162"/>
      <c r="J58" s="162"/>
      <c r="K58" s="162"/>
      <c r="L58" s="195"/>
      <c r="M58" s="43"/>
      <c r="N58" s="43"/>
      <c r="O58" s="43"/>
      <c r="P58" s="43"/>
      <c r="Q58" s="43"/>
      <c r="R58" s="43"/>
      <c r="S58" s="43"/>
      <c r="T58" s="43"/>
      <c r="U58" s="43"/>
      <c r="V58" s="43"/>
      <c r="W58" s="43"/>
      <c r="X58" s="43"/>
      <c r="Y58" s="43"/>
      <c r="Z58" s="43"/>
    </row>
    <row r="59" spans="1:26" hidden="1" outlineLevel="1" x14ac:dyDescent="0.2">
      <c r="A59" s="194"/>
      <c r="B59" s="646"/>
      <c r="C59" s="646"/>
      <c r="D59" s="162"/>
      <c r="E59" s="616" t="s">
        <v>255</v>
      </c>
      <c r="F59" s="162"/>
      <c r="G59" s="162"/>
      <c r="H59" s="162"/>
      <c r="I59" s="162"/>
      <c r="J59" s="162"/>
      <c r="K59" s="162"/>
      <c r="L59" s="195"/>
      <c r="M59" s="43"/>
      <c r="N59" s="43"/>
      <c r="O59" s="43"/>
      <c r="P59" s="43"/>
      <c r="Q59" s="43"/>
      <c r="R59" s="43"/>
      <c r="S59" s="43"/>
      <c r="T59" s="43"/>
      <c r="U59" s="43"/>
      <c r="V59" s="43"/>
      <c r="W59" s="43"/>
      <c r="X59" s="43"/>
      <c r="Y59" s="43"/>
      <c r="Z59" s="43"/>
    </row>
    <row r="60" spans="1:26" hidden="1" outlineLevel="1" x14ac:dyDescent="0.2">
      <c r="A60" s="194"/>
      <c r="B60" s="646"/>
      <c r="C60" s="646"/>
      <c r="D60" s="162"/>
      <c r="E60" s="78">
        <f>IF(J57&lt;&gt;"",J57,FirstYear)</f>
        <v>2021</v>
      </c>
      <c r="F60" s="630">
        <f>E60+1</f>
        <v>2022</v>
      </c>
      <c r="G60" s="630">
        <f>F60+1</f>
        <v>2023</v>
      </c>
      <c r="H60" s="630">
        <f>G60+1</f>
        <v>2024</v>
      </c>
      <c r="I60" s="630">
        <f>H60+1</f>
        <v>2025</v>
      </c>
      <c r="J60" s="630">
        <f>I60+1</f>
        <v>2026</v>
      </c>
      <c r="K60" s="162"/>
      <c r="L60" s="195"/>
      <c r="M60" s="43"/>
      <c r="N60" s="43"/>
      <c r="O60" s="43"/>
      <c r="P60" s="43"/>
      <c r="Q60" s="43"/>
      <c r="R60" s="43"/>
      <c r="S60" s="43"/>
      <c r="T60" s="43"/>
      <c r="U60" s="43"/>
      <c r="V60" s="43"/>
      <c r="W60" s="43"/>
      <c r="X60" s="43"/>
      <c r="Y60" s="43"/>
      <c r="Z60" s="43"/>
    </row>
    <row r="61" spans="1:26" hidden="1" outlineLevel="1" x14ac:dyDescent="0.2">
      <c r="A61" s="194"/>
      <c r="B61" s="646"/>
      <c r="C61" s="646"/>
      <c r="D61" s="162"/>
      <c r="E61" s="63">
        <f t="shared" ref="E61:J61" si="16">IF($B$53&lt;&gt;0,VLOOKUP($B$53,$C$65:$J$67,E62),0)</f>
        <v>0</v>
      </c>
      <c r="F61" s="63">
        <f t="shared" si="16"/>
        <v>0</v>
      </c>
      <c r="G61" s="63">
        <f t="shared" si="16"/>
        <v>0</v>
      </c>
      <c r="H61" s="63">
        <f t="shared" si="16"/>
        <v>0</v>
      </c>
      <c r="I61" s="63">
        <f t="shared" si="16"/>
        <v>0</v>
      </c>
      <c r="J61" s="63">
        <f t="shared" si="16"/>
        <v>0</v>
      </c>
      <c r="K61" s="162"/>
      <c r="L61" s="195"/>
      <c r="M61" s="43"/>
      <c r="N61" s="43"/>
      <c r="O61" s="43"/>
      <c r="P61" s="43"/>
      <c r="Q61" s="43"/>
      <c r="R61" s="43"/>
      <c r="S61" s="43"/>
      <c r="T61" s="43"/>
      <c r="U61" s="43"/>
      <c r="V61" s="43"/>
      <c r="W61" s="43"/>
      <c r="X61" s="43"/>
      <c r="Y61" s="43"/>
      <c r="Z61" s="43"/>
    </row>
    <row r="62" spans="1:26" hidden="1" outlineLevel="1" x14ac:dyDescent="0.2">
      <c r="A62" s="194"/>
      <c r="B62" s="646"/>
      <c r="C62" s="646"/>
      <c r="D62" s="162"/>
      <c r="E62" s="176">
        <v>3</v>
      </c>
      <c r="F62" s="176">
        <v>4</v>
      </c>
      <c r="G62" s="176">
        <v>5</v>
      </c>
      <c r="H62" s="176">
        <v>6</v>
      </c>
      <c r="I62" s="176">
        <v>7</v>
      </c>
      <c r="J62" s="176">
        <v>8</v>
      </c>
      <c r="K62" s="162"/>
      <c r="L62" s="195"/>
      <c r="M62" s="43"/>
      <c r="N62" s="43"/>
      <c r="O62" s="43"/>
      <c r="P62" s="43"/>
      <c r="Q62" s="43"/>
      <c r="R62" s="43"/>
      <c r="S62" s="43"/>
      <c r="T62" s="43"/>
      <c r="U62" s="43"/>
      <c r="V62" s="43"/>
      <c r="W62" s="43"/>
      <c r="X62" s="43"/>
      <c r="Y62" s="43"/>
      <c r="Z62" s="43"/>
    </row>
    <row r="63" spans="1:26" hidden="1" outlineLevel="1" x14ac:dyDescent="0.2">
      <c r="A63" s="194"/>
      <c r="B63" s="194"/>
      <c r="C63" s="194"/>
      <c r="D63" s="31" t="s">
        <v>324</v>
      </c>
      <c r="E63" s="78">
        <f t="shared" ref="E63:J63" si="17">E60</f>
        <v>2021</v>
      </c>
      <c r="F63" s="78">
        <f t="shared" si="17"/>
        <v>2022</v>
      </c>
      <c r="G63" s="78">
        <f t="shared" si="17"/>
        <v>2023</v>
      </c>
      <c r="H63" s="78">
        <f t="shared" si="17"/>
        <v>2024</v>
      </c>
      <c r="I63" s="78">
        <f t="shared" si="17"/>
        <v>2025</v>
      </c>
      <c r="J63" s="78">
        <f t="shared" si="17"/>
        <v>2026</v>
      </c>
      <c r="K63" s="162"/>
      <c r="L63" s="194"/>
      <c r="M63" s="44"/>
      <c r="N63" s="44"/>
      <c r="O63" s="44"/>
      <c r="P63" s="44"/>
      <c r="Q63" s="44"/>
      <c r="R63" s="44"/>
      <c r="S63" s="44"/>
      <c r="T63" s="44"/>
      <c r="U63" s="44"/>
      <c r="V63" s="44"/>
      <c r="W63" s="44"/>
      <c r="X63" s="44"/>
      <c r="Y63" s="44"/>
      <c r="Z63" s="44"/>
    </row>
    <row r="64" spans="1:26" hidden="1" outlineLevel="1" x14ac:dyDescent="0.2">
      <c r="A64" s="194"/>
      <c r="B64" s="194"/>
      <c r="C64" s="416"/>
      <c r="D64" s="177" t="s">
        <v>240</v>
      </c>
      <c r="E64" s="63">
        <f t="shared" ref="E64:J64" si="18">IF(OR(E65="",E65=0),SUM(E66:E67),E65)</f>
        <v>0</v>
      </c>
      <c r="F64" s="63">
        <f t="shared" si="18"/>
        <v>0</v>
      </c>
      <c r="G64" s="63">
        <f t="shared" si="18"/>
        <v>0</v>
      </c>
      <c r="H64" s="63">
        <f t="shared" si="18"/>
        <v>0</v>
      </c>
      <c r="I64" s="63">
        <f t="shared" si="18"/>
        <v>0</v>
      </c>
      <c r="J64" s="63">
        <f t="shared" si="18"/>
        <v>0</v>
      </c>
      <c r="K64" s="162"/>
      <c r="L64" s="194"/>
      <c r="M64" s="44"/>
      <c r="N64" s="44"/>
      <c r="O64" s="44"/>
      <c r="P64" s="44"/>
      <c r="Q64" s="44"/>
      <c r="R64" s="44"/>
      <c r="S64" s="44"/>
      <c r="T64" s="44"/>
      <c r="U64" s="44"/>
      <c r="V64" s="44"/>
      <c r="W64" s="44"/>
      <c r="X64" s="44"/>
      <c r="Y64" s="44"/>
      <c r="Z64" s="44"/>
    </row>
    <row r="65" spans="1:26" hidden="1" outlineLevel="1" x14ac:dyDescent="0.2">
      <c r="A65" s="194"/>
      <c r="B65" s="194"/>
      <c r="C65" s="58">
        <v>1</v>
      </c>
      <c r="D65" s="177" t="s">
        <v>366</v>
      </c>
      <c r="E65" s="427"/>
      <c r="F65" s="427"/>
      <c r="G65" s="427"/>
      <c r="H65" s="427"/>
      <c r="I65" s="427"/>
      <c r="J65" s="427"/>
      <c r="K65" s="162"/>
      <c r="L65" s="194"/>
      <c r="M65" s="44"/>
      <c r="N65" s="44"/>
      <c r="O65" s="44"/>
      <c r="P65" s="44"/>
      <c r="Q65" s="44"/>
      <c r="R65" s="44"/>
      <c r="S65" s="44"/>
      <c r="T65" s="44"/>
      <c r="U65" s="44"/>
      <c r="V65" s="44"/>
      <c r="W65" s="44"/>
      <c r="X65" s="44"/>
      <c r="Y65" s="44"/>
      <c r="Z65" s="44"/>
    </row>
    <row r="66" spans="1:26" hidden="1" outlineLevel="1" x14ac:dyDescent="0.2">
      <c r="A66" s="194"/>
      <c r="B66" s="194"/>
      <c r="C66" s="58">
        <v>2</v>
      </c>
      <c r="D66" s="177" t="s">
        <v>243</v>
      </c>
      <c r="E66" s="427"/>
      <c r="F66" s="427"/>
      <c r="G66" s="427"/>
      <c r="H66" s="427"/>
      <c r="I66" s="427"/>
      <c r="J66" s="427"/>
      <c r="K66" s="162"/>
      <c r="L66" s="194"/>
      <c r="M66" s="44"/>
      <c r="N66" s="44"/>
      <c r="O66" s="44"/>
      <c r="P66" s="44"/>
      <c r="Q66" s="44"/>
      <c r="R66" s="44"/>
      <c r="S66" s="44"/>
      <c r="T66" s="44"/>
      <c r="U66" s="44"/>
      <c r="V66" s="44"/>
      <c r="W66" s="44"/>
      <c r="X66" s="44"/>
      <c r="Y66" s="44"/>
      <c r="Z66" s="44"/>
    </row>
    <row r="67" spans="1:26" hidden="1" outlineLevel="1" x14ac:dyDescent="0.2">
      <c r="A67" s="194"/>
      <c r="B67" s="194"/>
      <c r="C67" s="58">
        <v>3</v>
      </c>
      <c r="D67" s="177" t="s">
        <v>244</v>
      </c>
      <c r="E67" s="427"/>
      <c r="F67" s="427"/>
      <c r="G67" s="427"/>
      <c r="H67" s="427"/>
      <c r="I67" s="427"/>
      <c r="J67" s="427"/>
      <c r="K67" s="162"/>
      <c r="L67" s="194"/>
      <c r="M67" s="44"/>
      <c r="N67" s="44"/>
      <c r="O67" s="44"/>
      <c r="P67" s="44"/>
      <c r="Q67" s="44"/>
      <c r="R67" s="44"/>
      <c r="S67" s="44"/>
      <c r="T67" s="44"/>
      <c r="U67" s="44"/>
      <c r="V67" s="44"/>
      <c r="W67" s="44"/>
      <c r="X67" s="44"/>
      <c r="Y67" s="44"/>
      <c r="Z67" s="44"/>
    </row>
    <row r="68" spans="1:26" hidden="1" outlineLevel="1" x14ac:dyDescent="0.2">
      <c r="A68" s="194"/>
      <c r="B68" s="194"/>
      <c r="C68" s="646"/>
      <c r="D68" s="162"/>
      <c r="E68" s="162"/>
      <c r="F68" s="162"/>
      <c r="G68" s="162"/>
      <c r="H68" s="162"/>
      <c r="I68" s="162"/>
      <c r="J68" s="162"/>
      <c r="K68" s="162"/>
      <c r="L68" s="194"/>
      <c r="M68" s="44"/>
      <c r="N68" s="44"/>
      <c r="O68" s="44"/>
      <c r="P68" s="44"/>
      <c r="Q68" s="44"/>
      <c r="R68" s="44"/>
      <c r="S68" s="44"/>
      <c r="T68" s="44"/>
      <c r="U68" s="44"/>
      <c r="V68" s="44"/>
      <c r="W68" s="44"/>
      <c r="X68" s="44"/>
      <c r="Y68" s="44"/>
      <c r="Z68" s="44"/>
    </row>
    <row r="69" spans="1:26" collapsed="1" x14ac:dyDescent="0.2">
      <c r="A69" s="194"/>
      <c r="B69" s="194"/>
      <c r="C69" s="646"/>
      <c r="D69" s="162"/>
      <c r="E69" s="162"/>
      <c r="F69" s="162"/>
      <c r="G69" s="162"/>
      <c r="H69" s="162"/>
      <c r="I69" s="162"/>
      <c r="J69" s="162"/>
      <c r="K69" s="162"/>
      <c r="L69" s="194"/>
      <c r="M69" s="44"/>
      <c r="N69" s="44"/>
      <c r="O69" s="44"/>
      <c r="P69" s="44"/>
      <c r="Q69" s="44"/>
      <c r="R69" s="44"/>
      <c r="S69" s="44"/>
      <c r="T69" s="44"/>
      <c r="U69" s="44"/>
      <c r="V69" s="44"/>
      <c r="W69" s="44"/>
      <c r="X69" s="44"/>
      <c r="Y69" s="44"/>
      <c r="Z69" s="44"/>
    </row>
    <row r="70" spans="1:26" ht="15.75" x14ac:dyDescent="0.2">
      <c r="A70" s="194"/>
      <c r="B70" s="242">
        <f>IF(E74&lt;&gt;"",VLOOKUP(E74,GenderCode,2,FALSE),0)</f>
        <v>0</v>
      </c>
      <c r="C70" s="58">
        <v>4</v>
      </c>
      <c r="D70" s="79" t="str">
        <f>IF(B70=0,MsgNotUsed, CONCATENATE("AIHW ", C70, ": ", E72,": ", E74, " (", E77, "-", J77, ")"))</f>
        <v>** NOT USED **</v>
      </c>
      <c r="E70" s="127"/>
      <c r="F70" s="127"/>
      <c r="G70" s="127"/>
      <c r="H70" s="127"/>
      <c r="I70" s="175"/>
      <c r="J70" s="127"/>
      <c r="K70" s="127"/>
      <c r="L70" s="127"/>
      <c r="M70" s="260"/>
      <c r="N70" s="260"/>
      <c r="O70" s="260"/>
      <c r="P70" s="260"/>
      <c r="Q70" s="260"/>
      <c r="R70" s="260"/>
      <c r="S70" s="260"/>
      <c r="T70" s="260"/>
      <c r="U70" s="260"/>
      <c r="V70" s="260"/>
      <c r="W70" s="260"/>
      <c r="X70" s="260"/>
      <c r="Y70" s="260"/>
      <c r="Z70" s="260"/>
    </row>
    <row r="71" spans="1:26" hidden="1" outlineLevel="1" x14ac:dyDescent="0.2">
      <c r="A71" s="194"/>
      <c r="B71" s="646"/>
      <c r="C71" s="646"/>
      <c r="D71" s="648"/>
      <c r="E71" s="162"/>
      <c r="F71" s="162"/>
      <c r="G71" s="162"/>
      <c r="H71" s="162"/>
      <c r="I71" s="162"/>
      <c r="J71" s="162"/>
      <c r="K71" s="162"/>
      <c r="L71" s="162"/>
      <c r="M71" s="162"/>
      <c r="N71" s="162"/>
      <c r="O71" s="162"/>
      <c r="P71" s="162"/>
      <c r="Q71" s="162"/>
      <c r="R71" s="162"/>
      <c r="S71" s="364"/>
      <c r="T71" s="364"/>
      <c r="U71" s="364"/>
      <c r="V71" s="364"/>
      <c r="W71" s="364"/>
      <c r="X71" s="417"/>
      <c r="Y71" s="417"/>
      <c r="Z71" s="417"/>
    </row>
    <row r="72" spans="1:26" hidden="1" outlineLevel="1" x14ac:dyDescent="0.2">
      <c r="A72" s="194"/>
      <c r="B72" s="194"/>
      <c r="C72" s="194"/>
      <c r="D72" s="42" t="s">
        <v>279</v>
      </c>
      <c r="E72" s="913"/>
      <c r="F72" s="881"/>
      <c r="G72" s="881"/>
      <c r="H72" s="881"/>
      <c r="I72" s="881"/>
      <c r="J72" s="882"/>
      <c r="K72" s="162"/>
      <c r="L72" s="42" t="s">
        <v>270</v>
      </c>
      <c r="M72" s="913"/>
      <c r="N72" s="881"/>
      <c r="O72" s="881"/>
      <c r="P72" s="881"/>
      <c r="Q72" s="881"/>
      <c r="R72" s="882"/>
      <c r="S72" s="43"/>
      <c r="T72" s="43"/>
      <c r="U72" s="43"/>
      <c r="V72" s="43"/>
      <c r="W72" s="43"/>
      <c r="X72" s="43"/>
      <c r="Y72" s="43"/>
      <c r="Z72" s="43"/>
    </row>
    <row r="73" spans="1:26" hidden="1" outlineLevel="1" x14ac:dyDescent="0.2">
      <c r="A73" s="194"/>
      <c r="B73" s="646"/>
      <c r="C73" s="646"/>
      <c r="D73" s="648"/>
      <c r="E73" s="162"/>
      <c r="F73" s="162"/>
      <c r="G73" s="162"/>
      <c r="H73" s="162"/>
      <c r="I73" s="162"/>
      <c r="J73" s="162"/>
      <c r="K73" s="162"/>
      <c r="L73" s="162"/>
      <c r="M73" s="162"/>
      <c r="N73" s="162"/>
      <c r="O73" s="162"/>
      <c r="P73" s="162"/>
      <c r="Q73" s="162"/>
      <c r="R73" s="162"/>
      <c r="S73" s="43"/>
      <c r="T73" s="43"/>
      <c r="U73" s="43"/>
      <c r="V73" s="43"/>
      <c r="W73" s="43"/>
      <c r="X73" s="43"/>
      <c r="Y73" s="43"/>
      <c r="Z73" s="43"/>
    </row>
    <row r="74" spans="1:26" hidden="1" outlineLevel="1" x14ac:dyDescent="0.2">
      <c r="A74" s="194"/>
      <c r="B74" s="194"/>
      <c r="C74" s="194"/>
      <c r="D74" s="632" t="s">
        <v>51</v>
      </c>
      <c r="E74" s="360"/>
      <c r="F74" s="162"/>
      <c r="G74" s="646"/>
      <c r="H74" s="646"/>
      <c r="I74" s="632" t="s">
        <v>365</v>
      </c>
      <c r="J74" s="360"/>
      <c r="K74" s="162"/>
      <c r="L74" s="195"/>
      <c r="M74" s="43"/>
      <c r="N74" s="43"/>
      <c r="O74" s="43"/>
      <c r="P74" s="43"/>
      <c r="Q74" s="43"/>
      <c r="R74" s="43"/>
      <c r="S74" s="43"/>
      <c r="T74" s="43"/>
      <c r="U74" s="43"/>
      <c r="V74" s="43"/>
      <c r="W74" s="43"/>
      <c r="X74" s="43"/>
      <c r="Y74" s="43"/>
      <c r="Z74" s="43"/>
    </row>
    <row r="75" spans="1:26" hidden="1" outlineLevel="1" x14ac:dyDescent="0.2">
      <c r="A75" s="194"/>
      <c r="B75" s="646"/>
      <c r="C75" s="646"/>
      <c r="D75" s="162"/>
      <c r="E75" s="162"/>
      <c r="F75" s="162"/>
      <c r="G75" s="162"/>
      <c r="H75" s="162"/>
      <c r="I75" s="162"/>
      <c r="J75" s="162"/>
      <c r="K75" s="162"/>
      <c r="L75" s="195"/>
      <c r="M75" s="43"/>
      <c r="N75" s="43"/>
      <c r="O75" s="43"/>
      <c r="P75" s="43"/>
      <c r="Q75" s="43"/>
      <c r="R75" s="43"/>
      <c r="S75" s="43"/>
      <c r="T75" s="43"/>
      <c r="U75" s="43"/>
      <c r="V75" s="43"/>
      <c r="W75" s="43"/>
      <c r="X75" s="43"/>
      <c r="Y75" s="43"/>
      <c r="Z75" s="43"/>
    </row>
    <row r="76" spans="1:26" hidden="1" outlineLevel="1" x14ac:dyDescent="0.2">
      <c r="A76" s="194"/>
      <c r="B76" s="646"/>
      <c r="C76" s="646"/>
      <c r="D76" s="162"/>
      <c r="E76" s="616" t="s">
        <v>255</v>
      </c>
      <c r="F76" s="162"/>
      <c r="G76" s="162"/>
      <c r="H76" s="162"/>
      <c r="I76" s="162"/>
      <c r="J76" s="162"/>
      <c r="K76" s="162"/>
      <c r="L76" s="195"/>
      <c r="M76" s="43"/>
      <c r="N76" s="43"/>
      <c r="O76" s="43"/>
      <c r="P76" s="43"/>
      <c r="Q76" s="43"/>
      <c r="R76" s="43"/>
      <c r="S76" s="43"/>
      <c r="T76" s="43"/>
      <c r="U76" s="43"/>
      <c r="V76" s="43"/>
      <c r="W76" s="43"/>
      <c r="X76" s="43"/>
      <c r="Y76" s="43"/>
      <c r="Z76" s="43"/>
    </row>
    <row r="77" spans="1:26" hidden="1" outlineLevel="1" x14ac:dyDescent="0.2">
      <c r="A77" s="194"/>
      <c r="B77" s="646"/>
      <c r="C77" s="646"/>
      <c r="D77" s="162"/>
      <c r="E77" s="78">
        <f>IF(J74&lt;&gt;"",J74,FirstYear)</f>
        <v>2021</v>
      </c>
      <c r="F77" s="630">
        <f>E77+1</f>
        <v>2022</v>
      </c>
      <c r="G77" s="630">
        <f>F77+1</f>
        <v>2023</v>
      </c>
      <c r="H77" s="630">
        <f>G77+1</f>
        <v>2024</v>
      </c>
      <c r="I77" s="630">
        <f>H77+1</f>
        <v>2025</v>
      </c>
      <c r="J77" s="630">
        <f>I77+1</f>
        <v>2026</v>
      </c>
      <c r="K77" s="162"/>
      <c r="L77" s="195"/>
      <c r="M77" s="43"/>
      <c r="N77" s="43"/>
      <c r="O77" s="43"/>
      <c r="P77" s="43"/>
      <c r="Q77" s="43"/>
      <c r="R77" s="43"/>
      <c r="S77" s="43"/>
      <c r="T77" s="43"/>
      <c r="U77" s="43"/>
      <c r="V77" s="43"/>
      <c r="W77" s="43"/>
      <c r="X77" s="43"/>
      <c r="Y77" s="43"/>
      <c r="Z77" s="43"/>
    </row>
    <row r="78" spans="1:26" hidden="1" outlineLevel="1" x14ac:dyDescent="0.2">
      <c r="A78" s="194"/>
      <c r="B78" s="646"/>
      <c r="C78" s="646"/>
      <c r="D78" s="162"/>
      <c r="E78" s="63">
        <f t="shared" ref="E78:J78" si="19">IF($B$70&lt;&gt;0,VLOOKUP($B$70,$C$82:$J$84,E79),0)</f>
        <v>0</v>
      </c>
      <c r="F78" s="63">
        <f t="shared" si="19"/>
        <v>0</v>
      </c>
      <c r="G78" s="63">
        <f t="shared" si="19"/>
        <v>0</v>
      </c>
      <c r="H78" s="63">
        <f t="shared" si="19"/>
        <v>0</v>
      </c>
      <c r="I78" s="63">
        <f t="shared" si="19"/>
        <v>0</v>
      </c>
      <c r="J78" s="63">
        <f t="shared" si="19"/>
        <v>0</v>
      </c>
      <c r="K78" s="162"/>
      <c r="L78" s="195"/>
      <c r="M78" s="43"/>
      <c r="N78" s="43"/>
      <c r="O78" s="43"/>
      <c r="P78" s="43"/>
      <c r="Q78" s="43"/>
      <c r="R78" s="43"/>
      <c r="S78" s="43"/>
      <c r="T78" s="43"/>
      <c r="U78" s="43"/>
      <c r="V78" s="43"/>
      <c r="W78" s="43"/>
      <c r="X78" s="43"/>
      <c r="Y78" s="43"/>
      <c r="Z78" s="43"/>
    </row>
    <row r="79" spans="1:26" hidden="1" outlineLevel="1" x14ac:dyDescent="0.2">
      <c r="A79" s="194"/>
      <c r="B79" s="646"/>
      <c r="C79" s="646"/>
      <c r="D79" s="162"/>
      <c r="E79" s="176">
        <v>3</v>
      </c>
      <c r="F79" s="176">
        <v>4</v>
      </c>
      <c r="G79" s="176">
        <v>5</v>
      </c>
      <c r="H79" s="176">
        <v>6</v>
      </c>
      <c r="I79" s="176">
        <v>7</v>
      </c>
      <c r="J79" s="176">
        <v>8</v>
      </c>
      <c r="K79" s="162"/>
      <c r="L79" s="195"/>
      <c r="M79" s="43"/>
      <c r="N79" s="43"/>
      <c r="O79" s="43"/>
      <c r="P79" s="43"/>
      <c r="Q79" s="43"/>
      <c r="R79" s="43"/>
      <c r="S79" s="43"/>
      <c r="T79" s="43"/>
      <c r="U79" s="43"/>
      <c r="V79" s="43"/>
      <c r="W79" s="43"/>
      <c r="X79" s="43"/>
      <c r="Y79" s="43"/>
      <c r="Z79" s="43"/>
    </row>
    <row r="80" spans="1:26" hidden="1" outlineLevel="1" x14ac:dyDescent="0.2">
      <c r="A80" s="194"/>
      <c r="B80" s="194"/>
      <c r="C80" s="194"/>
      <c r="D80" s="31" t="s">
        <v>324</v>
      </c>
      <c r="E80" s="78">
        <f t="shared" ref="E80:J80" si="20">E77</f>
        <v>2021</v>
      </c>
      <c r="F80" s="78">
        <f t="shared" si="20"/>
        <v>2022</v>
      </c>
      <c r="G80" s="78">
        <f t="shared" si="20"/>
        <v>2023</v>
      </c>
      <c r="H80" s="78">
        <f t="shared" si="20"/>
        <v>2024</v>
      </c>
      <c r="I80" s="78">
        <f t="shared" si="20"/>
        <v>2025</v>
      </c>
      <c r="J80" s="78">
        <f t="shared" si="20"/>
        <v>2026</v>
      </c>
      <c r="K80" s="162"/>
      <c r="L80" s="194"/>
      <c r="M80" s="44"/>
      <c r="N80" s="44"/>
      <c r="O80" s="44"/>
      <c r="P80" s="44"/>
      <c r="Q80" s="44"/>
      <c r="R80" s="44"/>
      <c r="S80" s="44"/>
      <c r="T80" s="44"/>
      <c r="U80" s="44"/>
      <c r="V80" s="44"/>
      <c r="W80" s="44"/>
      <c r="X80" s="44"/>
      <c r="Y80" s="44"/>
      <c r="Z80" s="44"/>
    </row>
    <row r="81" spans="1:26" hidden="1" outlineLevel="1" x14ac:dyDescent="0.2">
      <c r="A81" s="194"/>
      <c r="B81" s="194"/>
      <c r="C81" s="416"/>
      <c r="D81" s="177" t="s">
        <v>240</v>
      </c>
      <c r="E81" s="63">
        <f t="shared" ref="E81:J81" si="21">IF(OR(E82="",E82=0),SUM(E83:E84),E82)</f>
        <v>0</v>
      </c>
      <c r="F81" s="63">
        <f t="shared" si="21"/>
        <v>0</v>
      </c>
      <c r="G81" s="63">
        <f t="shared" si="21"/>
        <v>0</v>
      </c>
      <c r="H81" s="63">
        <f t="shared" si="21"/>
        <v>0</v>
      </c>
      <c r="I81" s="63">
        <f t="shared" si="21"/>
        <v>0</v>
      </c>
      <c r="J81" s="63">
        <f t="shared" si="21"/>
        <v>0</v>
      </c>
      <c r="K81" s="162"/>
      <c r="L81" s="194"/>
      <c r="M81" s="44"/>
      <c r="N81" s="44"/>
      <c r="O81" s="44"/>
      <c r="P81" s="44"/>
      <c r="Q81" s="44"/>
      <c r="R81" s="44"/>
      <c r="S81" s="44"/>
      <c r="T81" s="44"/>
      <c r="U81" s="44"/>
      <c r="V81" s="44"/>
      <c r="W81" s="44"/>
      <c r="X81" s="44"/>
      <c r="Y81" s="44"/>
      <c r="Z81" s="44"/>
    </row>
    <row r="82" spans="1:26" hidden="1" outlineLevel="1" x14ac:dyDescent="0.2">
      <c r="A82" s="194"/>
      <c r="B82" s="194"/>
      <c r="C82" s="58">
        <v>1</v>
      </c>
      <c r="D82" s="177" t="s">
        <v>366</v>
      </c>
      <c r="E82" s="427"/>
      <c r="F82" s="427"/>
      <c r="G82" s="427"/>
      <c r="H82" s="427"/>
      <c r="I82" s="427"/>
      <c r="J82" s="427"/>
      <c r="K82" s="162"/>
      <c r="L82" s="194"/>
      <c r="M82" s="44"/>
      <c r="N82" s="44"/>
      <c r="O82" s="44"/>
      <c r="P82" s="44"/>
      <c r="Q82" s="44"/>
      <c r="R82" s="44"/>
      <c r="S82" s="44"/>
      <c r="T82" s="44"/>
      <c r="U82" s="44"/>
      <c r="V82" s="44"/>
      <c r="W82" s="44"/>
      <c r="X82" s="44"/>
      <c r="Y82" s="44"/>
      <c r="Z82" s="44"/>
    </row>
    <row r="83" spans="1:26" hidden="1" outlineLevel="1" x14ac:dyDescent="0.2">
      <c r="A83" s="194"/>
      <c r="B83" s="194"/>
      <c r="C83" s="58">
        <v>2</v>
      </c>
      <c r="D83" s="177" t="s">
        <v>243</v>
      </c>
      <c r="E83" s="427"/>
      <c r="F83" s="427"/>
      <c r="G83" s="427"/>
      <c r="H83" s="427"/>
      <c r="I83" s="427"/>
      <c r="J83" s="427"/>
      <c r="K83" s="162"/>
      <c r="L83" s="194"/>
      <c r="M83" s="44"/>
      <c r="N83" s="44"/>
      <c r="O83" s="44"/>
      <c r="P83" s="44"/>
      <c r="Q83" s="44"/>
      <c r="R83" s="44"/>
      <c r="S83" s="44"/>
      <c r="T83" s="44"/>
      <c r="U83" s="44"/>
      <c r="V83" s="44"/>
      <c r="W83" s="44"/>
      <c r="X83" s="44"/>
      <c r="Y83" s="44"/>
      <c r="Z83" s="44"/>
    </row>
    <row r="84" spans="1:26" hidden="1" outlineLevel="1" x14ac:dyDescent="0.2">
      <c r="A84" s="194"/>
      <c r="B84" s="194"/>
      <c r="C84" s="58">
        <v>3</v>
      </c>
      <c r="D84" s="177" t="s">
        <v>244</v>
      </c>
      <c r="E84" s="427"/>
      <c r="F84" s="427"/>
      <c r="G84" s="427"/>
      <c r="H84" s="427"/>
      <c r="I84" s="427"/>
      <c r="J84" s="427"/>
      <c r="K84" s="162"/>
      <c r="L84" s="194"/>
      <c r="M84" s="44"/>
      <c r="N84" s="44"/>
      <c r="O84" s="44"/>
      <c r="P84" s="44"/>
      <c r="Q84" s="44"/>
      <c r="R84" s="44"/>
      <c r="S84" s="44"/>
      <c r="T84" s="44"/>
      <c r="U84" s="44"/>
      <c r="V84" s="44"/>
      <c r="W84" s="44"/>
      <c r="X84" s="44"/>
      <c r="Y84" s="44"/>
      <c r="Z84" s="44"/>
    </row>
    <row r="85" spans="1:26" hidden="1" outlineLevel="1" x14ac:dyDescent="0.2">
      <c r="A85" s="194"/>
      <c r="B85" s="194"/>
      <c r="C85" s="646"/>
      <c r="D85" s="162"/>
      <c r="E85" s="162"/>
      <c r="F85" s="162"/>
      <c r="G85" s="162"/>
      <c r="H85" s="162"/>
      <c r="I85" s="162"/>
      <c r="J85" s="162"/>
      <c r="K85" s="162"/>
      <c r="L85" s="194"/>
      <c r="M85" s="44"/>
      <c r="N85" s="44"/>
      <c r="O85" s="44"/>
      <c r="P85" s="44"/>
      <c r="Q85" s="44"/>
      <c r="R85" s="44"/>
      <c r="S85" s="44"/>
      <c r="T85" s="44"/>
      <c r="U85" s="44"/>
      <c r="V85" s="44"/>
      <c r="W85" s="44"/>
      <c r="X85" s="44"/>
      <c r="Y85" s="44"/>
      <c r="Z85" s="44"/>
    </row>
    <row r="86" spans="1:26" collapsed="1" x14ac:dyDescent="0.2">
      <c r="A86" s="194"/>
      <c r="B86" s="194"/>
      <c r="C86" s="646"/>
      <c r="D86" s="162"/>
      <c r="E86" s="162"/>
      <c r="F86" s="162"/>
      <c r="G86" s="162"/>
      <c r="H86" s="162"/>
      <c r="I86" s="162"/>
      <c r="J86" s="162"/>
      <c r="K86" s="162"/>
      <c r="L86" s="194"/>
      <c r="M86" s="44"/>
      <c r="N86" s="44"/>
      <c r="O86" s="44"/>
      <c r="P86" s="44"/>
      <c r="Q86" s="44"/>
      <c r="R86" s="44"/>
      <c r="S86" s="44"/>
      <c r="T86" s="44"/>
      <c r="U86" s="44"/>
      <c r="V86" s="44"/>
      <c r="W86" s="44"/>
      <c r="X86" s="44"/>
      <c r="Y86" s="44"/>
      <c r="Z86" s="44"/>
    </row>
    <row r="87" spans="1:26" ht="15.75" x14ac:dyDescent="0.2">
      <c r="A87" s="194"/>
      <c r="B87" s="242">
        <f>IF(E91&lt;&gt;"",VLOOKUP(E91,GenderCode,2,FALSE),0)</f>
        <v>0</v>
      </c>
      <c r="C87" s="58">
        <v>5</v>
      </c>
      <c r="D87" s="79" t="str">
        <f>IF(B87=0,MsgNotUsed, CONCATENATE("AIHW ", C87, ": ", E89,": ", E91, " (", E94, "-", J94, ")"))</f>
        <v>** NOT USED **</v>
      </c>
      <c r="E87" s="127"/>
      <c r="F87" s="127"/>
      <c r="G87" s="127"/>
      <c r="H87" s="127"/>
      <c r="I87" s="175"/>
      <c r="J87" s="127"/>
      <c r="K87" s="127"/>
      <c r="L87" s="127"/>
      <c r="M87" s="260"/>
      <c r="N87" s="260"/>
      <c r="O87" s="260"/>
      <c r="P87" s="260"/>
      <c r="Q87" s="260"/>
      <c r="R87" s="260"/>
      <c r="S87" s="260"/>
      <c r="T87" s="260"/>
      <c r="U87" s="260"/>
      <c r="V87" s="260"/>
      <c r="W87" s="260"/>
      <c r="X87" s="260"/>
      <c r="Y87" s="260"/>
      <c r="Z87" s="260"/>
    </row>
    <row r="88" spans="1:26" hidden="1" outlineLevel="1" x14ac:dyDescent="0.2">
      <c r="A88" s="194"/>
      <c r="B88" s="646"/>
      <c r="C88" s="646"/>
      <c r="D88" s="648"/>
      <c r="E88" s="162"/>
      <c r="F88" s="162"/>
      <c r="G88" s="162"/>
      <c r="H88" s="162"/>
      <c r="I88" s="162"/>
      <c r="J88" s="162"/>
      <c r="K88" s="162"/>
      <c r="L88" s="162"/>
      <c r="M88" s="162"/>
      <c r="N88" s="162"/>
      <c r="O88" s="162"/>
      <c r="P88" s="162"/>
      <c r="Q88" s="162"/>
      <c r="R88" s="162"/>
      <c r="S88" s="364"/>
      <c r="T88" s="364"/>
      <c r="U88" s="364"/>
      <c r="V88" s="364"/>
      <c r="W88" s="364"/>
      <c r="X88" s="417"/>
      <c r="Y88" s="417"/>
      <c r="Z88" s="417"/>
    </row>
    <row r="89" spans="1:26" hidden="1" outlineLevel="1" x14ac:dyDescent="0.2">
      <c r="A89" s="194"/>
      <c r="B89" s="194"/>
      <c r="C89" s="194"/>
      <c r="D89" s="42" t="s">
        <v>279</v>
      </c>
      <c r="E89" s="913"/>
      <c r="F89" s="881"/>
      <c r="G89" s="881"/>
      <c r="H89" s="881"/>
      <c r="I89" s="881"/>
      <c r="J89" s="882"/>
      <c r="K89" s="162"/>
      <c r="L89" s="42" t="s">
        <v>270</v>
      </c>
      <c r="M89" s="913"/>
      <c r="N89" s="881"/>
      <c r="O89" s="881"/>
      <c r="P89" s="881"/>
      <c r="Q89" s="881"/>
      <c r="R89" s="882"/>
      <c r="S89" s="43"/>
      <c r="T89" s="43"/>
      <c r="U89" s="43"/>
      <c r="V89" s="43"/>
      <c r="W89" s="43"/>
      <c r="X89" s="43"/>
      <c r="Y89" s="43"/>
      <c r="Z89" s="43"/>
    </row>
    <row r="90" spans="1:26" hidden="1" outlineLevel="1" x14ac:dyDescent="0.2">
      <c r="A90" s="194"/>
      <c r="B90" s="646"/>
      <c r="C90" s="646"/>
      <c r="D90" s="648"/>
      <c r="E90" s="162"/>
      <c r="F90" s="162"/>
      <c r="G90" s="162"/>
      <c r="H90" s="162"/>
      <c r="I90" s="162"/>
      <c r="J90" s="162"/>
      <c r="K90" s="162"/>
      <c r="L90" s="162"/>
      <c r="M90" s="162"/>
      <c r="N90" s="162"/>
      <c r="O90" s="162"/>
      <c r="P90" s="162"/>
      <c r="Q90" s="162"/>
      <c r="R90" s="162"/>
      <c r="S90" s="43"/>
      <c r="T90" s="43"/>
      <c r="U90" s="43"/>
      <c r="V90" s="43"/>
      <c r="W90" s="43"/>
      <c r="X90" s="43"/>
      <c r="Y90" s="43"/>
      <c r="Z90" s="43"/>
    </row>
    <row r="91" spans="1:26" hidden="1" outlineLevel="1" x14ac:dyDescent="0.2">
      <c r="A91" s="194"/>
      <c r="B91" s="194"/>
      <c r="C91" s="194"/>
      <c r="D91" s="632" t="s">
        <v>51</v>
      </c>
      <c r="E91" s="360"/>
      <c r="F91" s="162"/>
      <c r="G91" s="646"/>
      <c r="H91" s="646"/>
      <c r="I91" s="632" t="s">
        <v>365</v>
      </c>
      <c r="J91" s="360"/>
      <c r="K91" s="162"/>
      <c r="L91" s="195"/>
      <c r="M91" s="43"/>
      <c r="N91" s="43"/>
      <c r="O91" s="43"/>
      <c r="P91" s="43"/>
      <c r="Q91" s="43"/>
      <c r="R91" s="43"/>
      <c r="S91" s="43"/>
      <c r="T91" s="43"/>
      <c r="U91" s="43"/>
      <c r="V91" s="43"/>
      <c r="W91" s="43"/>
      <c r="X91" s="43"/>
      <c r="Y91" s="43"/>
      <c r="Z91" s="43"/>
    </row>
    <row r="92" spans="1:26" hidden="1" outlineLevel="1" x14ac:dyDescent="0.2">
      <c r="A92" s="194"/>
      <c r="B92" s="646"/>
      <c r="C92" s="646"/>
      <c r="D92" s="162"/>
      <c r="E92" s="162"/>
      <c r="F92" s="162"/>
      <c r="G92" s="162"/>
      <c r="H92" s="162"/>
      <c r="I92" s="162"/>
      <c r="J92" s="162"/>
      <c r="K92" s="162"/>
      <c r="L92" s="195"/>
      <c r="M92" s="43"/>
      <c r="N92" s="43"/>
      <c r="O92" s="43"/>
      <c r="P92" s="43"/>
      <c r="Q92" s="43"/>
      <c r="R92" s="43"/>
      <c r="S92" s="43"/>
      <c r="T92" s="43"/>
      <c r="U92" s="43"/>
      <c r="V92" s="43"/>
      <c r="W92" s="43"/>
      <c r="X92" s="43"/>
      <c r="Y92" s="43"/>
      <c r="Z92" s="43"/>
    </row>
    <row r="93" spans="1:26" hidden="1" outlineLevel="1" x14ac:dyDescent="0.2">
      <c r="A93" s="194"/>
      <c r="B93" s="646"/>
      <c r="C93" s="646"/>
      <c r="D93" s="162"/>
      <c r="E93" s="616" t="s">
        <v>255</v>
      </c>
      <c r="F93" s="162"/>
      <c r="G93" s="162"/>
      <c r="H93" s="162"/>
      <c r="I93" s="162"/>
      <c r="J93" s="162"/>
      <c r="K93" s="162"/>
      <c r="L93" s="195"/>
      <c r="M93" s="43"/>
      <c r="N93" s="43"/>
      <c r="O93" s="43"/>
      <c r="P93" s="43"/>
      <c r="Q93" s="43"/>
      <c r="R93" s="43"/>
      <c r="S93" s="43"/>
      <c r="T93" s="43"/>
      <c r="U93" s="43"/>
      <c r="V93" s="43"/>
      <c r="W93" s="43"/>
      <c r="X93" s="43"/>
      <c r="Y93" s="43"/>
      <c r="Z93" s="43"/>
    </row>
    <row r="94" spans="1:26" hidden="1" outlineLevel="1" x14ac:dyDescent="0.2">
      <c r="A94" s="194"/>
      <c r="B94" s="646"/>
      <c r="C94" s="646"/>
      <c r="D94" s="162"/>
      <c r="E94" s="78">
        <f>IF(J91&lt;&gt;"",J91,FirstYear)</f>
        <v>2021</v>
      </c>
      <c r="F94" s="630">
        <f>E94+1</f>
        <v>2022</v>
      </c>
      <c r="G94" s="630">
        <f>F94+1</f>
        <v>2023</v>
      </c>
      <c r="H94" s="630">
        <f>G94+1</f>
        <v>2024</v>
      </c>
      <c r="I94" s="630">
        <f>H94+1</f>
        <v>2025</v>
      </c>
      <c r="J94" s="630">
        <f>I94+1</f>
        <v>2026</v>
      </c>
      <c r="K94" s="162"/>
      <c r="L94" s="195"/>
      <c r="M94" s="43"/>
      <c r="N94" s="43"/>
      <c r="O94" s="43"/>
      <c r="P94" s="43"/>
      <c r="Q94" s="43"/>
      <c r="R94" s="43"/>
      <c r="S94" s="43"/>
      <c r="T94" s="43"/>
      <c r="U94" s="43"/>
      <c r="V94" s="43"/>
      <c r="W94" s="43"/>
      <c r="X94" s="43"/>
      <c r="Y94" s="43"/>
      <c r="Z94" s="43"/>
    </row>
    <row r="95" spans="1:26" hidden="1" outlineLevel="1" x14ac:dyDescent="0.2">
      <c r="A95" s="194"/>
      <c r="B95" s="646"/>
      <c r="C95" s="646"/>
      <c r="D95" s="162"/>
      <c r="E95" s="63">
        <f t="shared" ref="E95:J95" si="22">IF($B$87&lt;&gt;0,VLOOKUP($B$87,$C$99:$J$101,E96),0)</f>
        <v>0</v>
      </c>
      <c r="F95" s="63">
        <f t="shared" si="22"/>
        <v>0</v>
      </c>
      <c r="G95" s="63">
        <f t="shared" si="22"/>
        <v>0</v>
      </c>
      <c r="H95" s="63">
        <f t="shared" si="22"/>
        <v>0</v>
      </c>
      <c r="I95" s="63">
        <f t="shared" si="22"/>
        <v>0</v>
      </c>
      <c r="J95" s="63">
        <f t="shared" si="22"/>
        <v>0</v>
      </c>
      <c r="K95" s="162"/>
      <c r="L95" s="195"/>
      <c r="M95" s="43"/>
      <c r="N95" s="43"/>
      <c r="O95" s="43"/>
      <c r="P95" s="43"/>
      <c r="Q95" s="43"/>
      <c r="R95" s="43"/>
      <c r="S95" s="43"/>
      <c r="T95" s="43"/>
      <c r="U95" s="43"/>
      <c r="V95" s="43"/>
      <c r="W95" s="43"/>
      <c r="X95" s="43"/>
      <c r="Y95" s="43"/>
      <c r="Z95" s="43"/>
    </row>
    <row r="96" spans="1:26" hidden="1" outlineLevel="1" x14ac:dyDescent="0.2">
      <c r="A96" s="194"/>
      <c r="B96" s="646"/>
      <c r="C96" s="646"/>
      <c r="D96" s="162"/>
      <c r="E96" s="176">
        <v>3</v>
      </c>
      <c r="F96" s="176">
        <v>4</v>
      </c>
      <c r="G96" s="176">
        <v>5</v>
      </c>
      <c r="H96" s="176">
        <v>6</v>
      </c>
      <c r="I96" s="176">
        <v>7</v>
      </c>
      <c r="J96" s="176">
        <v>8</v>
      </c>
      <c r="K96" s="162"/>
      <c r="L96" s="195"/>
      <c r="M96" s="43"/>
      <c r="N96" s="43"/>
      <c r="O96" s="43"/>
      <c r="P96" s="43"/>
      <c r="Q96" s="43"/>
      <c r="R96" s="43"/>
      <c r="S96" s="43"/>
      <c r="T96" s="43"/>
      <c r="U96" s="43"/>
      <c r="V96" s="43"/>
      <c r="W96" s="43"/>
      <c r="X96" s="43"/>
      <c r="Y96" s="43"/>
      <c r="Z96" s="43"/>
    </row>
    <row r="97" spans="1:26" hidden="1" outlineLevel="1" x14ac:dyDescent="0.2">
      <c r="A97" s="194"/>
      <c r="B97" s="194"/>
      <c r="C97" s="194"/>
      <c r="D97" s="31" t="s">
        <v>324</v>
      </c>
      <c r="E97" s="78">
        <f t="shared" ref="E97:J97" si="23">E94</f>
        <v>2021</v>
      </c>
      <c r="F97" s="78">
        <f t="shared" si="23"/>
        <v>2022</v>
      </c>
      <c r="G97" s="78">
        <f t="shared" si="23"/>
        <v>2023</v>
      </c>
      <c r="H97" s="78">
        <f t="shared" si="23"/>
        <v>2024</v>
      </c>
      <c r="I97" s="78">
        <f t="shared" si="23"/>
        <v>2025</v>
      </c>
      <c r="J97" s="78">
        <f t="shared" si="23"/>
        <v>2026</v>
      </c>
      <c r="K97" s="162"/>
      <c r="L97" s="194"/>
      <c r="M97" s="44"/>
      <c r="N97" s="44"/>
      <c r="O97" s="44"/>
      <c r="P97" s="44"/>
      <c r="Q97" s="44"/>
      <c r="R97" s="44"/>
      <c r="S97" s="44"/>
      <c r="T97" s="44"/>
      <c r="U97" s="44"/>
      <c r="V97" s="44"/>
      <c r="W97" s="44"/>
      <c r="X97" s="44"/>
      <c r="Y97" s="44"/>
      <c r="Z97" s="44"/>
    </row>
    <row r="98" spans="1:26" hidden="1" outlineLevel="1" x14ac:dyDescent="0.2">
      <c r="A98" s="194"/>
      <c r="B98" s="194"/>
      <c r="C98" s="416"/>
      <c r="D98" s="177" t="s">
        <v>240</v>
      </c>
      <c r="E98" s="63">
        <f t="shared" ref="E98:J98" si="24">IF(OR(E99="",E99=0),SUM(E100:E101),E99)</f>
        <v>0</v>
      </c>
      <c r="F98" s="63">
        <f t="shared" si="24"/>
        <v>0</v>
      </c>
      <c r="G98" s="63">
        <f t="shared" si="24"/>
        <v>0</v>
      </c>
      <c r="H98" s="63">
        <f t="shared" si="24"/>
        <v>0</v>
      </c>
      <c r="I98" s="63">
        <f t="shared" si="24"/>
        <v>0</v>
      </c>
      <c r="J98" s="63">
        <f t="shared" si="24"/>
        <v>0</v>
      </c>
      <c r="K98" s="162"/>
      <c r="L98" s="194"/>
      <c r="M98" s="44"/>
      <c r="N98" s="44"/>
      <c r="O98" s="44"/>
      <c r="P98" s="44"/>
      <c r="Q98" s="44"/>
      <c r="R98" s="44"/>
      <c r="S98" s="44"/>
      <c r="T98" s="44"/>
      <c r="U98" s="44"/>
      <c r="V98" s="44"/>
      <c r="W98" s="44"/>
      <c r="X98" s="44"/>
      <c r="Y98" s="44"/>
      <c r="Z98" s="44"/>
    </row>
    <row r="99" spans="1:26" hidden="1" outlineLevel="1" x14ac:dyDescent="0.2">
      <c r="A99" s="194"/>
      <c r="B99" s="194"/>
      <c r="C99" s="58">
        <v>1</v>
      </c>
      <c r="D99" s="177" t="s">
        <v>366</v>
      </c>
      <c r="E99" s="427"/>
      <c r="F99" s="427"/>
      <c r="G99" s="427"/>
      <c r="H99" s="427"/>
      <c r="I99" s="427"/>
      <c r="J99" s="427"/>
      <c r="K99" s="162"/>
      <c r="L99" s="194"/>
      <c r="M99" s="44"/>
      <c r="N99" s="44"/>
      <c r="O99" s="44"/>
      <c r="P99" s="44"/>
      <c r="Q99" s="44"/>
      <c r="R99" s="44"/>
      <c r="S99" s="44"/>
      <c r="T99" s="44"/>
      <c r="U99" s="44"/>
      <c r="V99" s="44"/>
      <c r="W99" s="44"/>
      <c r="X99" s="44"/>
      <c r="Y99" s="44"/>
      <c r="Z99" s="44"/>
    </row>
    <row r="100" spans="1:26" hidden="1" outlineLevel="1" x14ac:dyDescent="0.2">
      <c r="A100" s="194"/>
      <c r="B100" s="194"/>
      <c r="C100" s="58">
        <v>2</v>
      </c>
      <c r="D100" s="177" t="s">
        <v>243</v>
      </c>
      <c r="E100" s="427"/>
      <c r="F100" s="427"/>
      <c r="G100" s="427"/>
      <c r="H100" s="427"/>
      <c r="I100" s="427"/>
      <c r="J100" s="427"/>
      <c r="K100" s="162"/>
      <c r="L100" s="194"/>
      <c r="M100" s="44"/>
      <c r="N100" s="44"/>
      <c r="O100" s="44"/>
      <c r="P100" s="44"/>
      <c r="Q100" s="44"/>
      <c r="R100" s="44"/>
      <c r="S100" s="44"/>
      <c r="T100" s="44"/>
      <c r="U100" s="44"/>
      <c r="V100" s="44"/>
      <c r="W100" s="44"/>
      <c r="X100" s="44"/>
      <c r="Y100" s="44"/>
      <c r="Z100" s="44"/>
    </row>
    <row r="101" spans="1:26" hidden="1" outlineLevel="1" x14ac:dyDescent="0.2">
      <c r="A101" s="194"/>
      <c r="B101" s="194"/>
      <c r="C101" s="58">
        <v>3</v>
      </c>
      <c r="D101" s="177" t="s">
        <v>244</v>
      </c>
      <c r="E101" s="427"/>
      <c r="F101" s="427"/>
      <c r="G101" s="427"/>
      <c r="H101" s="427"/>
      <c r="I101" s="427"/>
      <c r="J101" s="427"/>
      <c r="K101" s="162"/>
      <c r="L101" s="194"/>
      <c r="M101" s="44"/>
      <c r="N101" s="44"/>
      <c r="O101" s="44"/>
      <c r="P101" s="44"/>
      <c r="Q101" s="44"/>
      <c r="R101" s="44"/>
      <c r="S101" s="44"/>
      <c r="T101" s="44"/>
      <c r="U101" s="44"/>
      <c r="V101" s="44"/>
      <c r="W101" s="44"/>
      <c r="X101" s="44"/>
      <c r="Y101" s="44"/>
      <c r="Z101" s="44"/>
    </row>
    <row r="102" spans="1:26" hidden="1" outlineLevel="1" collapsed="1" x14ac:dyDescent="0.2">
      <c r="A102" s="194"/>
      <c r="B102" s="194"/>
      <c r="C102" s="646"/>
      <c r="D102" s="162"/>
      <c r="E102" s="162"/>
      <c r="F102" s="162"/>
      <c r="G102" s="162"/>
      <c r="H102" s="162"/>
      <c r="I102" s="162"/>
      <c r="J102" s="162"/>
      <c r="K102" s="162"/>
      <c r="L102" s="194"/>
      <c r="M102" s="44"/>
      <c r="N102" s="44"/>
      <c r="O102" s="44"/>
      <c r="P102" s="44"/>
      <c r="Q102" s="44"/>
      <c r="R102" s="44"/>
      <c r="S102" s="44"/>
      <c r="T102" s="44"/>
      <c r="U102" s="44"/>
      <c r="V102" s="44"/>
      <c r="W102" s="44"/>
      <c r="X102" s="44"/>
      <c r="Y102" s="44"/>
      <c r="Z102" s="44"/>
    </row>
    <row r="103" spans="1:26" collapsed="1" x14ac:dyDescent="0.2">
      <c r="A103" s="194"/>
      <c r="B103" s="194"/>
      <c r="C103" s="646"/>
      <c r="D103" s="162"/>
      <c r="E103" s="162"/>
      <c r="F103" s="162"/>
      <c r="G103" s="162"/>
      <c r="H103" s="162"/>
      <c r="I103" s="162"/>
      <c r="J103" s="162"/>
      <c r="K103" s="162"/>
      <c r="L103" s="194"/>
      <c r="M103" s="44"/>
      <c r="N103" s="44"/>
      <c r="O103" s="44"/>
      <c r="P103" s="44"/>
      <c r="Q103" s="44"/>
      <c r="R103" s="44"/>
      <c r="S103" s="44"/>
      <c r="T103" s="44"/>
      <c r="U103" s="44"/>
      <c r="V103" s="44"/>
      <c r="W103" s="44"/>
      <c r="X103" s="44"/>
      <c r="Y103" s="44"/>
      <c r="Z103" s="44"/>
    </row>
    <row r="104" spans="1:26" ht="15.75" x14ac:dyDescent="0.2">
      <c r="A104" s="194"/>
      <c r="B104" s="242">
        <f>IF(E108&lt;&gt;"",VLOOKUP(E108,GenderCode,2,FALSE),0)</f>
        <v>0</v>
      </c>
      <c r="C104" s="58">
        <v>6</v>
      </c>
      <c r="D104" s="79" t="str">
        <f>IF(B104=0,MsgNotUsed, CONCATENATE("AIHW ", C104, ": ", E106,": ", E108, " (", E111, "-", J111, ")"))</f>
        <v>** NOT USED **</v>
      </c>
      <c r="E104" s="127"/>
      <c r="F104" s="127"/>
      <c r="G104" s="127"/>
      <c r="H104" s="127"/>
      <c r="I104" s="175"/>
      <c r="J104" s="127"/>
      <c r="K104" s="127"/>
      <c r="L104" s="127"/>
      <c r="M104" s="260"/>
      <c r="N104" s="260"/>
      <c r="O104" s="260"/>
      <c r="P104" s="260"/>
      <c r="Q104" s="260"/>
      <c r="R104" s="260"/>
      <c r="S104" s="260"/>
      <c r="T104" s="260"/>
      <c r="U104" s="260"/>
      <c r="V104" s="260"/>
      <c r="W104" s="260"/>
      <c r="X104" s="260"/>
      <c r="Y104" s="260"/>
      <c r="Z104" s="260"/>
    </row>
    <row r="105" spans="1:26" hidden="1" outlineLevel="1" x14ac:dyDescent="0.2">
      <c r="A105" s="194"/>
      <c r="B105" s="646"/>
      <c r="C105" s="646"/>
      <c r="D105" s="648"/>
      <c r="E105" s="162"/>
      <c r="F105" s="162"/>
      <c r="G105" s="162"/>
      <c r="H105" s="162"/>
      <c r="I105" s="162"/>
      <c r="J105" s="162"/>
      <c r="K105" s="162"/>
      <c r="L105" s="162"/>
      <c r="M105" s="162"/>
      <c r="N105" s="162"/>
      <c r="O105" s="162"/>
      <c r="P105" s="162"/>
      <c r="Q105" s="162"/>
      <c r="R105" s="162"/>
      <c r="S105" s="364"/>
      <c r="T105" s="364"/>
      <c r="U105" s="364"/>
      <c r="V105" s="364"/>
      <c r="W105" s="364"/>
      <c r="X105" s="417"/>
      <c r="Y105" s="417"/>
      <c r="Z105" s="417"/>
    </row>
    <row r="106" spans="1:26" hidden="1" outlineLevel="1" x14ac:dyDescent="0.2">
      <c r="A106" s="194"/>
      <c r="B106" s="194"/>
      <c r="C106" s="194"/>
      <c r="D106" s="42" t="s">
        <v>279</v>
      </c>
      <c r="E106" s="913"/>
      <c r="F106" s="881"/>
      <c r="G106" s="881"/>
      <c r="H106" s="881"/>
      <c r="I106" s="881"/>
      <c r="J106" s="882"/>
      <c r="K106" s="162"/>
      <c r="L106" s="42" t="s">
        <v>270</v>
      </c>
      <c r="M106" s="913"/>
      <c r="N106" s="881"/>
      <c r="O106" s="881"/>
      <c r="P106" s="881"/>
      <c r="Q106" s="881"/>
      <c r="R106" s="882"/>
      <c r="S106" s="43"/>
      <c r="T106" s="43"/>
      <c r="U106" s="43"/>
      <c r="V106" s="43"/>
      <c r="W106" s="43"/>
      <c r="X106" s="43"/>
      <c r="Y106" s="43"/>
      <c r="Z106" s="43"/>
    </row>
    <row r="107" spans="1:26" hidden="1" outlineLevel="1" x14ac:dyDescent="0.2">
      <c r="A107" s="194"/>
      <c r="B107" s="646"/>
      <c r="C107" s="646"/>
      <c r="D107" s="648"/>
      <c r="E107" s="162"/>
      <c r="F107" s="162"/>
      <c r="G107" s="162"/>
      <c r="H107" s="162"/>
      <c r="I107" s="162"/>
      <c r="J107" s="162"/>
      <c r="K107" s="162"/>
      <c r="L107" s="162"/>
      <c r="M107" s="162"/>
      <c r="N107" s="162"/>
      <c r="O107" s="162"/>
      <c r="P107" s="162"/>
      <c r="Q107" s="162"/>
      <c r="R107" s="162"/>
      <c r="S107" s="43"/>
      <c r="T107" s="43"/>
      <c r="U107" s="43"/>
      <c r="V107" s="43"/>
      <c r="W107" s="43"/>
      <c r="X107" s="43"/>
      <c r="Y107" s="43"/>
      <c r="Z107" s="43"/>
    </row>
    <row r="108" spans="1:26" hidden="1" outlineLevel="1" x14ac:dyDescent="0.2">
      <c r="A108" s="194"/>
      <c r="B108" s="194"/>
      <c r="C108" s="194"/>
      <c r="D108" s="632" t="s">
        <v>51</v>
      </c>
      <c r="E108" s="360"/>
      <c r="F108" s="162"/>
      <c r="G108" s="646"/>
      <c r="H108" s="646"/>
      <c r="I108" s="632" t="s">
        <v>365</v>
      </c>
      <c r="J108" s="360"/>
      <c r="K108" s="162"/>
      <c r="L108" s="195"/>
      <c r="M108" s="43"/>
      <c r="N108" s="43"/>
      <c r="O108" s="43"/>
      <c r="P108" s="43"/>
      <c r="Q108" s="43"/>
      <c r="R108" s="43"/>
      <c r="S108" s="43"/>
      <c r="T108" s="43"/>
      <c r="U108" s="43"/>
      <c r="V108" s="43"/>
      <c r="W108" s="43"/>
      <c r="X108" s="43"/>
      <c r="Y108" s="43"/>
      <c r="Z108" s="43"/>
    </row>
    <row r="109" spans="1:26" hidden="1" outlineLevel="1" x14ac:dyDescent="0.2">
      <c r="A109" s="194"/>
      <c r="B109" s="646"/>
      <c r="C109" s="646"/>
      <c r="D109" s="162"/>
      <c r="E109" s="162"/>
      <c r="F109" s="162"/>
      <c r="G109" s="162"/>
      <c r="H109" s="162"/>
      <c r="I109" s="162"/>
      <c r="J109" s="162"/>
      <c r="K109" s="162"/>
      <c r="L109" s="195"/>
      <c r="M109" s="43"/>
      <c r="N109" s="43"/>
      <c r="O109" s="43"/>
      <c r="P109" s="43"/>
      <c r="Q109" s="43"/>
      <c r="R109" s="43"/>
      <c r="S109" s="43"/>
      <c r="T109" s="43"/>
      <c r="U109" s="43"/>
      <c r="V109" s="43"/>
      <c r="W109" s="43"/>
      <c r="X109" s="43"/>
      <c r="Y109" s="43"/>
      <c r="Z109" s="43"/>
    </row>
    <row r="110" spans="1:26" hidden="1" outlineLevel="1" x14ac:dyDescent="0.2">
      <c r="A110" s="194"/>
      <c r="B110" s="646"/>
      <c r="C110" s="646"/>
      <c r="D110" s="162"/>
      <c r="E110" s="616" t="s">
        <v>255</v>
      </c>
      <c r="F110" s="162"/>
      <c r="G110" s="162"/>
      <c r="H110" s="162"/>
      <c r="I110" s="162"/>
      <c r="J110" s="162"/>
      <c r="K110" s="162"/>
      <c r="L110" s="195"/>
      <c r="M110" s="43"/>
      <c r="N110" s="43"/>
      <c r="O110" s="43"/>
      <c r="P110" s="43"/>
      <c r="Q110" s="43"/>
      <c r="R110" s="43"/>
      <c r="S110" s="43"/>
      <c r="T110" s="43"/>
      <c r="U110" s="43"/>
      <c r="V110" s="43"/>
      <c r="W110" s="43"/>
      <c r="X110" s="43"/>
      <c r="Y110" s="43"/>
      <c r="Z110" s="43"/>
    </row>
    <row r="111" spans="1:26" hidden="1" outlineLevel="1" x14ac:dyDescent="0.2">
      <c r="A111" s="194"/>
      <c r="B111" s="646"/>
      <c r="C111" s="646"/>
      <c r="D111" s="162"/>
      <c r="E111" s="78">
        <f>IF(J108&lt;&gt;"",J108,FirstYear)</f>
        <v>2021</v>
      </c>
      <c r="F111" s="630">
        <f>E111+1</f>
        <v>2022</v>
      </c>
      <c r="G111" s="630">
        <f>F111+1</f>
        <v>2023</v>
      </c>
      <c r="H111" s="630">
        <f>G111+1</f>
        <v>2024</v>
      </c>
      <c r="I111" s="630">
        <f>H111+1</f>
        <v>2025</v>
      </c>
      <c r="J111" s="630">
        <f>I111+1</f>
        <v>2026</v>
      </c>
      <c r="K111" s="162"/>
      <c r="L111" s="195"/>
      <c r="M111" s="43"/>
      <c r="N111" s="43"/>
      <c r="O111" s="43"/>
      <c r="P111" s="43"/>
      <c r="Q111" s="43"/>
      <c r="R111" s="43"/>
      <c r="S111" s="43"/>
      <c r="T111" s="43"/>
      <c r="U111" s="43"/>
      <c r="V111" s="43"/>
      <c r="W111" s="43"/>
      <c r="X111" s="43"/>
      <c r="Y111" s="43"/>
      <c r="Z111" s="43"/>
    </row>
    <row r="112" spans="1:26" hidden="1" outlineLevel="1" x14ac:dyDescent="0.2">
      <c r="A112" s="194"/>
      <c r="B112" s="646"/>
      <c r="C112" s="646"/>
      <c r="D112" s="162"/>
      <c r="E112" s="63">
        <f t="shared" ref="E112:J112" si="25">IF($B$104&lt;&gt;0,VLOOKUP($B$104,$C$116:$J$118,E113),0)</f>
        <v>0</v>
      </c>
      <c r="F112" s="63">
        <f t="shared" si="25"/>
        <v>0</v>
      </c>
      <c r="G112" s="63">
        <f t="shared" si="25"/>
        <v>0</v>
      </c>
      <c r="H112" s="63">
        <f t="shared" si="25"/>
        <v>0</v>
      </c>
      <c r="I112" s="63">
        <f t="shared" si="25"/>
        <v>0</v>
      </c>
      <c r="J112" s="63">
        <f t="shared" si="25"/>
        <v>0</v>
      </c>
      <c r="K112" s="162"/>
      <c r="L112" s="195"/>
      <c r="M112" s="43"/>
      <c r="N112" s="43"/>
      <c r="O112" s="43"/>
      <c r="P112" s="43"/>
      <c r="Q112" s="43"/>
      <c r="R112" s="43"/>
      <c r="S112" s="43"/>
      <c r="T112" s="43"/>
      <c r="U112" s="43"/>
      <c r="V112" s="43"/>
      <c r="W112" s="43"/>
      <c r="X112" s="43"/>
      <c r="Y112" s="43"/>
      <c r="Z112" s="43"/>
    </row>
    <row r="113" spans="1:26" hidden="1" outlineLevel="1" x14ac:dyDescent="0.2">
      <c r="A113" s="194"/>
      <c r="B113" s="646"/>
      <c r="C113" s="646"/>
      <c r="D113" s="162"/>
      <c r="E113" s="176">
        <v>3</v>
      </c>
      <c r="F113" s="176">
        <v>4</v>
      </c>
      <c r="G113" s="176">
        <v>5</v>
      </c>
      <c r="H113" s="176">
        <v>6</v>
      </c>
      <c r="I113" s="176">
        <v>7</v>
      </c>
      <c r="J113" s="176">
        <v>8</v>
      </c>
      <c r="K113" s="162"/>
      <c r="L113" s="195"/>
      <c r="M113" s="43"/>
      <c r="N113" s="43"/>
      <c r="O113" s="43"/>
      <c r="P113" s="43"/>
      <c r="Q113" s="43"/>
      <c r="R113" s="43"/>
      <c r="S113" s="43"/>
      <c r="T113" s="43"/>
      <c r="U113" s="43"/>
      <c r="V113" s="43"/>
      <c r="W113" s="43"/>
      <c r="X113" s="43"/>
      <c r="Y113" s="43"/>
      <c r="Z113" s="43"/>
    </row>
    <row r="114" spans="1:26" hidden="1" outlineLevel="1" x14ac:dyDescent="0.2">
      <c r="A114" s="194"/>
      <c r="B114" s="194"/>
      <c r="C114" s="194"/>
      <c r="D114" s="31" t="s">
        <v>324</v>
      </c>
      <c r="E114" s="78">
        <f t="shared" ref="E114:J114" si="26">E111</f>
        <v>2021</v>
      </c>
      <c r="F114" s="78">
        <f t="shared" si="26"/>
        <v>2022</v>
      </c>
      <c r="G114" s="78">
        <f t="shared" si="26"/>
        <v>2023</v>
      </c>
      <c r="H114" s="78">
        <f t="shared" si="26"/>
        <v>2024</v>
      </c>
      <c r="I114" s="78">
        <f t="shared" si="26"/>
        <v>2025</v>
      </c>
      <c r="J114" s="78">
        <f t="shared" si="26"/>
        <v>2026</v>
      </c>
      <c r="K114" s="162"/>
      <c r="L114" s="194"/>
      <c r="M114" s="44"/>
      <c r="N114" s="44"/>
      <c r="O114" s="44"/>
      <c r="P114" s="44"/>
      <c r="Q114" s="44"/>
      <c r="R114" s="44"/>
      <c r="S114" s="44"/>
      <c r="T114" s="44"/>
      <c r="U114" s="44"/>
      <c r="V114" s="44"/>
      <c r="W114" s="44"/>
      <c r="X114" s="44"/>
      <c r="Y114" s="44"/>
      <c r="Z114" s="44"/>
    </row>
    <row r="115" spans="1:26" hidden="1" outlineLevel="1" x14ac:dyDescent="0.2">
      <c r="A115" s="194"/>
      <c r="B115" s="194"/>
      <c r="C115" s="416"/>
      <c r="D115" s="177" t="s">
        <v>240</v>
      </c>
      <c r="E115" s="63">
        <f t="shared" ref="E115:J115" si="27">IF(OR(E116="",E116=0),SUM(E117:E118),E116)</f>
        <v>0</v>
      </c>
      <c r="F115" s="63">
        <f t="shared" si="27"/>
        <v>0</v>
      </c>
      <c r="G115" s="63">
        <f t="shared" si="27"/>
        <v>0</v>
      </c>
      <c r="H115" s="63">
        <f t="shared" si="27"/>
        <v>0</v>
      </c>
      <c r="I115" s="63">
        <f t="shared" si="27"/>
        <v>0</v>
      </c>
      <c r="J115" s="63">
        <f t="shared" si="27"/>
        <v>0</v>
      </c>
      <c r="K115" s="162"/>
      <c r="L115" s="194"/>
      <c r="M115" s="44"/>
      <c r="N115" s="44"/>
      <c r="O115" s="44"/>
      <c r="P115" s="44"/>
      <c r="Q115" s="44"/>
      <c r="R115" s="44"/>
      <c r="S115" s="44"/>
      <c r="T115" s="44"/>
      <c r="U115" s="44"/>
      <c r="V115" s="44"/>
      <c r="W115" s="44"/>
      <c r="X115" s="44"/>
      <c r="Y115" s="44"/>
      <c r="Z115" s="44"/>
    </row>
    <row r="116" spans="1:26" hidden="1" outlineLevel="1" x14ac:dyDescent="0.2">
      <c r="A116" s="194"/>
      <c r="B116" s="194"/>
      <c r="C116" s="58">
        <v>1</v>
      </c>
      <c r="D116" s="177" t="s">
        <v>366</v>
      </c>
      <c r="E116" s="427"/>
      <c r="F116" s="427"/>
      <c r="G116" s="427"/>
      <c r="H116" s="427"/>
      <c r="I116" s="427"/>
      <c r="J116" s="427"/>
      <c r="K116" s="162"/>
      <c r="L116" s="194"/>
      <c r="M116" s="44"/>
      <c r="N116" s="44"/>
      <c r="O116" s="44"/>
      <c r="P116" s="44"/>
      <c r="Q116" s="44"/>
      <c r="R116" s="44"/>
      <c r="S116" s="44"/>
      <c r="T116" s="44"/>
      <c r="U116" s="44"/>
      <c r="V116" s="44"/>
      <c r="W116" s="44"/>
      <c r="X116" s="44"/>
      <c r="Y116" s="44"/>
      <c r="Z116" s="44"/>
    </row>
    <row r="117" spans="1:26" hidden="1" outlineLevel="1" x14ac:dyDescent="0.2">
      <c r="A117" s="194"/>
      <c r="B117" s="194"/>
      <c r="C117" s="58">
        <v>2</v>
      </c>
      <c r="D117" s="177" t="s">
        <v>243</v>
      </c>
      <c r="E117" s="427"/>
      <c r="F117" s="427"/>
      <c r="G117" s="427"/>
      <c r="H117" s="427"/>
      <c r="I117" s="427"/>
      <c r="J117" s="427"/>
      <c r="K117" s="162"/>
      <c r="L117" s="194"/>
      <c r="M117" s="44"/>
      <c r="N117" s="44"/>
      <c r="O117" s="44"/>
      <c r="P117" s="44"/>
      <c r="Q117" s="44"/>
      <c r="R117" s="44"/>
      <c r="S117" s="44"/>
      <c r="T117" s="44"/>
      <c r="U117" s="44"/>
      <c r="V117" s="44"/>
      <c r="W117" s="44"/>
      <c r="X117" s="44"/>
      <c r="Y117" s="44"/>
      <c r="Z117" s="44"/>
    </row>
    <row r="118" spans="1:26" hidden="1" outlineLevel="1" x14ac:dyDescent="0.2">
      <c r="A118" s="194"/>
      <c r="B118" s="194"/>
      <c r="C118" s="58">
        <v>3</v>
      </c>
      <c r="D118" s="177" t="s">
        <v>244</v>
      </c>
      <c r="E118" s="427"/>
      <c r="F118" s="427"/>
      <c r="G118" s="427"/>
      <c r="H118" s="427"/>
      <c r="I118" s="427"/>
      <c r="J118" s="427"/>
      <c r="K118" s="162"/>
      <c r="L118" s="194"/>
      <c r="M118" s="44"/>
      <c r="N118" s="44"/>
      <c r="O118" s="44"/>
      <c r="P118" s="44"/>
      <c r="Q118" s="44"/>
      <c r="R118" s="44"/>
      <c r="S118" s="44"/>
      <c r="T118" s="44"/>
      <c r="U118" s="44"/>
      <c r="V118" s="44"/>
      <c r="W118" s="44"/>
      <c r="X118" s="44"/>
      <c r="Y118" s="44"/>
      <c r="Z118" s="44"/>
    </row>
    <row r="119" spans="1:26" hidden="1" outlineLevel="1" collapsed="1" x14ac:dyDescent="0.2">
      <c r="A119" s="194"/>
      <c r="B119" s="194"/>
      <c r="C119" s="646"/>
      <c r="D119" s="162"/>
      <c r="E119" s="162"/>
      <c r="F119" s="162"/>
      <c r="G119" s="162"/>
      <c r="H119" s="162"/>
      <c r="I119" s="162"/>
      <c r="J119" s="162"/>
      <c r="K119" s="162"/>
      <c r="L119" s="194"/>
      <c r="M119" s="44"/>
      <c r="N119" s="44"/>
      <c r="O119" s="44"/>
      <c r="P119" s="44"/>
      <c r="Q119" s="44"/>
      <c r="R119" s="44"/>
      <c r="S119" s="44"/>
      <c r="T119" s="44"/>
      <c r="U119" s="44"/>
      <c r="V119" s="44"/>
      <c r="W119" s="44"/>
      <c r="X119" s="44"/>
      <c r="Y119" s="44"/>
      <c r="Z119" s="44"/>
    </row>
    <row r="120" spans="1:26" collapsed="1" x14ac:dyDescent="0.2">
      <c r="A120" s="194"/>
      <c r="B120" s="194"/>
      <c r="C120" s="646"/>
      <c r="D120" s="162"/>
      <c r="E120" s="162"/>
      <c r="F120" s="162"/>
      <c r="G120" s="162"/>
      <c r="H120" s="162"/>
      <c r="I120" s="162"/>
      <c r="J120" s="162"/>
      <c r="K120" s="162"/>
      <c r="L120" s="194"/>
      <c r="M120" s="44"/>
      <c r="N120" s="44"/>
      <c r="O120" s="44"/>
      <c r="P120" s="44"/>
      <c r="Q120" s="44"/>
      <c r="R120" s="44"/>
      <c r="S120" s="44"/>
      <c r="T120" s="44"/>
      <c r="U120" s="44"/>
      <c r="V120" s="44"/>
      <c r="W120" s="44"/>
      <c r="X120" s="44"/>
      <c r="Y120" s="44"/>
      <c r="Z120" s="44"/>
    </row>
    <row r="121" spans="1:26" ht="15.75" x14ac:dyDescent="0.2">
      <c r="A121" s="194"/>
      <c r="B121" s="242">
        <f>IF(E125&lt;&gt;"",VLOOKUP(E125,GenderCode,2,FALSE),0)</f>
        <v>0</v>
      </c>
      <c r="C121" s="58">
        <v>7</v>
      </c>
      <c r="D121" s="79" t="str">
        <f>IF(B121=0,MsgNotUsed, CONCATENATE("AIHW ", C121, ": ", E123,": ", E125, " (", E128, "-", J128, ")"))</f>
        <v>** NOT USED **</v>
      </c>
      <c r="E121" s="127"/>
      <c r="F121" s="127"/>
      <c r="G121" s="127"/>
      <c r="H121" s="127"/>
      <c r="I121" s="175"/>
      <c r="J121" s="127"/>
      <c r="K121" s="127"/>
      <c r="L121" s="127"/>
      <c r="M121" s="260"/>
      <c r="N121" s="260"/>
      <c r="O121" s="260"/>
      <c r="P121" s="260"/>
      <c r="Q121" s="260"/>
      <c r="R121" s="260"/>
      <c r="S121" s="260"/>
      <c r="T121" s="260"/>
      <c r="U121" s="260"/>
      <c r="V121" s="260"/>
      <c r="W121" s="260"/>
      <c r="X121" s="260"/>
      <c r="Y121" s="260"/>
      <c r="Z121" s="260"/>
    </row>
    <row r="122" spans="1:26" hidden="1" outlineLevel="1" x14ac:dyDescent="0.2">
      <c r="A122" s="194"/>
      <c r="B122" s="646"/>
      <c r="C122" s="646"/>
      <c r="D122" s="648"/>
      <c r="E122" s="162"/>
      <c r="F122" s="162"/>
      <c r="G122" s="162"/>
      <c r="H122" s="162"/>
      <c r="I122" s="162"/>
      <c r="J122" s="162"/>
      <c r="K122" s="162"/>
      <c r="L122" s="162"/>
      <c r="M122" s="162"/>
      <c r="N122" s="162"/>
      <c r="O122" s="162"/>
      <c r="P122" s="162"/>
      <c r="Q122" s="162"/>
      <c r="R122" s="162"/>
      <c r="S122" s="364"/>
      <c r="T122" s="364"/>
      <c r="U122" s="364"/>
      <c r="V122" s="364"/>
      <c r="W122" s="364"/>
      <c r="X122" s="417"/>
      <c r="Y122" s="417"/>
      <c r="Z122" s="417"/>
    </row>
    <row r="123" spans="1:26" hidden="1" outlineLevel="1" x14ac:dyDescent="0.2">
      <c r="A123" s="194"/>
      <c r="B123" s="194"/>
      <c r="C123" s="194"/>
      <c r="D123" s="42" t="s">
        <v>279</v>
      </c>
      <c r="E123" s="913"/>
      <c r="F123" s="881"/>
      <c r="G123" s="881"/>
      <c r="H123" s="881"/>
      <c r="I123" s="881"/>
      <c r="J123" s="882"/>
      <c r="K123" s="162"/>
      <c r="L123" s="42" t="s">
        <v>270</v>
      </c>
      <c r="M123" s="913"/>
      <c r="N123" s="881"/>
      <c r="O123" s="881"/>
      <c r="P123" s="881"/>
      <c r="Q123" s="881"/>
      <c r="R123" s="882"/>
      <c r="S123" s="43"/>
      <c r="T123" s="43"/>
      <c r="U123" s="43"/>
      <c r="V123" s="43"/>
      <c r="W123" s="43"/>
      <c r="X123" s="43"/>
      <c r="Y123" s="43"/>
      <c r="Z123" s="43"/>
    </row>
    <row r="124" spans="1:26" hidden="1" outlineLevel="1" x14ac:dyDescent="0.2">
      <c r="A124" s="194"/>
      <c r="B124" s="646"/>
      <c r="C124" s="646"/>
      <c r="D124" s="648"/>
      <c r="E124" s="162"/>
      <c r="F124" s="162"/>
      <c r="G124" s="162"/>
      <c r="H124" s="162"/>
      <c r="I124" s="162"/>
      <c r="J124" s="162"/>
      <c r="K124" s="162"/>
      <c r="L124" s="162"/>
      <c r="M124" s="162"/>
      <c r="N124" s="162"/>
      <c r="O124" s="162"/>
      <c r="P124" s="162"/>
      <c r="Q124" s="162"/>
      <c r="R124" s="162"/>
      <c r="S124" s="43"/>
      <c r="T124" s="43"/>
      <c r="U124" s="43"/>
      <c r="V124" s="43"/>
      <c r="W124" s="43"/>
      <c r="X124" s="43"/>
      <c r="Y124" s="43"/>
      <c r="Z124" s="43"/>
    </row>
    <row r="125" spans="1:26" hidden="1" outlineLevel="1" x14ac:dyDescent="0.2">
      <c r="A125" s="194"/>
      <c r="B125" s="194"/>
      <c r="C125" s="194"/>
      <c r="D125" s="632" t="s">
        <v>51</v>
      </c>
      <c r="E125" s="360"/>
      <c r="F125" s="162"/>
      <c r="G125" s="646"/>
      <c r="H125" s="646"/>
      <c r="I125" s="632" t="s">
        <v>365</v>
      </c>
      <c r="J125" s="360"/>
      <c r="K125" s="162"/>
      <c r="L125" s="195"/>
      <c r="M125" s="43"/>
      <c r="N125" s="43"/>
      <c r="O125" s="43"/>
      <c r="P125" s="43"/>
      <c r="Q125" s="43"/>
      <c r="R125" s="43"/>
      <c r="S125" s="43"/>
      <c r="T125" s="43"/>
      <c r="U125" s="43"/>
      <c r="V125" s="43"/>
      <c r="W125" s="43"/>
      <c r="X125" s="43"/>
      <c r="Y125" s="43"/>
      <c r="Z125" s="43"/>
    </row>
    <row r="126" spans="1:26" hidden="1" outlineLevel="1" x14ac:dyDescent="0.2">
      <c r="A126" s="194"/>
      <c r="B126" s="646"/>
      <c r="C126" s="646"/>
      <c r="D126" s="162"/>
      <c r="E126" s="162"/>
      <c r="F126" s="162"/>
      <c r="G126" s="162"/>
      <c r="H126" s="162"/>
      <c r="I126" s="162"/>
      <c r="J126" s="162"/>
      <c r="K126" s="162"/>
      <c r="L126" s="195"/>
      <c r="M126" s="43"/>
      <c r="N126" s="43"/>
      <c r="O126" s="43"/>
      <c r="P126" s="43"/>
      <c r="Q126" s="43"/>
      <c r="R126" s="43"/>
      <c r="S126" s="43"/>
      <c r="T126" s="43"/>
      <c r="U126" s="43"/>
      <c r="V126" s="43"/>
      <c r="W126" s="43"/>
      <c r="X126" s="43"/>
      <c r="Y126" s="43"/>
      <c r="Z126" s="43"/>
    </row>
    <row r="127" spans="1:26" hidden="1" outlineLevel="1" x14ac:dyDescent="0.2">
      <c r="A127" s="194"/>
      <c r="B127" s="646"/>
      <c r="C127" s="646"/>
      <c r="D127" s="162"/>
      <c r="E127" s="616" t="s">
        <v>255</v>
      </c>
      <c r="F127" s="162"/>
      <c r="G127" s="162"/>
      <c r="H127" s="162"/>
      <c r="I127" s="162"/>
      <c r="J127" s="162"/>
      <c r="K127" s="162"/>
      <c r="L127" s="195"/>
      <c r="M127" s="43"/>
      <c r="N127" s="43"/>
      <c r="O127" s="43"/>
      <c r="P127" s="43"/>
      <c r="Q127" s="43"/>
      <c r="R127" s="43"/>
      <c r="S127" s="43"/>
      <c r="T127" s="43"/>
      <c r="U127" s="43"/>
      <c r="V127" s="43"/>
      <c r="W127" s="43"/>
      <c r="X127" s="43"/>
      <c r="Y127" s="43"/>
      <c r="Z127" s="43"/>
    </row>
    <row r="128" spans="1:26" hidden="1" outlineLevel="1" x14ac:dyDescent="0.2">
      <c r="A128" s="194"/>
      <c r="B128" s="646"/>
      <c r="C128" s="646"/>
      <c r="D128" s="162"/>
      <c r="E128" s="78">
        <f>IF(J125&lt;&gt;"",J125,FirstYear)</f>
        <v>2021</v>
      </c>
      <c r="F128" s="630">
        <f>E128+1</f>
        <v>2022</v>
      </c>
      <c r="G128" s="630">
        <f>F128+1</f>
        <v>2023</v>
      </c>
      <c r="H128" s="630">
        <f>G128+1</f>
        <v>2024</v>
      </c>
      <c r="I128" s="630">
        <f>H128+1</f>
        <v>2025</v>
      </c>
      <c r="J128" s="630">
        <f>I128+1</f>
        <v>2026</v>
      </c>
      <c r="K128" s="162"/>
      <c r="L128" s="195"/>
      <c r="M128" s="43"/>
      <c r="N128" s="43"/>
      <c r="O128" s="43"/>
      <c r="P128" s="43"/>
      <c r="Q128" s="43"/>
      <c r="R128" s="43"/>
      <c r="S128" s="43"/>
      <c r="T128" s="43"/>
      <c r="U128" s="43"/>
      <c r="V128" s="43"/>
      <c r="W128" s="43"/>
      <c r="X128" s="43"/>
      <c r="Y128" s="43"/>
      <c r="Z128" s="43"/>
    </row>
    <row r="129" spans="1:26" hidden="1" outlineLevel="1" x14ac:dyDescent="0.2">
      <c r="A129" s="194"/>
      <c r="B129" s="646"/>
      <c r="C129" s="646"/>
      <c r="D129" s="162"/>
      <c r="E129" s="63">
        <f t="shared" ref="E129:J129" si="28">IF($B$121&lt;&gt;0,VLOOKUP($B$121,$C$133:$J$135,E130),0)</f>
        <v>0</v>
      </c>
      <c r="F129" s="63">
        <f t="shared" si="28"/>
        <v>0</v>
      </c>
      <c r="G129" s="63">
        <f t="shared" si="28"/>
        <v>0</v>
      </c>
      <c r="H129" s="63">
        <f t="shared" si="28"/>
        <v>0</v>
      </c>
      <c r="I129" s="63">
        <f t="shared" si="28"/>
        <v>0</v>
      </c>
      <c r="J129" s="63">
        <f t="shared" si="28"/>
        <v>0</v>
      </c>
      <c r="K129" s="162"/>
      <c r="L129" s="195"/>
      <c r="M129" s="43"/>
      <c r="N129" s="43"/>
      <c r="O129" s="43"/>
      <c r="P129" s="43"/>
      <c r="Q129" s="43"/>
      <c r="R129" s="43"/>
      <c r="S129" s="43"/>
      <c r="T129" s="43"/>
      <c r="U129" s="43"/>
      <c r="V129" s="43"/>
      <c r="W129" s="43"/>
      <c r="X129" s="43"/>
      <c r="Y129" s="43"/>
      <c r="Z129" s="43"/>
    </row>
    <row r="130" spans="1:26" hidden="1" outlineLevel="1" x14ac:dyDescent="0.2">
      <c r="A130" s="194"/>
      <c r="B130" s="646"/>
      <c r="C130" s="646"/>
      <c r="D130" s="162"/>
      <c r="E130" s="176">
        <v>3</v>
      </c>
      <c r="F130" s="176">
        <v>4</v>
      </c>
      <c r="G130" s="176">
        <v>5</v>
      </c>
      <c r="H130" s="176">
        <v>6</v>
      </c>
      <c r="I130" s="176">
        <v>7</v>
      </c>
      <c r="J130" s="176">
        <v>8</v>
      </c>
      <c r="K130" s="162"/>
      <c r="L130" s="195"/>
      <c r="M130" s="43"/>
      <c r="N130" s="43"/>
      <c r="O130" s="43"/>
      <c r="P130" s="43"/>
      <c r="Q130" s="43"/>
      <c r="R130" s="43"/>
      <c r="S130" s="43"/>
      <c r="T130" s="43"/>
      <c r="U130" s="43"/>
      <c r="V130" s="43"/>
      <c r="W130" s="43"/>
      <c r="X130" s="43"/>
      <c r="Y130" s="43"/>
      <c r="Z130" s="43"/>
    </row>
    <row r="131" spans="1:26" hidden="1" outlineLevel="1" x14ac:dyDescent="0.2">
      <c r="A131" s="194"/>
      <c r="B131" s="194"/>
      <c r="C131" s="194"/>
      <c r="D131" s="31" t="s">
        <v>324</v>
      </c>
      <c r="E131" s="78">
        <f t="shared" ref="E131:J131" si="29">E128</f>
        <v>2021</v>
      </c>
      <c r="F131" s="78">
        <f t="shared" si="29"/>
        <v>2022</v>
      </c>
      <c r="G131" s="78">
        <f t="shared" si="29"/>
        <v>2023</v>
      </c>
      <c r="H131" s="78">
        <f t="shared" si="29"/>
        <v>2024</v>
      </c>
      <c r="I131" s="78">
        <f t="shared" si="29"/>
        <v>2025</v>
      </c>
      <c r="J131" s="78">
        <f t="shared" si="29"/>
        <v>2026</v>
      </c>
      <c r="K131" s="162"/>
      <c r="L131" s="194"/>
      <c r="M131" s="44"/>
      <c r="N131" s="44"/>
      <c r="O131" s="44"/>
      <c r="P131" s="44"/>
      <c r="Q131" s="44"/>
      <c r="R131" s="44"/>
      <c r="S131" s="44"/>
      <c r="T131" s="44"/>
      <c r="U131" s="44"/>
      <c r="V131" s="44"/>
      <c r="W131" s="44"/>
      <c r="X131" s="44"/>
      <c r="Y131" s="44"/>
      <c r="Z131" s="44"/>
    </row>
    <row r="132" spans="1:26" hidden="1" outlineLevel="1" x14ac:dyDescent="0.2">
      <c r="A132" s="194"/>
      <c r="B132" s="194"/>
      <c r="C132" s="416"/>
      <c r="D132" s="177" t="s">
        <v>240</v>
      </c>
      <c r="E132" s="63">
        <f t="shared" ref="E132:J132" si="30">IF(OR(E133="",E133=0),SUM(E134:E135),E133)</f>
        <v>0</v>
      </c>
      <c r="F132" s="63">
        <f t="shared" si="30"/>
        <v>0</v>
      </c>
      <c r="G132" s="63">
        <f t="shared" si="30"/>
        <v>0</v>
      </c>
      <c r="H132" s="63">
        <f t="shared" si="30"/>
        <v>0</v>
      </c>
      <c r="I132" s="63">
        <f t="shared" si="30"/>
        <v>0</v>
      </c>
      <c r="J132" s="63">
        <f t="shared" si="30"/>
        <v>0</v>
      </c>
      <c r="K132" s="162"/>
      <c r="L132" s="194"/>
      <c r="M132" s="44"/>
      <c r="N132" s="44"/>
      <c r="O132" s="44"/>
      <c r="P132" s="44"/>
      <c r="Q132" s="44"/>
      <c r="R132" s="44"/>
      <c r="S132" s="44"/>
      <c r="T132" s="44"/>
      <c r="U132" s="44"/>
      <c r="V132" s="44"/>
      <c r="W132" s="44"/>
      <c r="X132" s="44"/>
      <c r="Y132" s="44"/>
      <c r="Z132" s="44"/>
    </row>
    <row r="133" spans="1:26" hidden="1" outlineLevel="1" x14ac:dyDescent="0.2">
      <c r="A133" s="194"/>
      <c r="B133" s="194"/>
      <c r="C133" s="58">
        <v>1</v>
      </c>
      <c r="D133" s="177" t="s">
        <v>366</v>
      </c>
      <c r="E133" s="427"/>
      <c r="F133" s="427"/>
      <c r="G133" s="427"/>
      <c r="H133" s="427"/>
      <c r="I133" s="427"/>
      <c r="J133" s="427"/>
      <c r="K133" s="162"/>
      <c r="L133" s="194"/>
      <c r="M133" s="44"/>
      <c r="N133" s="44"/>
      <c r="O133" s="44"/>
      <c r="P133" s="44"/>
      <c r="Q133" s="44"/>
      <c r="R133" s="44"/>
      <c r="S133" s="44"/>
      <c r="T133" s="44"/>
      <c r="U133" s="44"/>
      <c r="V133" s="44"/>
      <c r="W133" s="44"/>
      <c r="X133" s="44"/>
      <c r="Y133" s="44"/>
      <c r="Z133" s="44"/>
    </row>
    <row r="134" spans="1:26" hidden="1" outlineLevel="1" x14ac:dyDescent="0.2">
      <c r="A134" s="194"/>
      <c r="B134" s="194"/>
      <c r="C134" s="58">
        <v>2</v>
      </c>
      <c r="D134" s="177" t="s">
        <v>243</v>
      </c>
      <c r="E134" s="427"/>
      <c r="F134" s="427"/>
      <c r="G134" s="427"/>
      <c r="H134" s="427"/>
      <c r="I134" s="427"/>
      <c r="J134" s="427"/>
      <c r="K134" s="162"/>
      <c r="L134" s="194"/>
      <c r="M134" s="44"/>
      <c r="N134" s="44"/>
      <c r="O134" s="44"/>
      <c r="P134" s="44"/>
      <c r="Q134" s="44"/>
      <c r="R134" s="44"/>
      <c r="S134" s="44"/>
      <c r="T134" s="44"/>
      <c r="U134" s="44"/>
      <c r="V134" s="44"/>
      <c r="W134" s="44"/>
      <c r="X134" s="44"/>
      <c r="Y134" s="44"/>
      <c r="Z134" s="44"/>
    </row>
    <row r="135" spans="1:26" hidden="1" outlineLevel="1" x14ac:dyDescent="0.2">
      <c r="A135" s="194"/>
      <c r="B135" s="194"/>
      <c r="C135" s="58">
        <v>3</v>
      </c>
      <c r="D135" s="177" t="s">
        <v>244</v>
      </c>
      <c r="E135" s="427"/>
      <c r="F135" s="427"/>
      <c r="G135" s="427"/>
      <c r="H135" s="427"/>
      <c r="I135" s="427"/>
      <c r="J135" s="427"/>
      <c r="K135" s="162"/>
      <c r="L135" s="194"/>
      <c r="M135" s="44"/>
      <c r="N135" s="44"/>
      <c r="O135" s="44"/>
      <c r="P135" s="44"/>
      <c r="Q135" s="44"/>
      <c r="R135" s="44"/>
      <c r="S135" s="44"/>
      <c r="T135" s="44"/>
      <c r="U135" s="44"/>
      <c r="V135" s="44"/>
      <c r="W135" s="44"/>
      <c r="X135" s="44"/>
      <c r="Y135" s="44"/>
      <c r="Z135" s="44"/>
    </row>
    <row r="136" spans="1:26" hidden="1" outlineLevel="1" collapsed="1" x14ac:dyDescent="0.2">
      <c r="A136" s="194"/>
      <c r="B136" s="194"/>
      <c r="C136" s="646"/>
      <c r="D136" s="162"/>
      <c r="E136" s="162"/>
      <c r="F136" s="162"/>
      <c r="G136" s="162"/>
      <c r="H136" s="162"/>
      <c r="I136" s="162"/>
      <c r="J136" s="162"/>
      <c r="K136" s="162"/>
      <c r="L136" s="194"/>
      <c r="M136" s="44"/>
      <c r="N136" s="44"/>
      <c r="O136" s="44"/>
      <c r="P136" s="44"/>
      <c r="Q136" s="44"/>
      <c r="R136" s="44"/>
      <c r="S136" s="44"/>
      <c r="T136" s="44"/>
      <c r="U136" s="44"/>
      <c r="V136" s="44"/>
      <c r="W136" s="44"/>
      <c r="X136" s="44"/>
      <c r="Y136" s="44"/>
      <c r="Z136" s="44"/>
    </row>
    <row r="137" spans="1:26" collapsed="1" x14ac:dyDescent="0.2">
      <c r="A137" s="194"/>
      <c r="B137" s="194"/>
      <c r="C137" s="646"/>
      <c r="D137" s="162"/>
      <c r="E137" s="162"/>
      <c r="F137" s="162"/>
      <c r="G137" s="162"/>
      <c r="H137" s="162"/>
      <c r="I137" s="162"/>
      <c r="J137" s="162"/>
      <c r="K137" s="162"/>
      <c r="L137" s="194"/>
      <c r="M137" s="44"/>
      <c r="N137" s="44"/>
      <c r="O137" s="44"/>
      <c r="P137" s="44"/>
      <c r="Q137" s="44"/>
      <c r="R137" s="44"/>
      <c r="S137" s="44"/>
      <c r="T137" s="44"/>
      <c r="U137" s="44"/>
      <c r="V137" s="44"/>
      <c r="W137" s="44"/>
      <c r="X137" s="44"/>
      <c r="Y137" s="44"/>
      <c r="Z137" s="44"/>
    </row>
    <row r="138" spans="1:26" ht="15.75" x14ac:dyDescent="0.2">
      <c r="A138" s="194"/>
      <c r="B138" s="242">
        <f>IF(E142&lt;&gt;"",VLOOKUP(E142,GenderCode,2,FALSE),0)</f>
        <v>0</v>
      </c>
      <c r="C138" s="58">
        <v>8</v>
      </c>
      <c r="D138" s="79" t="str">
        <f>IF(B138=0,MsgNotUsed, CONCATENATE("AIHW ", C138, ": ", E140,": ", E142, " (", E145, "-", J145, ")"))</f>
        <v>** NOT USED **</v>
      </c>
      <c r="E138" s="127"/>
      <c r="F138" s="127"/>
      <c r="G138" s="127"/>
      <c r="H138" s="127"/>
      <c r="I138" s="175"/>
      <c r="J138" s="127"/>
      <c r="K138" s="127"/>
      <c r="L138" s="127"/>
      <c r="M138" s="260"/>
      <c r="N138" s="260"/>
      <c r="O138" s="260"/>
      <c r="P138" s="260"/>
      <c r="Q138" s="260"/>
      <c r="R138" s="260"/>
      <c r="S138" s="260"/>
      <c r="T138" s="260"/>
      <c r="U138" s="260"/>
      <c r="V138" s="260"/>
      <c r="W138" s="260"/>
      <c r="X138" s="260"/>
      <c r="Y138" s="260"/>
      <c r="Z138" s="260"/>
    </row>
    <row r="139" spans="1:26" hidden="1" outlineLevel="1" x14ac:dyDescent="0.2">
      <c r="A139" s="194"/>
      <c r="B139" s="646"/>
      <c r="C139" s="646"/>
      <c r="D139" s="648"/>
      <c r="E139" s="162"/>
      <c r="F139" s="162"/>
      <c r="G139" s="162"/>
      <c r="H139" s="162"/>
      <c r="I139" s="162"/>
      <c r="J139" s="162"/>
      <c r="K139" s="162"/>
      <c r="L139" s="162"/>
      <c r="M139" s="162"/>
      <c r="N139" s="162"/>
      <c r="O139" s="162"/>
      <c r="P139" s="162"/>
      <c r="Q139" s="162"/>
      <c r="R139" s="162"/>
      <c r="S139" s="364"/>
      <c r="T139" s="364"/>
      <c r="U139" s="364"/>
      <c r="V139" s="364"/>
      <c r="W139" s="364"/>
      <c r="X139" s="417"/>
      <c r="Y139" s="417"/>
      <c r="Z139" s="417"/>
    </row>
    <row r="140" spans="1:26" hidden="1" outlineLevel="1" x14ac:dyDescent="0.2">
      <c r="A140" s="194"/>
      <c r="B140" s="194"/>
      <c r="C140" s="194"/>
      <c r="D140" s="42" t="s">
        <v>279</v>
      </c>
      <c r="E140" s="913"/>
      <c r="F140" s="881"/>
      <c r="G140" s="881"/>
      <c r="H140" s="881"/>
      <c r="I140" s="881"/>
      <c r="J140" s="882"/>
      <c r="K140" s="162"/>
      <c r="L140" s="42" t="s">
        <v>270</v>
      </c>
      <c r="M140" s="913"/>
      <c r="N140" s="881"/>
      <c r="O140" s="881"/>
      <c r="P140" s="881"/>
      <c r="Q140" s="881"/>
      <c r="R140" s="882"/>
      <c r="S140" s="43"/>
      <c r="T140" s="43"/>
      <c r="U140" s="43"/>
      <c r="V140" s="43"/>
      <c r="W140" s="43"/>
      <c r="X140" s="43"/>
      <c r="Y140" s="43"/>
      <c r="Z140" s="43"/>
    </row>
    <row r="141" spans="1:26" hidden="1" outlineLevel="1" x14ac:dyDescent="0.2">
      <c r="A141" s="194"/>
      <c r="B141" s="646"/>
      <c r="C141" s="646"/>
      <c r="D141" s="648"/>
      <c r="E141" s="162"/>
      <c r="F141" s="162"/>
      <c r="G141" s="162"/>
      <c r="H141" s="162"/>
      <c r="I141" s="162"/>
      <c r="J141" s="162"/>
      <c r="K141" s="162"/>
      <c r="L141" s="162"/>
      <c r="M141" s="162"/>
      <c r="N141" s="162"/>
      <c r="O141" s="162"/>
      <c r="P141" s="162"/>
      <c r="Q141" s="162"/>
      <c r="R141" s="162"/>
      <c r="S141" s="43"/>
      <c r="T141" s="43"/>
      <c r="U141" s="43"/>
      <c r="V141" s="43"/>
      <c r="W141" s="43"/>
      <c r="X141" s="43"/>
      <c r="Y141" s="43"/>
      <c r="Z141" s="43"/>
    </row>
    <row r="142" spans="1:26" hidden="1" outlineLevel="1" x14ac:dyDescent="0.2">
      <c r="A142" s="194"/>
      <c r="B142" s="194"/>
      <c r="C142" s="194"/>
      <c r="D142" s="632" t="s">
        <v>51</v>
      </c>
      <c r="E142" s="360"/>
      <c r="F142" s="162"/>
      <c r="G142" s="646"/>
      <c r="H142" s="646"/>
      <c r="I142" s="632" t="s">
        <v>365</v>
      </c>
      <c r="J142" s="360"/>
      <c r="K142" s="162"/>
      <c r="L142" s="195"/>
      <c r="M142" s="43"/>
      <c r="N142" s="43"/>
      <c r="O142" s="43"/>
      <c r="P142" s="43"/>
      <c r="Q142" s="43"/>
      <c r="R142" s="43"/>
      <c r="S142" s="43"/>
      <c r="T142" s="43"/>
      <c r="U142" s="43"/>
      <c r="V142" s="43"/>
      <c r="W142" s="43"/>
      <c r="X142" s="43"/>
      <c r="Y142" s="43"/>
      <c r="Z142" s="43"/>
    </row>
    <row r="143" spans="1:26" hidden="1" outlineLevel="1" x14ac:dyDescent="0.2">
      <c r="A143" s="194"/>
      <c r="B143" s="646"/>
      <c r="C143" s="646"/>
      <c r="D143" s="162"/>
      <c r="E143" s="162"/>
      <c r="F143" s="162"/>
      <c r="G143" s="162"/>
      <c r="H143" s="162"/>
      <c r="I143" s="162"/>
      <c r="J143" s="162"/>
      <c r="K143" s="162"/>
      <c r="L143" s="195"/>
      <c r="M143" s="43"/>
      <c r="N143" s="43"/>
      <c r="O143" s="43"/>
      <c r="P143" s="43"/>
      <c r="Q143" s="43"/>
      <c r="R143" s="43"/>
      <c r="S143" s="43"/>
      <c r="T143" s="43"/>
      <c r="U143" s="43"/>
      <c r="V143" s="43"/>
      <c r="W143" s="43"/>
      <c r="X143" s="43"/>
      <c r="Y143" s="43"/>
      <c r="Z143" s="43"/>
    </row>
    <row r="144" spans="1:26" hidden="1" outlineLevel="1" x14ac:dyDescent="0.2">
      <c r="A144" s="194"/>
      <c r="B144" s="646"/>
      <c r="C144" s="646"/>
      <c r="D144" s="162"/>
      <c r="E144" s="616" t="s">
        <v>255</v>
      </c>
      <c r="F144" s="162"/>
      <c r="G144" s="162"/>
      <c r="H144" s="162"/>
      <c r="I144" s="162"/>
      <c r="J144" s="162"/>
      <c r="K144" s="162"/>
      <c r="L144" s="195"/>
      <c r="M144" s="43"/>
      <c r="N144" s="43"/>
      <c r="O144" s="43"/>
      <c r="P144" s="43"/>
      <c r="Q144" s="43"/>
      <c r="R144" s="43"/>
      <c r="S144" s="43"/>
      <c r="T144" s="43"/>
      <c r="U144" s="43"/>
      <c r="V144" s="43"/>
      <c r="W144" s="43"/>
      <c r="X144" s="43"/>
      <c r="Y144" s="43"/>
      <c r="Z144" s="43"/>
    </row>
    <row r="145" spans="1:26" hidden="1" outlineLevel="1" x14ac:dyDescent="0.2">
      <c r="A145" s="194"/>
      <c r="B145" s="646"/>
      <c r="C145" s="646"/>
      <c r="D145" s="162"/>
      <c r="E145" s="78">
        <f>IF(J142&lt;&gt;"",J142,FirstYear)</f>
        <v>2021</v>
      </c>
      <c r="F145" s="630">
        <f>E145+1</f>
        <v>2022</v>
      </c>
      <c r="G145" s="630">
        <f>F145+1</f>
        <v>2023</v>
      </c>
      <c r="H145" s="630">
        <f>G145+1</f>
        <v>2024</v>
      </c>
      <c r="I145" s="630">
        <f>H145+1</f>
        <v>2025</v>
      </c>
      <c r="J145" s="630">
        <f>I145+1</f>
        <v>2026</v>
      </c>
      <c r="K145" s="162"/>
      <c r="L145" s="195"/>
      <c r="M145" s="43"/>
      <c r="N145" s="43"/>
      <c r="O145" s="43"/>
      <c r="P145" s="43"/>
      <c r="Q145" s="43"/>
      <c r="R145" s="43"/>
      <c r="S145" s="43"/>
      <c r="T145" s="43"/>
      <c r="U145" s="43"/>
      <c r="V145" s="43"/>
      <c r="W145" s="43"/>
      <c r="X145" s="43"/>
      <c r="Y145" s="43"/>
      <c r="Z145" s="43"/>
    </row>
    <row r="146" spans="1:26" hidden="1" outlineLevel="1" x14ac:dyDescent="0.2">
      <c r="A146" s="194"/>
      <c r="B146" s="646"/>
      <c r="C146" s="646"/>
      <c r="D146" s="162"/>
      <c r="E146" s="63">
        <f t="shared" ref="E146:J146" si="31">IF($B$138&lt;&gt;0,VLOOKUP($B$138,$C$150:$J$152,E147),0)</f>
        <v>0</v>
      </c>
      <c r="F146" s="63">
        <f t="shared" si="31"/>
        <v>0</v>
      </c>
      <c r="G146" s="63">
        <f t="shared" si="31"/>
        <v>0</v>
      </c>
      <c r="H146" s="63">
        <f t="shared" si="31"/>
        <v>0</v>
      </c>
      <c r="I146" s="63">
        <f t="shared" si="31"/>
        <v>0</v>
      </c>
      <c r="J146" s="63">
        <f t="shared" si="31"/>
        <v>0</v>
      </c>
      <c r="K146" s="162"/>
      <c r="L146" s="195"/>
      <c r="M146" s="43"/>
      <c r="N146" s="43"/>
      <c r="O146" s="43"/>
      <c r="P146" s="43"/>
      <c r="Q146" s="43"/>
      <c r="R146" s="43"/>
      <c r="S146" s="43"/>
      <c r="T146" s="43"/>
      <c r="U146" s="43"/>
      <c r="V146" s="43"/>
      <c r="W146" s="43"/>
      <c r="X146" s="43"/>
      <c r="Y146" s="43"/>
      <c r="Z146" s="43"/>
    </row>
    <row r="147" spans="1:26" hidden="1" outlineLevel="1" x14ac:dyDescent="0.2">
      <c r="A147" s="194"/>
      <c r="B147" s="646"/>
      <c r="C147" s="646"/>
      <c r="D147" s="162"/>
      <c r="E147" s="176">
        <v>3</v>
      </c>
      <c r="F147" s="176">
        <v>4</v>
      </c>
      <c r="G147" s="176">
        <v>5</v>
      </c>
      <c r="H147" s="176">
        <v>6</v>
      </c>
      <c r="I147" s="176">
        <v>7</v>
      </c>
      <c r="J147" s="176">
        <v>8</v>
      </c>
      <c r="K147" s="162"/>
      <c r="L147" s="195"/>
      <c r="M147" s="43"/>
      <c r="N147" s="43"/>
      <c r="O147" s="43"/>
      <c r="P147" s="43"/>
      <c r="Q147" s="43"/>
      <c r="R147" s="43"/>
      <c r="S147" s="43"/>
      <c r="T147" s="43"/>
      <c r="U147" s="43"/>
      <c r="V147" s="43"/>
      <c r="W147" s="43"/>
      <c r="X147" s="43"/>
      <c r="Y147" s="43"/>
      <c r="Z147" s="43"/>
    </row>
    <row r="148" spans="1:26" hidden="1" outlineLevel="1" x14ac:dyDescent="0.2">
      <c r="A148" s="194"/>
      <c r="B148" s="194"/>
      <c r="C148" s="194"/>
      <c r="D148" s="31" t="s">
        <v>324</v>
      </c>
      <c r="E148" s="78">
        <f t="shared" ref="E148:J148" si="32">E145</f>
        <v>2021</v>
      </c>
      <c r="F148" s="78">
        <f t="shared" si="32"/>
        <v>2022</v>
      </c>
      <c r="G148" s="78">
        <f t="shared" si="32"/>
        <v>2023</v>
      </c>
      <c r="H148" s="78">
        <f t="shared" si="32"/>
        <v>2024</v>
      </c>
      <c r="I148" s="78">
        <f t="shared" si="32"/>
        <v>2025</v>
      </c>
      <c r="J148" s="78">
        <f t="shared" si="32"/>
        <v>2026</v>
      </c>
      <c r="K148" s="162"/>
      <c r="L148" s="194"/>
      <c r="M148" s="44"/>
      <c r="N148" s="44"/>
      <c r="O148" s="44"/>
      <c r="P148" s="44"/>
      <c r="Q148" s="44"/>
      <c r="R148" s="44"/>
      <c r="S148" s="44"/>
      <c r="T148" s="44"/>
      <c r="U148" s="44"/>
      <c r="V148" s="44"/>
      <c r="W148" s="44"/>
      <c r="X148" s="44"/>
      <c r="Y148" s="44"/>
      <c r="Z148" s="44"/>
    </row>
    <row r="149" spans="1:26" hidden="1" outlineLevel="1" x14ac:dyDescent="0.2">
      <c r="A149" s="194"/>
      <c r="B149" s="194"/>
      <c r="C149" s="416"/>
      <c r="D149" s="177" t="s">
        <v>240</v>
      </c>
      <c r="E149" s="63">
        <f t="shared" ref="E149:J149" si="33">IF(OR(E150="",E150=0),SUM(E151:E152),E150)</f>
        <v>0</v>
      </c>
      <c r="F149" s="63">
        <f t="shared" si="33"/>
        <v>0</v>
      </c>
      <c r="G149" s="63">
        <f t="shared" si="33"/>
        <v>0</v>
      </c>
      <c r="H149" s="63">
        <f t="shared" si="33"/>
        <v>0</v>
      </c>
      <c r="I149" s="63">
        <f t="shared" si="33"/>
        <v>0</v>
      </c>
      <c r="J149" s="63">
        <f t="shared" si="33"/>
        <v>0</v>
      </c>
      <c r="K149" s="162"/>
      <c r="L149" s="194"/>
      <c r="M149" s="44"/>
      <c r="N149" s="44"/>
      <c r="O149" s="44"/>
      <c r="P149" s="44"/>
      <c r="Q149" s="44"/>
      <c r="R149" s="44"/>
      <c r="S149" s="44"/>
      <c r="T149" s="44"/>
      <c r="U149" s="44"/>
      <c r="V149" s="44"/>
      <c r="W149" s="44"/>
      <c r="X149" s="44"/>
      <c r="Y149" s="44"/>
      <c r="Z149" s="44"/>
    </row>
    <row r="150" spans="1:26" hidden="1" outlineLevel="1" x14ac:dyDescent="0.2">
      <c r="A150" s="194"/>
      <c r="B150" s="194"/>
      <c r="C150" s="58">
        <v>1</v>
      </c>
      <c r="D150" s="177" t="s">
        <v>366</v>
      </c>
      <c r="E150" s="427"/>
      <c r="F150" s="427"/>
      <c r="G150" s="427"/>
      <c r="H150" s="427"/>
      <c r="I150" s="427"/>
      <c r="J150" s="427"/>
      <c r="K150" s="162"/>
      <c r="L150" s="194"/>
      <c r="M150" s="44"/>
      <c r="N150" s="44"/>
      <c r="O150" s="44"/>
      <c r="P150" s="44"/>
      <c r="Q150" s="44"/>
      <c r="R150" s="44"/>
      <c r="S150" s="44"/>
      <c r="T150" s="44"/>
      <c r="U150" s="44"/>
      <c r="V150" s="44"/>
      <c r="W150" s="44"/>
      <c r="X150" s="44"/>
      <c r="Y150" s="44"/>
      <c r="Z150" s="44"/>
    </row>
    <row r="151" spans="1:26" hidden="1" outlineLevel="1" x14ac:dyDescent="0.2">
      <c r="A151" s="194"/>
      <c r="B151" s="194"/>
      <c r="C151" s="58">
        <v>2</v>
      </c>
      <c r="D151" s="177" t="s">
        <v>243</v>
      </c>
      <c r="E151" s="427"/>
      <c r="F151" s="427"/>
      <c r="G151" s="427"/>
      <c r="H151" s="427"/>
      <c r="I151" s="427"/>
      <c r="J151" s="427"/>
      <c r="K151" s="162"/>
      <c r="L151" s="194"/>
      <c r="M151" s="44"/>
      <c r="N151" s="44"/>
      <c r="O151" s="44"/>
      <c r="P151" s="44"/>
      <c r="Q151" s="44"/>
      <c r="R151" s="44"/>
      <c r="S151" s="44"/>
      <c r="T151" s="44"/>
      <c r="U151" s="44"/>
      <c r="V151" s="44"/>
      <c r="W151" s="44"/>
      <c r="X151" s="44"/>
      <c r="Y151" s="44"/>
      <c r="Z151" s="44"/>
    </row>
    <row r="152" spans="1:26" hidden="1" outlineLevel="1" x14ac:dyDescent="0.2">
      <c r="A152" s="194"/>
      <c r="B152" s="194"/>
      <c r="C152" s="58">
        <v>3</v>
      </c>
      <c r="D152" s="177" t="s">
        <v>244</v>
      </c>
      <c r="E152" s="427"/>
      <c r="F152" s="427"/>
      <c r="G152" s="427"/>
      <c r="H152" s="427"/>
      <c r="I152" s="427"/>
      <c r="J152" s="427"/>
      <c r="K152" s="162"/>
      <c r="L152" s="194"/>
      <c r="M152" s="44"/>
      <c r="N152" s="44"/>
      <c r="O152" s="44"/>
      <c r="P152" s="44"/>
      <c r="Q152" s="44"/>
      <c r="R152" s="44"/>
      <c r="S152" s="44"/>
      <c r="T152" s="44"/>
      <c r="U152" s="44"/>
      <c r="V152" s="44"/>
      <c r="W152" s="44"/>
      <c r="X152" s="44"/>
      <c r="Y152" s="44"/>
      <c r="Z152" s="44"/>
    </row>
    <row r="153" spans="1:26" hidden="1" outlineLevel="1" collapsed="1" x14ac:dyDescent="0.2">
      <c r="A153" s="194"/>
      <c r="B153" s="194"/>
      <c r="C153" s="646"/>
      <c r="D153" s="162"/>
      <c r="E153" s="162"/>
      <c r="F153" s="162"/>
      <c r="G153" s="162"/>
      <c r="H153" s="162"/>
      <c r="I153" s="162"/>
      <c r="J153" s="162"/>
      <c r="K153" s="162"/>
      <c r="L153" s="194"/>
      <c r="M153" s="44"/>
      <c r="N153" s="44"/>
      <c r="O153" s="44"/>
      <c r="P153" s="44"/>
      <c r="Q153" s="44"/>
      <c r="R153" s="44"/>
      <c r="S153" s="44"/>
      <c r="T153" s="44"/>
      <c r="U153" s="44"/>
      <c r="V153" s="44"/>
      <c r="W153" s="44"/>
      <c r="X153" s="44"/>
      <c r="Y153" s="44"/>
      <c r="Z153" s="44"/>
    </row>
    <row r="154" spans="1:26" collapsed="1" x14ac:dyDescent="0.2">
      <c r="A154" s="194"/>
      <c r="B154" s="194"/>
      <c r="C154" s="646"/>
      <c r="D154" s="162"/>
      <c r="E154" s="162"/>
      <c r="F154" s="162"/>
      <c r="G154" s="162"/>
      <c r="H154" s="162"/>
      <c r="I154" s="162"/>
      <c r="J154" s="162"/>
      <c r="K154" s="162"/>
      <c r="L154" s="194"/>
      <c r="M154" s="44"/>
      <c r="N154" s="44"/>
      <c r="O154" s="44"/>
      <c r="P154" s="44"/>
      <c r="Q154" s="44"/>
      <c r="R154" s="44"/>
      <c r="S154" s="44"/>
      <c r="T154" s="44"/>
      <c r="U154" s="44"/>
      <c r="V154" s="44"/>
      <c r="W154" s="44"/>
      <c r="X154" s="44"/>
      <c r="Y154" s="44"/>
      <c r="Z154" s="44"/>
    </row>
    <row r="155" spans="1:26" ht="15.75" x14ac:dyDescent="0.2">
      <c r="A155" s="194"/>
      <c r="B155" s="242">
        <f>IF(E159&lt;&gt;"",VLOOKUP(E159,GenderCode,2,FALSE),0)</f>
        <v>0</v>
      </c>
      <c r="C155" s="58">
        <v>9</v>
      </c>
      <c r="D155" s="79" t="str">
        <f>IF(B155=0,MsgNotUsed, CONCATENATE("AIHW ", C155, ": ", E157,": ", E159, " (", E162, "-", J162, ")"))</f>
        <v>** NOT USED **</v>
      </c>
      <c r="E155" s="127"/>
      <c r="F155" s="127"/>
      <c r="G155" s="127"/>
      <c r="H155" s="127"/>
      <c r="I155" s="175"/>
      <c r="J155" s="127"/>
      <c r="K155" s="127"/>
      <c r="L155" s="127"/>
      <c r="M155" s="260"/>
      <c r="N155" s="260"/>
      <c r="O155" s="260"/>
      <c r="P155" s="260"/>
      <c r="Q155" s="260"/>
      <c r="R155" s="260"/>
      <c r="S155" s="260"/>
      <c r="T155" s="260"/>
      <c r="U155" s="260"/>
      <c r="V155" s="260"/>
      <c r="W155" s="260"/>
      <c r="X155" s="260"/>
      <c r="Y155" s="260"/>
      <c r="Z155" s="260"/>
    </row>
    <row r="156" spans="1:26" hidden="1" outlineLevel="1" x14ac:dyDescent="0.2">
      <c r="A156" s="194"/>
      <c r="B156" s="646"/>
      <c r="C156" s="646"/>
      <c r="D156" s="648"/>
      <c r="E156" s="162"/>
      <c r="F156" s="162"/>
      <c r="G156" s="162"/>
      <c r="H156" s="162"/>
      <c r="I156" s="162"/>
      <c r="J156" s="162"/>
      <c r="K156" s="162"/>
      <c r="L156" s="162"/>
      <c r="M156" s="162"/>
      <c r="N156" s="162"/>
      <c r="O156" s="162"/>
      <c r="P156" s="162"/>
      <c r="Q156" s="162"/>
      <c r="R156" s="162"/>
      <c r="S156" s="364"/>
      <c r="T156" s="364"/>
      <c r="U156" s="364"/>
      <c r="V156" s="364"/>
      <c r="W156" s="364"/>
      <c r="X156" s="417"/>
      <c r="Y156" s="417"/>
      <c r="Z156" s="417"/>
    </row>
    <row r="157" spans="1:26" hidden="1" outlineLevel="1" x14ac:dyDescent="0.2">
      <c r="A157" s="194"/>
      <c r="B157" s="194"/>
      <c r="C157" s="194"/>
      <c r="D157" s="42" t="s">
        <v>279</v>
      </c>
      <c r="E157" s="913"/>
      <c r="F157" s="881"/>
      <c r="G157" s="881"/>
      <c r="H157" s="881"/>
      <c r="I157" s="881"/>
      <c r="J157" s="882"/>
      <c r="K157" s="162"/>
      <c r="L157" s="42" t="s">
        <v>270</v>
      </c>
      <c r="M157" s="913"/>
      <c r="N157" s="881"/>
      <c r="O157" s="881"/>
      <c r="P157" s="881"/>
      <c r="Q157" s="881"/>
      <c r="R157" s="882"/>
      <c r="S157" s="43"/>
      <c r="T157" s="43"/>
      <c r="U157" s="43"/>
      <c r="V157" s="43"/>
      <c r="W157" s="43"/>
      <c r="X157" s="43"/>
      <c r="Y157" s="43"/>
      <c r="Z157" s="43"/>
    </row>
    <row r="158" spans="1:26" hidden="1" outlineLevel="1" x14ac:dyDescent="0.2">
      <c r="A158" s="194"/>
      <c r="B158" s="646"/>
      <c r="C158" s="646"/>
      <c r="D158" s="648"/>
      <c r="E158" s="162"/>
      <c r="F158" s="162"/>
      <c r="G158" s="162"/>
      <c r="H158" s="162"/>
      <c r="I158" s="162"/>
      <c r="J158" s="162"/>
      <c r="K158" s="162"/>
      <c r="L158" s="162"/>
      <c r="M158" s="162"/>
      <c r="N158" s="162"/>
      <c r="O158" s="162"/>
      <c r="P158" s="162"/>
      <c r="Q158" s="162"/>
      <c r="R158" s="162"/>
      <c r="S158" s="43"/>
      <c r="T158" s="43"/>
      <c r="U158" s="43"/>
      <c r="V158" s="43"/>
      <c r="W158" s="43"/>
      <c r="X158" s="43"/>
      <c r="Y158" s="43"/>
      <c r="Z158" s="43"/>
    </row>
    <row r="159" spans="1:26" hidden="1" outlineLevel="1" x14ac:dyDescent="0.2">
      <c r="A159" s="194"/>
      <c r="B159" s="194"/>
      <c r="C159" s="194"/>
      <c r="D159" s="632" t="s">
        <v>51</v>
      </c>
      <c r="E159" s="360"/>
      <c r="F159" s="162"/>
      <c r="G159" s="646"/>
      <c r="H159" s="646"/>
      <c r="I159" s="632" t="s">
        <v>365</v>
      </c>
      <c r="J159" s="360"/>
      <c r="K159" s="162"/>
      <c r="L159" s="195"/>
      <c r="M159" s="43"/>
      <c r="N159" s="43"/>
      <c r="O159" s="43"/>
      <c r="P159" s="43"/>
      <c r="Q159" s="43"/>
      <c r="R159" s="43"/>
      <c r="S159" s="43"/>
      <c r="T159" s="43"/>
      <c r="U159" s="43"/>
      <c r="V159" s="43"/>
      <c r="W159" s="43"/>
      <c r="X159" s="43"/>
      <c r="Y159" s="43"/>
      <c r="Z159" s="43"/>
    </row>
    <row r="160" spans="1:26" hidden="1" outlineLevel="1" x14ac:dyDescent="0.2">
      <c r="A160" s="194"/>
      <c r="B160" s="646"/>
      <c r="C160" s="646"/>
      <c r="D160" s="162"/>
      <c r="E160" s="162"/>
      <c r="F160" s="162"/>
      <c r="G160" s="162"/>
      <c r="H160" s="162"/>
      <c r="I160" s="162"/>
      <c r="J160" s="162"/>
      <c r="K160" s="162"/>
      <c r="L160" s="195"/>
      <c r="M160" s="43"/>
      <c r="N160" s="43"/>
      <c r="O160" s="43"/>
      <c r="P160" s="43"/>
      <c r="Q160" s="43"/>
      <c r="R160" s="43"/>
      <c r="S160" s="43"/>
      <c r="T160" s="43"/>
      <c r="U160" s="43"/>
      <c r="V160" s="43"/>
      <c r="W160" s="43"/>
      <c r="X160" s="43"/>
      <c r="Y160" s="43"/>
      <c r="Z160" s="43"/>
    </row>
    <row r="161" spans="1:26" hidden="1" outlineLevel="1" x14ac:dyDescent="0.2">
      <c r="A161" s="194"/>
      <c r="B161" s="646"/>
      <c r="C161" s="646"/>
      <c r="D161" s="162"/>
      <c r="E161" s="616" t="s">
        <v>255</v>
      </c>
      <c r="F161" s="162"/>
      <c r="G161" s="162"/>
      <c r="H161" s="162"/>
      <c r="I161" s="162"/>
      <c r="J161" s="162"/>
      <c r="K161" s="162"/>
      <c r="L161" s="195"/>
      <c r="M161" s="43"/>
      <c r="N161" s="43"/>
      <c r="O161" s="43"/>
      <c r="P161" s="43"/>
      <c r="Q161" s="43"/>
      <c r="R161" s="43"/>
      <c r="S161" s="43"/>
      <c r="T161" s="43"/>
      <c r="U161" s="43"/>
      <c r="V161" s="43"/>
      <c r="W161" s="43"/>
      <c r="X161" s="43"/>
      <c r="Y161" s="43"/>
      <c r="Z161" s="43"/>
    </row>
    <row r="162" spans="1:26" hidden="1" outlineLevel="1" x14ac:dyDescent="0.2">
      <c r="A162" s="194"/>
      <c r="B162" s="646"/>
      <c r="C162" s="646"/>
      <c r="D162" s="162"/>
      <c r="E162" s="78">
        <f>IF(J159&lt;&gt;"",J159,FirstYear)</f>
        <v>2021</v>
      </c>
      <c r="F162" s="630">
        <f>E162+1</f>
        <v>2022</v>
      </c>
      <c r="G162" s="630">
        <f>F162+1</f>
        <v>2023</v>
      </c>
      <c r="H162" s="630">
        <f>G162+1</f>
        <v>2024</v>
      </c>
      <c r="I162" s="630">
        <f>H162+1</f>
        <v>2025</v>
      </c>
      <c r="J162" s="630">
        <f>I162+1</f>
        <v>2026</v>
      </c>
      <c r="K162" s="162"/>
      <c r="L162" s="195"/>
      <c r="M162" s="43"/>
      <c r="N162" s="43"/>
      <c r="O162" s="43"/>
      <c r="P162" s="43"/>
      <c r="Q162" s="43"/>
      <c r="R162" s="43"/>
      <c r="S162" s="43"/>
      <c r="T162" s="43"/>
      <c r="U162" s="43"/>
      <c r="V162" s="43"/>
      <c r="W162" s="43"/>
      <c r="X162" s="43"/>
      <c r="Y162" s="43"/>
      <c r="Z162" s="43"/>
    </row>
    <row r="163" spans="1:26" hidden="1" outlineLevel="1" x14ac:dyDescent="0.2">
      <c r="A163" s="194"/>
      <c r="B163" s="646"/>
      <c r="C163" s="646"/>
      <c r="D163" s="162"/>
      <c r="E163" s="63">
        <f t="shared" ref="E163:J163" si="34">IF($B$155&lt;&gt;0,VLOOKUP($B$155,$C$167:$J$169,E164),0)</f>
        <v>0</v>
      </c>
      <c r="F163" s="63">
        <f t="shared" si="34"/>
        <v>0</v>
      </c>
      <c r="G163" s="63">
        <f t="shared" si="34"/>
        <v>0</v>
      </c>
      <c r="H163" s="63">
        <f t="shared" si="34"/>
        <v>0</v>
      </c>
      <c r="I163" s="63">
        <f t="shared" si="34"/>
        <v>0</v>
      </c>
      <c r="J163" s="63">
        <f t="shared" si="34"/>
        <v>0</v>
      </c>
      <c r="K163" s="162"/>
      <c r="L163" s="195"/>
      <c r="M163" s="43"/>
      <c r="N163" s="43"/>
      <c r="O163" s="43"/>
      <c r="P163" s="43"/>
      <c r="Q163" s="43"/>
      <c r="R163" s="43"/>
      <c r="S163" s="43"/>
      <c r="T163" s="43"/>
      <c r="U163" s="43"/>
      <c r="V163" s="43"/>
      <c r="W163" s="43"/>
      <c r="X163" s="43"/>
      <c r="Y163" s="43"/>
      <c r="Z163" s="43"/>
    </row>
    <row r="164" spans="1:26" hidden="1" outlineLevel="1" x14ac:dyDescent="0.2">
      <c r="A164" s="194"/>
      <c r="B164" s="646"/>
      <c r="C164" s="646"/>
      <c r="D164" s="162"/>
      <c r="E164" s="176">
        <v>3</v>
      </c>
      <c r="F164" s="176">
        <v>4</v>
      </c>
      <c r="G164" s="176">
        <v>5</v>
      </c>
      <c r="H164" s="176">
        <v>6</v>
      </c>
      <c r="I164" s="176">
        <v>7</v>
      </c>
      <c r="J164" s="176">
        <v>8</v>
      </c>
      <c r="K164" s="162"/>
      <c r="L164" s="195"/>
      <c r="M164" s="43"/>
      <c r="N164" s="43"/>
      <c r="O164" s="43"/>
      <c r="P164" s="43"/>
      <c r="Q164" s="43"/>
      <c r="R164" s="43"/>
      <c r="S164" s="43"/>
      <c r="T164" s="43"/>
      <c r="U164" s="43"/>
      <c r="V164" s="43"/>
      <c r="W164" s="43"/>
      <c r="X164" s="43"/>
      <c r="Y164" s="43"/>
      <c r="Z164" s="43"/>
    </row>
    <row r="165" spans="1:26" hidden="1" outlineLevel="1" x14ac:dyDescent="0.2">
      <c r="A165" s="194"/>
      <c r="B165" s="194"/>
      <c r="C165" s="194"/>
      <c r="D165" s="31" t="s">
        <v>324</v>
      </c>
      <c r="E165" s="78">
        <f t="shared" ref="E165:J165" si="35">E162</f>
        <v>2021</v>
      </c>
      <c r="F165" s="78">
        <f t="shared" si="35"/>
        <v>2022</v>
      </c>
      <c r="G165" s="78">
        <f t="shared" si="35"/>
        <v>2023</v>
      </c>
      <c r="H165" s="78">
        <f t="shared" si="35"/>
        <v>2024</v>
      </c>
      <c r="I165" s="78">
        <f t="shared" si="35"/>
        <v>2025</v>
      </c>
      <c r="J165" s="78">
        <f t="shared" si="35"/>
        <v>2026</v>
      </c>
      <c r="K165" s="162"/>
      <c r="L165" s="194"/>
      <c r="M165" s="44"/>
      <c r="N165" s="44"/>
      <c r="O165" s="44"/>
      <c r="P165" s="44"/>
      <c r="Q165" s="44"/>
      <c r="R165" s="44"/>
      <c r="S165" s="44"/>
      <c r="T165" s="44"/>
      <c r="U165" s="44"/>
      <c r="V165" s="44"/>
      <c r="W165" s="44"/>
      <c r="X165" s="44"/>
      <c r="Y165" s="44"/>
      <c r="Z165" s="44"/>
    </row>
    <row r="166" spans="1:26" hidden="1" outlineLevel="1" x14ac:dyDescent="0.2">
      <c r="A166" s="194"/>
      <c r="B166" s="194"/>
      <c r="C166" s="416"/>
      <c r="D166" s="177" t="s">
        <v>240</v>
      </c>
      <c r="E166" s="63">
        <f t="shared" ref="E166:J166" si="36">IF(OR(E167="",E167=0),SUM(E168:E169),E167)</f>
        <v>0</v>
      </c>
      <c r="F166" s="63">
        <f t="shared" si="36"/>
        <v>0</v>
      </c>
      <c r="G166" s="63">
        <f t="shared" si="36"/>
        <v>0</v>
      </c>
      <c r="H166" s="63">
        <f t="shared" si="36"/>
        <v>0</v>
      </c>
      <c r="I166" s="63">
        <f t="shared" si="36"/>
        <v>0</v>
      </c>
      <c r="J166" s="63">
        <f t="shared" si="36"/>
        <v>0</v>
      </c>
      <c r="K166" s="162"/>
      <c r="L166" s="194"/>
      <c r="M166" s="44"/>
      <c r="N166" s="44"/>
      <c r="O166" s="44"/>
      <c r="P166" s="44"/>
      <c r="Q166" s="44"/>
      <c r="R166" s="44"/>
      <c r="S166" s="44"/>
      <c r="T166" s="44"/>
      <c r="U166" s="44"/>
      <c r="V166" s="44"/>
      <c r="W166" s="44"/>
      <c r="X166" s="44"/>
      <c r="Y166" s="44"/>
      <c r="Z166" s="44"/>
    </row>
    <row r="167" spans="1:26" hidden="1" outlineLevel="1" x14ac:dyDescent="0.2">
      <c r="A167" s="194"/>
      <c r="B167" s="194"/>
      <c r="C167" s="58">
        <v>1</v>
      </c>
      <c r="D167" s="177" t="s">
        <v>366</v>
      </c>
      <c r="E167" s="427"/>
      <c r="F167" s="427"/>
      <c r="G167" s="427"/>
      <c r="H167" s="427"/>
      <c r="I167" s="427"/>
      <c r="J167" s="427"/>
      <c r="K167" s="162"/>
      <c r="L167" s="194"/>
      <c r="M167" s="44"/>
      <c r="N167" s="44"/>
      <c r="O167" s="44"/>
      <c r="P167" s="44"/>
      <c r="Q167" s="44"/>
      <c r="R167" s="44"/>
      <c r="S167" s="44"/>
      <c r="T167" s="44"/>
      <c r="U167" s="44"/>
      <c r="V167" s="44"/>
      <c r="W167" s="44"/>
      <c r="X167" s="44"/>
      <c r="Y167" s="44"/>
      <c r="Z167" s="44"/>
    </row>
    <row r="168" spans="1:26" hidden="1" outlineLevel="1" x14ac:dyDescent="0.2">
      <c r="A168" s="194"/>
      <c r="B168" s="194"/>
      <c r="C168" s="58">
        <v>2</v>
      </c>
      <c r="D168" s="177" t="s">
        <v>243</v>
      </c>
      <c r="E168" s="427"/>
      <c r="F168" s="427"/>
      <c r="G168" s="427"/>
      <c r="H168" s="427"/>
      <c r="I168" s="427"/>
      <c r="J168" s="427"/>
      <c r="K168" s="162"/>
      <c r="L168" s="194"/>
      <c r="M168" s="44"/>
      <c r="N168" s="44"/>
      <c r="O168" s="44"/>
      <c r="P168" s="44"/>
      <c r="Q168" s="44"/>
      <c r="R168" s="44"/>
      <c r="S168" s="44"/>
      <c r="T168" s="44"/>
      <c r="U168" s="44"/>
      <c r="V168" s="44"/>
      <c r="W168" s="44"/>
      <c r="X168" s="44"/>
      <c r="Y168" s="44"/>
      <c r="Z168" s="44"/>
    </row>
    <row r="169" spans="1:26" hidden="1" outlineLevel="1" x14ac:dyDescent="0.2">
      <c r="A169" s="194"/>
      <c r="B169" s="194"/>
      <c r="C169" s="58">
        <v>3</v>
      </c>
      <c r="D169" s="177" t="s">
        <v>244</v>
      </c>
      <c r="E169" s="427"/>
      <c r="F169" s="427"/>
      <c r="G169" s="427"/>
      <c r="H169" s="427"/>
      <c r="I169" s="427"/>
      <c r="J169" s="427"/>
      <c r="K169" s="162"/>
      <c r="L169" s="194"/>
      <c r="M169" s="44"/>
      <c r="N169" s="44"/>
      <c r="O169" s="44"/>
      <c r="P169" s="44"/>
      <c r="Q169" s="44"/>
      <c r="R169" s="44"/>
      <c r="S169" s="44"/>
      <c r="T169" s="44"/>
      <c r="U169" s="44"/>
      <c r="V169" s="44"/>
      <c r="W169" s="44"/>
      <c r="X169" s="44"/>
      <c r="Y169" s="44"/>
      <c r="Z169" s="44"/>
    </row>
    <row r="170" spans="1:26" hidden="1" outlineLevel="1" collapsed="1" x14ac:dyDescent="0.2">
      <c r="A170" s="194"/>
      <c r="B170" s="194"/>
      <c r="C170" s="646"/>
      <c r="D170" s="162"/>
      <c r="E170" s="162"/>
      <c r="F170" s="162"/>
      <c r="G170" s="162"/>
      <c r="H170" s="162"/>
      <c r="I170" s="162"/>
      <c r="J170" s="162"/>
      <c r="K170" s="162"/>
      <c r="L170" s="194"/>
      <c r="M170" s="44"/>
      <c r="N170" s="44"/>
      <c r="O170" s="44"/>
      <c r="P170" s="44"/>
      <c r="Q170" s="44"/>
      <c r="R170" s="44"/>
      <c r="S170" s="44"/>
      <c r="T170" s="44"/>
      <c r="U170" s="44"/>
      <c r="V170" s="44"/>
      <c r="W170" s="44"/>
      <c r="X170" s="44"/>
      <c r="Y170" s="44"/>
      <c r="Z170" s="44"/>
    </row>
    <row r="171" spans="1:26" collapsed="1" x14ac:dyDescent="0.2">
      <c r="A171" s="194"/>
      <c r="B171" s="194"/>
      <c r="C171" s="646"/>
      <c r="D171" s="162"/>
      <c r="E171" s="162"/>
      <c r="F171" s="162"/>
      <c r="G171" s="162"/>
      <c r="H171" s="162"/>
      <c r="I171" s="162"/>
      <c r="J171" s="162"/>
      <c r="K171" s="162"/>
      <c r="L171" s="194"/>
      <c r="M171" s="44"/>
      <c r="N171" s="44"/>
      <c r="O171" s="44"/>
      <c r="P171" s="44"/>
      <c r="Q171" s="44"/>
      <c r="R171" s="44"/>
      <c r="S171" s="44"/>
      <c r="T171" s="44"/>
      <c r="U171" s="44"/>
      <c r="V171" s="44"/>
      <c r="W171" s="44"/>
      <c r="X171" s="44"/>
      <c r="Y171" s="44"/>
      <c r="Z171" s="44"/>
    </row>
    <row r="172" spans="1:26" ht="15.75" x14ac:dyDescent="0.2">
      <c r="A172" s="194"/>
      <c r="B172" s="242">
        <f>IF(E176&lt;&gt;"",VLOOKUP(E176,GenderCode,2,FALSE),0)</f>
        <v>0</v>
      </c>
      <c r="C172" s="58">
        <v>10</v>
      </c>
      <c r="D172" s="79" t="str">
        <f>IF(B172=0,MsgNotUsed, CONCATENATE("AIHW ", C172, ": ", E174,": ", E176, " (", E179, "-", J179, ")"))</f>
        <v>** NOT USED **</v>
      </c>
      <c r="E172" s="127"/>
      <c r="F172" s="127"/>
      <c r="G172" s="127"/>
      <c r="H172" s="127"/>
      <c r="I172" s="175"/>
      <c r="J172" s="127"/>
      <c r="K172" s="127"/>
      <c r="L172" s="127"/>
      <c r="M172" s="260"/>
      <c r="N172" s="260"/>
      <c r="O172" s="260"/>
      <c r="P172" s="260"/>
      <c r="Q172" s="260"/>
      <c r="R172" s="260"/>
      <c r="S172" s="260"/>
      <c r="T172" s="260"/>
      <c r="U172" s="260"/>
      <c r="V172" s="260"/>
      <c r="W172" s="260"/>
      <c r="X172" s="260"/>
      <c r="Y172" s="260"/>
      <c r="Z172" s="260"/>
    </row>
    <row r="173" spans="1:26" hidden="1" outlineLevel="1" x14ac:dyDescent="0.2">
      <c r="A173" s="194"/>
      <c r="B173" s="646"/>
      <c r="C173" s="646"/>
      <c r="D173" s="648"/>
      <c r="E173" s="162"/>
      <c r="F173" s="162"/>
      <c r="G173" s="162"/>
      <c r="H173" s="162"/>
      <c r="I173" s="162"/>
      <c r="J173" s="162"/>
      <c r="K173" s="162"/>
      <c r="L173" s="162"/>
      <c r="M173" s="162"/>
      <c r="N173" s="162"/>
      <c r="O173" s="162"/>
      <c r="P173" s="162"/>
      <c r="Q173" s="162"/>
      <c r="R173" s="162"/>
      <c r="S173" s="364"/>
      <c r="T173" s="364"/>
      <c r="U173" s="364"/>
      <c r="V173" s="364"/>
      <c r="W173" s="364"/>
    </row>
    <row r="174" spans="1:26" hidden="1" outlineLevel="1" x14ac:dyDescent="0.2">
      <c r="A174" s="194"/>
      <c r="B174" s="194"/>
      <c r="C174" s="194"/>
      <c r="D174" s="42" t="s">
        <v>279</v>
      </c>
      <c r="E174" s="913"/>
      <c r="F174" s="881"/>
      <c r="G174" s="881"/>
      <c r="H174" s="881"/>
      <c r="I174" s="881"/>
      <c r="J174" s="882"/>
      <c r="K174" s="162"/>
      <c r="L174" s="42" t="s">
        <v>270</v>
      </c>
      <c r="M174" s="913"/>
      <c r="N174" s="881"/>
      <c r="O174" s="881"/>
      <c r="P174" s="881"/>
      <c r="Q174" s="881"/>
      <c r="R174" s="882"/>
      <c r="S174" s="43"/>
      <c r="T174" s="43"/>
      <c r="U174" s="43"/>
      <c r="V174" s="43"/>
      <c r="W174" s="43"/>
    </row>
    <row r="175" spans="1:26" hidden="1" outlineLevel="1" x14ac:dyDescent="0.2">
      <c r="A175" s="194"/>
      <c r="B175" s="646"/>
      <c r="C175" s="646"/>
      <c r="D175" s="648"/>
      <c r="E175" s="162"/>
      <c r="F175" s="162"/>
      <c r="G175" s="162"/>
      <c r="H175" s="162"/>
      <c r="I175" s="162"/>
      <c r="J175" s="162"/>
      <c r="K175" s="162"/>
      <c r="L175" s="162"/>
      <c r="M175" s="162"/>
      <c r="N175" s="162"/>
      <c r="O175" s="162"/>
      <c r="P175" s="162"/>
      <c r="Q175" s="162"/>
      <c r="R175" s="162"/>
      <c r="S175" s="43"/>
      <c r="T175" s="43"/>
      <c r="U175" s="43"/>
      <c r="V175" s="43"/>
      <c r="W175" s="43"/>
    </row>
    <row r="176" spans="1:26" hidden="1" outlineLevel="1" x14ac:dyDescent="0.2">
      <c r="A176" s="194"/>
      <c r="B176" s="194"/>
      <c r="C176" s="194"/>
      <c r="D176" s="632" t="s">
        <v>51</v>
      </c>
      <c r="E176" s="360"/>
      <c r="F176" s="162"/>
      <c r="G176" s="646"/>
      <c r="H176" s="646"/>
      <c r="I176" s="632" t="s">
        <v>365</v>
      </c>
      <c r="J176" s="360"/>
      <c r="K176" s="162"/>
      <c r="L176" s="195"/>
      <c r="M176" s="43"/>
      <c r="N176" s="43"/>
      <c r="O176" s="43"/>
      <c r="P176" s="43"/>
      <c r="Q176" s="43"/>
      <c r="R176" s="43"/>
      <c r="S176" s="43"/>
      <c r="T176" s="43"/>
      <c r="U176" s="43"/>
      <c r="V176" s="43"/>
      <c r="W176" s="43"/>
    </row>
    <row r="177" spans="1:23" hidden="1" outlineLevel="1" x14ac:dyDescent="0.2">
      <c r="A177" s="194"/>
      <c r="B177" s="646"/>
      <c r="C177" s="646"/>
      <c r="D177" s="162"/>
      <c r="E177" s="162"/>
      <c r="F177" s="162"/>
      <c r="G177" s="162"/>
      <c r="H177" s="162"/>
      <c r="I177" s="162"/>
      <c r="J177" s="162"/>
      <c r="K177" s="162"/>
      <c r="L177" s="195"/>
      <c r="M177" s="43"/>
      <c r="N177" s="43"/>
      <c r="O177" s="43"/>
      <c r="P177" s="43"/>
      <c r="Q177" s="43"/>
      <c r="R177" s="43"/>
      <c r="S177" s="43"/>
      <c r="T177" s="43"/>
      <c r="U177" s="43"/>
      <c r="V177" s="43"/>
      <c r="W177" s="43"/>
    </row>
    <row r="178" spans="1:23" hidden="1" outlineLevel="1" x14ac:dyDescent="0.2">
      <c r="A178" s="194"/>
      <c r="B178" s="646"/>
      <c r="C178" s="646"/>
      <c r="D178" s="162"/>
      <c r="E178" s="616" t="s">
        <v>255</v>
      </c>
      <c r="F178" s="162"/>
      <c r="G178" s="162"/>
      <c r="H178" s="162"/>
      <c r="I178" s="162"/>
      <c r="J178" s="162"/>
      <c r="K178" s="162"/>
      <c r="L178" s="195"/>
      <c r="M178" s="43"/>
      <c r="N178" s="43"/>
      <c r="O178" s="43"/>
      <c r="P178" s="43"/>
      <c r="Q178" s="43"/>
      <c r="R178" s="43"/>
      <c r="S178" s="43"/>
      <c r="T178" s="43"/>
      <c r="U178" s="43"/>
      <c r="V178" s="43"/>
      <c r="W178" s="43"/>
    </row>
    <row r="179" spans="1:23" hidden="1" outlineLevel="1" x14ac:dyDescent="0.2">
      <c r="A179" s="194"/>
      <c r="B179" s="646"/>
      <c r="C179" s="646"/>
      <c r="D179" s="162"/>
      <c r="E179" s="78">
        <f>IF(J176&lt;&gt;"",J176,FirstYear)</f>
        <v>2021</v>
      </c>
      <c r="F179" s="630">
        <f>E179+1</f>
        <v>2022</v>
      </c>
      <c r="G179" s="630">
        <f>F179+1</f>
        <v>2023</v>
      </c>
      <c r="H179" s="630">
        <f>G179+1</f>
        <v>2024</v>
      </c>
      <c r="I179" s="630">
        <f>H179+1</f>
        <v>2025</v>
      </c>
      <c r="J179" s="630">
        <f>I179+1</f>
        <v>2026</v>
      </c>
      <c r="K179" s="162"/>
      <c r="L179" s="195"/>
      <c r="M179" s="43"/>
      <c r="N179" s="43"/>
      <c r="O179" s="43"/>
      <c r="P179" s="43"/>
      <c r="Q179" s="43"/>
      <c r="R179" s="43"/>
      <c r="S179" s="43"/>
      <c r="T179" s="43"/>
      <c r="U179" s="43"/>
      <c r="V179" s="43"/>
      <c r="W179" s="43"/>
    </row>
    <row r="180" spans="1:23" hidden="1" outlineLevel="1" x14ac:dyDescent="0.2">
      <c r="A180" s="194"/>
      <c r="B180" s="646"/>
      <c r="C180" s="646"/>
      <c r="D180" s="162"/>
      <c r="E180" s="63">
        <f t="shared" ref="E180:J180" si="37">IF($B$172&lt;&gt;0,VLOOKUP($B$172,$C$184:$J$186,E181),0)</f>
        <v>0</v>
      </c>
      <c r="F180" s="63">
        <f t="shared" si="37"/>
        <v>0</v>
      </c>
      <c r="G180" s="63">
        <f t="shared" si="37"/>
        <v>0</v>
      </c>
      <c r="H180" s="63">
        <f t="shared" si="37"/>
        <v>0</v>
      </c>
      <c r="I180" s="63">
        <f t="shared" si="37"/>
        <v>0</v>
      </c>
      <c r="J180" s="63">
        <f t="shared" si="37"/>
        <v>0</v>
      </c>
      <c r="K180" s="162"/>
      <c r="L180" s="195"/>
      <c r="M180" s="43"/>
      <c r="N180" s="43"/>
      <c r="O180" s="43"/>
      <c r="P180" s="43"/>
      <c r="Q180" s="43"/>
      <c r="R180" s="43"/>
      <c r="S180" s="43"/>
      <c r="T180" s="43"/>
      <c r="U180" s="43"/>
      <c r="V180" s="43"/>
      <c r="W180" s="43"/>
    </row>
    <row r="181" spans="1:23" hidden="1" outlineLevel="1" x14ac:dyDescent="0.2">
      <c r="A181" s="194"/>
      <c r="B181" s="646"/>
      <c r="C181" s="646"/>
      <c r="D181" s="162"/>
      <c r="E181" s="176">
        <v>3</v>
      </c>
      <c r="F181" s="176">
        <v>4</v>
      </c>
      <c r="G181" s="176">
        <v>5</v>
      </c>
      <c r="H181" s="176">
        <v>6</v>
      </c>
      <c r="I181" s="176">
        <v>7</v>
      </c>
      <c r="J181" s="176">
        <v>8</v>
      </c>
      <c r="K181" s="162"/>
      <c r="L181" s="195"/>
      <c r="M181" s="43"/>
      <c r="N181" s="43"/>
      <c r="O181" s="43"/>
      <c r="P181" s="43"/>
      <c r="Q181" s="43"/>
      <c r="R181" s="43"/>
      <c r="S181" s="43"/>
      <c r="T181" s="43"/>
      <c r="U181" s="43"/>
      <c r="V181" s="43"/>
      <c r="W181" s="43"/>
    </row>
    <row r="182" spans="1:23" hidden="1" outlineLevel="1" x14ac:dyDescent="0.2">
      <c r="A182" s="194"/>
      <c r="B182" s="194"/>
      <c r="C182" s="194"/>
      <c r="D182" s="31" t="s">
        <v>324</v>
      </c>
      <c r="E182" s="78">
        <f t="shared" ref="E182:J182" si="38">E179</f>
        <v>2021</v>
      </c>
      <c r="F182" s="78">
        <f t="shared" si="38"/>
        <v>2022</v>
      </c>
      <c r="G182" s="78">
        <f t="shared" si="38"/>
        <v>2023</v>
      </c>
      <c r="H182" s="78">
        <f t="shared" si="38"/>
        <v>2024</v>
      </c>
      <c r="I182" s="78">
        <f t="shared" si="38"/>
        <v>2025</v>
      </c>
      <c r="J182" s="78">
        <f t="shared" si="38"/>
        <v>2026</v>
      </c>
      <c r="K182" s="162"/>
      <c r="L182" s="194"/>
      <c r="M182" s="44"/>
      <c r="N182" s="44"/>
      <c r="O182" s="44"/>
      <c r="P182" s="44"/>
      <c r="Q182" s="44"/>
      <c r="R182" s="44"/>
      <c r="S182" s="44"/>
      <c r="T182" s="44"/>
      <c r="U182" s="44"/>
      <c r="V182" s="44"/>
      <c r="W182" s="44"/>
    </row>
    <row r="183" spans="1:23" hidden="1" outlineLevel="1" x14ac:dyDescent="0.2">
      <c r="A183" s="194"/>
      <c r="B183" s="194"/>
      <c r="C183" s="416"/>
      <c r="D183" s="177" t="s">
        <v>240</v>
      </c>
      <c r="E183" s="63">
        <f t="shared" ref="E183:J183" si="39">IF(OR(E184="",E184=0),SUM(E185:E186),E184)</f>
        <v>0</v>
      </c>
      <c r="F183" s="63">
        <f t="shared" si="39"/>
        <v>0</v>
      </c>
      <c r="G183" s="63">
        <f t="shared" si="39"/>
        <v>0</v>
      </c>
      <c r="H183" s="63">
        <f t="shared" si="39"/>
        <v>0</v>
      </c>
      <c r="I183" s="63">
        <f t="shared" si="39"/>
        <v>0</v>
      </c>
      <c r="J183" s="63">
        <f t="shared" si="39"/>
        <v>0</v>
      </c>
      <c r="K183" s="162"/>
      <c r="L183" s="194"/>
      <c r="M183" s="44"/>
      <c r="N183" s="44"/>
      <c r="O183" s="44"/>
      <c r="P183" s="44"/>
      <c r="Q183" s="44"/>
      <c r="R183" s="44"/>
      <c r="S183" s="44"/>
      <c r="T183" s="44"/>
      <c r="U183" s="44"/>
      <c r="V183" s="44"/>
      <c r="W183" s="44"/>
    </row>
    <row r="184" spans="1:23" hidden="1" outlineLevel="1" x14ac:dyDescent="0.2">
      <c r="A184" s="194"/>
      <c r="B184" s="194"/>
      <c r="C184" s="58">
        <v>1</v>
      </c>
      <c r="D184" s="177" t="s">
        <v>366</v>
      </c>
      <c r="E184" s="427"/>
      <c r="F184" s="427"/>
      <c r="G184" s="427"/>
      <c r="H184" s="427"/>
      <c r="I184" s="427"/>
      <c r="J184" s="427"/>
      <c r="K184" s="162"/>
      <c r="L184" s="194"/>
      <c r="M184" s="44"/>
      <c r="N184" s="44"/>
      <c r="O184" s="44"/>
      <c r="P184" s="44"/>
      <c r="Q184" s="44"/>
      <c r="R184" s="44"/>
      <c r="S184" s="44"/>
      <c r="T184" s="44"/>
      <c r="U184" s="44"/>
      <c r="V184" s="44"/>
      <c r="W184" s="44"/>
    </row>
    <row r="185" spans="1:23" hidden="1" outlineLevel="1" x14ac:dyDescent="0.2">
      <c r="A185" s="194"/>
      <c r="B185" s="194"/>
      <c r="C185" s="58">
        <v>2</v>
      </c>
      <c r="D185" s="177" t="s">
        <v>243</v>
      </c>
      <c r="E185" s="427"/>
      <c r="F185" s="427"/>
      <c r="G185" s="427"/>
      <c r="H185" s="427"/>
      <c r="I185" s="427"/>
      <c r="J185" s="427"/>
      <c r="K185" s="162"/>
      <c r="L185" s="194"/>
      <c r="M185" s="44"/>
      <c r="N185" s="44"/>
      <c r="O185" s="44"/>
      <c r="P185" s="44"/>
      <c r="Q185" s="44"/>
      <c r="R185" s="44"/>
      <c r="S185" s="44"/>
      <c r="T185" s="44"/>
      <c r="U185" s="44"/>
      <c r="V185" s="44"/>
      <c r="W185" s="44"/>
    </row>
    <row r="186" spans="1:23" hidden="1" outlineLevel="1" x14ac:dyDescent="0.2">
      <c r="A186" s="194"/>
      <c r="B186" s="194"/>
      <c r="C186" s="58">
        <v>3</v>
      </c>
      <c r="D186" s="177" t="s">
        <v>244</v>
      </c>
      <c r="E186" s="427"/>
      <c r="F186" s="427"/>
      <c r="G186" s="427"/>
      <c r="H186" s="427"/>
      <c r="I186" s="427"/>
      <c r="J186" s="427"/>
      <c r="K186" s="162"/>
      <c r="L186" s="194"/>
      <c r="M186" s="44"/>
      <c r="N186" s="44"/>
      <c r="O186" s="44"/>
      <c r="P186" s="44"/>
      <c r="Q186" s="44"/>
      <c r="R186" s="44"/>
      <c r="S186" s="44"/>
      <c r="T186" s="44"/>
      <c r="U186" s="44"/>
      <c r="V186" s="44"/>
      <c r="W186" s="44"/>
    </row>
    <row r="187" spans="1:23" ht="12.75" hidden="1" customHeight="1" outlineLevel="1" x14ac:dyDescent="0.2">
      <c r="B187" s="194"/>
      <c r="C187" s="646"/>
      <c r="D187" s="162"/>
      <c r="E187" s="162"/>
      <c r="F187" s="162"/>
      <c r="G187" s="162"/>
      <c r="H187" s="162"/>
      <c r="I187" s="162"/>
      <c r="J187" s="162"/>
      <c r="K187" s="162"/>
      <c r="L187" s="194"/>
      <c r="M187" s="44"/>
      <c r="N187" s="44"/>
      <c r="O187" s="44"/>
      <c r="P187" s="44"/>
      <c r="Q187" s="44"/>
      <c r="R187" s="44"/>
    </row>
    <row r="188" spans="1:23" ht="12.75" customHeight="1" collapsed="1" x14ac:dyDescent="0.2">
      <c r="B188" s="194"/>
      <c r="C188" s="646"/>
      <c r="D188" s="162"/>
      <c r="E188" s="162"/>
      <c r="F188" s="162"/>
      <c r="G188" s="162"/>
      <c r="H188" s="162"/>
      <c r="I188" s="162"/>
      <c r="J188" s="162"/>
      <c r="K188" s="162"/>
      <c r="L188" s="194"/>
      <c r="M188" s="44"/>
      <c r="N188" s="44"/>
      <c r="O188" s="44"/>
      <c r="P188" s="44"/>
      <c r="Q188" s="44"/>
      <c r="R188" s="44"/>
    </row>
  </sheetData>
  <sheetProtection selectLockedCells="1"/>
  <mergeCells count="21">
    <mergeCell ref="X1:Z1"/>
    <mergeCell ref="E106:J106"/>
    <mergeCell ref="E123:J123"/>
    <mergeCell ref="E140:J140"/>
    <mergeCell ref="E157:J157"/>
    <mergeCell ref="M21:R21"/>
    <mergeCell ref="M38:R38"/>
    <mergeCell ref="M55:R55"/>
    <mergeCell ref="M72:R72"/>
    <mergeCell ref="M89:R89"/>
    <mergeCell ref="M106:R106"/>
    <mergeCell ref="M123:R123"/>
    <mergeCell ref="M140:R140"/>
    <mergeCell ref="M157:R157"/>
    <mergeCell ref="M174:R174"/>
    <mergeCell ref="E174:J174"/>
    <mergeCell ref="E89:J89"/>
    <mergeCell ref="E21:J21"/>
    <mergeCell ref="E38:J38"/>
    <mergeCell ref="E55:J55"/>
    <mergeCell ref="E72:J72"/>
  </mergeCells>
  <dataValidations count="1">
    <dataValidation type="list" allowBlank="1" showInputMessage="1" showErrorMessage="1" sqref="E23 E40 E57 E74 E91 E108 E125 E142 E159 E176">
      <formula1>Gender</formula1>
    </dataValidation>
  </dataValidations>
  <pageMargins left="0.75" right="0.75" top="1" bottom="1" header="0.5" footer="0.5"/>
  <pageSetup paperSize="9"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theme="6"/>
  </sheetPr>
  <dimension ref="A1:Z188"/>
  <sheetViews>
    <sheetView showGridLines="0" zoomScaleNormal="100" workbookViewId="0"/>
  </sheetViews>
  <sheetFormatPr defaultColWidth="13" defaultRowHeight="12.75" customHeight="1" outlineLevelRow="1" x14ac:dyDescent="0.2"/>
  <cols>
    <col min="1" max="1" width="3.7109375" customWidth="1"/>
    <col min="2" max="3" width="3.7109375" hidden="1" customWidth="1"/>
    <col min="4" max="4" width="15.7109375" customWidth="1"/>
    <col min="5" max="10" width="10.7109375" customWidth="1"/>
    <col min="11" max="11" width="3.7109375" customWidth="1"/>
    <col min="12" max="23" width="10.7109375" customWidth="1"/>
    <col min="24" max="108" width="13" customWidth="1"/>
  </cols>
  <sheetData>
    <row r="1" spans="1:26" ht="23.25" x14ac:dyDescent="0.2">
      <c r="A1" s="107">
        <f>IF((SUM(E8:J17)&lt;&gt;0),2,0)</f>
        <v>0</v>
      </c>
      <c r="B1" s="117"/>
      <c r="C1" s="117"/>
      <c r="D1" s="116" t="s">
        <v>935</v>
      </c>
      <c r="E1" s="117"/>
      <c r="F1" s="117"/>
      <c r="G1" s="117"/>
      <c r="H1" s="117"/>
      <c r="I1" s="117"/>
      <c r="J1" s="117"/>
      <c r="K1" s="117"/>
      <c r="L1" s="117"/>
      <c r="M1" s="259"/>
      <c r="N1" s="259"/>
      <c r="O1" s="259"/>
      <c r="P1" s="259"/>
      <c r="Q1" s="259"/>
      <c r="R1" s="259"/>
      <c r="S1" s="259"/>
      <c r="T1" s="259"/>
      <c r="U1" s="259"/>
      <c r="V1" s="259"/>
      <c r="W1" s="259"/>
      <c r="X1" s="820" t="str">
        <f>IF(A1=0,MsgNotUsed,"")</f>
        <v>** NOT USED **</v>
      </c>
      <c r="Y1" s="820"/>
      <c r="Z1" s="820"/>
    </row>
    <row r="2" spans="1:26" ht="15.75" x14ac:dyDescent="0.2">
      <c r="A2" s="117"/>
      <c r="B2" s="117"/>
      <c r="C2" s="117"/>
      <c r="D2" s="110" t="str">
        <f>CONCATENATE("Name of medicine: ", MedicineBrand)</f>
        <v xml:space="preserve">Name of medicine: </v>
      </c>
      <c r="E2" s="117"/>
      <c r="F2" s="117"/>
      <c r="G2" s="117"/>
      <c r="H2" s="117"/>
      <c r="I2" s="117"/>
      <c r="J2" s="117"/>
      <c r="K2" s="117"/>
      <c r="L2" s="117"/>
      <c r="M2" s="259"/>
      <c r="N2" s="259"/>
      <c r="O2" s="259"/>
      <c r="P2" s="259"/>
      <c r="Q2" s="259"/>
      <c r="R2" s="259"/>
      <c r="S2" s="259"/>
      <c r="T2" s="259"/>
      <c r="U2" s="259"/>
      <c r="V2" s="259"/>
      <c r="W2" s="259"/>
      <c r="X2" s="259"/>
      <c r="Y2" s="259"/>
      <c r="Z2" s="259"/>
    </row>
    <row r="3" spans="1:26" ht="15.75" x14ac:dyDescent="0.2">
      <c r="A3" s="117"/>
      <c r="B3" s="117"/>
      <c r="C3" s="117"/>
      <c r="D3" s="110" t="str">
        <f>CONCATENATE("Indication: ",Indication)</f>
        <v xml:space="preserve">Indication: </v>
      </c>
      <c r="E3" s="117"/>
      <c r="F3" s="117"/>
      <c r="G3" s="117"/>
      <c r="H3" s="117"/>
      <c r="I3" s="117"/>
      <c r="J3" s="117"/>
      <c r="K3" s="117"/>
      <c r="L3" s="117"/>
      <c r="M3" s="259"/>
      <c r="N3" s="259"/>
      <c r="O3" s="259"/>
      <c r="P3" s="259"/>
      <c r="Q3" s="259"/>
      <c r="R3" s="259"/>
      <c r="S3" s="259"/>
      <c r="T3" s="259"/>
      <c r="U3" s="259"/>
      <c r="V3" s="259"/>
      <c r="W3" s="259"/>
      <c r="X3" s="259"/>
      <c r="Y3" s="259"/>
      <c r="Z3" s="259"/>
    </row>
    <row r="4" spans="1:26" s="420" customFormat="1" x14ac:dyDescent="0.2">
      <c r="A4" s="162"/>
      <c r="B4" s="162"/>
      <c r="C4" s="162"/>
      <c r="D4" s="162"/>
      <c r="E4" s="162"/>
      <c r="F4" s="162"/>
      <c r="G4" s="162"/>
      <c r="H4" s="162"/>
      <c r="I4" s="162"/>
      <c r="J4" s="162"/>
      <c r="K4" s="162"/>
      <c r="L4" s="162"/>
      <c r="M4" s="162"/>
      <c r="N4" s="162"/>
      <c r="O4" s="162"/>
      <c r="P4" s="162"/>
      <c r="Q4" s="162"/>
      <c r="R4" s="162"/>
      <c r="S4" s="162"/>
      <c r="T4" s="162"/>
      <c r="U4" s="162"/>
      <c r="V4" s="162"/>
      <c r="W4" s="162"/>
      <c r="X4" s="162"/>
      <c r="Y4" s="162"/>
      <c r="Z4" s="162"/>
    </row>
    <row r="5" spans="1:26" ht="15.75" x14ac:dyDescent="0.2">
      <c r="A5" s="162"/>
      <c r="B5" s="162"/>
      <c r="C5" s="162"/>
      <c r="D5" s="123" t="s">
        <v>879</v>
      </c>
      <c r="E5" s="127"/>
      <c r="F5" s="127"/>
      <c r="G5" s="127"/>
      <c r="H5" s="127"/>
      <c r="I5" s="127"/>
      <c r="J5" s="127"/>
      <c r="K5" s="127"/>
      <c r="L5" s="127"/>
      <c r="M5" s="260"/>
      <c r="N5" s="260"/>
      <c r="O5" s="260"/>
      <c r="P5" s="260"/>
      <c r="Q5" s="260"/>
      <c r="R5" s="260"/>
      <c r="S5" s="260"/>
      <c r="T5" s="260"/>
      <c r="U5" s="260"/>
      <c r="V5" s="260"/>
      <c r="W5" s="260"/>
      <c r="X5" s="260"/>
      <c r="Y5" s="260"/>
      <c r="Z5" s="260"/>
    </row>
    <row r="6" spans="1:26" s="420" customFormat="1" hidden="1" x14ac:dyDescent="0.2">
      <c r="A6" s="162"/>
      <c r="B6" s="162"/>
      <c r="C6" s="162"/>
      <c r="D6" s="162"/>
      <c r="E6" s="162"/>
      <c r="F6" s="162"/>
      <c r="G6" s="162"/>
      <c r="H6" s="162"/>
      <c r="I6" s="162"/>
      <c r="J6" s="162"/>
      <c r="K6" s="162"/>
      <c r="L6" s="162"/>
      <c r="M6" s="162"/>
      <c r="N6" s="162"/>
      <c r="O6" s="162"/>
      <c r="P6" s="162"/>
      <c r="Q6" s="162"/>
      <c r="R6" s="162"/>
      <c r="S6" s="162"/>
      <c r="T6" s="162"/>
      <c r="U6" s="162"/>
      <c r="V6" s="162"/>
      <c r="W6" s="162"/>
      <c r="X6" s="162"/>
      <c r="Y6" s="162"/>
      <c r="Z6" s="162"/>
    </row>
    <row r="7" spans="1:26" hidden="1" x14ac:dyDescent="0.2">
      <c r="A7" s="162"/>
      <c r="B7" s="162"/>
      <c r="C7" s="162"/>
      <c r="D7" s="648"/>
      <c r="E7" s="78">
        <f>FirstYear</f>
        <v>2021</v>
      </c>
      <c r="F7" s="81">
        <f>E7+1</f>
        <v>2022</v>
      </c>
      <c r="G7" s="81">
        <f>F7+1</f>
        <v>2023</v>
      </c>
      <c r="H7" s="81">
        <f>G7+1</f>
        <v>2024</v>
      </c>
      <c r="I7" s="81">
        <f>H7+1</f>
        <v>2025</v>
      </c>
      <c r="J7" s="81">
        <f>I7+1</f>
        <v>2026</v>
      </c>
      <c r="K7" s="162"/>
      <c r="L7" s="162"/>
      <c r="M7" s="641"/>
      <c r="N7" s="641"/>
      <c r="O7" s="641"/>
      <c r="P7" s="641"/>
      <c r="Q7" s="641"/>
      <c r="R7" s="641"/>
      <c r="S7" s="641"/>
      <c r="T7" s="641"/>
      <c r="U7" s="641"/>
      <c r="V7" s="641"/>
      <c r="W7" s="641"/>
      <c r="X7" s="641"/>
      <c r="Y7" s="641"/>
      <c r="Z7" s="641"/>
    </row>
    <row r="8" spans="1:26" hidden="1" x14ac:dyDescent="0.2">
      <c r="A8" s="162"/>
      <c r="B8" s="162"/>
      <c r="C8" s="162"/>
      <c r="D8" s="649">
        <v>1</v>
      </c>
      <c r="E8" s="174">
        <f t="shared" ref="E8:J8" si="0">E27</f>
        <v>0</v>
      </c>
      <c r="F8" s="174">
        <f t="shared" si="0"/>
        <v>0</v>
      </c>
      <c r="G8" s="174">
        <f t="shared" si="0"/>
        <v>0</v>
      </c>
      <c r="H8" s="174">
        <f t="shared" si="0"/>
        <v>0</v>
      </c>
      <c r="I8" s="174">
        <f t="shared" si="0"/>
        <v>0</v>
      </c>
      <c r="J8" s="174">
        <f t="shared" si="0"/>
        <v>0</v>
      </c>
      <c r="K8" s="162"/>
      <c r="L8" s="162"/>
      <c r="M8" s="641"/>
      <c r="N8" s="641"/>
      <c r="O8" s="641"/>
      <c r="P8" s="641"/>
      <c r="Q8" s="641"/>
      <c r="R8" s="641"/>
      <c r="S8" s="641"/>
      <c r="T8" s="641"/>
      <c r="U8" s="641"/>
      <c r="V8" s="641"/>
      <c r="W8" s="641"/>
      <c r="X8" s="641"/>
      <c r="Y8" s="641"/>
      <c r="Z8" s="641"/>
    </row>
    <row r="9" spans="1:26" hidden="1" x14ac:dyDescent="0.2">
      <c r="A9" s="162"/>
      <c r="B9" s="162"/>
      <c r="C9" s="162"/>
      <c r="D9" s="649">
        <v>2</v>
      </c>
      <c r="E9" s="174">
        <f t="shared" ref="E9:J9" si="1">E44</f>
        <v>0</v>
      </c>
      <c r="F9" s="174">
        <f t="shared" si="1"/>
        <v>0</v>
      </c>
      <c r="G9" s="174">
        <f t="shared" si="1"/>
        <v>0</v>
      </c>
      <c r="H9" s="174">
        <f t="shared" si="1"/>
        <v>0</v>
      </c>
      <c r="I9" s="174">
        <f t="shared" si="1"/>
        <v>0</v>
      </c>
      <c r="J9" s="174">
        <f t="shared" si="1"/>
        <v>0</v>
      </c>
      <c r="K9" s="162"/>
      <c r="L9" s="162"/>
      <c r="M9" s="641"/>
      <c r="N9" s="641"/>
      <c r="O9" s="641"/>
      <c r="P9" s="641"/>
      <c r="Q9" s="641"/>
      <c r="R9" s="641"/>
      <c r="S9" s="641"/>
      <c r="T9" s="641"/>
      <c r="U9" s="641"/>
      <c r="V9" s="641"/>
      <c r="W9" s="641"/>
      <c r="X9" s="641"/>
      <c r="Y9" s="641"/>
      <c r="Z9" s="641"/>
    </row>
    <row r="10" spans="1:26" hidden="1" x14ac:dyDescent="0.2">
      <c r="A10" s="162"/>
      <c r="B10" s="162"/>
      <c r="C10" s="162"/>
      <c r="D10" s="649">
        <v>3</v>
      </c>
      <c r="E10" s="174">
        <f t="shared" ref="E10:J10" si="2">E61</f>
        <v>0</v>
      </c>
      <c r="F10" s="174">
        <f t="shared" si="2"/>
        <v>0</v>
      </c>
      <c r="G10" s="174">
        <f t="shared" si="2"/>
        <v>0</v>
      </c>
      <c r="H10" s="174">
        <f t="shared" si="2"/>
        <v>0</v>
      </c>
      <c r="I10" s="174">
        <f t="shared" si="2"/>
        <v>0</v>
      </c>
      <c r="J10" s="174">
        <f t="shared" si="2"/>
        <v>0</v>
      </c>
      <c r="K10" s="162"/>
      <c r="L10" s="162"/>
      <c r="M10" s="641"/>
      <c r="N10" s="641"/>
      <c r="O10" s="641"/>
      <c r="P10" s="641"/>
      <c r="Q10" s="641"/>
      <c r="R10" s="641"/>
      <c r="S10" s="641"/>
      <c r="T10" s="641"/>
      <c r="U10" s="641"/>
      <c r="V10" s="641"/>
      <c r="W10" s="641"/>
      <c r="X10" s="641"/>
      <c r="Y10" s="641"/>
      <c r="Z10" s="641"/>
    </row>
    <row r="11" spans="1:26" hidden="1" x14ac:dyDescent="0.2">
      <c r="A11" s="162"/>
      <c r="B11" s="162"/>
      <c r="C11" s="162"/>
      <c r="D11" s="649">
        <v>4</v>
      </c>
      <c r="E11" s="174">
        <f t="shared" ref="E11:J11" si="3">E78</f>
        <v>0</v>
      </c>
      <c r="F11" s="174">
        <f t="shared" si="3"/>
        <v>0</v>
      </c>
      <c r="G11" s="174">
        <f t="shared" si="3"/>
        <v>0</v>
      </c>
      <c r="H11" s="174">
        <f t="shared" si="3"/>
        <v>0</v>
      </c>
      <c r="I11" s="174">
        <f t="shared" si="3"/>
        <v>0</v>
      </c>
      <c r="J11" s="174">
        <f t="shared" si="3"/>
        <v>0</v>
      </c>
      <c r="K11" s="162"/>
      <c r="L11" s="162"/>
      <c r="M11" s="641"/>
      <c r="N11" s="641"/>
      <c r="O11" s="641"/>
      <c r="P11" s="641"/>
      <c r="Q11" s="641"/>
      <c r="R11" s="641"/>
      <c r="S11" s="641"/>
      <c r="T11" s="641"/>
      <c r="U11" s="641"/>
      <c r="V11" s="641"/>
      <c r="W11" s="641"/>
      <c r="X11" s="641"/>
      <c r="Y11" s="641"/>
      <c r="Z11" s="641"/>
    </row>
    <row r="12" spans="1:26" hidden="1" x14ac:dyDescent="0.2">
      <c r="A12" s="162"/>
      <c r="B12" s="162"/>
      <c r="C12" s="162"/>
      <c r="D12" s="649">
        <v>5</v>
      </c>
      <c r="E12" s="174">
        <f t="shared" ref="E12:J12" si="4">E95</f>
        <v>0</v>
      </c>
      <c r="F12" s="174">
        <f t="shared" si="4"/>
        <v>0</v>
      </c>
      <c r="G12" s="174">
        <f t="shared" si="4"/>
        <v>0</v>
      </c>
      <c r="H12" s="174">
        <f t="shared" si="4"/>
        <v>0</v>
      </c>
      <c r="I12" s="174">
        <f t="shared" si="4"/>
        <v>0</v>
      </c>
      <c r="J12" s="174">
        <f t="shared" si="4"/>
        <v>0</v>
      </c>
      <c r="K12" s="162"/>
      <c r="L12" s="162"/>
      <c r="M12" s="641"/>
      <c r="N12" s="641"/>
      <c r="O12" s="641"/>
      <c r="P12" s="641"/>
      <c r="Q12" s="641"/>
      <c r="R12" s="641"/>
      <c r="S12" s="641"/>
      <c r="T12" s="641"/>
      <c r="U12" s="641"/>
      <c r="V12" s="641"/>
      <c r="W12" s="641"/>
      <c r="X12" s="641"/>
      <c r="Y12" s="641"/>
      <c r="Z12" s="641"/>
    </row>
    <row r="13" spans="1:26" hidden="1" x14ac:dyDescent="0.2">
      <c r="A13" s="162"/>
      <c r="B13" s="162"/>
      <c r="C13" s="162"/>
      <c r="D13" s="649">
        <v>6</v>
      </c>
      <c r="E13" s="174">
        <f t="shared" ref="E13:J13" si="5">E112</f>
        <v>0</v>
      </c>
      <c r="F13" s="174">
        <f t="shared" si="5"/>
        <v>0</v>
      </c>
      <c r="G13" s="174">
        <f t="shared" si="5"/>
        <v>0</v>
      </c>
      <c r="H13" s="174">
        <f t="shared" si="5"/>
        <v>0</v>
      </c>
      <c r="I13" s="174">
        <f t="shared" si="5"/>
        <v>0</v>
      </c>
      <c r="J13" s="174">
        <f t="shared" si="5"/>
        <v>0</v>
      </c>
      <c r="K13" s="162"/>
      <c r="L13" s="162"/>
      <c r="M13" s="641"/>
      <c r="N13" s="641"/>
      <c r="O13" s="641"/>
      <c r="P13" s="641"/>
      <c r="Q13" s="641"/>
      <c r="R13" s="641"/>
      <c r="S13" s="641"/>
      <c r="T13" s="641"/>
      <c r="U13" s="641"/>
      <c r="V13" s="641"/>
      <c r="W13" s="641"/>
      <c r="X13" s="641"/>
      <c r="Y13" s="641"/>
      <c r="Z13" s="641"/>
    </row>
    <row r="14" spans="1:26" hidden="1" x14ac:dyDescent="0.2">
      <c r="A14" s="162"/>
      <c r="B14" s="162"/>
      <c r="C14" s="162"/>
      <c r="D14" s="649">
        <v>7</v>
      </c>
      <c r="E14" s="174">
        <f t="shared" ref="E14:J14" si="6">E129</f>
        <v>0</v>
      </c>
      <c r="F14" s="174">
        <f t="shared" si="6"/>
        <v>0</v>
      </c>
      <c r="G14" s="174">
        <f t="shared" si="6"/>
        <v>0</v>
      </c>
      <c r="H14" s="174">
        <f t="shared" si="6"/>
        <v>0</v>
      </c>
      <c r="I14" s="174">
        <f t="shared" si="6"/>
        <v>0</v>
      </c>
      <c r="J14" s="174">
        <f t="shared" si="6"/>
        <v>0</v>
      </c>
      <c r="K14" s="162"/>
      <c r="L14" s="162"/>
      <c r="M14" s="641"/>
      <c r="N14" s="641"/>
      <c r="O14" s="641"/>
      <c r="P14" s="641"/>
      <c r="Q14" s="641"/>
      <c r="R14" s="641"/>
      <c r="S14" s="641"/>
      <c r="T14" s="641"/>
      <c r="U14" s="641"/>
      <c r="V14" s="641"/>
      <c r="W14" s="641"/>
      <c r="X14" s="641"/>
      <c r="Y14" s="641"/>
      <c r="Z14" s="641"/>
    </row>
    <row r="15" spans="1:26" hidden="1" x14ac:dyDescent="0.2">
      <c r="A15" s="162"/>
      <c r="B15" s="162"/>
      <c r="C15" s="162"/>
      <c r="D15" s="649">
        <v>8</v>
      </c>
      <c r="E15" s="174">
        <f t="shared" ref="E15:J15" si="7">E146</f>
        <v>0</v>
      </c>
      <c r="F15" s="174">
        <f t="shared" si="7"/>
        <v>0</v>
      </c>
      <c r="G15" s="174">
        <f t="shared" si="7"/>
        <v>0</v>
      </c>
      <c r="H15" s="174">
        <f t="shared" si="7"/>
        <v>0</v>
      </c>
      <c r="I15" s="174">
        <f t="shared" si="7"/>
        <v>0</v>
      </c>
      <c r="J15" s="174">
        <f t="shared" si="7"/>
        <v>0</v>
      </c>
      <c r="K15" s="162"/>
      <c r="L15" s="162"/>
      <c r="M15" s="641"/>
      <c r="N15" s="641"/>
      <c r="O15" s="641"/>
      <c r="P15" s="641"/>
      <c r="Q15" s="641"/>
      <c r="R15" s="641"/>
      <c r="S15" s="641"/>
      <c r="T15" s="641"/>
      <c r="U15" s="641"/>
      <c r="V15" s="641"/>
      <c r="W15" s="641"/>
      <c r="X15" s="641"/>
      <c r="Y15" s="641"/>
      <c r="Z15" s="641"/>
    </row>
    <row r="16" spans="1:26" hidden="1" x14ac:dyDescent="0.2">
      <c r="A16" s="162"/>
      <c r="B16" s="162"/>
      <c r="C16" s="162"/>
      <c r="D16" s="649">
        <v>9</v>
      </c>
      <c r="E16" s="174">
        <f t="shared" ref="E16:J16" si="8">E163</f>
        <v>0</v>
      </c>
      <c r="F16" s="174">
        <f t="shared" si="8"/>
        <v>0</v>
      </c>
      <c r="G16" s="174">
        <f t="shared" si="8"/>
        <v>0</v>
      </c>
      <c r="H16" s="174">
        <f t="shared" si="8"/>
        <v>0</v>
      </c>
      <c r="I16" s="174">
        <f t="shared" si="8"/>
        <v>0</v>
      </c>
      <c r="J16" s="174">
        <f t="shared" si="8"/>
        <v>0</v>
      </c>
      <c r="K16" s="162"/>
      <c r="L16" s="162"/>
      <c r="M16" s="641"/>
      <c r="N16" s="641"/>
      <c r="O16" s="641"/>
      <c r="P16" s="641"/>
      <c r="Q16" s="641"/>
      <c r="R16" s="641"/>
      <c r="S16" s="641"/>
      <c r="T16" s="641"/>
      <c r="U16" s="641"/>
      <c r="V16" s="641"/>
      <c r="W16" s="641"/>
      <c r="X16" s="641"/>
      <c r="Y16" s="641"/>
      <c r="Z16" s="641"/>
    </row>
    <row r="17" spans="1:26" hidden="1" x14ac:dyDescent="0.2">
      <c r="A17" s="162"/>
      <c r="B17" s="162"/>
      <c r="C17" s="162"/>
      <c r="D17" s="649">
        <v>10</v>
      </c>
      <c r="E17" s="174">
        <f t="shared" ref="E17:J17" si="9">E180</f>
        <v>0</v>
      </c>
      <c r="F17" s="174">
        <f t="shared" si="9"/>
        <v>0</v>
      </c>
      <c r="G17" s="174">
        <f t="shared" si="9"/>
        <v>0</v>
      </c>
      <c r="H17" s="174">
        <f t="shared" si="9"/>
        <v>0</v>
      </c>
      <c r="I17" s="174">
        <f t="shared" si="9"/>
        <v>0</v>
      </c>
      <c r="J17" s="174">
        <f t="shared" si="9"/>
        <v>0</v>
      </c>
      <c r="K17" s="162"/>
      <c r="L17" s="162"/>
      <c r="M17" s="641"/>
      <c r="N17" s="641"/>
      <c r="O17" s="641"/>
      <c r="P17" s="641"/>
      <c r="Q17" s="641"/>
      <c r="R17" s="641"/>
      <c r="S17" s="641"/>
      <c r="T17" s="641"/>
      <c r="U17" s="641"/>
      <c r="V17" s="641"/>
      <c r="W17" s="641"/>
      <c r="X17" s="641"/>
      <c r="Y17" s="641"/>
      <c r="Z17" s="641"/>
    </row>
    <row r="18" spans="1:26" x14ac:dyDescent="0.2">
      <c r="A18" s="162"/>
      <c r="B18" s="162"/>
      <c r="C18" s="162"/>
      <c r="D18" s="648"/>
      <c r="E18" s="162"/>
      <c r="F18" s="162"/>
      <c r="G18" s="162"/>
      <c r="H18" s="162"/>
      <c r="I18" s="162"/>
      <c r="J18" s="162"/>
      <c r="K18" s="162"/>
      <c r="L18" s="162"/>
      <c r="M18" s="641"/>
      <c r="N18" s="641"/>
      <c r="O18" s="641"/>
      <c r="P18" s="641"/>
      <c r="Q18" s="641"/>
      <c r="R18" s="641"/>
      <c r="S18" s="641"/>
      <c r="T18" s="641"/>
      <c r="U18" s="641"/>
      <c r="V18" s="641"/>
      <c r="W18" s="641"/>
      <c r="X18" s="641"/>
      <c r="Y18" s="641"/>
      <c r="Z18" s="641"/>
    </row>
    <row r="19" spans="1:26" ht="15.75" x14ac:dyDescent="0.2">
      <c r="A19" s="194"/>
      <c r="B19" s="242">
        <f>IF(E23&lt;&gt;"",VLOOKUP(E23,GenderCode,2,FALSE),0)</f>
        <v>0</v>
      </c>
      <c r="C19" s="242">
        <v>1</v>
      </c>
      <c r="D19" s="79" t="str">
        <f>IF(B19=0,MsgNotUsed, CONCATENATE("Other ", C19, ": ", E21,": ", E23, " (", E26, "-", J26, ")"))</f>
        <v>** NOT USED **</v>
      </c>
      <c r="E19" s="127"/>
      <c r="F19" s="127"/>
      <c r="G19" s="127"/>
      <c r="H19" s="127"/>
      <c r="I19" s="175"/>
      <c r="J19" s="127"/>
      <c r="K19" s="127"/>
      <c r="L19" s="127"/>
      <c r="M19" s="260"/>
      <c r="N19" s="260"/>
      <c r="O19" s="260"/>
      <c r="P19" s="260"/>
      <c r="Q19" s="260"/>
      <c r="R19" s="260"/>
      <c r="S19" s="260"/>
      <c r="T19" s="260"/>
      <c r="U19" s="260"/>
      <c r="V19" s="260"/>
      <c r="W19" s="260"/>
      <c r="X19" s="260"/>
      <c r="Y19" s="260"/>
      <c r="Z19" s="260"/>
    </row>
    <row r="20" spans="1:26" hidden="1" outlineLevel="1" x14ac:dyDescent="0.2">
      <c r="A20" s="194"/>
      <c r="B20" s="194"/>
      <c r="C20" s="194"/>
      <c r="D20" s="195"/>
      <c r="E20" s="195"/>
      <c r="F20" s="195"/>
      <c r="G20" s="195"/>
      <c r="H20" s="195"/>
      <c r="I20" s="195"/>
      <c r="J20" s="195"/>
      <c r="K20" s="195"/>
      <c r="L20" s="195"/>
      <c r="M20" s="43"/>
      <c r="N20" s="43"/>
      <c r="O20" s="43"/>
      <c r="P20" s="43"/>
      <c r="Q20" s="43"/>
      <c r="R20" s="43"/>
      <c r="S20" s="43"/>
      <c r="T20" s="43"/>
      <c r="U20" s="43"/>
      <c r="V20" s="43"/>
      <c r="W20" s="43"/>
      <c r="X20" s="43"/>
      <c r="Y20" s="43"/>
      <c r="Z20" s="43"/>
    </row>
    <row r="21" spans="1:26" hidden="1" outlineLevel="1" x14ac:dyDescent="0.2">
      <c r="A21" s="194"/>
      <c r="B21" s="194"/>
      <c r="C21" s="194"/>
      <c r="D21" s="42" t="s">
        <v>279</v>
      </c>
      <c r="E21" s="913"/>
      <c r="F21" s="881"/>
      <c r="G21" s="881"/>
      <c r="H21" s="881"/>
      <c r="I21" s="881"/>
      <c r="J21" s="882"/>
      <c r="K21" s="146"/>
      <c r="L21" s="42" t="s">
        <v>258</v>
      </c>
      <c r="M21" s="913"/>
      <c r="N21" s="881"/>
      <c r="O21" s="881"/>
      <c r="P21" s="881"/>
      <c r="Q21" s="881"/>
      <c r="R21" s="882"/>
      <c r="S21" s="43"/>
      <c r="T21" s="43"/>
      <c r="U21" s="43"/>
      <c r="V21" s="43"/>
      <c r="W21" s="43"/>
      <c r="X21" s="43"/>
      <c r="Y21" s="43"/>
      <c r="Z21" s="43"/>
    </row>
    <row r="22" spans="1:26" ht="14.25" hidden="1" outlineLevel="1" x14ac:dyDescent="0.2">
      <c r="A22" s="194"/>
      <c r="B22" s="194"/>
      <c r="C22" s="646"/>
      <c r="D22" s="647"/>
      <c r="E22" s="162"/>
      <c r="F22" s="162"/>
      <c r="G22" s="162"/>
      <c r="H22" s="162"/>
      <c r="I22" s="162"/>
      <c r="J22" s="162"/>
      <c r="K22" s="162"/>
      <c r="L22" s="195"/>
      <c r="M22" s="43"/>
      <c r="N22" s="43"/>
      <c r="O22" s="43"/>
      <c r="P22" s="43"/>
      <c r="Q22" s="43"/>
      <c r="R22" s="43"/>
      <c r="S22" s="43"/>
      <c r="T22" s="43"/>
      <c r="U22" s="43"/>
      <c r="V22" s="43"/>
      <c r="W22" s="43"/>
      <c r="X22" s="43"/>
      <c r="Y22" s="43"/>
      <c r="Z22" s="43"/>
    </row>
    <row r="23" spans="1:26" hidden="1" outlineLevel="1" x14ac:dyDescent="0.2">
      <c r="A23" s="194"/>
      <c r="B23" s="194"/>
      <c r="C23" s="194"/>
      <c r="D23" s="83" t="s">
        <v>51</v>
      </c>
      <c r="E23" s="77"/>
      <c r="F23" s="162"/>
      <c r="G23" s="162"/>
      <c r="H23" s="646"/>
      <c r="I23" s="83" t="s">
        <v>365</v>
      </c>
      <c r="J23" s="77"/>
      <c r="K23" s="162"/>
      <c r="L23" s="195"/>
      <c r="M23" s="43"/>
      <c r="N23" s="43"/>
      <c r="O23" s="43"/>
      <c r="P23" s="43"/>
      <c r="Q23" s="43"/>
      <c r="R23" s="43"/>
      <c r="S23" s="43"/>
      <c r="T23" s="43"/>
      <c r="U23" s="43"/>
      <c r="V23" s="43"/>
      <c r="W23" s="43"/>
      <c r="X23" s="43"/>
      <c r="Y23" s="43"/>
      <c r="Z23" s="43"/>
    </row>
    <row r="24" spans="1:26" hidden="1" outlineLevel="1" x14ac:dyDescent="0.2">
      <c r="A24" s="194"/>
      <c r="B24" s="194"/>
      <c r="C24" s="194"/>
      <c r="D24" s="162"/>
      <c r="E24" s="162"/>
      <c r="F24" s="162"/>
      <c r="G24" s="162"/>
      <c r="H24" s="162"/>
      <c r="I24" s="162"/>
      <c r="J24" s="162"/>
      <c r="K24" s="162"/>
      <c r="L24" s="195"/>
      <c r="M24" s="43"/>
      <c r="N24" s="43"/>
      <c r="O24" s="43"/>
      <c r="P24" s="43"/>
      <c r="Q24" s="43"/>
      <c r="R24" s="43"/>
      <c r="S24" s="43"/>
      <c r="T24" s="43"/>
      <c r="U24" s="43"/>
      <c r="V24" s="43"/>
      <c r="W24" s="43"/>
      <c r="X24" s="43"/>
      <c r="Y24" s="43"/>
      <c r="Z24" s="43"/>
    </row>
    <row r="25" spans="1:26" hidden="1" outlineLevel="1" x14ac:dyDescent="0.2">
      <c r="A25" s="194"/>
      <c r="B25" s="194"/>
      <c r="C25" s="194"/>
      <c r="D25" s="162"/>
      <c r="E25" s="616" t="s">
        <v>255</v>
      </c>
      <c r="F25" s="162"/>
      <c r="G25" s="162"/>
      <c r="H25" s="162"/>
      <c r="I25" s="162"/>
      <c r="J25" s="162"/>
      <c r="K25" s="162"/>
      <c r="L25" s="195"/>
      <c r="M25" s="43"/>
      <c r="N25" s="43"/>
      <c r="O25" s="43"/>
      <c r="P25" s="43"/>
      <c r="Q25" s="43"/>
      <c r="R25" s="43"/>
      <c r="S25" s="43"/>
      <c r="T25" s="43"/>
      <c r="U25" s="43"/>
      <c r="V25" s="43"/>
      <c r="W25" s="43"/>
      <c r="X25" s="43"/>
      <c r="Y25" s="43"/>
      <c r="Z25" s="43"/>
    </row>
    <row r="26" spans="1:26" hidden="1" outlineLevel="1" x14ac:dyDescent="0.2">
      <c r="A26" s="194"/>
      <c r="B26" s="194"/>
      <c r="C26" s="194"/>
      <c r="D26" s="162"/>
      <c r="E26" s="78">
        <f>IF(J23&lt;&gt;"",J23,FirstYear)</f>
        <v>2021</v>
      </c>
      <c r="F26" s="81">
        <f>E26+1</f>
        <v>2022</v>
      </c>
      <c r="G26" s="81">
        <f>F26+1</f>
        <v>2023</v>
      </c>
      <c r="H26" s="81">
        <f>G26+1</f>
        <v>2024</v>
      </c>
      <c r="I26" s="81">
        <f>H26+1</f>
        <v>2025</v>
      </c>
      <c r="J26" s="81">
        <f>I26+1</f>
        <v>2026</v>
      </c>
      <c r="K26" s="162"/>
      <c r="L26" s="195"/>
      <c r="M26" s="43"/>
      <c r="N26" s="43"/>
      <c r="O26" s="43"/>
      <c r="P26" s="43"/>
      <c r="Q26" s="43"/>
      <c r="R26" s="43"/>
      <c r="S26" s="43"/>
      <c r="T26" s="43"/>
      <c r="U26" s="43"/>
      <c r="V26" s="43"/>
      <c r="W26" s="43"/>
      <c r="X26" s="43"/>
      <c r="Y26" s="43"/>
      <c r="Z26" s="43"/>
    </row>
    <row r="27" spans="1:26" hidden="1" outlineLevel="1" x14ac:dyDescent="0.2">
      <c r="A27" s="194"/>
      <c r="B27" s="194"/>
      <c r="C27" s="194"/>
      <c r="D27" s="162"/>
      <c r="E27" s="63">
        <f t="shared" ref="E27:J27" si="10">IF($B$19&lt;&gt;0,VLOOKUP($B$19,$C$31:$J$33,E28),0)</f>
        <v>0</v>
      </c>
      <c r="F27" s="63">
        <f t="shared" si="10"/>
        <v>0</v>
      </c>
      <c r="G27" s="63">
        <f t="shared" si="10"/>
        <v>0</v>
      </c>
      <c r="H27" s="63">
        <f t="shared" si="10"/>
        <v>0</v>
      </c>
      <c r="I27" s="63">
        <f t="shared" si="10"/>
        <v>0</v>
      </c>
      <c r="J27" s="63">
        <f t="shared" si="10"/>
        <v>0</v>
      </c>
      <c r="K27" s="162"/>
      <c r="L27" s="195"/>
      <c r="M27" s="43"/>
      <c r="N27" s="43"/>
      <c r="O27" s="43"/>
      <c r="P27" s="43"/>
      <c r="Q27" s="43"/>
      <c r="R27" s="43"/>
      <c r="S27" s="43"/>
      <c r="T27" s="43"/>
      <c r="U27" s="43"/>
      <c r="V27" s="43"/>
      <c r="W27" s="43"/>
      <c r="X27" s="43"/>
      <c r="Y27" s="43"/>
      <c r="Z27" s="43"/>
    </row>
    <row r="28" spans="1:26" hidden="1" outlineLevel="1" x14ac:dyDescent="0.2">
      <c r="A28" s="194"/>
      <c r="B28" s="194"/>
      <c r="C28" s="194"/>
      <c r="D28" s="162"/>
      <c r="E28" s="176">
        <v>3</v>
      </c>
      <c r="F28" s="176">
        <v>4</v>
      </c>
      <c r="G28" s="176">
        <v>5</v>
      </c>
      <c r="H28" s="176">
        <v>6</v>
      </c>
      <c r="I28" s="176">
        <v>7</v>
      </c>
      <c r="J28" s="176">
        <v>8</v>
      </c>
      <c r="K28" s="162"/>
      <c r="L28" s="195"/>
      <c r="M28" s="43"/>
      <c r="N28" s="43"/>
      <c r="O28" s="43"/>
      <c r="P28" s="43"/>
      <c r="Q28" s="43"/>
      <c r="R28" s="43"/>
      <c r="S28" s="43"/>
      <c r="T28" s="43"/>
      <c r="U28" s="43"/>
      <c r="V28" s="43"/>
      <c r="W28" s="43"/>
      <c r="X28" s="43"/>
      <c r="Y28" s="43"/>
      <c r="Z28" s="43"/>
    </row>
    <row r="29" spans="1:26" hidden="1" outlineLevel="1" x14ac:dyDescent="0.2">
      <c r="A29" s="194"/>
      <c r="B29" s="194"/>
      <c r="C29" s="194"/>
      <c r="D29" s="31" t="s">
        <v>324</v>
      </c>
      <c r="E29" s="78">
        <f t="shared" ref="E29:J29" si="11">E26</f>
        <v>2021</v>
      </c>
      <c r="F29" s="78">
        <f t="shared" si="11"/>
        <v>2022</v>
      </c>
      <c r="G29" s="78">
        <f t="shared" si="11"/>
        <v>2023</v>
      </c>
      <c r="H29" s="78">
        <f t="shared" si="11"/>
        <v>2024</v>
      </c>
      <c r="I29" s="78">
        <f t="shared" si="11"/>
        <v>2025</v>
      </c>
      <c r="J29" s="78">
        <f t="shared" si="11"/>
        <v>2026</v>
      </c>
      <c r="K29" s="162"/>
      <c r="L29" s="194"/>
      <c r="M29" s="44"/>
      <c r="N29" s="44"/>
      <c r="O29" s="44"/>
      <c r="P29" s="44"/>
      <c r="Q29" s="44"/>
      <c r="R29" s="44"/>
      <c r="S29" s="44"/>
      <c r="T29" s="44"/>
      <c r="U29" s="44"/>
      <c r="V29" s="44"/>
      <c r="W29" s="44"/>
      <c r="X29" s="44"/>
      <c r="Y29" s="44"/>
      <c r="Z29" s="44"/>
    </row>
    <row r="30" spans="1:26" hidden="1" outlineLevel="1" x14ac:dyDescent="0.2">
      <c r="A30" s="194"/>
      <c r="B30" s="194"/>
      <c r="D30" s="177" t="s">
        <v>240</v>
      </c>
      <c r="E30" s="63">
        <f t="shared" ref="E30:J30" si="12">IF(OR(E31="",E31=0),SUM(E32:E33),E31)</f>
        <v>0</v>
      </c>
      <c r="F30" s="63">
        <f t="shared" si="12"/>
        <v>0</v>
      </c>
      <c r="G30" s="63">
        <f t="shared" si="12"/>
        <v>0</v>
      </c>
      <c r="H30" s="63">
        <f t="shared" si="12"/>
        <v>0</v>
      </c>
      <c r="I30" s="63">
        <f t="shared" si="12"/>
        <v>0</v>
      </c>
      <c r="J30" s="63">
        <f t="shared" si="12"/>
        <v>0</v>
      </c>
      <c r="K30" s="162"/>
      <c r="L30" s="194"/>
      <c r="M30" s="44"/>
      <c r="N30" s="44"/>
      <c r="O30" s="44"/>
      <c r="P30" s="44"/>
      <c r="Q30" s="44"/>
      <c r="R30" s="44"/>
      <c r="S30" s="44"/>
      <c r="T30" s="44"/>
      <c r="U30" s="44"/>
      <c r="V30" s="44"/>
      <c r="W30" s="44"/>
      <c r="X30" s="44"/>
      <c r="Y30" s="44"/>
      <c r="Z30" s="44"/>
    </row>
    <row r="31" spans="1:26" hidden="1" outlineLevel="1" x14ac:dyDescent="0.2">
      <c r="A31" s="194"/>
      <c r="B31" s="194"/>
      <c r="C31" s="58">
        <v>1</v>
      </c>
      <c r="D31" s="177" t="s">
        <v>366</v>
      </c>
      <c r="E31" s="367"/>
      <c r="F31" s="367"/>
      <c r="G31" s="367"/>
      <c r="H31" s="367"/>
      <c r="I31" s="367"/>
      <c r="J31" s="367"/>
      <c r="K31" s="162"/>
      <c r="L31" s="194"/>
      <c r="M31" s="44"/>
      <c r="N31" s="44"/>
      <c r="O31" s="44"/>
      <c r="P31" s="44"/>
      <c r="Q31" s="44"/>
      <c r="R31" s="44"/>
      <c r="S31" s="44"/>
      <c r="T31" s="44"/>
      <c r="U31" s="44"/>
      <c r="V31" s="44"/>
      <c r="W31" s="44"/>
      <c r="X31" s="44"/>
      <c r="Y31" s="44"/>
      <c r="Z31" s="44"/>
    </row>
    <row r="32" spans="1:26" hidden="1" outlineLevel="1" x14ac:dyDescent="0.2">
      <c r="A32" s="194"/>
      <c r="B32" s="194"/>
      <c r="C32" s="58">
        <v>2</v>
      </c>
      <c r="D32" s="177" t="s">
        <v>243</v>
      </c>
      <c r="E32" s="367"/>
      <c r="F32" s="367"/>
      <c r="G32" s="367"/>
      <c r="H32" s="367"/>
      <c r="I32" s="367"/>
      <c r="J32" s="367"/>
      <c r="K32" s="162"/>
      <c r="L32" s="194"/>
      <c r="M32" s="44"/>
      <c r="N32" s="44"/>
      <c r="O32" s="44"/>
      <c r="P32" s="44"/>
      <c r="Q32" s="44"/>
      <c r="R32" s="44"/>
      <c r="S32" s="44"/>
      <c r="T32" s="44"/>
      <c r="U32" s="44"/>
      <c r="V32" s="44"/>
      <c r="W32" s="44"/>
      <c r="X32" s="44"/>
      <c r="Y32" s="44"/>
      <c r="Z32" s="44"/>
    </row>
    <row r="33" spans="1:26" hidden="1" outlineLevel="1" x14ac:dyDescent="0.2">
      <c r="A33" s="194"/>
      <c r="B33" s="194"/>
      <c r="C33" s="58">
        <v>3</v>
      </c>
      <c r="D33" s="177" t="s">
        <v>244</v>
      </c>
      <c r="E33" s="366"/>
      <c r="F33" s="366"/>
      <c r="G33" s="366"/>
      <c r="H33" s="366"/>
      <c r="I33" s="366"/>
      <c r="J33" s="366"/>
      <c r="K33" s="162"/>
      <c r="L33" s="194"/>
      <c r="M33" s="44"/>
      <c r="N33" s="44"/>
      <c r="O33" s="44"/>
      <c r="P33" s="44"/>
      <c r="Q33" s="44"/>
      <c r="R33" s="44"/>
      <c r="S33" s="44"/>
      <c r="T33" s="44"/>
      <c r="U33" s="44"/>
      <c r="V33" s="44"/>
      <c r="W33" s="44"/>
      <c r="X33" s="44"/>
      <c r="Y33" s="44"/>
      <c r="Z33" s="44"/>
    </row>
    <row r="34" spans="1:26" hidden="1" outlineLevel="1" x14ac:dyDescent="0.2">
      <c r="A34" s="194"/>
      <c r="B34" s="194"/>
      <c r="C34" s="646"/>
      <c r="D34" s="162"/>
      <c r="E34" s="162"/>
      <c r="F34" s="162"/>
      <c r="G34" s="162"/>
      <c r="H34" s="162"/>
      <c r="I34" s="162"/>
      <c r="J34" s="162"/>
      <c r="K34" s="162"/>
      <c r="L34" s="194"/>
      <c r="M34" s="44"/>
      <c r="N34" s="44"/>
      <c r="O34" s="44"/>
      <c r="P34" s="44"/>
      <c r="Q34" s="44"/>
      <c r="R34" s="44"/>
      <c r="S34" s="44"/>
      <c r="T34" s="44"/>
      <c r="U34" s="44"/>
      <c r="V34" s="44"/>
      <c r="W34" s="44"/>
      <c r="X34" s="44"/>
      <c r="Y34" s="44"/>
      <c r="Z34" s="44"/>
    </row>
    <row r="35" spans="1:26" collapsed="1" x14ac:dyDescent="0.2">
      <c r="A35" s="194"/>
      <c r="B35" s="194"/>
      <c r="C35" s="646"/>
      <c r="D35" s="162"/>
      <c r="E35" s="162"/>
      <c r="F35" s="162"/>
      <c r="G35" s="162"/>
      <c r="H35" s="162"/>
      <c r="I35" s="162"/>
      <c r="J35" s="162"/>
      <c r="K35" s="162"/>
      <c r="L35" s="194"/>
      <c r="M35" s="44"/>
      <c r="N35" s="44"/>
      <c r="O35" s="44"/>
      <c r="P35" s="44"/>
      <c r="Q35" s="44"/>
      <c r="R35" s="44"/>
      <c r="S35" s="44"/>
      <c r="T35" s="44"/>
      <c r="U35" s="44"/>
      <c r="V35" s="44"/>
      <c r="W35" s="44"/>
      <c r="X35" s="44"/>
      <c r="Y35" s="44"/>
      <c r="Z35" s="44"/>
    </row>
    <row r="36" spans="1:26" ht="15.75" x14ac:dyDescent="0.2">
      <c r="A36" s="194"/>
      <c r="B36" s="242">
        <f>IF(E40&lt;&gt;"",VLOOKUP(E40,GenderCode,2,FALSE),0)</f>
        <v>0</v>
      </c>
      <c r="C36" s="242">
        <v>2</v>
      </c>
      <c r="D36" s="79" t="str">
        <f>IF(B36=0,MsgNotUsed, CONCATENATE("Other ", C36, ": ", E38,": ", E40, " (", E43, "-", J43, ")"))</f>
        <v>** NOT USED **</v>
      </c>
      <c r="E36" s="127"/>
      <c r="F36" s="127"/>
      <c r="G36" s="127"/>
      <c r="H36" s="127"/>
      <c r="I36" s="175"/>
      <c r="J36" s="127"/>
      <c r="K36" s="127"/>
      <c r="L36" s="127"/>
      <c r="M36" s="260"/>
      <c r="N36" s="260"/>
      <c r="O36" s="260"/>
      <c r="P36" s="260"/>
      <c r="Q36" s="260"/>
      <c r="R36" s="260"/>
      <c r="S36" s="260"/>
      <c r="T36" s="260"/>
      <c r="U36" s="260"/>
      <c r="V36" s="260"/>
      <c r="W36" s="260"/>
      <c r="X36" s="260"/>
      <c r="Y36" s="260"/>
      <c r="Z36" s="260"/>
    </row>
    <row r="37" spans="1:26" hidden="1" outlineLevel="1" x14ac:dyDescent="0.2">
      <c r="A37" s="194"/>
      <c r="B37" s="194"/>
      <c r="C37" s="194"/>
      <c r="D37" s="195"/>
      <c r="E37" s="195"/>
      <c r="F37" s="195"/>
      <c r="G37" s="195"/>
      <c r="H37" s="195"/>
      <c r="I37" s="195"/>
      <c r="J37" s="195"/>
      <c r="K37" s="195"/>
      <c r="L37" s="195"/>
      <c r="M37" s="43"/>
      <c r="N37" s="43"/>
      <c r="O37" s="43"/>
      <c r="P37" s="43"/>
      <c r="Q37" s="43"/>
      <c r="R37" s="43"/>
      <c r="S37" s="43"/>
      <c r="T37" s="43"/>
      <c r="U37" s="43"/>
      <c r="V37" s="43"/>
      <c r="W37" s="43"/>
      <c r="X37" s="43"/>
      <c r="Y37" s="43"/>
      <c r="Z37" s="43"/>
    </row>
    <row r="38" spans="1:26" hidden="1" outlineLevel="1" x14ac:dyDescent="0.2">
      <c r="A38" s="194"/>
      <c r="B38" s="194"/>
      <c r="C38" s="194"/>
      <c r="D38" s="42" t="s">
        <v>279</v>
      </c>
      <c r="E38" s="913"/>
      <c r="F38" s="881"/>
      <c r="G38" s="881"/>
      <c r="H38" s="881"/>
      <c r="I38" s="881"/>
      <c r="J38" s="882"/>
      <c r="K38" s="417"/>
      <c r="L38" s="42" t="s">
        <v>258</v>
      </c>
      <c r="M38" s="913"/>
      <c r="N38" s="881"/>
      <c r="O38" s="881"/>
      <c r="P38" s="881"/>
      <c r="Q38" s="881"/>
      <c r="R38" s="882"/>
      <c r="S38" s="43"/>
      <c r="T38" s="43"/>
      <c r="U38" s="43"/>
      <c r="V38" s="43"/>
      <c r="W38" s="43"/>
      <c r="X38" s="43"/>
      <c r="Y38" s="43"/>
      <c r="Z38" s="43"/>
    </row>
    <row r="39" spans="1:26" ht="14.25" hidden="1" outlineLevel="1" x14ac:dyDescent="0.2">
      <c r="A39" s="194"/>
      <c r="B39" s="194"/>
      <c r="C39" s="646"/>
      <c r="D39" s="647"/>
      <c r="E39" s="162"/>
      <c r="F39" s="162"/>
      <c r="G39" s="162"/>
      <c r="H39" s="162"/>
      <c r="I39" s="162"/>
      <c r="J39" s="162"/>
      <c r="K39" s="162"/>
      <c r="L39" s="195"/>
      <c r="M39" s="43"/>
      <c r="N39" s="43"/>
      <c r="O39" s="43"/>
      <c r="P39" s="43"/>
      <c r="Q39" s="43"/>
      <c r="R39" s="43"/>
      <c r="S39" s="43"/>
      <c r="T39" s="43"/>
      <c r="U39" s="43"/>
      <c r="V39" s="43"/>
      <c r="W39" s="43"/>
      <c r="X39" s="43"/>
      <c r="Y39" s="43"/>
      <c r="Z39" s="43"/>
    </row>
    <row r="40" spans="1:26" hidden="1" outlineLevel="1" x14ac:dyDescent="0.2">
      <c r="A40" s="194"/>
      <c r="B40" s="194"/>
      <c r="C40" s="194"/>
      <c r="D40" s="632" t="s">
        <v>51</v>
      </c>
      <c r="E40" s="360"/>
      <c r="F40" s="162"/>
      <c r="G40" s="162"/>
      <c r="H40" s="646"/>
      <c r="I40" s="632" t="s">
        <v>365</v>
      </c>
      <c r="J40" s="360"/>
      <c r="K40" s="162"/>
      <c r="L40" s="195"/>
      <c r="M40" s="43"/>
      <c r="N40" s="43"/>
      <c r="O40" s="43"/>
      <c r="P40" s="43"/>
      <c r="Q40" s="43"/>
      <c r="R40" s="43"/>
      <c r="S40" s="43"/>
      <c r="T40" s="43"/>
      <c r="U40" s="43"/>
      <c r="V40" s="43"/>
      <c r="W40" s="43"/>
      <c r="X40" s="43"/>
      <c r="Y40" s="43"/>
      <c r="Z40" s="43"/>
    </row>
    <row r="41" spans="1:26" hidden="1" outlineLevel="1" x14ac:dyDescent="0.2">
      <c r="A41" s="194"/>
      <c r="B41" s="194"/>
      <c r="C41" s="194"/>
      <c r="D41" s="162"/>
      <c r="E41" s="162"/>
      <c r="F41" s="162"/>
      <c r="G41" s="162"/>
      <c r="H41" s="162"/>
      <c r="I41" s="162"/>
      <c r="J41" s="162"/>
      <c r="K41" s="162"/>
      <c r="L41" s="195"/>
      <c r="M41" s="43"/>
      <c r="N41" s="43"/>
      <c r="O41" s="43"/>
      <c r="P41" s="43"/>
      <c r="Q41" s="43"/>
      <c r="R41" s="43"/>
      <c r="S41" s="43"/>
      <c r="T41" s="43"/>
      <c r="U41" s="43"/>
      <c r="V41" s="43"/>
      <c r="W41" s="43"/>
      <c r="X41" s="43"/>
      <c r="Y41" s="43"/>
      <c r="Z41" s="43"/>
    </row>
    <row r="42" spans="1:26" hidden="1" outlineLevel="1" x14ac:dyDescent="0.2">
      <c r="A42" s="194"/>
      <c r="B42" s="194"/>
      <c r="C42" s="194"/>
      <c r="D42" s="162"/>
      <c r="E42" s="616" t="s">
        <v>255</v>
      </c>
      <c r="F42" s="162"/>
      <c r="G42" s="162"/>
      <c r="H42" s="162"/>
      <c r="I42" s="162"/>
      <c r="J42" s="162"/>
      <c r="K42" s="162"/>
      <c r="L42" s="195"/>
      <c r="M42" s="43"/>
      <c r="N42" s="43"/>
      <c r="O42" s="43"/>
      <c r="P42" s="43"/>
      <c r="Q42" s="43"/>
      <c r="R42" s="43"/>
      <c r="S42" s="43"/>
      <c r="T42" s="43"/>
      <c r="U42" s="43"/>
      <c r="V42" s="43"/>
      <c r="W42" s="43"/>
      <c r="X42" s="43"/>
      <c r="Y42" s="43"/>
      <c r="Z42" s="43"/>
    </row>
    <row r="43" spans="1:26" hidden="1" outlineLevel="1" x14ac:dyDescent="0.2">
      <c r="A43" s="194"/>
      <c r="B43" s="194"/>
      <c r="C43" s="194"/>
      <c r="D43" s="162"/>
      <c r="E43" s="78">
        <f>IF(J40&lt;&gt;"",J40,FirstYear)</f>
        <v>2021</v>
      </c>
      <c r="F43" s="630">
        <f>E43+1</f>
        <v>2022</v>
      </c>
      <c r="G43" s="630">
        <f>F43+1</f>
        <v>2023</v>
      </c>
      <c r="H43" s="630">
        <f>G43+1</f>
        <v>2024</v>
      </c>
      <c r="I43" s="630">
        <f>H43+1</f>
        <v>2025</v>
      </c>
      <c r="J43" s="630">
        <f>I43+1</f>
        <v>2026</v>
      </c>
      <c r="K43" s="162"/>
      <c r="L43" s="195"/>
      <c r="M43" s="43"/>
      <c r="N43" s="43"/>
      <c r="O43" s="43"/>
      <c r="P43" s="43"/>
      <c r="Q43" s="43"/>
      <c r="R43" s="43"/>
      <c r="S43" s="43"/>
      <c r="T43" s="43"/>
      <c r="U43" s="43"/>
      <c r="V43" s="43"/>
      <c r="W43" s="43"/>
      <c r="X43" s="43"/>
      <c r="Y43" s="43"/>
      <c r="Z43" s="43"/>
    </row>
    <row r="44" spans="1:26" hidden="1" outlineLevel="1" x14ac:dyDescent="0.2">
      <c r="A44" s="194"/>
      <c r="B44" s="194"/>
      <c r="C44" s="194"/>
      <c r="D44" s="162"/>
      <c r="E44" s="63">
        <f t="shared" ref="E44:J44" si="13">IF($B$36&lt;&gt;0,VLOOKUP($B$36,$C$48:$J$50,E45),0)</f>
        <v>0</v>
      </c>
      <c r="F44" s="63">
        <f t="shared" si="13"/>
        <v>0</v>
      </c>
      <c r="G44" s="63">
        <f t="shared" si="13"/>
        <v>0</v>
      </c>
      <c r="H44" s="63">
        <f t="shared" si="13"/>
        <v>0</v>
      </c>
      <c r="I44" s="63">
        <f t="shared" si="13"/>
        <v>0</v>
      </c>
      <c r="J44" s="63">
        <f t="shared" si="13"/>
        <v>0</v>
      </c>
      <c r="K44" s="162"/>
      <c r="L44" s="195"/>
      <c r="M44" s="43"/>
      <c r="N44" s="43"/>
      <c r="O44" s="43"/>
      <c r="P44" s="43"/>
      <c r="Q44" s="43"/>
      <c r="R44" s="43"/>
      <c r="S44" s="43"/>
      <c r="T44" s="43"/>
      <c r="U44" s="43"/>
      <c r="V44" s="43"/>
      <c r="W44" s="43"/>
      <c r="X44" s="43"/>
      <c r="Y44" s="43"/>
      <c r="Z44" s="43"/>
    </row>
    <row r="45" spans="1:26" hidden="1" outlineLevel="1" x14ac:dyDescent="0.2">
      <c r="A45" s="194"/>
      <c r="B45" s="194"/>
      <c r="C45" s="194"/>
      <c r="D45" s="162"/>
      <c r="E45" s="176">
        <v>3</v>
      </c>
      <c r="F45" s="176">
        <v>4</v>
      </c>
      <c r="G45" s="176">
        <v>5</v>
      </c>
      <c r="H45" s="176">
        <v>6</v>
      </c>
      <c r="I45" s="176">
        <v>7</v>
      </c>
      <c r="J45" s="176">
        <v>8</v>
      </c>
      <c r="K45" s="162"/>
      <c r="L45" s="195"/>
      <c r="M45" s="43"/>
      <c r="N45" s="43"/>
      <c r="O45" s="43"/>
      <c r="P45" s="43"/>
      <c r="Q45" s="43"/>
      <c r="R45" s="43"/>
      <c r="S45" s="43"/>
      <c r="T45" s="43"/>
      <c r="U45" s="43"/>
      <c r="V45" s="43"/>
      <c r="W45" s="43"/>
      <c r="X45" s="43"/>
      <c r="Y45" s="43"/>
      <c r="Z45" s="43"/>
    </row>
    <row r="46" spans="1:26" hidden="1" outlineLevel="1" x14ac:dyDescent="0.2">
      <c r="A46" s="194"/>
      <c r="B46" s="194"/>
      <c r="C46" s="194"/>
      <c r="D46" s="31" t="s">
        <v>324</v>
      </c>
      <c r="E46" s="78">
        <f t="shared" ref="E46:J46" si="14">E43</f>
        <v>2021</v>
      </c>
      <c r="F46" s="78">
        <f t="shared" si="14"/>
        <v>2022</v>
      </c>
      <c r="G46" s="78">
        <f t="shared" si="14"/>
        <v>2023</v>
      </c>
      <c r="H46" s="78">
        <f t="shared" si="14"/>
        <v>2024</v>
      </c>
      <c r="I46" s="78">
        <f t="shared" si="14"/>
        <v>2025</v>
      </c>
      <c r="J46" s="78">
        <f t="shared" si="14"/>
        <v>2026</v>
      </c>
      <c r="K46" s="162"/>
      <c r="L46" s="194"/>
      <c r="M46" s="44"/>
      <c r="N46" s="44"/>
      <c r="O46" s="44"/>
      <c r="P46" s="44"/>
      <c r="Q46" s="44"/>
      <c r="R46" s="44"/>
      <c r="S46" s="44"/>
      <c r="T46" s="44"/>
      <c r="U46" s="44"/>
      <c r="V46" s="44"/>
      <c r="W46" s="44"/>
      <c r="X46" s="44"/>
      <c r="Y46" s="44"/>
      <c r="Z46" s="44"/>
    </row>
    <row r="47" spans="1:26" hidden="1" outlineLevel="1" x14ac:dyDescent="0.2">
      <c r="A47" s="194"/>
      <c r="B47" s="194"/>
      <c r="C47" s="416"/>
      <c r="D47" s="177" t="s">
        <v>240</v>
      </c>
      <c r="E47" s="63">
        <f t="shared" ref="E47:J47" si="15">IF(OR(E48="",E48=0),SUM(E49:E50),E48)</f>
        <v>0</v>
      </c>
      <c r="F47" s="63">
        <f t="shared" si="15"/>
        <v>0</v>
      </c>
      <c r="G47" s="63">
        <f t="shared" si="15"/>
        <v>0</v>
      </c>
      <c r="H47" s="63">
        <f t="shared" si="15"/>
        <v>0</v>
      </c>
      <c r="I47" s="63">
        <f t="shared" si="15"/>
        <v>0</v>
      </c>
      <c r="J47" s="63">
        <f t="shared" si="15"/>
        <v>0</v>
      </c>
      <c r="K47" s="162"/>
      <c r="L47" s="194"/>
      <c r="M47" s="44"/>
      <c r="N47" s="44"/>
      <c r="O47" s="44"/>
      <c r="P47" s="44"/>
      <c r="Q47" s="44"/>
      <c r="R47" s="44"/>
      <c r="S47" s="44"/>
      <c r="T47" s="44"/>
      <c r="U47" s="44"/>
      <c r="V47" s="44"/>
      <c r="W47" s="44"/>
      <c r="X47" s="44"/>
      <c r="Y47" s="44"/>
      <c r="Z47" s="44"/>
    </row>
    <row r="48" spans="1:26" hidden="1" outlineLevel="1" x14ac:dyDescent="0.2">
      <c r="A48" s="194"/>
      <c r="B48" s="194"/>
      <c r="C48" s="58">
        <v>1</v>
      </c>
      <c r="D48" s="177" t="s">
        <v>366</v>
      </c>
      <c r="E48" s="430"/>
      <c r="F48" s="430"/>
      <c r="G48" s="430"/>
      <c r="H48" s="430"/>
      <c r="I48" s="430"/>
      <c r="J48" s="430"/>
      <c r="K48" s="162"/>
      <c r="L48" s="194"/>
      <c r="M48" s="44"/>
      <c r="N48" s="44"/>
      <c r="O48" s="44"/>
      <c r="P48" s="44"/>
      <c r="Q48" s="44"/>
      <c r="R48" s="44"/>
      <c r="S48" s="44"/>
      <c r="T48" s="44"/>
      <c r="U48" s="44"/>
      <c r="V48" s="44"/>
      <c r="W48" s="44"/>
      <c r="X48" s="44"/>
      <c r="Y48" s="44"/>
      <c r="Z48" s="44"/>
    </row>
    <row r="49" spans="1:26" hidden="1" outlineLevel="1" x14ac:dyDescent="0.2">
      <c r="A49" s="194"/>
      <c r="B49" s="194"/>
      <c r="C49" s="58">
        <v>2</v>
      </c>
      <c r="D49" s="177" t="s">
        <v>243</v>
      </c>
      <c r="E49" s="430"/>
      <c r="F49" s="430"/>
      <c r="G49" s="430"/>
      <c r="H49" s="430"/>
      <c r="I49" s="430"/>
      <c r="J49" s="430"/>
      <c r="K49" s="162"/>
      <c r="L49" s="194"/>
      <c r="M49" s="44"/>
      <c r="N49" s="44"/>
      <c r="O49" s="44"/>
      <c r="P49" s="44"/>
      <c r="Q49" s="44"/>
      <c r="R49" s="44"/>
      <c r="S49" s="44"/>
      <c r="T49" s="44"/>
      <c r="U49" s="44"/>
      <c r="V49" s="44"/>
      <c r="W49" s="44"/>
      <c r="X49" s="44"/>
      <c r="Y49" s="44"/>
      <c r="Z49" s="44"/>
    </row>
    <row r="50" spans="1:26" hidden="1" outlineLevel="1" x14ac:dyDescent="0.2">
      <c r="A50" s="194"/>
      <c r="B50" s="194"/>
      <c r="C50" s="58">
        <v>3</v>
      </c>
      <c r="D50" s="177" t="s">
        <v>244</v>
      </c>
      <c r="E50" s="427"/>
      <c r="F50" s="427"/>
      <c r="G50" s="427"/>
      <c r="H50" s="427"/>
      <c r="I50" s="427"/>
      <c r="J50" s="427"/>
      <c r="K50" s="162"/>
      <c r="L50" s="194"/>
      <c r="M50" s="44"/>
      <c r="N50" s="44"/>
      <c r="O50" s="44"/>
      <c r="P50" s="44"/>
      <c r="Q50" s="44"/>
      <c r="R50" s="44"/>
      <c r="S50" s="44"/>
      <c r="T50" s="44"/>
      <c r="U50" s="44"/>
      <c r="V50" s="44"/>
      <c r="W50" s="44"/>
      <c r="X50" s="44"/>
      <c r="Y50" s="44"/>
      <c r="Z50" s="44"/>
    </row>
    <row r="51" spans="1:26" hidden="1" outlineLevel="1" x14ac:dyDescent="0.2">
      <c r="A51" s="194"/>
      <c r="B51" s="194"/>
      <c r="C51" s="646"/>
      <c r="D51" s="162"/>
      <c r="E51" s="162"/>
      <c r="F51" s="162"/>
      <c r="G51" s="162"/>
      <c r="H51" s="162"/>
      <c r="I51" s="162"/>
      <c r="J51" s="162"/>
      <c r="K51" s="162"/>
      <c r="L51" s="194"/>
      <c r="M51" s="44"/>
      <c r="N51" s="44"/>
      <c r="O51" s="44"/>
      <c r="P51" s="44"/>
      <c r="Q51" s="44"/>
      <c r="R51" s="44"/>
      <c r="S51" s="44"/>
      <c r="T51" s="44"/>
      <c r="U51" s="44"/>
      <c r="V51" s="44"/>
      <c r="W51" s="44"/>
      <c r="X51" s="44"/>
      <c r="Y51" s="44"/>
      <c r="Z51" s="44"/>
    </row>
    <row r="52" spans="1:26" collapsed="1" x14ac:dyDescent="0.2">
      <c r="A52" s="194"/>
      <c r="B52" s="194"/>
      <c r="C52" s="646"/>
      <c r="D52" s="162"/>
      <c r="E52" s="162"/>
      <c r="F52" s="162"/>
      <c r="G52" s="162"/>
      <c r="H52" s="162"/>
      <c r="I52" s="162"/>
      <c r="J52" s="162"/>
      <c r="K52" s="162"/>
      <c r="L52" s="194"/>
      <c r="M52" s="44"/>
      <c r="N52" s="44"/>
      <c r="O52" s="44"/>
      <c r="P52" s="44"/>
      <c r="Q52" s="44"/>
      <c r="R52" s="44"/>
      <c r="S52" s="44"/>
      <c r="T52" s="44"/>
      <c r="U52" s="44"/>
      <c r="V52" s="44"/>
      <c r="W52" s="44"/>
      <c r="X52" s="44"/>
      <c r="Y52" s="44"/>
      <c r="Z52" s="44"/>
    </row>
    <row r="53" spans="1:26" ht="15.75" x14ac:dyDescent="0.2">
      <c r="A53" s="194"/>
      <c r="B53" s="242">
        <f>IF(E57&lt;&gt;"",VLOOKUP(E57,GenderCode,2,FALSE),0)</f>
        <v>0</v>
      </c>
      <c r="C53" s="242">
        <v>3</v>
      </c>
      <c r="D53" s="79" t="str">
        <f>IF(B53=0,MsgNotUsed, CONCATENATE("Other ", C53, ": ", E55,": ", E57, " (", E60, "-", J60, ")"))</f>
        <v>** NOT USED **</v>
      </c>
      <c r="E53" s="127"/>
      <c r="F53" s="127"/>
      <c r="G53" s="127"/>
      <c r="H53" s="127"/>
      <c r="I53" s="175"/>
      <c r="J53" s="127"/>
      <c r="K53" s="127"/>
      <c r="L53" s="127"/>
      <c r="M53" s="260"/>
      <c r="N53" s="260"/>
      <c r="O53" s="260"/>
      <c r="P53" s="260"/>
      <c r="Q53" s="260"/>
      <c r="R53" s="260"/>
      <c r="S53" s="260"/>
      <c r="T53" s="260"/>
      <c r="U53" s="260"/>
      <c r="V53" s="260"/>
      <c r="W53" s="260"/>
      <c r="X53" s="260"/>
      <c r="Y53" s="260"/>
      <c r="Z53" s="260"/>
    </row>
    <row r="54" spans="1:26" hidden="1" outlineLevel="1" x14ac:dyDescent="0.2">
      <c r="A54" s="194"/>
      <c r="B54" s="194"/>
      <c r="C54" s="194"/>
      <c r="D54" s="195"/>
      <c r="E54" s="195"/>
      <c r="F54" s="195"/>
      <c r="G54" s="195"/>
      <c r="H54" s="195"/>
      <c r="I54" s="195"/>
      <c r="J54" s="195"/>
      <c r="K54" s="195"/>
      <c r="L54" s="195"/>
      <c r="M54" s="43"/>
      <c r="N54" s="43"/>
      <c r="O54" s="43"/>
      <c r="P54" s="43"/>
      <c r="Q54" s="43"/>
      <c r="R54" s="43"/>
      <c r="S54" s="43"/>
      <c r="T54" s="43"/>
      <c r="U54" s="43"/>
      <c r="V54" s="43"/>
      <c r="W54" s="43"/>
      <c r="X54" s="43"/>
      <c r="Y54" s="43"/>
      <c r="Z54" s="43"/>
    </row>
    <row r="55" spans="1:26" hidden="1" outlineLevel="1" x14ac:dyDescent="0.2">
      <c r="A55" s="194"/>
      <c r="B55" s="194"/>
      <c r="C55" s="194"/>
      <c r="D55" s="42" t="s">
        <v>279</v>
      </c>
      <c r="E55" s="913"/>
      <c r="F55" s="881"/>
      <c r="G55" s="881"/>
      <c r="H55" s="881"/>
      <c r="I55" s="881"/>
      <c r="J55" s="882"/>
      <c r="K55" s="417"/>
      <c r="L55" s="42" t="s">
        <v>258</v>
      </c>
      <c r="M55" s="913"/>
      <c r="N55" s="881"/>
      <c r="O55" s="881"/>
      <c r="P55" s="881"/>
      <c r="Q55" s="881"/>
      <c r="R55" s="882"/>
      <c r="S55" s="43"/>
      <c r="T55" s="43"/>
      <c r="U55" s="43"/>
      <c r="V55" s="43"/>
      <c r="W55" s="43"/>
      <c r="X55" s="43"/>
      <c r="Y55" s="43"/>
      <c r="Z55" s="43"/>
    </row>
    <row r="56" spans="1:26" ht="14.25" hidden="1" outlineLevel="1" x14ac:dyDescent="0.2">
      <c r="A56" s="194"/>
      <c r="B56" s="194"/>
      <c r="C56" s="646"/>
      <c r="D56" s="647"/>
      <c r="E56" s="162"/>
      <c r="F56" s="162"/>
      <c r="G56" s="162"/>
      <c r="H56" s="162"/>
      <c r="I56" s="162"/>
      <c r="J56" s="162"/>
      <c r="K56" s="162"/>
      <c r="L56" s="195"/>
      <c r="M56" s="43"/>
      <c r="N56" s="43"/>
      <c r="O56" s="43"/>
      <c r="P56" s="43"/>
      <c r="Q56" s="43"/>
      <c r="R56" s="43"/>
      <c r="S56" s="43"/>
      <c r="T56" s="43"/>
      <c r="U56" s="43"/>
      <c r="V56" s="43"/>
      <c r="W56" s="43"/>
      <c r="X56" s="43"/>
      <c r="Y56" s="43"/>
      <c r="Z56" s="43"/>
    </row>
    <row r="57" spans="1:26" hidden="1" outlineLevel="1" x14ac:dyDescent="0.2">
      <c r="A57" s="194"/>
      <c r="B57" s="194"/>
      <c r="C57" s="194"/>
      <c r="D57" s="632" t="s">
        <v>51</v>
      </c>
      <c r="E57" s="360"/>
      <c r="F57" s="162"/>
      <c r="G57" s="162"/>
      <c r="H57" s="646"/>
      <c r="I57" s="632" t="s">
        <v>365</v>
      </c>
      <c r="J57" s="360"/>
      <c r="K57" s="162"/>
      <c r="L57" s="195"/>
      <c r="M57" s="43"/>
      <c r="N57" s="43"/>
      <c r="O57" s="43"/>
      <c r="P57" s="43"/>
      <c r="Q57" s="43"/>
      <c r="R57" s="43"/>
      <c r="S57" s="43"/>
      <c r="T57" s="43"/>
      <c r="U57" s="43"/>
      <c r="V57" s="43"/>
      <c r="W57" s="43"/>
      <c r="X57" s="43"/>
      <c r="Y57" s="43"/>
      <c r="Z57" s="43"/>
    </row>
    <row r="58" spans="1:26" hidden="1" outlineLevel="1" x14ac:dyDescent="0.2">
      <c r="A58" s="194"/>
      <c r="B58" s="194"/>
      <c r="C58" s="194"/>
      <c r="D58" s="162"/>
      <c r="E58" s="162"/>
      <c r="F58" s="162"/>
      <c r="G58" s="162"/>
      <c r="H58" s="162"/>
      <c r="I58" s="162"/>
      <c r="J58" s="162"/>
      <c r="K58" s="162"/>
      <c r="L58" s="195"/>
      <c r="M58" s="43"/>
      <c r="N58" s="43"/>
      <c r="O58" s="43"/>
      <c r="P58" s="43"/>
      <c r="Q58" s="43"/>
      <c r="R58" s="43"/>
      <c r="S58" s="43"/>
      <c r="T58" s="43"/>
      <c r="U58" s="43"/>
      <c r="V58" s="43"/>
      <c r="W58" s="43"/>
      <c r="X58" s="43"/>
      <c r="Y58" s="43"/>
      <c r="Z58" s="43"/>
    </row>
    <row r="59" spans="1:26" hidden="1" outlineLevel="1" x14ac:dyDescent="0.2">
      <c r="A59" s="194"/>
      <c r="B59" s="194"/>
      <c r="C59" s="194"/>
      <c r="D59" s="162"/>
      <c r="E59" s="616" t="s">
        <v>255</v>
      </c>
      <c r="F59" s="162"/>
      <c r="G59" s="162"/>
      <c r="H59" s="162"/>
      <c r="I59" s="162"/>
      <c r="J59" s="162"/>
      <c r="K59" s="162"/>
      <c r="L59" s="195"/>
      <c r="M59" s="43"/>
      <c r="N59" s="43"/>
      <c r="O59" s="43"/>
      <c r="P59" s="43"/>
      <c r="Q59" s="43"/>
      <c r="R59" s="43"/>
      <c r="S59" s="43"/>
      <c r="T59" s="43"/>
      <c r="U59" s="43"/>
      <c r="V59" s="43"/>
      <c r="W59" s="43"/>
      <c r="X59" s="43"/>
      <c r="Y59" s="43"/>
      <c r="Z59" s="43"/>
    </row>
    <row r="60" spans="1:26" hidden="1" outlineLevel="1" x14ac:dyDescent="0.2">
      <c r="A60" s="194"/>
      <c r="B60" s="194"/>
      <c r="C60" s="194"/>
      <c r="D60" s="162"/>
      <c r="E60" s="78">
        <f>IF(J57&lt;&gt;"",J57,FirstYear)</f>
        <v>2021</v>
      </c>
      <c r="F60" s="630">
        <f>E60+1</f>
        <v>2022</v>
      </c>
      <c r="G60" s="630">
        <f>F60+1</f>
        <v>2023</v>
      </c>
      <c r="H60" s="630">
        <f>G60+1</f>
        <v>2024</v>
      </c>
      <c r="I60" s="630">
        <f>H60+1</f>
        <v>2025</v>
      </c>
      <c r="J60" s="630">
        <f>I60+1</f>
        <v>2026</v>
      </c>
      <c r="K60" s="162"/>
      <c r="L60" s="195"/>
      <c r="M60" s="43"/>
      <c r="N60" s="43"/>
      <c r="O60" s="43"/>
      <c r="P60" s="43"/>
      <c r="Q60" s="43"/>
      <c r="R60" s="43"/>
      <c r="S60" s="43"/>
      <c r="T60" s="43"/>
      <c r="U60" s="43"/>
      <c r="V60" s="43"/>
      <c r="W60" s="43"/>
      <c r="X60" s="43"/>
      <c r="Y60" s="43"/>
      <c r="Z60" s="43"/>
    </row>
    <row r="61" spans="1:26" hidden="1" outlineLevel="1" x14ac:dyDescent="0.2">
      <c r="A61" s="194"/>
      <c r="B61" s="194"/>
      <c r="C61" s="194"/>
      <c r="D61" s="162"/>
      <c r="E61" s="63">
        <f t="shared" ref="E61:J61" si="16">IF($B$53&lt;&gt;0,VLOOKUP($B$53,$C$65:$J$67,E62),0)</f>
        <v>0</v>
      </c>
      <c r="F61" s="63">
        <f t="shared" si="16"/>
        <v>0</v>
      </c>
      <c r="G61" s="63">
        <f t="shared" si="16"/>
        <v>0</v>
      </c>
      <c r="H61" s="63">
        <f t="shared" si="16"/>
        <v>0</v>
      </c>
      <c r="I61" s="63">
        <f t="shared" si="16"/>
        <v>0</v>
      </c>
      <c r="J61" s="63">
        <f t="shared" si="16"/>
        <v>0</v>
      </c>
      <c r="K61" s="162"/>
      <c r="L61" s="195"/>
      <c r="M61" s="43"/>
      <c r="N61" s="43"/>
      <c r="O61" s="43"/>
      <c r="P61" s="43"/>
      <c r="Q61" s="43"/>
      <c r="R61" s="43"/>
      <c r="S61" s="43"/>
      <c r="T61" s="43"/>
      <c r="U61" s="43"/>
      <c r="V61" s="43"/>
      <c r="W61" s="43"/>
      <c r="X61" s="43"/>
      <c r="Y61" s="43"/>
      <c r="Z61" s="43"/>
    </row>
    <row r="62" spans="1:26" hidden="1" outlineLevel="1" x14ac:dyDescent="0.2">
      <c r="A62" s="194"/>
      <c r="B62" s="194"/>
      <c r="C62" s="194"/>
      <c r="D62" s="162"/>
      <c r="E62" s="176">
        <v>3</v>
      </c>
      <c r="F62" s="176">
        <v>4</v>
      </c>
      <c r="G62" s="176">
        <v>5</v>
      </c>
      <c r="H62" s="176">
        <v>6</v>
      </c>
      <c r="I62" s="176">
        <v>7</v>
      </c>
      <c r="J62" s="176">
        <v>8</v>
      </c>
      <c r="K62" s="162"/>
      <c r="L62" s="195"/>
      <c r="M62" s="43"/>
      <c r="N62" s="43"/>
      <c r="O62" s="43"/>
      <c r="P62" s="43"/>
      <c r="Q62" s="43"/>
      <c r="R62" s="43"/>
      <c r="S62" s="43"/>
      <c r="T62" s="43"/>
      <c r="U62" s="43"/>
      <c r="V62" s="43"/>
      <c r="W62" s="43"/>
      <c r="X62" s="43"/>
      <c r="Y62" s="43"/>
      <c r="Z62" s="43"/>
    </row>
    <row r="63" spans="1:26" hidden="1" outlineLevel="1" x14ac:dyDescent="0.2">
      <c r="A63" s="194"/>
      <c r="B63" s="194"/>
      <c r="C63" s="194"/>
      <c r="D63" s="31" t="s">
        <v>324</v>
      </c>
      <c r="E63" s="78">
        <f t="shared" ref="E63:J63" si="17">E60</f>
        <v>2021</v>
      </c>
      <c r="F63" s="78">
        <f t="shared" si="17"/>
        <v>2022</v>
      </c>
      <c r="G63" s="78">
        <f t="shared" si="17"/>
        <v>2023</v>
      </c>
      <c r="H63" s="78">
        <f t="shared" si="17"/>
        <v>2024</v>
      </c>
      <c r="I63" s="78">
        <f t="shared" si="17"/>
        <v>2025</v>
      </c>
      <c r="J63" s="78">
        <f t="shared" si="17"/>
        <v>2026</v>
      </c>
      <c r="K63" s="162"/>
      <c r="L63" s="194"/>
      <c r="M63" s="44"/>
      <c r="N63" s="44"/>
      <c r="O63" s="44"/>
      <c r="P63" s="44"/>
      <c r="Q63" s="44"/>
      <c r="R63" s="44"/>
      <c r="S63" s="44"/>
      <c r="T63" s="44"/>
      <c r="U63" s="44"/>
      <c r="V63" s="44"/>
      <c r="W63" s="44"/>
      <c r="X63" s="44"/>
      <c r="Y63" s="44"/>
      <c r="Z63" s="44"/>
    </row>
    <row r="64" spans="1:26" hidden="1" outlineLevel="1" x14ac:dyDescent="0.2">
      <c r="A64" s="194"/>
      <c r="B64" s="194"/>
      <c r="C64" s="416"/>
      <c r="D64" s="177" t="s">
        <v>240</v>
      </c>
      <c r="E64" s="63">
        <f t="shared" ref="E64:J64" si="18">IF(OR(E65="",E65=0),SUM(E66:E67),E65)</f>
        <v>0</v>
      </c>
      <c r="F64" s="63">
        <f t="shared" si="18"/>
        <v>0</v>
      </c>
      <c r="G64" s="63">
        <f t="shared" si="18"/>
        <v>0</v>
      </c>
      <c r="H64" s="63">
        <f t="shared" si="18"/>
        <v>0</v>
      </c>
      <c r="I64" s="63">
        <f t="shared" si="18"/>
        <v>0</v>
      </c>
      <c r="J64" s="63">
        <f t="shared" si="18"/>
        <v>0</v>
      </c>
      <c r="K64" s="162"/>
      <c r="L64" s="194"/>
      <c r="M64" s="44"/>
      <c r="N64" s="44"/>
      <c r="O64" s="44"/>
      <c r="P64" s="44"/>
      <c r="Q64" s="44"/>
      <c r="R64" s="44"/>
      <c r="S64" s="44"/>
      <c r="T64" s="44"/>
      <c r="U64" s="44"/>
      <c r="V64" s="44"/>
      <c r="W64" s="44"/>
      <c r="X64" s="44"/>
      <c r="Y64" s="44"/>
      <c r="Z64" s="44"/>
    </row>
    <row r="65" spans="1:26" hidden="1" outlineLevel="1" x14ac:dyDescent="0.2">
      <c r="A65" s="194"/>
      <c r="B65" s="194"/>
      <c r="C65" s="58">
        <v>1</v>
      </c>
      <c r="D65" s="177" t="s">
        <v>366</v>
      </c>
      <c r="E65" s="430"/>
      <c r="F65" s="430"/>
      <c r="G65" s="430"/>
      <c r="H65" s="430"/>
      <c r="I65" s="430"/>
      <c r="J65" s="430"/>
      <c r="K65" s="162"/>
      <c r="L65" s="194"/>
      <c r="M65" s="44"/>
      <c r="N65" s="44"/>
      <c r="O65" s="44"/>
      <c r="P65" s="44"/>
      <c r="Q65" s="44"/>
      <c r="R65" s="44"/>
      <c r="S65" s="44"/>
      <c r="T65" s="44"/>
      <c r="U65" s="44"/>
      <c r="V65" s="44"/>
      <c r="W65" s="44"/>
      <c r="X65" s="44"/>
      <c r="Y65" s="44"/>
      <c r="Z65" s="44"/>
    </row>
    <row r="66" spans="1:26" hidden="1" outlineLevel="1" x14ac:dyDescent="0.2">
      <c r="A66" s="194"/>
      <c r="B66" s="194"/>
      <c r="C66" s="58">
        <v>2</v>
      </c>
      <c r="D66" s="177" t="s">
        <v>243</v>
      </c>
      <c r="E66" s="430"/>
      <c r="F66" s="430"/>
      <c r="G66" s="430"/>
      <c r="H66" s="430"/>
      <c r="I66" s="430"/>
      <c r="J66" s="430"/>
      <c r="K66" s="162"/>
      <c r="L66" s="194"/>
      <c r="M66" s="44"/>
      <c r="N66" s="44"/>
      <c r="O66" s="44"/>
      <c r="P66" s="44"/>
      <c r="Q66" s="44"/>
      <c r="R66" s="44"/>
      <c r="S66" s="44"/>
      <c r="T66" s="44"/>
      <c r="U66" s="44"/>
      <c r="V66" s="44"/>
      <c r="W66" s="44"/>
      <c r="X66" s="44"/>
      <c r="Y66" s="44"/>
      <c r="Z66" s="44"/>
    </row>
    <row r="67" spans="1:26" hidden="1" outlineLevel="1" x14ac:dyDescent="0.2">
      <c r="A67" s="194"/>
      <c r="B67" s="194"/>
      <c r="C67" s="58">
        <v>3</v>
      </c>
      <c r="D67" s="177" t="s">
        <v>244</v>
      </c>
      <c r="E67" s="427"/>
      <c r="F67" s="427"/>
      <c r="G67" s="427"/>
      <c r="H67" s="427"/>
      <c r="I67" s="427"/>
      <c r="J67" s="427"/>
      <c r="K67" s="162"/>
      <c r="L67" s="194"/>
      <c r="M67" s="44"/>
      <c r="N67" s="44"/>
      <c r="O67" s="44"/>
      <c r="P67" s="44"/>
      <c r="Q67" s="44"/>
      <c r="R67" s="44"/>
      <c r="S67" s="44"/>
      <c r="T67" s="44"/>
      <c r="U67" s="44"/>
      <c r="V67" s="44"/>
      <c r="W67" s="44"/>
      <c r="X67" s="44"/>
      <c r="Y67" s="44"/>
      <c r="Z67" s="44"/>
    </row>
    <row r="68" spans="1:26" hidden="1" outlineLevel="1" x14ac:dyDescent="0.2">
      <c r="A68" s="194"/>
      <c r="B68" s="194"/>
      <c r="C68" s="646"/>
      <c r="D68" s="162"/>
      <c r="E68" s="162"/>
      <c r="F68" s="162"/>
      <c r="G68" s="162"/>
      <c r="H68" s="162"/>
      <c r="I68" s="162"/>
      <c r="J68" s="162"/>
      <c r="K68" s="162"/>
      <c r="L68" s="194"/>
      <c r="M68" s="44"/>
      <c r="N68" s="44"/>
      <c r="O68" s="44"/>
      <c r="P68" s="44"/>
      <c r="Q68" s="44"/>
      <c r="R68" s="44"/>
      <c r="S68" s="44"/>
      <c r="T68" s="44"/>
      <c r="U68" s="44"/>
      <c r="V68" s="44"/>
      <c r="W68" s="44"/>
      <c r="X68" s="44"/>
      <c r="Y68" s="44"/>
      <c r="Z68" s="44"/>
    </row>
    <row r="69" spans="1:26" collapsed="1" x14ac:dyDescent="0.2">
      <c r="A69" s="194"/>
      <c r="B69" s="194"/>
      <c r="C69" s="646"/>
      <c r="D69" s="162"/>
      <c r="E69" s="162"/>
      <c r="F69" s="162"/>
      <c r="G69" s="162"/>
      <c r="H69" s="162"/>
      <c r="I69" s="162"/>
      <c r="J69" s="162"/>
      <c r="K69" s="162"/>
      <c r="L69" s="194"/>
      <c r="M69" s="44"/>
      <c r="N69" s="44"/>
      <c r="O69" s="44"/>
      <c r="P69" s="44"/>
      <c r="Q69" s="44"/>
      <c r="R69" s="44"/>
      <c r="S69" s="44"/>
      <c r="T69" s="44"/>
      <c r="U69" s="44"/>
      <c r="V69" s="44"/>
      <c r="W69" s="44"/>
      <c r="X69" s="44"/>
      <c r="Y69" s="44"/>
      <c r="Z69" s="44"/>
    </row>
    <row r="70" spans="1:26" ht="15.75" x14ac:dyDescent="0.2">
      <c r="A70" s="194"/>
      <c r="B70" s="242">
        <f>IF(E74&lt;&gt;"",VLOOKUP(E74,GenderCode,2,FALSE),0)</f>
        <v>0</v>
      </c>
      <c r="C70" s="242">
        <v>4</v>
      </c>
      <c r="D70" s="79" t="str">
        <f>IF(B70=0,MsgNotUsed, CONCATENATE("Other ", C70, ": ", E72,": ", E74, " (", E77, "-", J77, ")"))</f>
        <v>** NOT USED **</v>
      </c>
      <c r="E70" s="127"/>
      <c r="F70" s="127"/>
      <c r="G70" s="127"/>
      <c r="H70" s="127"/>
      <c r="I70" s="175"/>
      <c r="J70" s="127"/>
      <c r="K70" s="127"/>
      <c r="L70" s="127"/>
      <c r="M70" s="260"/>
      <c r="N70" s="260"/>
      <c r="O70" s="260"/>
      <c r="P70" s="260"/>
      <c r="Q70" s="260"/>
      <c r="R70" s="260"/>
      <c r="S70" s="260"/>
      <c r="T70" s="260"/>
      <c r="U70" s="260"/>
      <c r="V70" s="260"/>
      <c r="W70" s="260"/>
      <c r="X70" s="260"/>
      <c r="Y70" s="260"/>
      <c r="Z70" s="260"/>
    </row>
    <row r="71" spans="1:26" hidden="1" outlineLevel="1" x14ac:dyDescent="0.2">
      <c r="A71" s="194"/>
      <c r="B71" s="194"/>
      <c r="C71" s="194"/>
      <c r="D71" s="195"/>
      <c r="E71" s="195"/>
      <c r="F71" s="195"/>
      <c r="G71" s="195"/>
      <c r="H71" s="195"/>
      <c r="I71" s="195"/>
      <c r="J71" s="195"/>
      <c r="K71" s="195"/>
      <c r="L71" s="195"/>
      <c r="M71" s="43"/>
      <c r="N71" s="43"/>
      <c r="O71" s="43"/>
      <c r="P71" s="43"/>
      <c r="Q71" s="43"/>
      <c r="R71" s="43"/>
      <c r="S71" s="43"/>
      <c r="T71" s="43"/>
      <c r="U71" s="43"/>
      <c r="V71" s="43"/>
      <c r="W71" s="43"/>
      <c r="X71" s="43"/>
      <c r="Y71" s="43"/>
      <c r="Z71" s="43"/>
    </row>
    <row r="72" spans="1:26" hidden="1" outlineLevel="1" x14ac:dyDescent="0.2">
      <c r="A72" s="194"/>
      <c r="B72" s="194"/>
      <c r="C72" s="194"/>
      <c r="D72" s="42" t="s">
        <v>279</v>
      </c>
      <c r="E72" s="913"/>
      <c r="F72" s="881"/>
      <c r="G72" s="881"/>
      <c r="H72" s="881"/>
      <c r="I72" s="881"/>
      <c r="J72" s="882"/>
      <c r="K72" s="417"/>
      <c r="L72" s="42" t="s">
        <v>258</v>
      </c>
      <c r="M72" s="913"/>
      <c r="N72" s="881"/>
      <c r="O72" s="881"/>
      <c r="P72" s="881"/>
      <c r="Q72" s="881"/>
      <c r="R72" s="882"/>
      <c r="S72" s="43"/>
      <c r="T72" s="43"/>
      <c r="U72" s="43"/>
      <c r="V72" s="43"/>
      <c r="W72" s="43"/>
      <c r="X72" s="43"/>
      <c r="Y72" s="43"/>
      <c r="Z72" s="43"/>
    </row>
    <row r="73" spans="1:26" ht="14.25" hidden="1" outlineLevel="1" x14ac:dyDescent="0.2">
      <c r="A73" s="194"/>
      <c r="B73" s="194"/>
      <c r="C73" s="646"/>
      <c r="D73" s="647"/>
      <c r="E73" s="162"/>
      <c r="F73" s="162"/>
      <c r="G73" s="162"/>
      <c r="H73" s="162"/>
      <c r="I73" s="162"/>
      <c r="J73" s="162"/>
      <c r="K73" s="162"/>
      <c r="L73" s="195"/>
      <c r="M73" s="43"/>
      <c r="N73" s="43"/>
      <c r="O73" s="43"/>
      <c r="P73" s="43"/>
      <c r="Q73" s="43"/>
      <c r="R73" s="43"/>
      <c r="S73" s="43"/>
      <c r="T73" s="43"/>
      <c r="U73" s="43"/>
      <c r="V73" s="43"/>
      <c r="W73" s="43"/>
      <c r="X73" s="43"/>
      <c r="Y73" s="43"/>
      <c r="Z73" s="43"/>
    </row>
    <row r="74" spans="1:26" hidden="1" outlineLevel="1" x14ac:dyDescent="0.2">
      <c r="A74" s="194"/>
      <c r="B74" s="194"/>
      <c r="C74" s="194"/>
      <c r="D74" s="632" t="s">
        <v>51</v>
      </c>
      <c r="E74" s="360"/>
      <c r="F74" s="162"/>
      <c r="G74" s="162"/>
      <c r="H74" s="646"/>
      <c r="I74" s="632" t="s">
        <v>365</v>
      </c>
      <c r="J74" s="360"/>
      <c r="K74" s="162"/>
      <c r="L74" s="195"/>
      <c r="M74" s="43"/>
      <c r="N74" s="43"/>
      <c r="O74" s="43"/>
      <c r="P74" s="43"/>
      <c r="Q74" s="43"/>
      <c r="R74" s="43"/>
      <c r="S74" s="43"/>
      <c r="T74" s="43"/>
      <c r="U74" s="43"/>
      <c r="V74" s="43"/>
      <c r="W74" s="43"/>
      <c r="X74" s="43"/>
      <c r="Y74" s="43"/>
      <c r="Z74" s="43"/>
    </row>
    <row r="75" spans="1:26" hidden="1" outlineLevel="1" x14ac:dyDescent="0.2">
      <c r="A75" s="194"/>
      <c r="B75" s="194"/>
      <c r="C75" s="194"/>
      <c r="D75" s="162"/>
      <c r="E75" s="162"/>
      <c r="F75" s="162"/>
      <c r="G75" s="162"/>
      <c r="H75" s="162"/>
      <c r="I75" s="162"/>
      <c r="J75" s="162"/>
      <c r="K75" s="162"/>
      <c r="L75" s="195"/>
      <c r="M75" s="43"/>
      <c r="N75" s="43"/>
      <c r="O75" s="43"/>
      <c r="P75" s="43"/>
      <c r="Q75" s="43"/>
      <c r="R75" s="43"/>
      <c r="S75" s="43"/>
      <c r="T75" s="43"/>
      <c r="U75" s="43"/>
      <c r="V75" s="43"/>
      <c r="W75" s="43"/>
      <c r="X75" s="43"/>
      <c r="Y75" s="43"/>
      <c r="Z75" s="43"/>
    </row>
    <row r="76" spans="1:26" hidden="1" outlineLevel="1" x14ac:dyDescent="0.2">
      <c r="A76" s="194"/>
      <c r="B76" s="194"/>
      <c r="C76" s="194"/>
      <c r="D76" s="162"/>
      <c r="E76" s="616" t="s">
        <v>255</v>
      </c>
      <c r="F76" s="162"/>
      <c r="G76" s="162"/>
      <c r="H76" s="162"/>
      <c r="I76" s="162"/>
      <c r="J76" s="162"/>
      <c r="K76" s="162"/>
      <c r="L76" s="195"/>
      <c r="M76" s="43"/>
      <c r="N76" s="43"/>
      <c r="O76" s="43"/>
      <c r="P76" s="43"/>
      <c r="Q76" s="43"/>
      <c r="R76" s="43"/>
      <c r="S76" s="43"/>
      <c r="T76" s="43"/>
      <c r="U76" s="43"/>
      <c r="V76" s="43"/>
      <c r="W76" s="43"/>
      <c r="X76" s="43"/>
      <c r="Y76" s="43"/>
      <c r="Z76" s="43"/>
    </row>
    <row r="77" spans="1:26" hidden="1" outlineLevel="1" x14ac:dyDescent="0.2">
      <c r="A77" s="194"/>
      <c r="B77" s="194"/>
      <c r="C77" s="194"/>
      <c r="D77" s="162"/>
      <c r="E77" s="78">
        <f>IF(J74&lt;&gt;"",J74,FirstYear)</f>
        <v>2021</v>
      </c>
      <c r="F77" s="630">
        <f>E77+1</f>
        <v>2022</v>
      </c>
      <c r="G77" s="630">
        <f>F77+1</f>
        <v>2023</v>
      </c>
      <c r="H77" s="630">
        <f>G77+1</f>
        <v>2024</v>
      </c>
      <c r="I77" s="630">
        <f>H77+1</f>
        <v>2025</v>
      </c>
      <c r="J77" s="630">
        <f>I77+1</f>
        <v>2026</v>
      </c>
      <c r="K77" s="162"/>
      <c r="L77" s="195"/>
      <c r="M77" s="43"/>
      <c r="N77" s="43"/>
      <c r="O77" s="43"/>
      <c r="P77" s="43"/>
      <c r="Q77" s="43"/>
      <c r="R77" s="43"/>
      <c r="S77" s="43"/>
      <c r="T77" s="43"/>
      <c r="U77" s="43"/>
      <c r="V77" s="43"/>
      <c r="W77" s="43"/>
      <c r="X77" s="43"/>
      <c r="Y77" s="43"/>
      <c r="Z77" s="43"/>
    </row>
    <row r="78" spans="1:26" hidden="1" outlineLevel="1" x14ac:dyDescent="0.2">
      <c r="A78" s="194"/>
      <c r="B78" s="194"/>
      <c r="C78" s="194"/>
      <c r="D78" s="162"/>
      <c r="E78" s="63">
        <f t="shared" ref="E78:J78" si="19">IF($B$70&lt;&gt;0,VLOOKUP($B$70,$C$82:$J$84,E79),0)</f>
        <v>0</v>
      </c>
      <c r="F78" s="63">
        <f t="shared" si="19"/>
        <v>0</v>
      </c>
      <c r="G78" s="63">
        <f t="shared" si="19"/>
        <v>0</v>
      </c>
      <c r="H78" s="63">
        <f t="shared" si="19"/>
        <v>0</v>
      </c>
      <c r="I78" s="63">
        <f t="shared" si="19"/>
        <v>0</v>
      </c>
      <c r="J78" s="63">
        <f t="shared" si="19"/>
        <v>0</v>
      </c>
      <c r="K78" s="162"/>
      <c r="L78" s="195"/>
      <c r="M78" s="43"/>
      <c r="N78" s="43"/>
      <c r="O78" s="43"/>
      <c r="P78" s="43"/>
      <c r="Q78" s="43"/>
      <c r="R78" s="43"/>
      <c r="S78" s="43"/>
      <c r="T78" s="43"/>
      <c r="U78" s="43"/>
      <c r="V78" s="43"/>
      <c r="W78" s="43"/>
      <c r="X78" s="43"/>
      <c r="Y78" s="43"/>
      <c r="Z78" s="43"/>
    </row>
    <row r="79" spans="1:26" hidden="1" outlineLevel="1" x14ac:dyDescent="0.2">
      <c r="A79" s="194"/>
      <c r="B79" s="194"/>
      <c r="C79" s="194"/>
      <c r="D79" s="162"/>
      <c r="E79" s="176">
        <v>3</v>
      </c>
      <c r="F79" s="176">
        <v>4</v>
      </c>
      <c r="G79" s="176">
        <v>5</v>
      </c>
      <c r="H79" s="176">
        <v>6</v>
      </c>
      <c r="I79" s="176">
        <v>7</v>
      </c>
      <c r="J79" s="176">
        <v>8</v>
      </c>
      <c r="K79" s="162"/>
      <c r="L79" s="195"/>
      <c r="M79" s="43"/>
      <c r="N79" s="43"/>
      <c r="O79" s="43"/>
      <c r="P79" s="43"/>
      <c r="Q79" s="43"/>
      <c r="R79" s="43"/>
      <c r="S79" s="43"/>
      <c r="T79" s="43"/>
      <c r="U79" s="43"/>
      <c r="V79" s="43"/>
      <c r="W79" s="43"/>
      <c r="X79" s="43"/>
      <c r="Y79" s="43"/>
      <c r="Z79" s="43"/>
    </row>
    <row r="80" spans="1:26" hidden="1" outlineLevel="1" x14ac:dyDescent="0.2">
      <c r="A80" s="194"/>
      <c r="B80" s="194"/>
      <c r="C80" s="194"/>
      <c r="D80" s="31" t="s">
        <v>324</v>
      </c>
      <c r="E80" s="78">
        <f t="shared" ref="E80:J80" si="20">E77</f>
        <v>2021</v>
      </c>
      <c r="F80" s="78">
        <f t="shared" si="20"/>
        <v>2022</v>
      </c>
      <c r="G80" s="78">
        <f t="shared" si="20"/>
        <v>2023</v>
      </c>
      <c r="H80" s="78">
        <f t="shared" si="20"/>
        <v>2024</v>
      </c>
      <c r="I80" s="78">
        <f t="shared" si="20"/>
        <v>2025</v>
      </c>
      <c r="J80" s="78">
        <f t="shared" si="20"/>
        <v>2026</v>
      </c>
      <c r="K80" s="162"/>
      <c r="L80" s="194"/>
      <c r="M80" s="44"/>
      <c r="N80" s="44"/>
      <c r="O80" s="44"/>
      <c r="P80" s="44"/>
      <c r="Q80" s="44"/>
      <c r="R80" s="44"/>
      <c r="S80" s="44"/>
      <c r="T80" s="44"/>
      <c r="U80" s="44"/>
      <c r="V80" s="44"/>
      <c r="W80" s="44"/>
      <c r="X80" s="44"/>
      <c r="Y80" s="44"/>
      <c r="Z80" s="44"/>
    </row>
    <row r="81" spans="1:26" hidden="1" outlineLevel="1" x14ac:dyDescent="0.2">
      <c r="A81" s="194"/>
      <c r="B81" s="194"/>
      <c r="C81" s="416"/>
      <c r="D81" s="177" t="s">
        <v>240</v>
      </c>
      <c r="E81" s="63">
        <f t="shared" ref="E81:J81" si="21">IF(OR(E82="",E82=0),SUM(E83:E84),E82)</f>
        <v>0</v>
      </c>
      <c r="F81" s="63">
        <f t="shared" si="21"/>
        <v>0</v>
      </c>
      <c r="G81" s="63">
        <f t="shared" si="21"/>
        <v>0</v>
      </c>
      <c r="H81" s="63">
        <f t="shared" si="21"/>
        <v>0</v>
      </c>
      <c r="I81" s="63">
        <f t="shared" si="21"/>
        <v>0</v>
      </c>
      <c r="J81" s="63">
        <f t="shared" si="21"/>
        <v>0</v>
      </c>
      <c r="K81" s="162"/>
      <c r="L81" s="194"/>
      <c r="M81" s="44"/>
      <c r="N81" s="44"/>
      <c r="O81" s="44"/>
      <c r="P81" s="44"/>
      <c r="Q81" s="44"/>
      <c r="R81" s="44"/>
      <c r="S81" s="44"/>
      <c r="T81" s="44"/>
      <c r="U81" s="44"/>
      <c r="V81" s="44"/>
      <c r="W81" s="44"/>
      <c r="X81" s="44"/>
      <c r="Y81" s="44"/>
      <c r="Z81" s="44"/>
    </row>
    <row r="82" spans="1:26" hidden="1" outlineLevel="1" x14ac:dyDescent="0.2">
      <c r="A82" s="194"/>
      <c r="B82" s="194"/>
      <c r="C82" s="58">
        <v>1</v>
      </c>
      <c r="D82" s="177" t="s">
        <v>366</v>
      </c>
      <c r="E82" s="430"/>
      <c r="F82" s="430"/>
      <c r="G82" s="430"/>
      <c r="H82" s="430"/>
      <c r="I82" s="430"/>
      <c r="J82" s="430"/>
      <c r="K82" s="162"/>
      <c r="L82" s="194"/>
      <c r="M82" s="44"/>
      <c r="N82" s="44"/>
      <c r="O82" s="44"/>
      <c r="P82" s="44"/>
      <c r="Q82" s="44"/>
      <c r="R82" s="44"/>
      <c r="S82" s="44"/>
      <c r="T82" s="44"/>
      <c r="U82" s="44"/>
      <c r="V82" s="44"/>
      <c r="W82" s="44"/>
      <c r="X82" s="44"/>
      <c r="Y82" s="44"/>
      <c r="Z82" s="44"/>
    </row>
    <row r="83" spans="1:26" hidden="1" outlineLevel="1" x14ac:dyDescent="0.2">
      <c r="A83" s="194"/>
      <c r="B83" s="194"/>
      <c r="C83" s="58">
        <v>2</v>
      </c>
      <c r="D83" s="177" t="s">
        <v>243</v>
      </c>
      <c r="E83" s="430"/>
      <c r="F83" s="430"/>
      <c r="G83" s="430"/>
      <c r="H83" s="430"/>
      <c r="I83" s="430"/>
      <c r="J83" s="430"/>
      <c r="K83" s="162"/>
      <c r="L83" s="194"/>
      <c r="M83" s="44"/>
      <c r="N83" s="44"/>
      <c r="O83" s="44"/>
      <c r="P83" s="44"/>
      <c r="Q83" s="44"/>
      <c r="R83" s="44"/>
      <c r="S83" s="44"/>
      <c r="T83" s="44"/>
      <c r="U83" s="44"/>
      <c r="V83" s="44"/>
      <c r="W83" s="44"/>
      <c r="X83" s="44"/>
      <c r="Y83" s="44"/>
      <c r="Z83" s="44"/>
    </row>
    <row r="84" spans="1:26" hidden="1" outlineLevel="1" x14ac:dyDescent="0.2">
      <c r="A84" s="194"/>
      <c r="B84" s="194"/>
      <c r="C84" s="58">
        <v>3</v>
      </c>
      <c r="D84" s="177" t="s">
        <v>244</v>
      </c>
      <c r="E84" s="427"/>
      <c r="F84" s="427"/>
      <c r="G84" s="427"/>
      <c r="H84" s="427"/>
      <c r="I84" s="427"/>
      <c r="J84" s="427"/>
      <c r="K84" s="162"/>
      <c r="L84" s="194"/>
      <c r="M84" s="44"/>
      <c r="N84" s="44"/>
      <c r="O84" s="44"/>
      <c r="P84" s="44"/>
      <c r="Q84" s="44"/>
      <c r="R84" s="44"/>
      <c r="S84" s="44"/>
      <c r="T84" s="44"/>
      <c r="U84" s="44"/>
      <c r="V84" s="44"/>
      <c r="W84" s="44"/>
      <c r="X84" s="44"/>
      <c r="Y84" s="44"/>
      <c r="Z84" s="44"/>
    </row>
    <row r="85" spans="1:26" hidden="1" outlineLevel="1" x14ac:dyDescent="0.2">
      <c r="A85" s="194"/>
      <c r="B85" s="194"/>
      <c r="C85" s="646"/>
      <c r="D85" s="162"/>
      <c r="E85" s="162"/>
      <c r="F85" s="162"/>
      <c r="G85" s="162"/>
      <c r="H85" s="162"/>
      <c r="I85" s="162"/>
      <c r="J85" s="162"/>
      <c r="K85" s="162"/>
      <c r="L85" s="194"/>
      <c r="M85" s="44"/>
      <c r="N85" s="44"/>
      <c r="O85" s="44"/>
      <c r="P85" s="44"/>
      <c r="Q85" s="44"/>
      <c r="R85" s="44"/>
      <c r="S85" s="44"/>
      <c r="T85" s="44"/>
      <c r="U85" s="44"/>
      <c r="V85" s="44"/>
      <c r="W85" s="44"/>
      <c r="X85" s="44"/>
      <c r="Y85" s="44"/>
      <c r="Z85" s="44"/>
    </row>
    <row r="86" spans="1:26" collapsed="1" x14ac:dyDescent="0.2">
      <c r="A86" s="194"/>
      <c r="B86" s="194"/>
      <c r="C86" s="646"/>
      <c r="D86" s="162"/>
      <c r="E86" s="162"/>
      <c r="F86" s="162"/>
      <c r="G86" s="162"/>
      <c r="H86" s="162"/>
      <c r="I86" s="162"/>
      <c r="J86" s="162"/>
      <c r="K86" s="162"/>
      <c r="L86" s="194"/>
      <c r="M86" s="44"/>
      <c r="N86" s="44"/>
      <c r="O86" s="44"/>
      <c r="P86" s="44"/>
      <c r="Q86" s="44"/>
      <c r="R86" s="44"/>
      <c r="S86" s="44"/>
      <c r="T86" s="44"/>
      <c r="U86" s="44"/>
      <c r="V86" s="44"/>
      <c r="W86" s="44"/>
      <c r="X86" s="44"/>
      <c r="Y86" s="44"/>
      <c r="Z86" s="44"/>
    </row>
    <row r="87" spans="1:26" ht="15.75" x14ac:dyDescent="0.2">
      <c r="A87" s="194"/>
      <c r="B87" s="242">
        <f>IF(E91&lt;&gt;"",VLOOKUP(E91,GenderCode,2,FALSE),0)</f>
        <v>0</v>
      </c>
      <c r="C87" s="242">
        <v>5</v>
      </c>
      <c r="D87" s="79" t="str">
        <f>IF(B87=0,MsgNotUsed, CONCATENATE("Other ", C87, ": ", E89,": ", E91, " (", E94, "-", J94, ")"))</f>
        <v>** NOT USED **</v>
      </c>
      <c r="E87" s="127"/>
      <c r="F87" s="127"/>
      <c r="G87" s="127"/>
      <c r="H87" s="127"/>
      <c r="I87" s="175"/>
      <c r="J87" s="127"/>
      <c r="K87" s="127"/>
      <c r="L87" s="127"/>
      <c r="M87" s="260"/>
      <c r="N87" s="260"/>
      <c r="O87" s="260"/>
      <c r="P87" s="260"/>
      <c r="Q87" s="260"/>
      <c r="R87" s="260"/>
      <c r="S87" s="260"/>
      <c r="T87" s="260"/>
      <c r="U87" s="260"/>
      <c r="V87" s="260"/>
      <c r="W87" s="260"/>
      <c r="X87" s="260"/>
      <c r="Y87" s="260"/>
      <c r="Z87" s="260"/>
    </row>
    <row r="88" spans="1:26" hidden="1" outlineLevel="1" x14ac:dyDescent="0.2">
      <c r="A88" s="194"/>
      <c r="B88" s="194"/>
      <c r="C88" s="194"/>
      <c r="D88" s="195"/>
      <c r="E88" s="195"/>
      <c r="F88" s="195"/>
      <c r="G88" s="195"/>
      <c r="H88" s="195"/>
      <c r="I88" s="195"/>
      <c r="J88" s="195"/>
      <c r="K88" s="195"/>
      <c r="L88" s="195"/>
      <c r="M88" s="43"/>
      <c r="N88" s="43"/>
      <c r="O88" s="43"/>
      <c r="P88" s="43"/>
      <c r="Q88" s="43"/>
      <c r="R88" s="43"/>
      <c r="S88" s="43"/>
      <c r="T88" s="43"/>
      <c r="U88" s="43"/>
      <c r="V88" s="43"/>
      <c r="W88" s="43"/>
      <c r="X88" s="43"/>
      <c r="Y88" s="43"/>
      <c r="Z88" s="43"/>
    </row>
    <row r="89" spans="1:26" hidden="1" outlineLevel="1" x14ac:dyDescent="0.2">
      <c r="A89" s="194"/>
      <c r="B89" s="194"/>
      <c r="C89" s="194"/>
      <c r="D89" s="42" t="s">
        <v>279</v>
      </c>
      <c r="E89" s="913"/>
      <c r="F89" s="881"/>
      <c r="G89" s="881"/>
      <c r="H89" s="881"/>
      <c r="I89" s="881"/>
      <c r="J89" s="882"/>
      <c r="K89" s="417"/>
      <c r="L89" s="42" t="s">
        <v>258</v>
      </c>
      <c r="M89" s="913"/>
      <c r="N89" s="881"/>
      <c r="O89" s="881"/>
      <c r="P89" s="881"/>
      <c r="Q89" s="881"/>
      <c r="R89" s="882"/>
      <c r="S89" s="43"/>
      <c r="T89" s="43"/>
      <c r="U89" s="43"/>
      <c r="V89" s="43"/>
      <c r="W89" s="43"/>
      <c r="X89" s="43"/>
      <c r="Y89" s="43"/>
      <c r="Z89" s="43"/>
    </row>
    <row r="90" spans="1:26" ht="14.25" hidden="1" outlineLevel="1" x14ac:dyDescent="0.2">
      <c r="A90" s="194"/>
      <c r="B90" s="194"/>
      <c r="C90" s="646"/>
      <c r="D90" s="647"/>
      <c r="E90" s="162"/>
      <c r="F90" s="162"/>
      <c r="G90" s="162"/>
      <c r="H90" s="162"/>
      <c r="I90" s="162"/>
      <c r="J90" s="162"/>
      <c r="K90" s="162"/>
      <c r="L90" s="195"/>
      <c r="M90" s="43"/>
      <c r="N90" s="43"/>
      <c r="O90" s="43"/>
      <c r="P90" s="43"/>
      <c r="Q90" s="43"/>
      <c r="R90" s="43"/>
      <c r="S90" s="43"/>
      <c r="T90" s="43"/>
      <c r="U90" s="43"/>
      <c r="V90" s="43"/>
      <c r="W90" s="43"/>
      <c r="X90" s="43"/>
      <c r="Y90" s="43"/>
      <c r="Z90" s="43"/>
    </row>
    <row r="91" spans="1:26" hidden="1" outlineLevel="1" x14ac:dyDescent="0.2">
      <c r="A91" s="194"/>
      <c r="B91" s="194"/>
      <c r="C91" s="194"/>
      <c r="D91" s="632" t="s">
        <v>51</v>
      </c>
      <c r="E91" s="360"/>
      <c r="F91" s="162"/>
      <c r="G91" s="162"/>
      <c r="H91" s="646"/>
      <c r="I91" s="632" t="s">
        <v>365</v>
      </c>
      <c r="J91" s="360"/>
      <c r="K91" s="162"/>
      <c r="L91" s="195"/>
      <c r="M91" s="43"/>
      <c r="N91" s="43"/>
      <c r="O91" s="43"/>
      <c r="P91" s="43"/>
      <c r="Q91" s="43"/>
      <c r="R91" s="43"/>
      <c r="S91" s="43"/>
      <c r="T91" s="43"/>
      <c r="U91" s="43"/>
      <c r="V91" s="43"/>
      <c r="W91" s="43"/>
      <c r="X91" s="43"/>
      <c r="Y91" s="43"/>
      <c r="Z91" s="43"/>
    </row>
    <row r="92" spans="1:26" hidden="1" outlineLevel="1" x14ac:dyDescent="0.2">
      <c r="A92" s="194"/>
      <c r="B92" s="194"/>
      <c r="C92" s="194"/>
      <c r="D92" s="162"/>
      <c r="E92" s="162"/>
      <c r="F92" s="162"/>
      <c r="G92" s="162"/>
      <c r="H92" s="162"/>
      <c r="I92" s="162"/>
      <c r="J92" s="162"/>
      <c r="K92" s="162"/>
      <c r="L92" s="195"/>
      <c r="M92" s="43"/>
      <c r="N92" s="43"/>
      <c r="O92" s="43"/>
      <c r="P92" s="43"/>
      <c r="Q92" s="43"/>
      <c r="R92" s="43"/>
      <c r="S92" s="43"/>
      <c r="T92" s="43"/>
      <c r="U92" s="43"/>
      <c r="V92" s="43"/>
      <c r="W92" s="43"/>
      <c r="X92" s="43"/>
      <c r="Y92" s="43"/>
      <c r="Z92" s="43"/>
    </row>
    <row r="93" spans="1:26" hidden="1" outlineLevel="1" x14ac:dyDescent="0.2">
      <c r="A93" s="194"/>
      <c r="B93" s="194"/>
      <c r="C93" s="194"/>
      <c r="D93" s="162"/>
      <c r="E93" s="616" t="s">
        <v>255</v>
      </c>
      <c r="F93" s="162"/>
      <c r="G93" s="162"/>
      <c r="H93" s="162"/>
      <c r="I93" s="162"/>
      <c r="J93" s="162"/>
      <c r="K93" s="162"/>
      <c r="L93" s="195"/>
      <c r="M93" s="43"/>
      <c r="N93" s="43"/>
      <c r="O93" s="43"/>
      <c r="P93" s="43"/>
      <c r="Q93" s="43"/>
      <c r="R93" s="43"/>
      <c r="S93" s="43"/>
      <c r="T93" s="43"/>
      <c r="U93" s="43"/>
      <c r="V93" s="43"/>
      <c r="W93" s="43"/>
      <c r="X93" s="43"/>
      <c r="Y93" s="43"/>
      <c r="Z93" s="43"/>
    </row>
    <row r="94" spans="1:26" hidden="1" outlineLevel="1" x14ac:dyDescent="0.2">
      <c r="A94" s="194"/>
      <c r="B94" s="194"/>
      <c r="C94" s="194"/>
      <c r="D94" s="162"/>
      <c r="E94" s="78">
        <f>IF(J91&lt;&gt;"",J91,FirstYear)</f>
        <v>2021</v>
      </c>
      <c r="F94" s="630">
        <f>E94+1</f>
        <v>2022</v>
      </c>
      <c r="G94" s="630">
        <f>F94+1</f>
        <v>2023</v>
      </c>
      <c r="H94" s="630">
        <f>G94+1</f>
        <v>2024</v>
      </c>
      <c r="I94" s="630">
        <f>H94+1</f>
        <v>2025</v>
      </c>
      <c r="J94" s="630">
        <f>I94+1</f>
        <v>2026</v>
      </c>
      <c r="K94" s="162"/>
      <c r="L94" s="195"/>
      <c r="M94" s="43"/>
      <c r="N94" s="43"/>
      <c r="O94" s="43"/>
      <c r="P94" s="43"/>
      <c r="Q94" s="43"/>
      <c r="R94" s="43"/>
      <c r="S94" s="43"/>
      <c r="T94" s="43"/>
      <c r="U94" s="43"/>
      <c r="V94" s="43"/>
      <c r="W94" s="43"/>
      <c r="X94" s="43"/>
      <c r="Y94" s="43"/>
      <c r="Z94" s="43"/>
    </row>
    <row r="95" spans="1:26" hidden="1" outlineLevel="1" x14ac:dyDescent="0.2">
      <c r="A95" s="194"/>
      <c r="B95" s="194"/>
      <c r="C95" s="194"/>
      <c r="D95" s="162"/>
      <c r="E95" s="63">
        <f t="shared" ref="E95:J95" si="22">IF($B$87&lt;&gt;0,VLOOKUP($B$87,$C$99:$J$101,E96),0)</f>
        <v>0</v>
      </c>
      <c r="F95" s="63">
        <f t="shared" si="22"/>
        <v>0</v>
      </c>
      <c r="G95" s="63">
        <f t="shared" si="22"/>
        <v>0</v>
      </c>
      <c r="H95" s="63">
        <f t="shared" si="22"/>
        <v>0</v>
      </c>
      <c r="I95" s="63">
        <f t="shared" si="22"/>
        <v>0</v>
      </c>
      <c r="J95" s="63">
        <f t="shared" si="22"/>
        <v>0</v>
      </c>
      <c r="K95" s="162"/>
      <c r="L95" s="195"/>
      <c r="M95" s="43"/>
      <c r="N95" s="43"/>
      <c r="O95" s="43"/>
      <c r="P95" s="43"/>
      <c r="Q95" s="43"/>
      <c r="R95" s="43"/>
      <c r="S95" s="43"/>
      <c r="T95" s="43"/>
      <c r="U95" s="43"/>
      <c r="V95" s="43"/>
      <c r="W95" s="43"/>
      <c r="X95" s="43"/>
      <c r="Y95" s="43"/>
      <c r="Z95" s="43"/>
    </row>
    <row r="96" spans="1:26" hidden="1" outlineLevel="1" x14ac:dyDescent="0.2">
      <c r="A96" s="194"/>
      <c r="B96" s="194"/>
      <c r="C96" s="194"/>
      <c r="D96" s="162"/>
      <c r="E96" s="176">
        <v>3</v>
      </c>
      <c r="F96" s="176">
        <v>4</v>
      </c>
      <c r="G96" s="176">
        <v>5</v>
      </c>
      <c r="H96" s="176">
        <v>6</v>
      </c>
      <c r="I96" s="176">
        <v>7</v>
      </c>
      <c r="J96" s="176">
        <v>8</v>
      </c>
      <c r="K96" s="162"/>
      <c r="L96" s="195"/>
      <c r="M96" s="43"/>
      <c r="N96" s="43"/>
      <c r="O96" s="43"/>
      <c r="P96" s="43"/>
      <c r="Q96" s="43"/>
      <c r="R96" s="43"/>
      <c r="S96" s="43"/>
      <c r="T96" s="43"/>
      <c r="U96" s="43"/>
      <c r="V96" s="43"/>
      <c r="W96" s="43"/>
      <c r="X96" s="43"/>
      <c r="Y96" s="43"/>
      <c r="Z96" s="43"/>
    </row>
    <row r="97" spans="1:26" hidden="1" outlineLevel="1" x14ac:dyDescent="0.2">
      <c r="A97" s="194"/>
      <c r="B97" s="194"/>
      <c r="C97" s="194"/>
      <c r="D97" s="31" t="s">
        <v>324</v>
      </c>
      <c r="E97" s="78">
        <f t="shared" ref="E97:J97" si="23">E94</f>
        <v>2021</v>
      </c>
      <c r="F97" s="78">
        <f t="shared" si="23"/>
        <v>2022</v>
      </c>
      <c r="G97" s="78">
        <f t="shared" si="23"/>
        <v>2023</v>
      </c>
      <c r="H97" s="78">
        <f t="shared" si="23"/>
        <v>2024</v>
      </c>
      <c r="I97" s="78">
        <f t="shared" si="23"/>
        <v>2025</v>
      </c>
      <c r="J97" s="78">
        <f t="shared" si="23"/>
        <v>2026</v>
      </c>
      <c r="K97" s="162"/>
      <c r="L97" s="194"/>
      <c r="M97" s="44"/>
      <c r="N97" s="44"/>
      <c r="O97" s="44"/>
      <c r="P97" s="44"/>
      <c r="Q97" s="44"/>
      <c r="R97" s="44"/>
      <c r="S97" s="44"/>
      <c r="T97" s="44"/>
      <c r="U97" s="44"/>
      <c r="V97" s="44"/>
      <c r="W97" s="44"/>
      <c r="X97" s="44"/>
      <c r="Y97" s="44"/>
      <c r="Z97" s="44"/>
    </row>
    <row r="98" spans="1:26" hidden="1" outlineLevel="1" x14ac:dyDescent="0.2">
      <c r="A98" s="194"/>
      <c r="B98" s="194"/>
      <c r="C98" s="416"/>
      <c r="D98" s="177" t="s">
        <v>240</v>
      </c>
      <c r="E98" s="63">
        <f t="shared" ref="E98:J98" si="24">IF(OR(E99="",E99=0),SUM(E100:E101),E99)</f>
        <v>0</v>
      </c>
      <c r="F98" s="63">
        <f t="shared" si="24"/>
        <v>0</v>
      </c>
      <c r="G98" s="63">
        <f t="shared" si="24"/>
        <v>0</v>
      </c>
      <c r="H98" s="63">
        <f t="shared" si="24"/>
        <v>0</v>
      </c>
      <c r="I98" s="63">
        <f t="shared" si="24"/>
        <v>0</v>
      </c>
      <c r="J98" s="63">
        <f t="shared" si="24"/>
        <v>0</v>
      </c>
      <c r="K98" s="162"/>
      <c r="L98" s="194"/>
      <c r="M98" s="44"/>
      <c r="N98" s="44"/>
      <c r="O98" s="44"/>
      <c r="P98" s="44"/>
      <c r="Q98" s="44"/>
      <c r="R98" s="44"/>
      <c r="S98" s="44"/>
      <c r="T98" s="44"/>
      <c r="U98" s="44"/>
      <c r="V98" s="44"/>
      <c r="W98" s="44"/>
      <c r="X98" s="44"/>
      <c r="Y98" s="44"/>
      <c r="Z98" s="44"/>
    </row>
    <row r="99" spans="1:26" hidden="1" outlineLevel="1" x14ac:dyDescent="0.2">
      <c r="A99" s="194"/>
      <c r="B99" s="194"/>
      <c r="C99" s="58">
        <v>1</v>
      </c>
      <c r="D99" s="177" t="s">
        <v>366</v>
      </c>
      <c r="E99" s="430"/>
      <c r="F99" s="430"/>
      <c r="G99" s="430"/>
      <c r="H99" s="430"/>
      <c r="I99" s="430"/>
      <c r="J99" s="430"/>
      <c r="K99" s="162"/>
      <c r="L99" s="194"/>
      <c r="M99" s="44"/>
      <c r="N99" s="44"/>
      <c r="O99" s="44"/>
      <c r="P99" s="44"/>
      <c r="Q99" s="44"/>
      <c r="R99" s="44"/>
      <c r="S99" s="44"/>
      <c r="T99" s="44"/>
      <c r="U99" s="44"/>
      <c r="V99" s="44"/>
      <c r="W99" s="44"/>
      <c r="X99" s="44"/>
      <c r="Y99" s="44"/>
      <c r="Z99" s="44"/>
    </row>
    <row r="100" spans="1:26" hidden="1" outlineLevel="1" x14ac:dyDescent="0.2">
      <c r="A100" s="194"/>
      <c r="B100" s="194"/>
      <c r="C100" s="58">
        <v>2</v>
      </c>
      <c r="D100" s="177" t="s">
        <v>243</v>
      </c>
      <c r="E100" s="430"/>
      <c r="F100" s="430"/>
      <c r="G100" s="430"/>
      <c r="H100" s="430"/>
      <c r="I100" s="430"/>
      <c r="J100" s="430"/>
      <c r="K100" s="162"/>
      <c r="L100" s="194"/>
      <c r="M100" s="44"/>
      <c r="N100" s="44"/>
      <c r="O100" s="44"/>
      <c r="P100" s="44"/>
      <c r="Q100" s="44"/>
      <c r="R100" s="44"/>
      <c r="S100" s="44"/>
      <c r="T100" s="44"/>
      <c r="U100" s="44"/>
      <c r="V100" s="44"/>
      <c r="W100" s="44"/>
      <c r="X100" s="44"/>
      <c r="Y100" s="44"/>
      <c r="Z100" s="44"/>
    </row>
    <row r="101" spans="1:26" hidden="1" outlineLevel="1" x14ac:dyDescent="0.2">
      <c r="A101" s="194"/>
      <c r="B101" s="194"/>
      <c r="C101" s="58">
        <v>3</v>
      </c>
      <c r="D101" s="177" t="s">
        <v>244</v>
      </c>
      <c r="E101" s="427"/>
      <c r="F101" s="427"/>
      <c r="G101" s="427"/>
      <c r="H101" s="427"/>
      <c r="I101" s="427"/>
      <c r="J101" s="427"/>
      <c r="K101" s="162"/>
      <c r="L101" s="194"/>
      <c r="M101" s="44"/>
      <c r="N101" s="44"/>
      <c r="O101" s="44"/>
      <c r="P101" s="44"/>
      <c r="Q101" s="44"/>
      <c r="R101" s="44"/>
      <c r="S101" s="44"/>
      <c r="T101" s="44"/>
      <c r="U101" s="44"/>
      <c r="V101" s="44"/>
      <c r="W101" s="44"/>
      <c r="X101" s="44"/>
      <c r="Y101" s="44"/>
      <c r="Z101" s="44"/>
    </row>
    <row r="102" spans="1:26" hidden="1" outlineLevel="1" x14ac:dyDescent="0.2">
      <c r="A102" s="194"/>
      <c r="B102" s="194"/>
      <c r="C102" s="646"/>
      <c r="D102" s="162"/>
      <c r="E102" s="162"/>
      <c r="F102" s="162"/>
      <c r="G102" s="162"/>
      <c r="H102" s="162"/>
      <c r="I102" s="162"/>
      <c r="J102" s="162"/>
      <c r="K102" s="162"/>
      <c r="L102" s="194"/>
      <c r="M102" s="44"/>
      <c r="N102" s="44"/>
      <c r="O102" s="44"/>
      <c r="P102" s="44"/>
      <c r="Q102" s="44"/>
      <c r="R102" s="44"/>
      <c r="S102" s="44"/>
      <c r="T102" s="44"/>
      <c r="U102" s="44"/>
      <c r="V102" s="44"/>
      <c r="W102" s="44"/>
      <c r="X102" s="44"/>
      <c r="Y102" s="44"/>
      <c r="Z102" s="44"/>
    </row>
    <row r="103" spans="1:26" collapsed="1" x14ac:dyDescent="0.2">
      <c r="A103" s="194"/>
      <c r="B103" s="194"/>
      <c r="C103" s="646"/>
      <c r="D103" s="162"/>
      <c r="E103" s="162"/>
      <c r="F103" s="162"/>
      <c r="G103" s="162"/>
      <c r="H103" s="162"/>
      <c r="I103" s="162"/>
      <c r="J103" s="162"/>
      <c r="K103" s="162"/>
      <c r="L103" s="194"/>
      <c r="M103" s="44"/>
      <c r="N103" s="44"/>
      <c r="O103" s="44"/>
      <c r="P103" s="44"/>
      <c r="Q103" s="44"/>
      <c r="R103" s="44"/>
      <c r="S103" s="44"/>
      <c r="T103" s="44"/>
      <c r="U103" s="44"/>
      <c r="V103" s="44"/>
      <c r="W103" s="44"/>
      <c r="X103" s="44"/>
      <c r="Y103" s="44"/>
      <c r="Z103" s="44"/>
    </row>
    <row r="104" spans="1:26" ht="15.75" x14ac:dyDescent="0.2">
      <c r="A104" s="194"/>
      <c r="B104" s="242">
        <f>IF(E108&lt;&gt;"",VLOOKUP(E108,GenderCode,2,FALSE),0)</f>
        <v>0</v>
      </c>
      <c r="C104" s="242">
        <v>6</v>
      </c>
      <c r="D104" s="79" t="str">
        <f>IF(B104=0,MsgNotUsed, CONCATENATE("Other ", C104, ": ", E106,": ", E108, " (", E111, "-", J111, ")"))</f>
        <v>** NOT USED **</v>
      </c>
      <c r="E104" s="127"/>
      <c r="F104" s="127"/>
      <c r="G104" s="127"/>
      <c r="H104" s="127"/>
      <c r="I104" s="175"/>
      <c r="J104" s="127"/>
      <c r="K104" s="127"/>
      <c r="L104" s="127"/>
      <c r="M104" s="260"/>
      <c r="N104" s="260"/>
      <c r="O104" s="260"/>
      <c r="P104" s="260"/>
      <c r="Q104" s="260"/>
      <c r="R104" s="260"/>
      <c r="S104" s="260"/>
      <c r="T104" s="260"/>
      <c r="U104" s="260"/>
      <c r="V104" s="260"/>
      <c r="W104" s="260"/>
      <c r="X104" s="260"/>
      <c r="Y104" s="260"/>
      <c r="Z104" s="260"/>
    </row>
    <row r="105" spans="1:26" hidden="1" outlineLevel="1" x14ac:dyDescent="0.2">
      <c r="A105" s="194"/>
      <c r="B105" s="194"/>
      <c r="C105" s="194"/>
      <c r="D105" s="195"/>
      <c r="E105" s="195"/>
      <c r="F105" s="195"/>
      <c r="G105" s="195"/>
      <c r="H105" s="195"/>
      <c r="I105" s="195"/>
      <c r="J105" s="195"/>
      <c r="K105" s="195"/>
      <c r="L105" s="195"/>
      <c r="M105" s="43"/>
      <c r="N105" s="43"/>
      <c r="O105" s="43"/>
      <c r="P105" s="43"/>
      <c r="Q105" s="43"/>
      <c r="R105" s="43"/>
      <c r="S105" s="43"/>
      <c r="T105" s="43"/>
      <c r="U105" s="43"/>
      <c r="V105" s="43"/>
      <c r="W105" s="43"/>
      <c r="X105" s="43"/>
      <c r="Y105" s="43"/>
      <c r="Z105" s="43"/>
    </row>
    <row r="106" spans="1:26" hidden="1" outlineLevel="1" x14ac:dyDescent="0.2">
      <c r="A106" s="194"/>
      <c r="B106" s="194"/>
      <c r="C106" s="194"/>
      <c r="D106" s="42" t="s">
        <v>279</v>
      </c>
      <c r="E106" s="913"/>
      <c r="F106" s="881"/>
      <c r="G106" s="881"/>
      <c r="H106" s="881"/>
      <c r="I106" s="881"/>
      <c r="J106" s="882"/>
      <c r="K106" s="417"/>
      <c r="L106" s="42" t="s">
        <v>258</v>
      </c>
      <c r="M106" s="913"/>
      <c r="N106" s="881"/>
      <c r="O106" s="881"/>
      <c r="P106" s="881"/>
      <c r="Q106" s="881"/>
      <c r="R106" s="882"/>
      <c r="S106" s="43"/>
      <c r="T106" s="43"/>
      <c r="U106" s="43"/>
      <c r="V106" s="43"/>
      <c r="W106" s="43"/>
      <c r="X106" s="43"/>
      <c r="Y106" s="43"/>
      <c r="Z106" s="43"/>
    </row>
    <row r="107" spans="1:26" ht="14.25" hidden="1" outlineLevel="1" x14ac:dyDescent="0.2">
      <c r="A107" s="194"/>
      <c r="B107" s="194"/>
      <c r="C107" s="646"/>
      <c r="D107" s="647"/>
      <c r="E107" s="162"/>
      <c r="F107" s="162"/>
      <c r="G107" s="162"/>
      <c r="H107" s="162"/>
      <c r="I107" s="162"/>
      <c r="J107" s="162"/>
      <c r="K107" s="162"/>
      <c r="L107" s="195"/>
      <c r="M107" s="43"/>
      <c r="N107" s="43"/>
      <c r="O107" s="43"/>
      <c r="P107" s="43"/>
      <c r="Q107" s="43"/>
      <c r="R107" s="43"/>
      <c r="S107" s="43"/>
      <c r="T107" s="43"/>
      <c r="U107" s="43"/>
      <c r="V107" s="43"/>
      <c r="W107" s="43"/>
      <c r="X107" s="43"/>
      <c r="Y107" s="43"/>
      <c r="Z107" s="43"/>
    </row>
    <row r="108" spans="1:26" hidden="1" outlineLevel="1" x14ac:dyDescent="0.2">
      <c r="A108" s="194"/>
      <c r="B108" s="194"/>
      <c r="C108" s="194"/>
      <c r="D108" s="632" t="s">
        <v>51</v>
      </c>
      <c r="E108" s="360"/>
      <c r="F108" s="162"/>
      <c r="G108" s="162"/>
      <c r="H108" s="646"/>
      <c r="I108" s="632" t="s">
        <v>365</v>
      </c>
      <c r="J108" s="360"/>
      <c r="K108" s="162"/>
      <c r="L108" s="195"/>
      <c r="M108" s="43"/>
      <c r="N108" s="43"/>
      <c r="O108" s="43"/>
      <c r="P108" s="43"/>
      <c r="Q108" s="43"/>
      <c r="R108" s="43"/>
      <c r="S108" s="43"/>
      <c r="T108" s="43"/>
      <c r="U108" s="43"/>
      <c r="V108" s="43"/>
      <c r="W108" s="43"/>
      <c r="X108" s="43"/>
      <c r="Y108" s="43"/>
      <c r="Z108" s="43"/>
    </row>
    <row r="109" spans="1:26" hidden="1" outlineLevel="1" x14ac:dyDescent="0.2">
      <c r="A109" s="194"/>
      <c r="B109" s="194"/>
      <c r="C109" s="194"/>
      <c r="D109" s="162"/>
      <c r="E109" s="162"/>
      <c r="F109" s="162"/>
      <c r="G109" s="162"/>
      <c r="H109" s="162"/>
      <c r="I109" s="162"/>
      <c r="J109" s="162"/>
      <c r="K109" s="162"/>
      <c r="L109" s="195"/>
      <c r="M109" s="43"/>
      <c r="N109" s="43"/>
      <c r="O109" s="43"/>
      <c r="P109" s="43"/>
      <c r="Q109" s="43"/>
      <c r="R109" s="43"/>
      <c r="S109" s="43"/>
      <c r="T109" s="43"/>
      <c r="U109" s="43"/>
      <c r="V109" s="43"/>
      <c r="W109" s="43"/>
      <c r="X109" s="43"/>
      <c r="Y109" s="43"/>
      <c r="Z109" s="43"/>
    </row>
    <row r="110" spans="1:26" hidden="1" outlineLevel="1" x14ac:dyDescent="0.2">
      <c r="A110" s="194"/>
      <c r="B110" s="194"/>
      <c r="C110" s="194"/>
      <c r="D110" s="162"/>
      <c r="E110" s="616" t="s">
        <v>255</v>
      </c>
      <c r="F110" s="162"/>
      <c r="G110" s="162"/>
      <c r="H110" s="162"/>
      <c r="I110" s="162"/>
      <c r="J110" s="162"/>
      <c r="K110" s="162"/>
      <c r="L110" s="195"/>
      <c r="M110" s="43"/>
      <c r="N110" s="43"/>
      <c r="O110" s="43"/>
      <c r="P110" s="43"/>
      <c r="Q110" s="43"/>
      <c r="R110" s="43"/>
      <c r="S110" s="43"/>
      <c r="T110" s="43"/>
      <c r="U110" s="43"/>
      <c r="V110" s="43"/>
      <c r="W110" s="43"/>
      <c r="X110" s="43"/>
      <c r="Y110" s="43"/>
      <c r="Z110" s="43"/>
    </row>
    <row r="111" spans="1:26" hidden="1" outlineLevel="1" x14ac:dyDescent="0.2">
      <c r="A111" s="194"/>
      <c r="B111" s="194"/>
      <c r="C111" s="194"/>
      <c r="D111" s="162"/>
      <c r="E111" s="78">
        <f>IF(J108&lt;&gt;"",J108,FirstYear)</f>
        <v>2021</v>
      </c>
      <c r="F111" s="630">
        <f>E111+1</f>
        <v>2022</v>
      </c>
      <c r="G111" s="630">
        <f>F111+1</f>
        <v>2023</v>
      </c>
      <c r="H111" s="630">
        <f>G111+1</f>
        <v>2024</v>
      </c>
      <c r="I111" s="630">
        <f>H111+1</f>
        <v>2025</v>
      </c>
      <c r="J111" s="630">
        <f>I111+1</f>
        <v>2026</v>
      </c>
      <c r="K111" s="162"/>
      <c r="L111" s="195"/>
      <c r="M111" s="43"/>
      <c r="N111" s="43"/>
      <c r="O111" s="43"/>
      <c r="P111" s="43"/>
      <c r="Q111" s="43"/>
      <c r="R111" s="43"/>
      <c r="S111" s="43"/>
      <c r="T111" s="43"/>
      <c r="U111" s="43"/>
      <c r="V111" s="43"/>
      <c r="W111" s="43"/>
      <c r="X111" s="43"/>
      <c r="Y111" s="43"/>
      <c r="Z111" s="43"/>
    </row>
    <row r="112" spans="1:26" hidden="1" outlineLevel="1" x14ac:dyDescent="0.2">
      <c r="A112" s="194"/>
      <c r="B112" s="194"/>
      <c r="C112" s="194"/>
      <c r="D112" s="162"/>
      <c r="E112" s="63">
        <f t="shared" ref="E112:J112" si="25">IF($B$104&lt;&gt;0,VLOOKUP($B$104,$C$116:$J$118,E113),0)</f>
        <v>0</v>
      </c>
      <c r="F112" s="63">
        <f t="shared" si="25"/>
        <v>0</v>
      </c>
      <c r="G112" s="63">
        <f t="shared" si="25"/>
        <v>0</v>
      </c>
      <c r="H112" s="63">
        <f t="shared" si="25"/>
        <v>0</v>
      </c>
      <c r="I112" s="63">
        <f t="shared" si="25"/>
        <v>0</v>
      </c>
      <c r="J112" s="63">
        <f t="shared" si="25"/>
        <v>0</v>
      </c>
      <c r="K112" s="162"/>
      <c r="L112" s="195"/>
      <c r="M112" s="43"/>
      <c r="N112" s="43"/>
      <c r="O112" s="43"/>
      <c r="P112" s="43"/>
      <c r="Q112" s="43"/>
      <c r="R112" s="43"/>
      <c r="S112" s="43"/>
      <c r="T112" s="43"/>
      <c r="U112" s="43"/>
      <c r="V112" s="43"/>
      <c r="W112" s="43"/>
      <c r="X112" s="43"/>
      <c r="Y112" s="43"/>
      <c r="Z112" s="43"/>
    </row>
    <row r="113" spans="1:26" hidden="1" outlineLevel="1" x14ac:dyDescent="0.2">
      <c r="A113" s="194"/>
      <c r="B113" s="194"/>
      <c r="C113" s="194"/>
      <c r="D113" s="162"/>
      <c r="E113" s="176">
        <v>3</v>
      </c>
      <c r="F113" s="176">
        <v>4</v>
      </c>
      <c r="G113" s="176">
        <v>5</v>
      </c>
      <c r="H113" s="176">
        <v>6</v>
      </c>
      <c r="I113" s="176">
        <v>7</v>
      </c>
      <c r="J113" s="176">
        <v>8</v>
      </c>
      <c r="K113" s="162"/>
      <c r="L113" s="195"/>
      <c r="M113" s="43"/>
      <c r="N113" s="43"/>
      <c r="O113" s="43"/>
      <c r="P113" s="43"/>
      <c r="Q113" s="43"/>
      <c r="R113" s="43"/>
      <c r="S113" s="43"/>
      <c r="T113" s="43"/>
      <c r="U113" s="43"/>
      <c r="V113" s="43"/>
      <c r="W113" s="43"/>
      <c r="X113" s="43"/>
      <c r="Y113" s="43"/>
      <c r="Z113" s="43"/>
    </row>
    <row r="114" spans="1:26" hidden="1" outlineLevel="1" x14ac:dyDescent="0.2">
      <c r="A114" s="194"/>
      <c r="B114" s="194"/>
      <c r="C114" s="194"/>
      <c r="D114" s="31" t="s">
        <v>324</v>
      </c>
      <c r="E114" s="78">
        <f t="shared" ref="E114:J114" si="26">E111</f>
        <v>2021</v>
      </c>
      <c r="F114" s="78">
        <f t="shared" si="26"/>
        <v>2022</v>
      </c>
      <c r="G114" s="78">
        <f t="shared" si="26"/>
        <v>2023</v>
      </c>
      <c r="H114" s="78">
        <f t="shared" si="26"/>
        <v>2024</v>
      </c>
      <c r="I114" s="78">
        <f t="shared" si="26"/>
        <v>2025</v>
      </c>
      <c r="J114" s="78">
        <f t="shared" si="26"/>
        <v>2026</v>
      </c>
      <c r="K114" s="162"/>
      <c r="L114" s="194"/>
      <c r="M114" s="44"/>
      <c r="N114" s="44"/>
      <c r="O114" s="44"/>
      <c r="P114" s="44"/>
      <c r="Q114" s="44"/>
      <c r="R114" s="44"/>
      <c r="S114" s="44"/>
      <c r="T114" s="44"/>
      <c r="U114" s="44"/>
      <c r="V114" s="44"/>
      <c r="W114" s="44"/>
      <c r="X114" s="44"/>
      <c r="Y114" s="44"/>
      <c r="Z114" s="44"/>
    </row>
    <row r="115" spans="1:26" hidden="1" outlineLevel="1" x14ac:dyDescent="0.2">
      <c r="A115" s="194"/>
      <c r="B115" s="194"/>
      <c r="C115" s="416"/>
      <c r="D115" s="177" t="s">
        <v>240</v>
      </c>
      <c r="E115" s="63">
        <f t="shared" ref="E115:J115" si="27">IF(OR(E116="",E116=0),SUM(E117:E118),E116)</f>
        <v>0</v>
      </c>
      <c r="F115" s="63">
        <f t="shared" si="27"/>
        <v>0</v>
      </c>
      <c r="G115" s="63">
        <f t="shared" si="27"/>
        <v>0</v>
      </c>
      <c r="H115" s="63">
        <f t="shared" si="27"/>
        <v>0</v>
      </c>
      <c r="I115" s="63">
        <f t="shared" si="27"/>
        <v>0</v>
      </c>
      <c r="J115" s="63">
        <f t="shared" si="27"/>
        <v>0</v>
      </c>
      <c r="K115" s="162"/>
      <c r="L115" s="194"/>
      <c r="M115" s="44"/>
      <c r="N115" s="44"/>
      <c r="O115" s="44"/>
      <c r="P115" s="44"/>
      <c r="Q115" s="44"/>
      <c r="R115" s="44"/>
      <c r="S115" s="44"/>
      <c r="T115" s="44"/>
      <c r="U115" s="44"/>
      <c r="V115" s="44"/>
      <c r="W115" s="44"/>
      <c r="X115" s="44"/>
      <c r="Y115" s="44"/>
      <c r="Z115" s="44"/>
    </row>
    <row r="116" spans="1:26" hidden="1" outlineLevel="1" x14ac:dyDescent="0.2">
      <c r="A116" s="194"/>
      <c r="B116" s="194"/>
      <c r="C116" s="58">
        <v>1</v>
      </c>
      <c r="D116" s="177" t="s">
        <v>366</v>
      </c>
      <c r="E116" s="430"/>
      <c r="F116" s="430"/>
      <c r="G116" s="430"/>
      <c r="H116" s="430"/>
      <c r="I116" s="430"/>
      <c r="J116" s="430"/>
      <c r="K116" s="162"/>
      <c r="L116" s="194"/>
      <c r="M116" s="44"/>
      <c r="N116" s="44"/>
      <c r="O116" s="44"/>
      <c r="P116" s="44"/>
      <c r="Q116" s="44"/>
      <c r="R116" s="44"/>
      <c r="S116" s="44"/>
      <c r="T116" s="44"/>
      <c r="U116" s="44"/>
      <c r="V116" s="44"/>
      <c r="W116" s="44"/>
      <c r="X116" s="44"/>
      <c r="Y116" s="44"/>
      <c r="Z116" s="44"/>
    </row>
    <row r="117" spans="1:26" hidden="1" outlineLevel="1" x14ac:dyDescent="0.2">
      <c r="A117" s="194"/>
      <c r="B117" s="194"/>
      <c r="C117" s="58">
        <v>2</v>
      </c>
      <c r="D117" s="177" t="s">
        <v>243</v>
      </c>
      <c r="E117" s="430"/>
      <c r="F117" s="430"/>
      <c r="G117" s="430"/>
      <c r="H117" s="430"/>
      <c r="I117" s="430"/>
      <c r="J117" s="430"/>
      <c r="K117" s="162"/>
      <c r="L117" s="194"/>
      <c r="M117" s="44"/>
      <c r="N117" s="44"/>
      <c r="O117" s="44"/>
      <c r="P117" s="44"/>
      <c r="Q117" s="44"/>
      <c r="R117" s="44"/>
      <c r="S117" s="44"/>
      <c r="T117" s="44"/>
      <c r="U117" s="44"/>
      <c r="V117" s="44"/>
      <c r="W117" s="44"/>
      <c r="X117" s="44"/>
      <c r="Y117" s="44"/>
      <c r="Z117" s="44"/>
    </row>
    <row r="118" spans="1:26" hidden="1" outlineLevel="1" x14ac:dyDescent="0.2">
      <c r="A118" s="194"/>
      <c r="B118" s="194"/>
      <c r="C118" s="58">
        <v>3</v>
      </c>
      <c r="D118" s="177" t="s">
        <v>244</v>
      </c>
      <c r="E118" s="427"/>
      <c r="F118" s="427"/>
      <c r="G118" s="427"/>
      <c r="H118" s="427"/>
      <c r="I118" s="427"/>
      <c r="J118" s="427"/>
      <c r="K118" s="162"/>
      <c r="L118" s="194"/>
      <c r="M118" s="44"/>
      <c r="N118" s="44"/>
      <c r="O118" s="44"/>
      <c r="P118" s="44"/>
      <c r="Q118" s="44"/>
      <c r="R118" s="44"/>
      <c r="S118" s="44"/>
      <c r="T118" s="44"/>
      <c r="U118" s="44"/>
      <c r="V118" s="44"/>
      <c r="W118" s="44"/>
      <c r="X118" s="44"/>
      <c r="Y118" s="44"/>
      <c r="Z118" s="44"/>
    </row>
    <row r="119" spans="1:26" hidden="1" outlineLevel="1" x14ac:dyDescent="0.2">
      <c r="A119" s="194"/>
      <c r="B119" s="194"/>
      <c r="C119" s="646"/>
      <c r="D119" s="162"/>
      <c r="E119" s="162"/>
      <c r="F119" s="162"/>
      <c r="G119" s="162"/>
      <c r="H119" s="162"/>
      <c r="I119" s="162"/>
      <c r="J119" s="162"/>
      <c r="K119" s="162"/>
      <c r="L119" s="194"/>
      <c r="M119" s="44"/>
      <c r="N119" s="44"/>
      <c r="O119" s="44"/>
      <c r="P119" s="44"/>
      <c r="Q119" s="44"/>
      <c r="R119" s="44"/>
      <c r="S119" s="44"/>
      <c r="T119" s="44"/>
      <c r="U119" s="44"/>
      <c r="V119" s="44"/>
      <c r="W119" s="44"/>
      <c r="X119" s="44"/>
      <c r="Y119" s="44"/>
      <c r="Z119" s="44"/>
    </row>
    <row r="120" spans="1:26" collapsed="1" x14ac:dyDescent="0.2">
      <c r="A120" s="194"/>
      <c r="B120" s="194"/>
      <c r="C120" s="646"/>
      <c r="D120" s="162"/>
      <c r="E120" s="162"/>
      <c r="F120" s="162"/>
      <c r="G120" s="162"/>
      <c r="H120" s="162"/>
      <c r="I120" s="162"/>
      <c r="J120" s="162"/>
      <c r="K120" s="162"/>
      <c r="L120" s="194"/>
      <c r="M120" s="44"/>
      <c r="N120" s="44"/>
      <c r="O120" s="44"/>
      <c r="P120" s="44"/>
      <c r="Q120" s="44"/>
      <c r="R120" s="44"/>
      <c r="S120" s="44"/>
      <c r="T120" s="44"/>
      <c r="U120" s="44"/>
      <c r="V120" s="44"/>
      <c r="W120" s="44"/>
      <c r="X120" s="44"/>
      <c r="Y120" s="44"/>
      <c r="Z120" s="44"/>
    </row>
    <row r="121" spans="1:26" ht="15.75" x14ac:dyDescent="0.2">
      <c r="A121" s="194"/>
      <c r="B121" s="242">
        <f>IF(E125&lt;&gt;"",VLOOKUP(E125,GenderCode,2,FALSE),0)</f>
        <v>0</v>
      </c>
      <c r="C121" s="242">
        <v>7</v>
      </c>
      <c r="D121" s="79" t="str">
        <f>IF(B121=0,MsgNotUsed, CONCATENATE("Other ", C121, ": ", E123,": ", E125, " (", E128, "-", J128, ")"))</f>
        <v>** NOT USED **</v>
      </c>
      <c r="E121" s="127"/>
      <c r="F121" s="127"/>
      <c r="G121" s="127"/>
      <c r="H121" s="127"/>
      <c r="I121" s="175"/>
      <c r="J121" s="127"/>
      <c r="K121" s="127"/>
      <c r="L121" s="127"/>
      <c r="M121" s="260"/>
      <c r="N121" s="260"/>
      <c r="O121" s="260"/>
      <c r="P121" s="260"/>
      <c r="Q121" s="260"/>
      <c r="R121" s="260"/>
      <c r="S121" s="260"/>
      <c r="T121" s="260"/>
      <c r="U121" s="260"/>
      <c r="V121" s="260"/>
      <c r="W121" s="260"/>
      <c r="X121" s="260"/>
      <c r="Y121" s="260"/>
      <c r="Z121" s="260"/>
    </row>
    <row r="122" spans="1:26" hidden="1" outlineLevel="1" x14ac:dyDescent="0.2">
      <c r="A122" s="194"/>
      <c r="B122" s="194"/>
      <c r="C122" s="194"/>
      <c r="D122" s="195"/>
      <c r="E122" s="195"/>
      <c r="F122" s="195"/>
      <c r="G122" s="195"/>
      <c r="H122" s="195"/>
      <c r="I122" s="195"/>
      <c r="J122" s="195"/>
      <c r="K122" s="195"/>
      <c r="L122" s="195"/>
      <c r="M122" s="43"/>
      <c r="N122" s="43"/>
      <c r="O122" s="43"/>
      <c r="P122" s="43"/>
      <c r="Q122" s="43"/>
      <c r="R122" s="43"/>
      <c r="S122" s="43"/>
      <c r="T122" s="43"/>
      <c r="U122" s="43"/>
      <c r="V122" s="43"/>
      <c r="W122" s="43"/>
      <c r="X122" s="43"/>
      <c r="Y122" s="43"/>
      <c r="Z122" s="43"/>
    </row>
    <row r="123" spans="1:26" hidden="1" outlineLevel="1" x14ac:dyDescent="0.2">
      <c r="A123" s="194"/>
      <c r="B123" s="194"/>
      <c r="C123" s="194"/>
      <c r="D123" s="42" t="s">
        <v>279</v>
      </c>
      <c r="E123" s="913"/>
      <c r="F123" s="881"/>
      <c r="G123" s="881"/>
      <c r="H123" s="881"/>
      <c r="I123" s="881"/>
      <c r="J123" s="882"/>
      <c r="K123" s="417"/>
      <c r="L123" s="42" t="s">
        <v>258</v>
      </c>
      <c r="M123" s="913"/>
      <c r="N123" s="881"/>
      <c r="O123" s="881"/>
      <c r="P123" s="881"/>
      <c r="Q123" s="881"/>
      <c r="R123" s="882"/>
      <c r="S123" s="43"/>
      <c r="T123" s="43"/>
      <c r="U123" s="43"/>
      <c r="V123" s="43"/>
      <c r="W123" s="43"/>
      <c r="X123" s="43"/>
      <c r="Y123" s="43"/>
      <c r="Z123" s="43"/>
    </row>
    <row r="124" spans="1:26" ht="14.25" hidden="1" outlineLevel="1" x14ac:dyDescent="0.2">
      <c r="A124" s="194"/>
      <c r="B124" s="194"/>
      <c r="C124" s="646"/>
      <c r="D124" s="647"/>
      <c r="E124" s="162"/>
      <c r="F124" s="162"/>
      <c r="G124" s="162"/>
      <c r="H124" s="162"/>
      <c r="I124" s="162"/>
      <c r="J124" s="162"/>
      <c r="K124" s="162"/>
      <c r="L124" s="195"/>
      <c r="M124" s="43"/>
      <c r="N124" s="43"/>
      <c r="O124" s="43"/>
      <c r="P124" s="43"/>
      <c r="Q124" s="43"/>
      <c r="R124" s="43"/>
      <c r="S124" s="43"/>
      <c r="T124" s="43"/>
      <c r="U124" s="43"/>
      <c r="V124" s="43"/>
      <c r="W124" s="43"/>
      <c r="X124" s="43"/>
      <c r="Y124" s="43"/>
      <c r="Z124" s="43"/>
    </row>
    <row r="125" spans="1:26" hidden="1" outlineLevel="1" x14ac:dyDescent="0.2">
      <c r="A125" s="194"/>
      <c r="B125" s="194"/>
      <c r="C125" s="194"/>
      <c r="D125" s="632" t="s">
        <v>51</v>
      </c>
      <c r="E125" s="360"/>
      <c r="F125" s="162"/>
      <c r="G125" s="162"/>
      <c r="H125" s="646"/>
      <c r="I125" s="632" t="s">
        <v>365</v>
      </c>
      <c r="J125" s="360"/>
      <c r="K125" s="162"/>
      <c r="L125" s="195"/>
      <c r="M125" s="43"/>
      <c r="N125" s="43"/>
      <c r="O125" s="43"/>
      <c r="P125" s="43"/>
      <c r="Q125" s="43"/>
      <c r="R125" s="43"/>
      <c r="S125" s="43"/>
      <c r="T125" s="43"/>
      <c r="U125" s="43"/>
      <c r="V125" s="43"/>
      <c r="W125" s="43"/>
      <c r="X125" s="43"/>
      <c r="Y125" s="43"/>
      <c r="Z125" s="43"/>
    </row>
    <row r="126" spans="1:26" hidden="1" outlineLevel="1" x14ac:dyDescent="0.2">
      <c r="A126" s="194"/>
      <c r="B126" s="194"/>
      <c r="C126" s="194"/>
      <c r="D126" s="162"/>
      <c r="E126" s="162"/>
      <c r="F126" s="162"/>
      <c r="G126" s="162"/>
      <c r="H126" s="162"/>
      <c r="I126" s="162"/>
      <c r="J126" s="162"/>
      <c r="K126" s="162"/>
      <c r="L126" s="195"/>
      <c r="M126" s="43"/>
      <c r="N126" s="43"/>
      <c r="O126" s="43"/>
      <c r="P126" s="43"/>
      <c r="Q126" s="43"/>
      <c r="R126" s="43"/>
      <c r="S126" s="43"/>
      <c r="T126" s="43"/>
      <c r="U126" s="43"/>
      <c r="V126" s="43"/>
      <c r="W126" s="43"/>
      <c r="X126" s="43"/>
      <c r="Y126" s="43"/>
      <c r="Z126" s="43"/>
    </row>
    <row r="127" spans="1:26" hidden="1" outlineLevel="1" x14ac:dyDescent="0.2">
      <c r="A127" s="194"/>
      <c r="B127" s="194"/>
      <c r="C127" s="194"/>
      <c r="D127" s="162"/>
      <c r="E127" s="616" t="s">
        <v>255</v>
      </c>
      <c r="F127" s="162"/>
      <c r="G127" s="162"/>
      <c r="H127" s="162"/>
      <c r="I127" s="162"/>
      <c r="J127" s="162"/>
      <c r="K127" s="162"/>
      <c r="L127" s="195"/>
      <c r="M127" s="43"/>
      <c r="N127" s="43"/>
      <c r="O127" s="43"/>
      <c r="P127" s="43"/>
      <c r="Q127" s="43"/>
      <c r="R127" s="43"/>
      <c r="S127" s="43"/>
      <c r="T127" s="43"/>
      <c r="U127" s="43"/>
      <c r="V127" s="43"/>
      <c r="W127" s="43"/>
      <c r="X127" s="43"/>
      <c r="Y127" s="43"/>
      <c r="Z127" s="43"/>
    </row>
    <row r="128" spans="1:26" hidden="1" outlineLevel="1" x14ac:dyDescent="0.2">
      <c r="A128" s="194"/>
      <c r="B128" s="194"/>
      <c r="C128" s="194"/>
      <c r="D128" s="162"/>
      <c r="E128" s="78">
        <f>IF(J125&lt;&gt;"",J125,FirstYear)</f>
        <v>2021</v>
      </c>
      <c r="F128" s="630">
        <f>E128+1</f>
        <v>2022</v>
      </c>
      <c r="G128" s="630">
        <f>F128+1</f>
        <v>2023</v>
      </c>
      <c r="H128" s="630">
        <f>G128+1</f>
        <v>2024</v>
      </c>
      <c r="I128" s="630">
        <f>H128+1</f>
        <v>2025</v>
      </c>
      <c r="J128" s="630">
        <f>I128+1</f>
        <v>2026</v>
      </c>
      <c r="K128" s="162"/>
      <c r="L128" s="195"/>
      <c r="M128" s="43"/>
      <c r="N128" s="43"/>
      <c r="O128" s="43"/>
      <c r="P128" s="43"/>
      <c r="Q128" s="43"/>
      <c r="R128" s="43"/>
      <c r="S128" s="43"/>
      <c r="T128" s="43"/>
      <c r="U128" s="43"/>
      <c r="V128" s="43"/>
      <c r="W128" s="43"/>
      <c r="X128" s="43"/>
      <c r="Y128" s="43"/>
      <c r="Z128" s="43"/>
    </row>
    <row r="129" spans="1:26" hidden="1" outlineLevel="1" x14ac:dyDescent="0.2">
      <c r="A129" s="194"/>
      <c r="B129" s="194"/>
      <c r="C129" s="194"/>
      <c r="D129" s="162"/>
      <c r="E129" s="63">
        <f t="shared" ref="E129:J129" si="28">IF($B$121&lt;&gt;0,VLOOKUP($B$121,$C$133:$J$135,E130),0)</f>
        <v>0</v>
      </c>
      <c r="F129" s="63">
        <f t="shared" si="28"/>
        <v>0</v>
      </c>
      <c r="G129" s="63">
        <f t="shared" si="28"/>
        <v>0</v>
      </c>
      <c r="H129" s="63">
        <f t="shared" si="28"/>
        <v>0</v>
      </c>
      <c r="I129" s="63">
        <f t="shared" si="28"/>
        <v>0</v>
      </c>
      <c r="J129" s="63">
        <f t="shared" si="28"/>
        <v>0</v>
      </c>
      <c r="K129" s="162"/>
      <c r="L129" s="195"/>
      <c r="M129" s="43"/>
      <c r="N129" s="43"/>
      <c r="O129" s="43"/>
      <c r="P129" s="43"/>
      <c r="Q129" s="43"/>
      <c r="R129" s="43"/>
      <c r="S129" s="43"/>
      <c r="T129" s="43"/>
      <c r="U129" s="43"/>
      <c r="V129" s="43"/>
      <c r="W129" s="43"/>
      <c r="X129" s="43"/>
      <c r="Y129" s="43"/>
      <c r="Z129" s="43"/>
    </row>
    <row r="130" spans="1:26" hidden="1" outlineLevel="1" x14ac:dyDescent="0.2">
      <c r="A130" s="194"/>
      <c r="B130" s="194"/>
      <c r="C130" s="194"/>
      <c r="D130" s="162"/>
      <c r="E130" s="176">
        <v>3</v>
      </c>
      <c r="F130" s="176">
        <v>4</v>
      </c>
      <c r="G130" s="176">
        <v>5</v>
      </c>
      <c r="H130" s="176">
        <v>6</v>
      </c>
      <c r="I130" s="176">
        <v>7</v>
      </c>
      <c r="J130" s="176">
        <v>8</v>
      </c>
      <c r="K130" s="162"/>
      <c r="L130" s="195"/>
      <c r="M130" s="43"/>
      <c r="N130" s="43"/>
      <c r="O130" s="43"/>
      <c r="P130" s="43"/>
      <c r="Q130" s="43"/>
      <c r="R130" s="43"/>
      <c r="S130" s="43"/>
      <c r="T130" s="43"/>
      <c r="U130" s="43"/>
      <c r="V130" s="43"/>
      <c r="W130" s="43"/>
      <c r="X130" s="43"/>
      <c r="Y130" s="43"/>
      <c r="Z130" s="43"/>
    </row>
    <row r="131" spans="1:26" hidden="1" outlineLevel="1" x14ac:dyDescent="0.2">
      <c r="A131" s="194"/>
      <c r="B131" s="194"/>
      <c r="C131" s="194"/>
      <c r="D131" s="31" t="s">
        <v>324</v>
      </c>
      <c r="E131" s="78">
        <f t="shared" ref="E131:J131" si="29">E128</f>
        <v>2021</v>
      </c>
      <c r="F131" s="78">
        <f t="shared" si="29"/>
        <v>2022</v>
      </c>
      <c r="G131" s="78">
        <f t="shared" si="29"/>
        <v>2023</v>
      </c>
      <c r="H131" s="78">
        <f t="shared" si="29"/>
        <v>2024</v>
      </c>
      <c r="I131" s="78">
        <f t="shared" si="29"/>
        <v>2025</v>
      </c>
      <c r="J131" s="78">
        <f t="shared" si="29"/>
        <v>2026</v>
      </c>
      <c r="K131" s="162"/>
      <c r="L131" s="194"/>
      <c r="M131" s="44"/>
      <c r="N131" s="44"/>
      <c r="O131" s="44"/>
      <c r="P131" s="44"/>
      <c r="Q131" s="44"/>
      <c r="R131" s="44"/>
      <c r="S131" s="44"/>
      <c r="T131" s="44"/>
      <c r="U131" s="44"/>
      <c r="V131" s="44"/>
      <c r="W131" s="44"/>
      <c r="X131" s="44"/>
      <c r="Y131" s="44"/>
      <c r="Z131" s="44"/>
    </row>
    <row r="132" spans="1:26" hidden="1" outlineLevel="1" x14ac:dyDescent="0.2">
      <c r="A132" s="194"/>
      <c r="B132" s="194"/>
      <c r="C132" s="416"/>
      <c r="D132" s="177" t="s">
        <v>240</v>
      </c>
      <c r="E132" s="63">
        <f t="shared" ref="E132:J132" si="30">IF(OR(E133="",E133=0),SUM(E134:E135),E133)</f>
        <v>0</v>
      </c>
      <c r="F132" s="63">
        <f t="shared" si="30"/>
        <v>0</v>
      </c>
      <c r="G132" s="63">
        <f t="shared" si="30"/>
        <v>0</v>
      </c>
      <c r="H132" s="63">
        <f t="shared" si="30"/>
        <v>0</v>
      </c>
      <c r="I132" s="63">
        <f t="shared" si="30"/>
        <v>0</v>
      </c>
      <c r="J132" s="63">
        <f t="shared" si="30"/>
        <v>0</v>
      </c>
      <c r="K132" s="162"/>
      <c r="L132" s="194"/>
      <c r="M132" s="44"/>
      <c r="N132" s="44"/>
      <c r="O132" s="44"/>
      <c r="P132" s="44"/>
      <c r="Q132" s="44"/>
      <c r="R132" s="44"/>
      <c r="S132" s="44"/>
      <c r="T132" s="44"/>
      <c r="U132" s="44"/>
      <c r="V132" s="44"/>
      <c r="W132" s="44"/>
      <c r="X132" s="44"/>
      <c r="Y132" s="44"/>
      <c r="Z132" s="44"/>
    </row>
    <row r="133" spans="1:26" hidden="1" outlineLevel="1" x14ac:dyDescent="0.2">
      <c r="A133" s="194"/>
      <c r="B133" s="194"/>
      <c r="C133" s="58">
        <v>1</v>
      </c>
      <c r="D133" s="177" t="s">
        <v>366</v>
      </c>
      <c r="E133" s="430"/>
      <c r="F133" s="430"/>
      <c r="G133" s="430"/>
      <c r="H133" s="430"/>
      <c r="I133" s="430"/>
      <c r="J133" s="430"/>
      <c r="K133" s="162"/>
      <c r="L133" s="194"/>
      <c r="M133" s="44"/>
      <c r="N133" s="44"/>
      <c r="O133" s="44"/>
      <c r="P133" s="44"/>
      <c r="Q133" s="44"/>
      <c r="R133" s="44"/>
      <c r="S133" s="44"/>
      <c r="T133" s="44"/>
      <c r="U133" s="44"/>
      <c r="V133" s="44"/>
      <c r="W133" s="44"/>
      <c r="X133" s="44"/>
      <c r="Y133" s="44"/>
      <c r="Z133" s="44"/>
    </row>
    <row r="134" spans="1:26" hidden="1" outlineLevel="1" x14ac:dyDescent="0.2">
      <c r="A134" s="194"/>
      <c r="B134" s="194"/>
      <c r="C134" s="58">
        <v>2</v>
      </c>
      <c r="D134" s="177" t="s">
        <v>243</v>
      </c>
      <c r="E134" s="430"/>
      <c r="F134" s="430"/>
      <c r="G134" s="430"/>
      <c r="H134" s="430"/>
      <c r="I134" s="430"/>
      <c r="J134" s="430"/>
      <c r="K134" s="162"/>
      <c r="L134" s="194"/>
      <c r="M134" s="44"/>
      <c r="N134" s="44"/>
      <c r="O134" s="44"/>
      <c r="P134" s="44"/>
      <c r="Q134" s="44"/>
      <c r="R134" s="44"/>
      <c r="S134" s="44"/>
      <c r="T134" s="44"/>
      <c r="U134" s="44"/>
      <c r="V134" s="44"/>
      <c r="W134" s="44"/>
      <c r="X134" s="44"/>
      <c r="Y134" s="44"/>
      <c r="Z134" s="44"/>
    </row>
    <row r="135" spans="1:26" hidden="1" outlineLevel="1" x14ac:dyDescent="0.2">
      <c r="A135" s="194"/>
      <c r="B135" s="194"/>
      <c r="C135" s="58">
        <v>3</v>
      </c>
      <c r="D135" s="177" t="s">
        <v>244</v>
      </c>
      <c r="E135" s="427"/>
      <c r="F135" s="427"/>
      <c r="G135" s="427"/>
      <c r="H135" s="427"/>
      <c r="I135" s="427"/>
      <c r="J135" s="427"/>
      <c r="K135" s="162"/>
      <c r="L135" s="194"/>
      <c r="M135" s="44"/>
      <c r="N135" s="44"/>
      <c r="O135" s="44"/>
      <c r="P135" s="44"/>
      <c r="Q135" s="44"/>
      <c r="R135" s="44"/>
      <c r="S135" s="44"/>
      <c r="T135" s="44"/>
      <c r="U135" s="44"/>
      <c r="V135" s="44"/>
      <c r="W135" s="44"/>
      <c r="X135" s="44"/>
      <c r="Y135" s="44"/>
      <c r="Z135" s="44"/>
    </row>
    <row r="136" spans="1:26" hidden="1" outlineLevel="1" x14ac:dyDescent="0.2">
      <c r="A136" s="194"/>
      <c r="B136" s="194"/>
      <c r="C136" s="646"/>
      <c r="D136" s="162"/>
      <c r="E136" s="162"/>
      <c r="F136" s="162"/>
      <c r="G136" s="162"/>
      <c r="H136" s="162"/>
      <c r="I136" s="162"/>
      <c r="J136" s="162"/>
      <c r="K136" s="162"/>
      <c r="L136" s="194"/>
      <c r="M136" s="44"/>
      <c r="N136" s="44"/>
      <c r="O136" s="44"/>
      <c r="P136" s="44"/>
      <c r="Q136" s="44"/>
      <c r="R136" s="44"/>
      <c r="S136" s="44"/>
      <c r="T136" s="44"/>
      <c r="U136" s="44"/>
      <c r="V136" s="44"/>
      <c r="W136" s="44"/>
      <c r="X136" s="44"/>
      <c r="Y136" s="44"/>
      <c r="Z136" s="44"/>
    </row>
    <row r="137" spans="1:26" collapsed="1" x14ac:dyDescent="0.2">
      <c r="A137" s="194"/>
      <c r="B137" s="194"/>
      <c r="C137" s="646"/>
      <c r="D137" s="162"/>
      <c r="E137" s="162"/>
      <c r="F137" s="162"/>
      <c r="G137" s="162"/>
      <c r="H137" s="162"/>
      <c r="I137" s="162"/>
      <c r="J137" s="162"/>
      <c r="K137" s="162"/>
      <c r="L137" s="194"/>
      <c r="M137" s="44"/>
      <c r="N137" s="44"/>
      <c r="O137" s="44"/>
      <c r="P137" s="44"/>
      <c r="Q137" s="44"/>
      <c r="R137" s="44"/>
      <c r="S137" s="44"/>
      <c r="T137" s="44"/>
      <c r="U137" s="44"/>
      <c r="V137" s="44"/>
      <c r="W137" s="44"/>
      <c r="X137" s="44"/>
      <c r="Y137" s="44"/>
      <c r="Z137" s="44"/>
    </row>
    <row r="138" spans="1:26" ht="15.75" x14ac:dyDescent="0.2">
      <c r="A138" s="194"/>
      <c r="B138" s="242">
        <f>IF(E142&lt;&gt;"",VLOOKUP(E142,GenderCode,2,FALSE),0)</f>
        <v>0</v>
      </c>
      <c r="C138" s="242">
        <v>8</v>
      </c>
      <c r="D138" s="79" t="str">
        <f>IF(B138=0,MsgNotUsed, CONCATENATE("Other ", C138, ": ", E140,": ", E142, " (", E145, "-", J145, ")"))</f>
        <v>** NOT USED **</v>
      </c>
      <c r="E138" s="127"/>
      <c r="F138" s="127"/>
      <c r="G138" s="127"/>
      <c r="H138" s="127"/>
      <c r="I138" s="175"/>
      <c r="J138" s="127"/>
      <c r="K138" s="127"/>
      <c r="L138" s="127"/>
      <c r="M138" s="260"/>
      <c r="N138" s="260"/>
      <c r="O138" s="260"/>
      <c r="P138" s="260"/>
      <c r="Q138" s="260"/>
      <c r="R138" s="260"/>
      <c r="S138" s="260"/>
      <c r="T138" s="260"/>
      <c r="U138" s="260"/>
      <c r="V138" s="260"/>
      <c r="W138" s="260"/>
      <c r="X138" s="260"/>
      <c r="Y138" s="260"/>
      <c r="Z138" s="260"/>
    </row>
    <row r="139" spans="1:26" hidden="1" outlineLevel="1" x14ac:dyDescent="0.2">
      <c r="A139" s="194"/>
      <c r="B139" s="194"/>
      <c r="C139" s="194"/>
      <c r="D139" s="195"/>
      <c r="E139" s="195"/>
      <c r="F139" s="195"/>
      <c r="G139" s="195"/>
      <c r="H139" s="195"/>
      <c r="I139" s="195"/>
      <c r="J139" s="195"/>
      <c r="K139" s="195"/>
      <c r="L139" s="195"/>
      <c r="M139" s="43"/>
      <c r="N139" s="43"/>
      <c r="O139" s="43"/>
      <c r="P139" s="43"/>
      <c r="Q139" s="43"/>
      <c r="R139" s="43"/>
      <c r="S139" s="43"/>
      <c r="T139" s="43"/>
      <c r="U139" s="43"/>
      <c r="V139" s="43"/>
      <c r="W139" s="43"/>
      <c r="X139" s="43"/>
      <c r="Y139" s="43"/>
      <c r="Z139" s="43"/>
    </row>
    <row r="140" spans="1:26" hidden="1" outlineLevel="1" x14ac:dyDescent="0.2">
      <c r="A140" s="194"/>
      <c r="B140" s="194"/>
      <c r="C140" s="194"/>
      <c r="D140" s="42" t="s">
        <v>279</v>
      </c>
      <c r="E140" s="913"/>
      <c r="F140" s="881"/>
      <c r="G140" s="881"/>
      <c r="H140" s="881"/>
      <c r="I140" s="881"/>
      <c r="J140" s="882"/>
      <c r="K140" s="417"/>
      <c r="L140" s="42" t="s">
        <v>258</v>
      </c>
      <c r="M140" s="913"/>
      <c r="N140" s="881"/>
      <c r="O140" s="881"/>
      <c r="P140" s="881"/>
      <c r="Q140" s="881"/>
      <c r="R140" s="882"/>
      <c r="S140" s="43"/>
      <c r="T140" s="43"/>
      <c r="U140" s="43"/>
      <c r="V140" s="43"/>
      <c r="W140" s="43"/>
      <c r="X140" s="43"/>
      <c r="Y140" s="43"/>
      <c r="Z140" s="43"/>
    </row>
    <row r="141" spans="1:26" ht="14.25" hidden="1" outlineLevel="1" x14ac:dyDescent="0.2">
      <c r="A141" s="194"/>
      <c r="B141" s="194"/>
      <c r="C141" s="646"/>
      <c r="D141" s="647"/>
      <c r="E141" s="162"/>
      <c r="F141" s="162"/>
      <c r="G141" s="162"/>
      <c r="H141" s="162"/>
      <c r="I141" s="162"/>
      <c r="J141" s="162"/>
      <c r="K141" s="162"/>
      <c r="L141" s="195"/>
      <c r="M141" s="43"/>
      <c r="N141" s="43"/>
      <c r="O141" s="43"/>
      <c r="P141" s="43"/>
      <c r="Q141" s="43"/>
      <c r="R141" s="43"/>
      <c r="S141" s="43"/>
      <c r="T141" s="43"/>
      <c r="U141" s="43"/>
      <c r="V141" s="43"/>
      <c r="W141" s="43"/>
      <c r="X141" s="43"/>
      <c r="Y141" s="43"/>
      <c r="Z141" s="43"/>
    </row>
    <row r="142" spans="1:26" hidden="1" outlineLevel="1" x14ac:dyDescent="0.2">
      <c r="A142" s="194"/>
      <c r="B142" s="194"/>
      <c r="C142" s="194"/>
      <c r="D142" s="632" t="s">
        <v>51</v>
      </c>
      <c r="E142" s="360"/>
      <c r="F142" s="162"/>
      <c r="G142" s="162"/>
      <c r="H142" s="646"/>
      <c r="I142" s="632" t="s">
        <v>365</v>
      </c>
      <c r="J142" s="360"/>
      <c r="K142" s="162"/>
      <c r="L142" s="195"/>
      <c r="M142" s="43"/>
      <c r="N142" s="43"/>
      <c r="O142" s="43"/>
      <c r="P142" s="43"/>
      <c r="Q142" s="43"/>
      <c r="R142" s="43"/>
      <c r="S142" s="43"/>
      <c r="T142" s="43"/>
      <c r="U142" s="43"/>
      <c r="V142" s="43"/>
      <c r="W142" s="43"/>
      <c r="X142" s="43"/>
      <c r="Y142" s="43"/>
      <c r="Z142" s="43"/>
    </row>
    <row r="143" spans="1:26" hidden="1" outlineLevel="1" x14ac:dyDescent="0.2">
      <c r="A143" s="194"/>
      <c r="B143" s="194"/>
      <c r="C143" s="194"/>
      <c r="D143" s="162"/>
      <c r="E143" s="162"/>
      <c r="F143" s="162"/>
      <c r="G143" s="162"/>
      <c r="H143" s="162"/>
      <c r="I143" s="162"/>
      <c r="J143" s="162"/>
      <c r="K143" s="162"/>
      <c r="L143" s="195"/>
      <c r="M143" s="43"/>
      <c r="N143" s="43"/>
      <c r="O143" s="43"/>
      <c r="P143" s="43"/>
      <c r="Q143" s="43"/>
      <c r="R143" s="43"/>
      <c r="S143" s="43"/>
      <c r="T143" s="43"/>
      <c r="U143" s="43"/>
      <c r="V143" s="43"/>
      <c r="W143" s="43"/>
      <c r="X143" s="43"/>
      <c r="Y143" s="43"/>
      <c r="Z143" s="43"/>
    </row>
    <row r="144" spans="1:26" hidden="1" outlineLevel="1" x14ac:dyDescent="0.2">
      <c r="A144" s="194"/>
      <c r="B144" s="194"/>
      <c r="C144" s="194"/>
      <c r="D144" s="162"/>
      <c r="E144" s="616" t="s">
        <v>255</v>
      </c>
      <c r="F144" s="162"/>
      <c r="G144" s="162"/>
      <c r="H144" s="162"/>
      <c r="I144" s="162"/>
      <c r="J144" s="162"/>
      <c r="K144" s="162"/>
      <c r="L144" s="195"/>
      <c r="M144" s="43"/>
      <c r="N144" s="43"/>
      <c r="O144" s="43"/>
      <c r="P144" s="43"/>
      <c r="Q144" s="43"/>
      <c r="R144" s="43"/>
      <c r="S144" s="43"/>
      <c r="T144" s="43"/>
      <c r="U144" s="43"/>
      <c r="V144" s="43"/>
      <c r="W144" s="43"/>
      <c r="X144" s="43"/>
      <c r="Y144" s="43"/>
      <c r="Z144" s="43"/>
    </row>
    <row r="145" spans="1:26" hidden="1" outlineLevel="1" x14ac:dyDescent="0.2">
      <c r="A145" s="194"/>
      <c r="B145" s="194"/>
      <c r="C145" s="194"/>
      <c r="D145" s="162"/>
      <c r="E145" s="78">
        <f>IF(J142&lt;&gt;"",J142,FirstYear)</f>
        <v>2021</v>
      </c>
      <c r="F145" s="630">
        <f>E145+1</f>
        <v>2022</v>
      </c>
      <c r="G145" s="630">
        <f>F145+1</f>
        <v>2023</v>
      </c>
      <c r="H145" s="630">
        <f>G145+1</f>
        <v>2024</v>
      </c>
      <c r="I145" s="630">
        <f>H145+1</f>
        <v>2025</v>
      </c>
      <c r="J145" s="630">
        <f>I145+1</f>
        <v>2026</v>
      </c>
      <c r="K145" s="162"/>
      <c r="L145" s="195"/>
      <c r="M145" s="43"/>
      <c r="N145" s="43"/>
      <c r="O145" s="43"/>
      <c r="P145" s="43"/>
      <c r="Q145" s="43"/>
      <c r="R145" s="43"/>
      <c r="S145" s="43"/>
      <c r="T145" s="43"/>
      <c r="U145" s="43"/>
      <c r="V145" s="43"/>
      <c r="W145" s="43"/>
      <c r="X145" s="43"/>
      <c r="Y145" s="43"/>
      <c r="Z145" s="43"/>
    </row>
    <row r="146" spans="1:26" hidden="1" outlineLevel="1" x14ac:dyDescent="0.2">
      <c r="A146" s="194"/>
      <c r="B146" s="194"/>
      <c r="C146" s="194"/>
      <c r="D146" s="162"/>
      <c r="E146" s="63">
        <f t="shared" ref="E146:J146" si="31">IF($B$138&lt;&gt;0,VLOOKUP($B$138,$C$150:$J$152,E147),0)</f>
        <v>0</v>
      </c>
      <c r="F146" s="63">
        <f t="shared" si="31"/>
        <v>0</v>
      </c>
      <c r="G146" s="63">
        <f t="shared" si="31"/>
        <v>0</v>
      </c>
      <c r="H146" s="63">
        <f t="shared" si="31"/>
        <v>0</v>
      </c>
      <c r="I146" s="63">
        <f t="shared" si="31"/>
        <v>0</v>
      </c>
      <c r="J146" s="63">
        <f t="shared" si="31"/>
        <v>0</v>
      </c>
      <c r="K146" s="162"/>
      <c r="L146" s="195"/>
      <c r="M146" s="43"/>
      <c r="N146" s="43"/>
      <c r="O146" s="43"/>
      <c r="P146" s="43"/>
      <c r="Q146" s="43"/>
      <c r="R146" s="43"/>
      <c r="S146" s="43"/>
      <c r="T146" s="43"/>
      <c r="U146" s="43"/>
      <c r="V146" s="43"/>
      <c r="W146" s="43"/>
      <c r="X146" s="43"/>
      <c r="Y146" s="43"/>
      <c r="Z146" s="43"/>
    </row>
    <row r="147" spans="1:26" hidden="1" outlineLevel="1" x14ac:dyDescent="0.2">
      <c r="A147" s="194"/>
      <c r="B147" s="194"/>
      <c r="C147" s="194"/>
      <c r="D147" s="162"/>
      <c r="E147" s="176">
        <v>3</v>
      </c>
      <c r="F147" s="176">
        <v>4</v>
      </c>
      <c r="G147" s="176">
        <v>5</v>
      </c>
      <c r="H147" s="176">
        <v>6</v>
      </c>
      <c r="I147" s="176">
        <v>7</v>
      </c>
      <c r="J147" s="176">
        <v>8</v>
      </c>
      <c r="K147" s="162"/>
      <c r="L147" s="195"/>
      <c r="M147" s="43"/>
      <c r="N147" s="43"/>
      <c r="O147" s="43"/>
      <c r="P147" s="43"/>
      <c r="Q147" s="43"/>
      <c r="R147" s="43"/>
      <c r="S147" s="43"/>
      <c r="T147" s="43"/>
      <c r="U147" s="43"/>
      <c r="V147" s="43"/>
      <c r="W147" s="43"/>
      <c r="X147" s="43"/>
      <c r="Y147" s="43"/>
      <c r="Z147" s="43"/>
    </row>
    <row r="148" spans="1:26" hidden="1" outlineLevel="1" x14ac:dyDescent="0.2">
      <c r="A148" s="194"/>
      <c r="B148" s="194"/>
      <c r="C148" s="194"/>
      <c r="D148" s="31" t="s">
        <v>324</v>
      </c>
      <c r="E148" s="78">
        <f t="shared" ref="E148:J148" si="32">E145</f>
        <v>2021</v>
      </c>
      <c r="F148" s="78">
        <f t="shared" si="32"/>
        <v>2022</v>
      </c>
      <c r="G148" s="78">
        <f t="shared" si="32"/>
        <v>2023</v>
      </c>
      <c r="H148" s="78">
        <f t="shared" si="32"/>
        <v>2024</v>
      </c>
      <c r="I148" s="78">
        <f t="shared" si="32"/>
        <v>2025</v>
      </c>
      <c r="J148" s="78">
        <f t="shared" si="32"/>
        <v>2026</v>
      </c>
      <c r="K148" s="162"/>
      <c r="L148" s="194"/>
      <c r="M148" s="44"/>
      <c r="N148" s="44"/>
      <c r="O148" s="44"/>
      <c r="P148" s="44"/>
      <c r="Q148" s="44"/>
      <c r="R148" s="44"/>
      <c r="S148" s="44"/>
      <c r="T148" s="44"/>
      <c r="U148" s="44"/>
      <c r="V148" s="44"/>
      <c r="W148" s="44"/>
      <c r="X148" s="44"/>
      <c r="Y148" s="44"/>
      <c r="Z148" s="44"/>
    </row>
    <row r="149" spans="1:26" hidden="1" outlineLevel="1" x14ac:dyDescent="0.2">
      <c r="A149" s="194"/>
      <c r="B149" s="194"/>
      <c r="C149" s="416"/>
      <c r="D149" s="177" t="s">
        <v>240</v>
      </c>
      <c r="E149" s="63">
        <f t="shared" ref="E149:J149" si="33">IF(OR(E150="",E150=0),SUM(E151:E152),E150)</f>
        <v>0</v>
      </c>
      <c r="F149" s="63">
        <f t="shared" si="33"/>
        <v>0</v>
      </c>
      <c r="G149" s="63">
        <f t="shared" si="33"/>
        <v>0</v>
      </c>
      <c r="H149" s="63">
        <f t="shared" si="33"/>
        <v>0</v>
      </c>
      <c r="I149" s="63">
        <f t="shared" si="33"/>
        <v>0</v>
      </c>
      <c r="J149" s="63">
        <f t="shared" si="33"/>
        <v>0</v>
      </c>
      <c r="K149" s="162"/>
      <c r="L149" s="194"/>
      <c r="M149" s="44"/>
      <c r="N149" s="44"/>
      <c r="O149" s="44"/>
      <c r="P149" s="44"/>
      <c r="Q149" s="44"/>
      <c r="R149" s="44"/>
      <c r="S149" s="44"/>
      <c r="T149" s="44"/>
      <c r="U149" s="44"/>
      <c r="V149" s="44"/>
      <c r="W149" s="44"/>
      <c r="X149" s="44"/>
      <c r="Y149" s="44"/>
      <c r="Z149" s="44"/>
    </row>
    <row r="150" spans="1:26" hidden="1" outlineLevel="1" x14ac:dyDescent="0.2">
      <c r="A150" s="194"/>
      <c r="B150" s="194"/>
      <c r="C150" s="58">
        <v>1</v>
      </c>
      <c r="D150" s="177" t="s">
        <v>366</v>
      </c>
      <c r="E150" s="430"/>
      <c r="F150" s="430"/>
      <c r="G150" s="430"/>
      <c r="H150" s="430"/>
      <c r="I150" s="430"/>
      <c r="J150" s="430"/>
      <c r="K150" s="162"/>
      <c r="L150" s="194"/>
      <c r="M150" s="44"/>
      <c r="N150" s="44"/>
      <c r="O150" s="44"/>
      <c r="P150" s="44"/>
      <c r="Q150" s="44"/>
      <c r="R150" s="44"/>
      <c r="S150" s="44"/>
      <c r="T150" s="44"/>
      <c r="U150" s="44"/>
      <c r="V150" s="44"/>
      <c r="W150" s="44"/>
      <c r="X150" s="44"/>
      <c r="Y150" s="44"/>
      <c r="Z150" s="44"/>
    </row>
    <row r="151" spans="1:26" hidden="1" outlineLevel="1" x14ac:dyDescent="0.2">
      <c r="A151" s="194"/>
      <c r="B151" s="194"/>
      <c r="C151" s="58">
        <v>2</v>
      </c>
      <c r="D151" s="177" t="s">
        <v>243</v>
      </c>
      <c r="E151" s="430"/>
      <c r="F151" s="430"/>
      <c r="G151" s="430"/>
      <c r="H151" s="430"/>
      <c r="I151" s="430"/>
      <c r="J151" s="430"/>
      <c r="K151" s="162"/>
      <c r="L151" s="194"/>
      <c r="M151" s="44"/>
      <c r="N151" s="44"/>
      <c r="O151" s="44"/>
      <c r="P151" s="44"/>
      <c r="Q151" s="44"/>
      <c r="R151" s="44"/>
      <c r="S151" s="44"/>
      <c r="T151" s="44"/>
      <c r="U151" s="44"/>
      <c r="V151" s="44"/>
      <c r="W151" s="44"/>
      <c r="X151" s="44"/>
      <c r="Y151" s="44"/>
      <c r="Z151" s="44"/>
    </row>
    <row r="152" spans="1:26" hidden="1" outlineLevel="1" x14ac:dyDescent="0.2">
      <c r="A152" s="194"/>
      <c r="B152" s="194"/>
      <c r="C152" s="58">
        <v>3</v>
      </c>
      <c r="D152" s="177" t="s">
        <v>244</v>
      </c>
      <c r="E152" s="427"/>
      <c r="F152" s="427"/>
      <c r="G152" s="427"/>
      <c r="H152" s="427"/>
      <c r="I152" s="427"/>
      <c r="J152" s="427"/>
      <c r="K152" s="162"/>
      <c r="L152" s="194"/>
      <c r="M152" s="44"/>
      <c r="N152" s="44"/>
      <c r="O152" s="44"/>
      <c r="P152" s="44"/>
      <c r="Q152" s="44"/>
      <c r="R152" s="44"/>
      <c r="S152" s="44"/>
      <c r="T152" s="44"/>
      <c r="U152" s="44"/>
      <c r="V152" s="44"/>
      <c r="W152" s="44"/>
      <c r="X152" s="44"/>
      <c r="Y152" s="44"/>
      <c r="Z152" s="44"/>
    </row>
    <row r="153" spans="1:26" hidden="1" outlineLevel="1" x14ac:dyDescent="0.2">
      <c r="A153" s="194"/>
      <c r="B153" s="194"/>
      <c r="C153" s="646"/>
      <c r="D153" s="162"/>
      <c r="E153" s="162"/>
      <c r="F153" s="162"/>
      <c r="G153" s="162"/>
      <c r="H153" s="162"/>
      <c r="I153" s="162"/>
      <c r="J153" s="162"/>
      <c r="K153" s="162"/>
      <c r="L153" s="194"/>
      <c r="M153" s="44"/>
      <c r="N153" s="44"/>
      <c r="O153" s="44"/>
      <c r="P153" s="44"/>
      <c r="Q153" s="44"/>
      <c r="R153" s="44"/>
      <c r="S153" s="44"/>
      <c r="T153" s="44"/>
      <c r="U153" s="44"/>
      <c r="V153" s="44"/>
      <c r="W153" s="44"/>
      <c r="X153" s="44"/>
      <c r="Y153" s="44"/>
      <c r="Z153" s="44"/>
    </row>
    <row r="154" spans="1:26" collapsed="1" x14ac:dyDescent="0.2">
      <c r="A154" s="194"/>
      <c r="B154" s="194"/>
      <c r="C154" s="646"/>
      <c r="D154" s="162"/>
      <c r="E154" s="162"/>
      <c r="F154" s="162"/>
      <c r="G154" s="162"/>
      <c r="H154" s="162"/>
      <c r="I154" s="162"/>
      <c r="J154" s="162"/>
      <c r="K154" s="162"/>
      <c r="L154" s="194"/>
      <c r="M154" s="44"/>
      <c r="N154" s="44"/>
      <c r="O154" s="44"/>
      <c r="P154" s="44"/>
      <c r="Q154" s="44"/>
      <c r="R154" s="44"/>
      <c r="S154" s="44"/>
      <c r="T154" s="44"/>
      <c r="U154" s="44"/>
      <c r="V154" s="44"/>
      <c r="W154" s="44"/>
      <c r="X154" s="44"/>
      <c r="Y154" s="44"/>
      <c r="Z154" s="44"/>
    </row>
    <row r="155" spans="1:26" ht="15.75" x14ac:dyDescent="0.2">
      <c r="A155" s="194"/>
      <c r="B155" s="242">
        <f>IF(E159&lt;&gt;"",VLOOKUP(E159,GenderCode,2,FALSE),0)</f>
        <v>0</v>
      </c>
      <c r="C155" s="242">
        <v>9</v>
      </c>
      <c r="D155" s="79" t="str">
        <f>IF(B155=0,MsgNotUsed, CONCATENATE("Other ", C155, ": ", E157,": ", E159, " (", E162, "-", J162, ")"))</f>
        <v>** NOT USED **</v>
      </c>
      <c r="E155" s="127"/>
      <c r="F155" s="127"/>
      <c r="G155" s="127"/>
      <c r="H155" s="127"/>
      <c r="I155" s="175"/>
      <c r="J155" s="127"/>
      <c r="K155" s="127"/>
      <c r="L155" s="127"/>
      <c r="M155" s="260"/>
      <c r="N155" s="260"/>
      <c r="O155" s="260"/>
      <c r="P155" s="260"/>
      <c r="Q155" s="260"/>
      <c r="R155" s="260"/>
      <c r="S155" s="260"/>
      <c r="T155" s="260"/>
      <c r="U155" s="260"/>
      <c r="V155" s="260"/>
      <c r="W155" s="260"/>
      <c r="X155" s="260"/>
      <c r="Y155" s="260"/>
      <c r="Z155" s="260"/>
    </row>
    <row r="156" spans="1:26" hidden="1" outlineLevel="1" x14ac:dyDescent="0.2">
      <c r="A156" s="194"/>
      <c r="B156" s="194"/>
      <c r="C156" s="194"/>
      <c r="D156" s="195"/>
      <c r="E156" s="195"/>
      <c r="F156" s="195"/>
      <c r="G156" s="195"/>
      <c r="H156" s="195"/>
      <c r="I156" s="195"/>
      <c r="J156" s="195"/>
      <c r="K156" s="195"/>
      <c r="L156" s="195"/>
      <c r="M156" s="43"/>
      <c r="N156" s="43"/>
      <c r="O156" s="43"/>
      <c r="P156" s="43"/>
      <c r="Q156" s="43"/>
      <c r="R156" s="43"/>
      <c r="S156" s="43"/>
      <c r="T156" s="43"/>
      <c r="U156" s="43"/>
      <c r="V156" s="43"/>
      <c r="W156" s="43"/>
      <c r="X156" s="43"/>
      <c r="Y156" s="43"/>
      <c r="Z156" s="43"/>
    </row>
    <row r="157" spans="1:26" hidden="1" outlineLevel="1" x14ac:dyDescent="0.2">
      <c r="A157" s="194"/>
      <c r="B157" s="194"/>
      <c r="C157" s="194"/>
      <c r="D157" s="42" t="s">
        <v>279</v>
      </c>
      <c r="E157" s="913"/>
      <c r="F157" s="881"/>
      <c r="G157" s="881"/>
      <c r="H157" s="881"/>
      <c r="I157" s="881"/>
      <c r="J157" s="882"/>
      <c r="K157" s="417"/>
      <c r="L157" s="42" t="s">
        <v>258</v>
      </c>
      <c r="M157" s="913"/>
      <c r="N157" s="881"/>
      <c r="O157" s="881"/>
      <c r="P157" s="881"/>
      <c r="Q157" s="881"/>
      <c r="R157" s="882"/>
      <c r="S157" s="43"/>
      <c r="T157" s="43"/>
      <c r="U157" s="43"/>
      <c r="V157" s="43"/>
      <c r="W157" s="43"/>
      <c r="X157" s="43"/>
      <c r="Y157" s="43"/>
      <c r="Z157" s="43"/>
    </row>
    <row r="158" spans="1:26" ht="14.25" hidden="1" outlineLevel="1" x14ac:dyDescent="0.2">
      <c r="A158" s="194"/>
      <c r="B158" s="194"/>
      <c r="C158" s="646"/>
      <c r="D158" s="647"/>
      <c r="E158" s="162"/>
      <c r="F158" s="162"/>
      <c r="G158" s="162"/>
      <c r="H158" s="162"/>
      <c r="I158" s="162"/>
      <c r="J158" s="162"/>
      <c r="K158" s="162"/>
      <c r="L158" s="195"/>
      <c r="M158" s="43"/>
      <c r="N158" s="43"/>
      <c r="O158" s="43"/>
      <c r="P158" s="43"/>
      <c r="Q158" s="43"/>
      <c r="R158" s="43"/>
      <c r="S158" s="43"/>
      <c r="T158" s="43"/>
      <c r="U158" s="43"/>
      <c r="V158" s="43"/>
      <c r="W158" s="43"/>
      <c r="X158" s="43"/>
      <c r="Y158" s="43"/>
      <c r="Z158" s="43"/>
    </row>
    <row r="159" spans="1:26" hidden="1" outlineLevel="1" x14ac:dyDescent="0.2">
      <c r="A159" s="194"/>
      <c r="B159" s="194"/>
      <c r="C159" s="194"/>
      <c r="D159" s="632" t="s">
        <v>51</v>
      </c>
      <c r="E159" s="360"/>
      <c r="F159" s="162"/>
      <c r="G159" s="162"/>
      <c r="H159" s="646"/>
      <c r="I159" s="632" t="s">
        <v>365</v>
      </c>
      <c r="J159" s="360"/>
      <c r="K159" s="162"/>
      <c r="L159" s="195"/>
      <c r="M159" s="43"/>
      <c r="N159" s="43"/>
      <c r="O159" s="43"/>
      <c r="P159" s="43"/>
      <c r="Q159" s="43"/>
      <c r="R159" s="43"/>
      <c r="S159" s="43"/>
      <c r="T159" s="43"/>
      <c r="U159" s="43"/>
      <c r="V159" s="43"/>
      <c r="W159" s="43"/>
      <c r="X159" s="43"/>
      <c r="Y159" s="43"/>
      <c r="Z159" s="43"/>
    </row>
    <row r="160" spans="1:26" hidden="1" outlineLevel="1" x14ac:dyDescent="0.2">
      <c r="A160" s="194"/>
      <c r="B160" s="194"/>
      <c r="C160" s="194"/>
      <c r="D160" s="162"/>
      <c r="E160" s="162"/>
      <c r="F160" s="162"/>
      <c r="G160" s="162"/>
      <c r="H160" s="162"/>
      <c r="I160" s="162"/>
      <c r="J160" s="162"/>
      <c r="K160" s="162"/>
      <c r="L160" s="195"/>
      <c r="M160" s="43"/>
      <c r="N160" s="43"/>
      <c r="O160" s="43"/>
      <c r="P160" s="43"/>
      <c r="Q160" s="43"/>
      <c r="R160" s="43"/>
      <c r="S160" s="43"/>
      <c r="T160" s="43"/>
      <c r="U160" s="43"/>
      <c r="V160" s="43"/>
      <c r="W160" s="43"/>
      <c r="X160" s="43"/>
      <c r="Y160" s="43"/>
      <c r="Z160" s="43"/>
    </row>
    <row r="161" spans="1:26" hidden="1" outlineLevel="1" x14ac:dyDescent="0.2">
      <c r="A161" s="194"/>
      <c r="B161" s="194"/>
      <c r="C161" s="194"/>
      <c r="D161" s="162"/>
      <c r="E161" s="616" t="s">
        <v>255</v>
      </c>
      <c r="F161" s="162"/>
      <c r="G161" s="162"/>
      <c r="H161" s="162"/>
      <c r="I161" s="162"/>
      <c r="J161" s="162"/>
      <c r="K161" s="162"/>
      <c r="L161" s="195"/>
      <c r="M161" s="43"/>
      <c r="N161" s="43"/>
      <c r="O161" s="43"/>
      <c r="P161" s="43"/>
      <c r="Q161" s="43"/>
      <c r="R161" s="43"/>
      <c r="S161" s="43"/>
      <c r="T161" s="43"/>
      <c r="U161" s="43"/>
      <c r="V161" s="43"/>
      <c r="W161" s="43"/>
      <c r="X161" s="43"/>
      <c r="Y161" s="43"/>
      <c r="Z161" s="43"/>
    </row>
    <row r="162" spans="1:26" hidden="1" outlineLevel="1" x14ac:dyDescent="0.2">
      <c r="A162" s="194"/>
      <c r="B162" s="194"/>
      <c r="C162" s="194"/>
      <c r="D162" s="162"/>
      <c r="E162" s="78">
        <f>IF(J159&lt;&gt;"",J159,FirstYear)</f>
        <v>2021</v>
      </c>
      <c r="F162" s="630">
        <f>E162+1</f>
        <v>2022</v>
      </c>
      <c r="G162" s="630">
        <f>F162+1</f>
        <v>2023</v>
      </c>
      <c r="H162" s="630">
        <f>G162+1</f>
        <v>2024</v>
      </c>
      <c r="I162" s="630">
        <f>H162+1</f>
        <v>2025</v>
      </c>
      <c r="J162" s="630">
        <f>I162+1</f>
        <v>2026</v>
      </c>
      <c r="K162" s="162"/>
      <c r="L162" s="195"/>
      <c r="M162" s="43"/>
      <c r="N162" s="43"/>
      <c r="O162" s="43"/>
      <c r="P162" s="43"/>
      <c r="Q162" s="43"/>
      <c r="R162" s="43"/>
      <c r="S162" s="43"/>
      <c r="T162" s="43"/>
      <c r="U162" s="43"/>
      <c r="V162" s="43"/>
      <c r="W162" s="43"/>
      <c r="X162" s="43"/>
      <c r="Y162" s="43"/>
      <c r="Z162" s="43"/>
    </row>
    <row r="163" spans="1:26" hidden="1" outlineLevel="1" x14ac:dyDescent="0.2">
      <c r="A163" s="194"/>
      <c r="B163" s="194"/>
      <c r="C163" s="194"/>
      <c r="D163" s="162"/>
      <c r="E163" s="63">
        <f t="shared" ref="E163:J163" si="34">IF($B$155&lt;&gt;0,VLOOKUP($B$155,$C$167:$J$169,E164),0)</f>
        <v>0</v>
      </c>
      <c r="F163" s="63">
        <f t="shared" si="34"/>
        <v>0</v>
      </c>
      <c r="G163" s="63">
        <f t="shared" si="34"/>
        <v>0</v>
      </c>
      <c r="H163" s="63">
        <f t="shared" si="34"/>
        <v>0</v>
      </c>
      <c r="I163" s="63">
        <f t="shared" si="34"/>
        <v>0</v>
      </c>
      <c r="J163" s="63">
        <f t="shared" si="34"/>
        <v>0</v>
      </c>
      <c r="K163" s="162"/>
      <c r="L163" s="195"/>
      <c r="M163" s="43"/>
      <c r="N163" s="43"/>
      <c r="O163" s="43"/>
      <c r="P163" s="43"/>
      <c r="Q163" s="43"/>
      <c r="R163" s="43"/>
      <c r="S163" s="43"/>
      <c r="T163" s="43"/>
      <c r="U163" s="43"/>
      <c r="V163" s="43"/>
      <c r="W163" s="43"/>
      <c r="X163" s="43"/>
      <c r="Y163" s="43"/>
      <c r="Z163" s="43"/>
    </row>
    <row r="164" spans="1:26" hidden="1" outlineLevel="1" x14ac:dyDescent="0.2">
      <c r="A164" s="194"/>
      <c r="B164" s="194"/>
      <c r="C164" s="194"/>
      <c r="D164" s="162"/>
      <c r="E164" s="176">
        <v>3</v>
      </c>
      <c r="F164" s="176">
        <v>4</v>
      </c>
      <c r="G164" s="176">
        <v>5</v>
      </c>
      <c r="H164" s="176">
        <v>6</v>
      </c>
      <c r="I164" s="176">
        <v>7</v>
      </c>
      <c r="J164" s="176">
        <v>8</v>
      </c>
      <c r="K164" s="162"/>
      <c r="L164" s="195"/>
      <c r="M164" s="43"/>
      <c r="N164" s="43"/>
      <c r="O164" s="43"/>
      <c r="P164" s="43"/>
      <c r="Q164" s="43"/>
      <c r="R164" s="43"/>
      <c r="S164" s="43"/>
      <c r="T164" s="43"/>
      <c r="U164" s="43"/>
      <c r="V164" s="43"/>
      <c r="W164" s="43"/>
      <c r="X164" s="43"/>
      <c r="Y164" s="43"/>
      <c r="Z164" s="43"/>
    </row>
    <row r="165" spans="1:26" hidden="1" outlineLevel="1" x14ac:dyDescent="0.2">
      <c r="A165" s="194"/>
      <c r="B165" s="194"/>
      <c r="C165" s="194"/>
      <c r="D165" s="31" t="s">
        <v>324</v>
      </c>
      <c r="E165" s="78">
        <f t="shared" ref="E165:J165" si="35">E162</f>
        <v>2021</v>
      </c>
      <c r="F165" s="78">
        <f t="shared" si="35"/>
        <v>2022</v>
      </c>
      <c r="G165" s="78">
        <f t="shared" si="35"/>
        <v>2023</v>
      </c>
      <c r="H165" s="78">
        <f t="shared" si="35"/>
        <v>2024</v>
      </c>
      <c r="I165" s="78">
        <f t="shared" si="35"/>
        <v>2025</v>
      </c>
      <c r="J165" s="78">
        <f t="shared" si="35"/>
        <v>2026</v>
      </c>
      <c r="K165" s="162"/>
      <c r="L165" s="194"/>
      <c r="M165" s="44"/>
      <c r="N165" s="44"/>
      <c r="O165" s="44"/>
      <c r="P165" s="44"/>
      <c r="Q165" s="44"/>
      <c r="R165" s="44"/>
      <c r="S165" s="44"/>
      <c r="T165" s="44"/>
      <c r="U165" s="44"/>
      <c r="V165" s="44"/>
      <c r="W165" s="44"/>
      <c r="X165" s="44"/>
      <c r="Y165" s="44"/>
      <c r="Z165" s="44"/>
    </row>
    <row r="166" spans="1:26" hidden="1" outlineLevel="1" x14ac:dyDescent="0.2">
      <c r="A166" s="194"/>
      <c r="B166" s="194"/>
      <c r="C166" s="416"/>
      <c r="D166" s="177" t="s">
        <v>240</v>
      </c>
      <c r="E166" s="63">
        <f t="shared" ref="E166:J166" si="36">IF(OR(E167="",E167=0),SUM(E168:E169),E167)</f>
        <v>0</v>
      </c>
      <c r="F166" s="63">
        <f t="shared" si="36"/>
        <v>0</v>
      </c>
      <c r="G166" s="63">
        <f t="shared" si="36"/>
        <v>0</v>
      </c>
      <c r="H166" s="63">
        <f t="shared" si="36"/>
        <v>0</v>
      </c>
      <c r="I166" s="63">
        <f t="shared" si="36"/>
        <v>0</v>
      </c>
      <c r="J166" s="63">
        <f t="shared" si="36"/>
        <v>0</v>
      </c>
      <c r="K166" s="162"/>
      <c r="L166" s="194"/>
      <c r="M166" s="44"/>
      <c r="N166" s="44"/>
      <c r="O166" s="44"/>
      <c r="P166" s="44"/>
      <c r="Q166" s="44"/>
      <c r="R166" s="44"/>
      <c r="S166" s="44"/>
      <c r="T166" s="44"/>
      <c r="U166" s="44"/>
      <c r="V166" s="44"/>
      <c r="W166" s="44"/>
      <c r="X166" s="44"/>
      <c r="Y166" s="44"/>
      <c r="Z166" s="44"/>
    </row>
    <row r="167" spans="1:26" hidden="1" outlineLevel="1" x14ac:dyDescent="0.2">
      <c r="A167" s="194"/>
      <c r="B167" s="194"/>
      <c r="C167" s="58">
        <v>1</v>
      </c>
      <c r="D167" s="177" t="s">
        <v>366</v>
      </c>
      <c r="E167" s="430"/>
      <c r="F167" s="430"/>
      <c r="G167" s="430"/>
      <c r="H167" s="430"/>
      <c r="I167" s="430"/>
      <c r="J167" s="430"/>
      <c r="K167" s="162"/>
      <c r="L167" s="194"/>
      <c r="M167" s="44"/>
      <c r="N167" s="44"/>
      <c r="O167" s="44"/>
      <c r="P167" s="44"/>
      <c r="Q167" s="44"/>
      <c r="R167" s="44"/>
      <c r="S167" s="44"/>
      <c r="T167" s="44"/>
      <c r="U167" s="44"/>
      <c r="V167" s="44"/>
      <c r="W167" s="44"/>
      <c r="X167" s="44"/>
      <c r="Y167" s="44"/>
      <c r="Z167" s="44"/>
    </row>
    <row r="168" spans="1:26" hidden="1" outlineLevel="1" x14ac:dyDescent="0.2">
      <c r="A168" s="194"/>
      <c r="B168" s="194"/>
      <c r="C168" s="58">
        <v>2</v>
      </c>
      <c r="D168" s="177" t="s">
        <v>243</v>
      </c>
      <c r="E168" s="430"/>
      <c r="F168" s="430"/>
      <c r="G168" s="430"/>
      <c r="H168" s="430"/>
      <c r="I168" s="430"/>
      <c r="J168" s="430"/>
      <c r="K168" s="162"/>
      <c r="L168" s="194"/>
      <c r="M168" s="44"/>
      <c r="N168" s="44"/>
      <c r="O168" s="44"/>
      <c r="P168" s="44"/>
      <c r="Q168" s="44"/>
      <c r="R168" s="44"/>
      <c r="S168" s="44"/>
      <c r="T168" s="44"/>
      <c r="U168" s="44"/>
      <c r="V168" s="44"/>
      <c r="W168" s="44"/>
      <c r="X168" s="44"/>
      <c r="Y168" s="44"/>
      <c r="Z168" s="44"/>
    </row>
    <row r="169" spans="1:26" hidden="1" outlineLevel="1" x14ac:dyDescent="0.2">
      <c r="A169" s="194"/>
      <c r="B169" s="194"/>
      <c r="C169" s="58">
        <v>3</v>
      </c>
      <c r="D169" s="177" t="s">
        <v>244</v>
      </c>
      <c r="E169" s="427"/>
      <c r="F169" s="427"/>
      <c r="G169" s="427"/>
      <c r="H169" s="427"/>
      <c r="I169" s="427"/>
      <c r="J169" s="427"/>
      <c r="K169" s="162"/>
      <c r="L169" s="194"/>
      <c r="M169" s="44"/>
      <c r="N169" s="44"/>
      <c r="O169" s="44"/>
      <c r="P169" s="44"/>
      <c r="Q169" s="44"/>
      <c r="R169" s="44"/>
      <c r="S169" s="44"/>
      <c r="T169" s="44"/>
      <c r="U169" s="44"/>
      <c r="V169" s="44"/>
      <c r="W169" s="44"/>
      <c r="X169" s="44"/>
      <c r="Y169" s="44"/>
      <c r="Z169" s="44"/>
    </row>
    <row r="170" spans="1:26" hidden="1" outlineLevel="1" x14ac:dyDescent="0.2">
      <c r="A170" s="194"/>
      <c r="B170" s="194"/>
      <c r="C170" s="646"/>
      <c r="D170" s="162"/>
      <c r="E170" s="162"/>
      <c r="F170" s="162"/>
      <c r="G170" s="162"/>
      <c r="H170" s="162"/>
      <c r="I170" s="162"/>
      <c r="J170" s="162"/>
      <c r="K170" s="162"/>
      <c r="L170" s="194"/>
      <c r="M170" s="44"/>
      <c r="N170" s="44"/>
      <c r="O170" s="44"/>
      <c r="P170" s="44"/>
      <c r="Q170" s="44"/>
      <c r="R170" s="44"/>
      <c r="S170" s="44"/>
      <c r="T170" s="44"/>
      <c r="U170" s="44"/>
      <c r="V170" s="44"/>
      <c r="W170" s="44"/>
      <c r="X170" s="44"/>
      <c r="Y170" s="44"/>
      <c r="Z170" s="44"/>
    </row>
    <row r="171" spans="1:26" collapsed="1" x14ac:dyDescent="0.2">
      <c r="A171" s="194"/>
      <c r="B171" s="194"/>
      <c r="C171" s="646"/>
      <c r="D171" s="162"/>
      <c r="E171" s="162"/>
      <c r="F171" s="162"/>
      <c r="G171" s="162"/>
      <c r="H171" s="162"/>
      <c r="I171" s="162"/>
      <c r="J171" s="162"/>
      <c r="K171" s="162"/>
      <c r="L171" s="194"/>
      <c r="M171" s="44"/>
      <c r="N171" s="44"/>
      <c r="O171" s="44"/>
      <c r="P171" s="44"/>
      <c r="Q171" s="44"/>
      <c r="R171" s="44"/>
      <c r="S171" s="44"/>
      <c r="T171" s="44"/>
      <c r="U171" s="44"/>
      <c r="V171" s="44"/>
      <c r="W171" s="44"/>
      <c r="X171" s="44"/>
      <c r="Y171" s="44"/>
      <c r="Z171" s="44"/>
    </row>
    <row r="172" spans="1:26" ht="15.75" x14ac:dyDescent="0.2">
      <c r="A172" s="194"/>
      <c r="B172" s="242">
        <f>IF(E176&lt;&gt;"",VLOOKUP(E176,GenderCode,2,FALSE),0)</f>
        <v>0</v>
      </c>
      <c r="C172" s="242">
        <v>10</v>
      </c>
      <c r="D172" s="79" t="str">
        <f>IF(B172=0,MsgNotUsed, CONCATENATE("Other ", C172, ": ", E174,": ", E176, " (", E179, "-", J179, ")"))</f>
        <v>** NOT USED **</v>
      </c>
      <c r="E172" s="127"/>
      <c r="F172" s="127"/>
      <c r="G172" s="127"/>
      <c r="H172" s="127"/>
      <c r="I172" s="175"/>
      <c r="J172" s="127"/>
      <c r="K172" s="127"/>
      <c r="L172" s="127"/>
      <c r="M172" s="260"/>
      <c r="N172" s="260"/>
      <c r="O172" s="260"/>
      <c r="P172" s="260"/>
      <c r="Q172" s="260"/>
      <c r="R172" s="260"/>
      <c r="S172" s="260"/>
      <c r="T172" s="260"/>
      <c r="U172" s="260"/>
      <c r="V172" s="260"/>
      <c r="W172" s="260"/>
      <c r="X172" s="260"/>
      <c r="Y172" s="260"/>
      <c r="Z172" s="260"/>
    </row>
    <row r="173" spans="1:26" hidden="1" outlineLevel="1" x14ac:dyDescent="0.2">
      <c r="A173" s="194"/>
      <c r="B173" s="194"/>
      <c r="C173" s="194"/>
      <c r="D173" s="195"/>
      <c r="E173" s="195"/>
      <c r="F173" s="195"/>
      <c r="G173" s="195"/>
      <c r="H173" s="195"/>
      <c r="I173" s="195"/>
      <c r="J173" s="195"/>
      <c r="K173" s="195"/>
      <c r="L173" s="195"/>
      <c r="M173" s="43"/>
      <c r="N173" s="43"/>
      <c r="O173" s="43"/>
      <c r="P173" s="43"/>
      <c r="Q173" s="43"/>
      <c r="R173" s="43"/>
      <c r="S173" s="43"/>
      <c r="T173" s="43"/>
      <c r="U173" s="43"/>
      <c r="V173" s="43"/>
      <c r="W173" s="43"/>
    </row>
    <row r="174" spans="1:26" hidden="1" outlineLevel="1" x14ac:dyDescent="0.2">
      <c r="A174" s="194"/>
      <c r="B174" s="194"/>
      <c r="C174" s="194"/>
      <c r="D174" s="42" t="s">
        <v>279</v>
      </c>
      <c r="E174" s="913"/>
      <c r="F174" s="881"/>
      <c r="G174" s="881"/>
      <c r="H174" s="881"/>
      <c r="I174" s="881"/>
      <c r="J174" s="882"/>
      <c r="K174" s="417"/>
      <c r="L174" s="42" t="s">
        <v>258</v>
      </c>
      <c r="M174" s="913"/>
      <c r="N174" s="881"/>
      <c r="O174" s="881"/>
      <c r="P174" s="881"/>
      <c r="Q174" s="881"/>
      <c r="R174" s="882"/>
      <c r="S174" s="43"/>
      <c r="T174" s="43"/>
      <c r="U174" s="43"/>
      <c r="V174" s="43"/>
      <c r="W174" s="43"/>
    </row>
    <row r="175" spans="1:26" ht="14.25" hidden="1" outlineLevel="1" x14ac:dyDescent="0.2">
      <c r="A175" s="194"/>
      <c r="B175" s="194"/>
      <c r="C175" s="646"/>
      <c r="D175" s="647"/>
      <c r="E175" s="162"/>
      <c r="F175" s="162"/>
      <c r="G175" s="162"/>
      <c r="H175" s="162"/>
      <c r="I175" s="162"/>
      <c r="J175" s="162"/>
      <c r="K175" s="162"/>
      <c r="L175" s="195"/>
      <c r="M175" s="43"/>
      <c r="N175" s="43"/>
      <c r="O175" s="43"/>
      <c r="P175" s="43"/>
      <c r="Q175" s="43"/>
      <c r="R175" s="43"/>
      <c r="S175" s="43"/>
      <c r="T175" s="43"/>
      <c r="U175" s="43"/>
      <c r="V175" s="43"/>
      <c r="W175" s="43"/>
    </row>
    <row r="176" spans="1:26" hidden="1" outlineLevel="1" x14ac:dyDescent="0.2">
      <c r="A176" s="194"/>
      <c r="B176" s="194"/>
      <c r="C176" s="194"/>
      <c r="D176" s="632" t="s">
        <v>51</v>
      </c>
      <c r="E176" s="360"/>
      <c r="F176" s="162"/>
      <c r="G176" s="162"/>
      <c r="H176" s="646"/>
      <c r="I176" s="632" t="s">
        <v>365</v>
      </c>
      <c r="J176" s="360"/>
      <c r="K176" s="162"/>
      <c r="L176" s="195"/>
      <c r="M176" s="43"/>
      <c r="N176" s="43"/>
      <c r="O176" s="43"/>
      <c r="P176" s="43"/>
      <c r="Q176" s="43"/>
      <c r="R176" s="43"/>
      <c r="S176" s="43"/>
      <c r="T176" s="43"/>
      <c r="U176" s="43"/>
      <c r="V176" s="43"/>
      <c r="W176" s="43"/>
    </row>
    <row r="177" spans="1:23" hidden="1" outlineLevel="1" x14ac:dyDescent="0.2">
      <c r="A177" s="194"/>
      <c r="B177" s="194"/>
      <c r="C177" s="194"/>
      <c r="D177" s="162"/>
      <c r="E177" s="162"/>
      <c r="F177" s="162"/>
      <c r="G177" s="162"/>
      <c r="H177" s="162"/>
      <c r="I177" s="162"/>
      <c r="J177" s="162"/>
      <c r="K177" s="162"/>
      <c r="L177" s="195"/>
      <c r="M177" s="43"/>
      <c r="N177" s="43"/>
      <c r="O177" s="43"/>
      <c r="P177" s="43"/>
      <c r="Q177" s="43"/>
      <c r="R177" s="43"/>
      <c r="S177" s="43"/>
      <c r="T177" s="43"/>
      <c r="U177" s="43"/>
      <c r="V177" s="43"/>
      <c r="W177" s="43"/>
    </row>
    <row r="178" spans="1:23" hidden="1" outlineLevel="1" x14ac:dyDescent="0.2">
      <c r="A178" s="194"/>
      <c r="B178" s="194"/>
      <c r="C178" s="194"/>
      <c r="D178" s="162"/>
      <c r="E178" s="616" t="s">
        <v>255</v>
      </c>
      <c r="F178" s="162"/>
      <c r="G178" s="162"/>
      <c r="H178" s="162"/>
      <c r="I178" s="162"/>
      <c r="J178" s="162"/>
      <c r="K178" s="162"/>
      <c r="L178" s="195"/>
      <c r="M178" s="43"/>
      <c r="N178" s="43"/>
      <c r="O178" s="43"/>
      <c r="P178" s="43"/>
      <c r="Q178" s="43"/>
      <c r="R178" s="43"/>
      <c r="S178" s="43"/>
      <c r="T178" s="43"/>
      <c r="U178" s="43"/>
      <c r="V178" s="43"/>
      <c r="W178" s="43"/>
    </row>
    <row r="179" spans="1:23" hidden="1" outlineLevel="1" x14ac:dyDescent="0.2">
      <c r="A179" s="194"/>
      <c r="B179" s="194"/>
      <c r="C179" s="194"/>
      <c r="D179" s="162"/>
      <c r="E179" s="78">
        <f>IF(J176&lt;&gt;"",J176,FirstYear)</f>
        <v>2021</v>
      </c>
      <c r="F179" s="630">
        <f>E179+1</f>
        <v>2022</v>
      </c>
      <c r="G179" s="630">
        <f>F179+1</f>
        <v>2023</v>
      </c>
      <c r="H179" s="630">
        <f>G179+1</f>
        <v>2024</v>
      </c>
      <c r="I179" s="630">
        <f>H179+1</f>
        <v>2025</v>
      </c>
      <c r="J179" s="630">
        <f>I179+1</f>
        <v>2026</v>
      </c>
      <c r="K179" s="162"/>
      <c r="L179" s="195"/>
      <c r="M179" s="43"/>
      <c r="N179" s="43"/>
      <c r="O179" s="43"/>
      <c r="P179" s="43"/>
      <c r="Q179" s="43"/>
      <c r="R179" s="43"/>
      <c r="S179" s="43"/>
      <c r="T179" s="43"/>
      <c r="U179" s="43"/>
      <c r="V179" s="43"/>
      <c r="W179" s="43"/>
    </row>
    <row r="180" spans="1:23" hidden="1" outlineLevel="1" x14ac:dyDescent="0.2">
      <c r="A180" s="194"/>
      <c r="B180" s="194"/>
      <c r="C180" s="194"/>
      <c r="D180" s="162"/>
      <c r="E180" s="63">
        <f t="shared" ref="E180:J180" si="37">IF($B$172&lt;&gt;0,VLOOKUP($B$172,$C$184:$J$186,E181),0)</f>
        <v>0</v>
      </c>
      <c r="F180" s="63">
        <f t="shared" si="37"/>
        <v>0</v>
      </c>
      <c r="G180" s="63">
        <f t="shared" si="37"/>
        <v>0</v>
      </c>
      <c r="H180" s="63">
        <f t="shared" si="37"/>
        <v>0</v>
      </c>
      <c r="I180" s="63">
        <f t="shared" si="37"/>
        <v>0</v>
      </c>
      <c r="J180" s="63">
        <f t="shared" si="37"/>
        <v>0</v>
      </c>
      <c r="K180" s="162"/>
      <c r="L180" s="195"/>
      <c r="M180" s="43"/>
      <c r="N180" s="43"/>
      <c r="O180" s="43"/>
      <c r="P180" s="43"/>
      <c r="Q180" s="43"/>
      <c r="R180" s="43"/>
      <c r="S180" s="43"/>
      <c r="T180" s="43"/>
      <c r="U180" s="43"/>
      <c r="V180" s="43"/>
      <c r="W180" s="43"/>
    </row>
    <row r="181" spans="1:23" hidden="1" outlineLevel="1" x14ac:dyDescent="0.2">
      <c r="A181" s="194"/>
      <c r="B181" s="194"/>
      <c r="C181" s="194"/>
      <c r="D181" s="162"/>
      <c r="E181" s="176">
        <v>3</v>
      </c>
      <c r="F181" s="176">
        <v>4</v>
      </c>
      <c r="G181" s="176">
        <v>5</v>
      </c>
      <c r="H181" s="176">
        <v>6</v>
      </c>
      <c r="I181" s="176">
        <v>7</v>
      </c>
      <c r="J181" s="176">
        <v>8</v>
      </c>
      <c r="K181" s="162"/>
      <c r="L181" s="195"/>
      <c r="M181" s="43"/>
      <c r="N181" s="43"/>
      <c r="O181" s="43"/>
      <c r="P181" s="43"/>
      <c r="Q181" s="43"/>
      <c r="R181" s="43"/>
      <c r="S181" s="43"/>
      <c r="T181" s="43"/>
      <c r="U181" s="43"/>
      <c r="V181" s="43"/>
      <c r="W181" s="43"/>
    </row>
    <row r="182" spans="1:23" hidden="1" outlineLevel="1" x14ac:dyDescent="0.2">
      <c r="A182" s="194"/>
      <c r="B182" s="194"/>
      <c r="C182" s="194"/>
      <c r="D182" s="31" t="s">
        <v>324</v>
      </c>
      <c r="E182" s="78">
        <f t="shared" ref="E182:J182" si="38">E179</f>
        <v>2021</v>
      </c>
      <c r="F182" s="78">
        <f t="shared" si="38"/>
        <v>2022</v>
      </c>
      <c r="G182" s="78">
        <f t="shared" si="38"/>
        <v>2023</v>
      </c>
      <c r="H182" s="78">
        <f t="shared" si="38"/>
        <v>2024</v>
      </c>
      <c r="I182" s="78">
        <f t="shared" si="38"/>
        <v>2025</v>
      </c>
      <c r="J182" s="78">
        <f t="shared" si="38"/>
        <v>2026</v>
      </c>
      <c r="K182" s="162"/>
      <c r="L182" s="194"/>
      <c r="M182" s="44"/>
      <c r="N182" s="44"/>
      <c r="O182" s="44"/>
      <c r="P182" s="44"/>
      <c r="Q182" s="44"/>
      <c r="R182" s="44"/>
      <c r="S182" s="44"/>
      <c r="T182" s="44"/>
      <c r="U182" s="44"/>
      <c r="V182" s="44"/>
      <c r="W182" s="44"/>
    </row>
    <row r="183" spans="1:23" hidden="1" outlineLevel="1" x14ac:dyDescent="0.2">
      <c r="A183" s="194"/>
      <c r="B183" s="194"/>
      <c r="C183" s="416"/>
      <c r="D183" s="177" t="s">
        <v>240</v>
      </c>
      <c r="E183" s="63">
        <f t="shared" ref="E183:J183" si="39">IF(OR(E184="",E184=0),SUM(E185:E186),E184)</f>
        <v>0</v>
      </c>
      <c r="F183" s="63">
        <f t="shared" si="39"/>
        <v>0</v>
      </c>
      <c r="G183" s="63">
        <f t="shared" si="39"/>
        <v>0</v>
      </c>
      <c r="H183" s="63">
        <f t="shared" si="39"/>
        <v>0</v>
      </c>
      <c r="I183" s="63">
        <f t="shared" si="39"/>
        <v>0</v>
      </c>
      <c r="J183" s="63">
        <f t="shared" si="39"/>
        <v>0</v>
      </c>
      <c r="K183" s="162"/>
      <c r="L183" s="194"/>
      <c r="M183" s="44"/>
      <c r="N183" s="44"/>
      <c r="O183" s="44"/>
      <c r="P183" s="44"/>
      <c r="Q183" s="44"/>
      <c r="R183" s="44"/>
      <c r="S183" s="44"/>
      <c r="T183" s="44"/>
      <c r="U183" s="44"/>
      <c r="V183" s="44"/>
      <c r="W183" s="44"/>
    </row>
    <row r="184" spans="1:23" hidden="1" outlineLevel="1" x14ac:dyDescent="0.2">
      <c r="A184" s="194"/>
      <c r="B184" s="194"/>
      <c r="C184" s="58">
        <v>1</v>
      </c>
      <c r="D184" s="177" t="s">
        <v>366</v>
      </c>
      <c r="E184" s="430"/>
      <c r="F184" s="430"/>
      <c r="G184" s="430"/>
      <c r="H184" s="430"/>
      <c r="I184" s="430"/>
      <c r="J184" s="430"/>
      <c r="K184" s="162"/>
      <c r="L184" s="194"/>
      <c r="M184" s="44"/>
      <c r="N184" s="44"/>
      <c r="O184" s="44"/>
      <c r="P184" s="44"/>
      <c r="Q184" s="44"/>
      <c r="R184" s="44"/>
      <c r="S184" s="44"/>
      <c r="T184" s="44"/>
      <c r="U184" s="44"/>
      <c r="V184" s="44"/>
      <c r="W184" s="44"/>
    </row>
    <row r="185" spans="1:23" hidden="1" outlineLevel="1" x14ac:dyDescent="0.2">
      <c r="A185" s="194"/>
      <c r="B185" s="194"/>
      <c r="C185" s="58">
        <v>2</v>
      </c>
      <c r="D185" s="177" t="s">
        <v>243</v>
      </c>
      <c r="E185" s="430"/>
      <c r="F185" s="430"/>
      <c r="G185" s="430"/>
      <c r="H185" s="430"/>
      <c r="I185" s="430"/>
      <c r="J185" s="430"/>
      <c r="K185" s="162"/>
      <c r="L185" s="194"/>
      <c r="M185" s="44"/>
      <c r="N185" s="44"/>
      <c r="O185" s="44"/>
      <c r="P185" s="44"/>
      <c r="Q185" s="44"/>
      <c r="R185" s="44"/>
      <c r="S185" s="44"/>
      <c r="T185" s="44"/>
      <c r="U185" s="44"/>
      <c r="V185" s="44"/>
      <c r="W185" s="44"/>
    </row>
    <row r="186" spans="1:23" hidden="1" outlineLevel="1" x14ac:dyDescent="0.2">
      <c r="A186" s="194"/>
      <c r="B186" s="194"/>
      <c r="C186" s="58">
        <v>3</v>
      </c>
      <c r="D186" s="177" t="s">
        <v>244</v>
      </c>
      <c r="E186" s="427"/>
      <c r="F186" s="427"/>
      <c r="G186" s="427"/>
      <c r="H186" s="427"/>
      <c r="I186" s="427"/>
      <c r="J186" s="427"/>
      <c r="K186" s="162"/>
      <c r="L186" s="194"/>
      <c r="M186" s="44"/>
      <c r="N186" s="44"/>
      <c r="O186" s="44"/>
      <c r="P186" s="44"/>
      <c r="Q186" s="44"/>
      <c r="R186" s="44"/>
      <c r="S186" s="44"/>
      <c r="T186" s="44"/>
      <c r="U186" s="44"/>
      <c r="V186" s="44"/>
      <c r="W186" s="44"/>
    </row>
    <row r="187" spans="1:23" ht="12.75" hidden="1" customHeight="1" outlineLevel="1" x14ac:dyDescent="0.2">
      <c r="B187" s="194"/>
      <c r="C187" s="646"/>
      <c r="D187" s="162"/>
      <c r="E187" s="162"/>
      <c r="F187" s="162"/>
      <c r="G187" s="162"/>
      <c r="H187" s="162"/>
      <c r="I187" s="162"/>
      <c r="J187" s="162"/>
      <c r="K187" s="162"/>
      <c r="L187" s="194"/>
      <c r="M187" s="44"/>
      <c r="N187" s="44"/>
      <c r="O187" s="44"/>
      <c r="P187" s="44"/>
      <c r="Q187" s="44"/>
      <c r="R187" s="44"/>
    </row>
    <row r="188" spans="1:23" ht="12.75" customHeight="1" collapsed="1" x14ac:dyDescent="0.2">
      <c r="B188" s="194"/>
      <c r="C188" s="646"/>
      <c r="D188" s="162"/>
      <c r="E188" s="162"/>
      <c r="F188" s="162"/>
      <c r="G188" s="162"/>
      <c r="H188" s="162"/>
      <c r="I188" s="162"/>
      <c r="J188" s="162"/>
      <c r="K188" s="162"/>
      <c r="L188" s="194"/>
      <c r="M188" s="44"/>
      <c r="N188" s="44"/>
      <c r="O188" s="44"/>
      <c r="P188" s="44"/>
      <c r="Q188" s="44"/>
      <c r="R188" s="44"/>
    </row>
  </sheetData>
  <sheetProtection selectLockedCells="1"/>
  <mergeCells count="21">
    <mergeCell ref="X1:Z1"/>
    <mergeCell ref="E106:J106"/>
    <mergeCell ref="E123:J123"/>
    <mergeCell ref="E140:J140"/>
    <mergeCell ref="E157:J157"/>
    <mergeCell ref="M21:R21"/>
    <mergeCell ref="M38:R38"/>
    <mergeCell ref="M55:R55"/>
    <mergeCell ref="M72:R72"/>
    <mergeCell ref="M89:R89"/>
    <mergeCell ref="M106:R106"/>
    <mergeCell ref="M123:R123"/>
    <mergeCell ref="M140:R140"/>
    <mergeCell ref="M157:R157"/>
    <mergeCell ref="M174:R174"/>
    <mergeCell ref="E174:J174"/>
    <mergeCell ref="E72:J72"/>
    <mergeCell ref="E89:J89"/>
    <mergeCell ref="E21:J21"/>
    <mergeCell ref="E38:J38"/>
    <mergeCell ref="E55:J55"/>
  </mergeCells>
  <dataValidations count="1">
    <dataValidation type="list" allowBlank="1" showInputMessage="1" showErrorMessage="1" sqref="E23 E40 E57 E74 E91 E108 E125 E142 E159 E176">
      <formula1>Gender</formula1>
    </dataValidation>
  </dataValidations>
  <pageMargins left="0.75" right="0.75" top="1" bottom="1" header="0.5" footer="0.5"/>
  <pageSetup paperSize="9" orientation="portrait" verticalDpi="0" r:id="rId1"/>
  <headerFooter alignWithMargins="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theme="5"/>
    <pageSetUpPr fitToPage="1"/>
  </sheetPr>
  <dimension ref="A1:P523"/>
  <sheetViews>
    <sheetView showGridLines="0" zoomScaleNormal="100" zoomScaleSheetLayoutView="100" workbookViewId="0"/>
  </sheetViews>
  <sheetFormatPr defaultRowHeight="12.75" customHeight="1" outlineLevelRow="1" x14ac:dyDescent="0.2"/>
  <cols>
    <col min="1" max="1" width="3.7109375" customWidth="1"/>
    <col min="2" max="2" width="3.7109375" hidden="1" customWidth="1"/>
    <col min="3" max="3" width="25.7109375" customWidth="1"/>
    <col min="4" max="4" width="5.7109375" customWidth="1"/>
    <col min="5" max="5" width="90.7109375" customWidth="1"/>
    <col min="6" max="6" width="3.7109375" customWidth="1"/>
    <col min="7" max="8" width="20.7109375" customWidth="1"/>
    <col min="9" max="9" width="3.7109375" customWidth="1"/>
    <col min="10" max="11" width="20.7109375" customWidth="1"/>
    <col min="12" max="12" width="20.7109375" style="416" customWidth="1"/>
    <col min="13" max="15" width="3.7109375" hidden="1" customWidth="1"/>
    <col min="16" max="16" width="10.7109375" customWidth="1"/>
  </cols>
  <sheetData>
    <row r="1" spans="1:16" ht="23.25" x14ac:dyDescent="0.2">
      <c r="A1" s="218">
        <f>IF(O408=19,2,0)</f>
        <v>0</v>
      </c>
      <c r="B1" s="219"/>
      <c r="C1" s="220" t="s">
        <v>231</v>
      </c>
      <c r="D1" s="219"/>
      <c r="E1" s="219"/>
      <c r="F1" s="219"/>
      <c r="G1" s="219"/>
      <c r="H1" s="219"/>
      <c r="I1" s="219"/>
      <c r="J1" s="219"/>
      <c r="K1" s="91"/>
      <c r="L1" s="219"/>
      <c r="M1" s="219"/>
      <c r="N1" s="219"/>
      <c r="O1" s="219"/>
      <c r="P1" s="91"/>
    </row>
    <row r="2" spans="1:16" ht="15.75" x14ac:dyDescent="0.2">
      <c r="A2" s="219"/>
      <c r="B2" s="219"/>
      <c r="C2" s="222" t="str">
        <f>CONCATENATE("Name of medicine: ", MedicineBrand)</f>
        <v xml:space="preserve">Name of medicine: </v>
      </c>
      <c r="D2" s="219"/>
      <c r="E2" s="219"/>
      <c r="F2" s="219"/>
      <c r="G2" s="219"/>
      <c r="H2" s="219"/>
      <c r="I2" s="219"/>
      <c r="J2" s="219"/>
      <c r="K2" s="219"/>
      <c r="L2" s="219"/>
      <c r="M2" s="219"/>
      <c r="N2" s="219"/>
      <c r="O2" s="219"/>
      <c r="P2" s="219"/>
    </row>
    <row r="3" spans="1:16" ht="15.75" x14ac:dyDescent="0.2">
      <c r="A3" s="219"/>
      <c r="B3" s="219"/>
      <c r="C3" s="222" t="str">
        <f>CONCATENATE("Indication: ", Indication)</f>
        <v xml:space="preserve">Indication: </v>
      </c>
      <c r="D3" s="219"/>
      <c r="E3" s="219"/>
      <c r="F3" s="219"/>
      <c r="G3" s="219"/>
      <c r="H3" s="219"/>
      <c r="I3" s="219"/>
      <c r="J3" s="219"/>
      <c r="K3" s="219"/>
      <c r="L3" s="219"/>
      <c r="M3" s="219"/>
      <c r="N3" s="219"/>
      <c r="O3" s="219"/>
      <c r="P3" s="219"/>
    </row>
    <row r="4" spans="1:16" x14ac:dyDescent="0.2">
      <c r="A4" s="103"/>
      <c r="B4" s="103"/>
      <c r="C4" s="617"/>
      <c r="D4" s="103"/>
      <c r="E4" s="103"/>
      <c r="F4" s="103"/>
      <c r="G4" s="103"/>
      <c r="H4" s="103"/>
      <c r="I4" s="103"/>
      <c r="J4" s="103"/>
      <c r="K4" s="103"/>
      <c r="L4" s="103"/>
      <c r="M4" s="103"/>
      <c r="N4" s="103"/>
      <c r="O4" s="103"/>
      <c r="P4" s="103"/>
    </row>
    <row r="5" spans="1:16" ht="15.75" x14ac:dyDescent="0.2">
      <c r="A5" s="103"/>
      <c r="B5" s="103"/>
      <c r="C5" s="96" t="s">
        <v>77</v>
      </c>
      <c r="D5" s="104"/>
      <c r="E5" s="104"/>
      <c r="F5" s="104"/>
      <c r="G5" s="104"/>
      <c r="H5" s="104"/>
      <c r="I5" s="104"/>
      <c r="J5" s="104"/>
      <c r="K5" s="104"/>
      <c r="L5" s="104"/>
      <c r="M5" s="104"/>
      <c r="N5" s="104"/>
      <c r="O5" s="104"/>
      <c r="P5" s="104"/>
    </row>
    <row r="6" spans="1:16" x14ac:dyDescent="0.2">
      <c r="A6" s="103"/>
      <c r="B6" s="103"/>
      <c r="C6" s="103"/>
      <c r="D6" s="103"/>
      <c r="E6" s="103"/>
      <c r="F6" s="103"/>
      <c r="G6" s="103"/>
      <c r="H6" s="103"/>
      <c r="I6" s="103"/>
      <c r="J6" s="103"/>
      <c r="K6" s="103"/>
      <c r="L6" s="103"/>
      <c r="M6" s="103"/>
      <c r="N6" s="103"/>
      <c r="O6" s="103"/>
      <c r="P6" s="103"/>
    </row>
    <row r="7" spans="1:16" x14ac:dyDescent="0.2">
      <c r="A7" s="103"/>
      <c r="B7" s="103"/>
      <c r="C7" s="782" t="s">
        <v>811</v>
      </c>
      <c r="D7" s="782"/>
      <c r="E7" s="22"/>
      <c r="F7" s="98"/>
      <c r="G7" s="92" t="s">
        <v>555</v>
      </c>
      <c r="H7" s="265"/>
      <c r="I7" s="93"/>
      <c r="J7" s="92" t="s">
        <v>809</v>
      </c>
      <c r="K7" s="77"/>
      <c r="L7"/>
      <c r="N7" s="470">
        <f>IF(K7="Yes",1,0)</f>
        <v>0</v>
      </c>
      <c r="O7" s="470">
        <f>IF(AND(MedicineName&lt;&gt;"",E8&lt;&gt;"",E9&lt;&gt;""),1,0)</f>
        <v>0</v>
      </c>
      <c r="P7" s="103"/>
    </row>
    <row r="8" spans="1:16" x14ac:dyDescent="0.2">
      <c r="A8" s="103"/>
      <c r="B8" s="103"/>
      <c r="C8" s="782" t="s">
        <v>556</v>
      </c>
      <c r="D8" s="782"/>
      <c r="E8" s="22"/>
      <c r="F8" s="98"/>
      <c r="G8" s="92" t="s">
        <v>557</v>
      </c>
      <c r="H8" s="386"/>
      <c r="I8" s="93"/>
      <c r="J8" s="92" t="s">
        <v>558</v>
      </c>
      <c r="K8" s="77">
        <v>2021</v>
      </c>
      <c r="L8" s="357"/>
      <c r="M8" s="98"/>
      <c r="N8" s="70"/>
      <c r="O8" s="470">
        <f>IF(AND(H7&lt;&gt;"",H9&lt;&gt;0),1,0)</f>
        <v>0</v>
      </c>
      <c r="P8" s="103"/>
    </row>
    <row r="9" spans="1:16" x14ac:dyDescent="0.2">
      <c r="A9" s="103"/>
      <c r="B9" s="103"/>
      <c r="C9" s="782" t="s">
        <v>931</v>
      </c>
      <c r="D9" s="782"/>
      <c r="E9" s="19"/>
      <c r="F9" s="103"/>
      <c r="G9" s="92" t="s">
        <v>559</v>
      </c>
      <c r="H9" s="77"/>
      <c r="I9" s="105"/>
      <c r="J9" s="359" t="str">
        <f>IF(N9=1,"Submission category",IF(N9=2,"Resubmission pathway",""))</f>
        <v/>
      </c>
      <c r="K9" s="360"/>
      <c r="L9" s="70"/>
      <c r="M9" s="70"/>
      <c r="N9" s="470" t="str">
        <f>IFERROR(VLOOKUP(H9,SubmissionTypeCode,2,FALSE),"")</f>
        <v/>
      </c>
      <c r="O9" s="470">
        <f>IF(AND(K7&lt;&gt;"",FirstYear&lt;&gt;""),1,0)</f>
        <v>0</v>
      </c>
      <c r="P9" s="103"/>
    </row>
    <row r="10" spans="1:16" hidden="1" x14ac:dyDescent="0.2">
      <c r="A10" s="103"/>
      <c r="B10" s="103"/>
      <c r="C10" s="103"/>
      <c r="D10" s="103"/>
      <c r="E10" s="223" t="str">
        <f>IF(MedicineName&lt;&gt;"",TRIM(E7) &amp; " (" &amp; TRIM(E8) &amp; "®)","")</f>
        <v/>
      </c>
      <c r="F10" s="103"/>
      <c r="G10" s="103"/>
      <c r="H10" s="103"/>
      <c r="I10" s="103"/>
      <c r="J10" s="103"/>
      <c r="K10" s="103"/>
      <c r="L10" s="70"/>
      <c r="M10" s="70"/>
      <c r="N10" s="70"/>
      <c r="O10" s="70"/>
      <c r="P10" s="103"/>
    </row>
    <row r="11" spans="1:16" x14ac:dyDescent="0.2">
      <c r="A11" s="103"/>
      <c r="B11" s="103"/>
      <c r="C11" s="103"/>
      <c r="D11" s="103"/>
      <c r="E11" s="358"/>
      <c r="F11" s="103"/>
      <c r="G11" s="103"/>
      <c r="H11" s="103"/>
      <c r="I11" s="103"/>
      <c r="J11" s="103"/>
      <c r="K11" s="103"/>
      <c r="L11" s="70"/>
      <c r="M11" s="70"/>
      <c r="N11" s="70"/>
      <c r="O11" s="70"/>
      <c r="P11" s="103"/>
    </row>
    <row r="12" spans="1:16" x14ac:dyDescent="0.2">
      <c r="A12" s="103"/>
      <c r="B12" s="103"/>
      <c r="C12" s="70"/>
      <c r="D12" s="70"/>
      <c r="E12" s="70"/>
      <c r="F12" s="70"/>
      <c r="G12" s="70"/>
      <c r="H12" s="70"/>
      <c r="I12" s="70"/>
      <c r="J12" s="70"/>
      <c r="K12" s="70"/>
      <c r="L12" s="70"/>
      <c r="M12" s="70"/>
      <c r="N12" s="70"/>
      <c r="O12" s="70"/>
      <c r="P12" s="70"/>
    </row>
    <row r="13" spans="1:16" ht="15.75" x14ac:dyDescent="0.2">
      <c r="A13" s="103"/>
      <c r="B13" s="103"/>
      <c r="C13" s="96" t="s">
        <v>44</v>
      </c>
      <c r="D13" s="104"/>
      <c r="E13" s="104"/>
      <c r="F13" s="104"/>
      <c r="G13" s="104"/>
      <c r="H13" s="104"/>
      <c r="I13" s="104"/>
      <c r="J13" s="104"/>
      <c r="K13" s="104"/>
      <c r="L13" s="104"/>
      <c r="M13" s="104"/>
      <c r="N13" s="104"/>
      <c r="O13" s="104"/>
      <c r="P13" s="104"/>
    </row>
    <row r="14" spans="1:16" x14ac:dyDescent="0.2">
      <c r="A14" s="357"/>
      <c r="B14" s="357"/>
      <c r="C14" s="103"/>
      <c r="D14" s="103"/>
      <c r="E14" s="103"/>
      <c r="F14" s="103"/>
      <c r="G14" s="103"/>
      <c r="H14" s="103"/>
      <c r="I14" s="103"/>
      <c r="J14" s="103"/>
      <c r="K14" s="103"/>
      <c r="L14" s="103"/>
      <c r="M14" s="103"/>
      <c r="N14" s="103"/>
      <c r="O14" s="103"/>
      <c r="P14" s="103"/>
    </row>
    <row r="15" spans="1:16" ht="15.75" x14ac:dyDescent="0.2">
      <c r="A15" s="103"/>
      <c r="B15" s="103"/>
      <c r="C15" s="103"/>
      <c r="D15" s="103"/>
      <c r="E15" s="103"/>
      <c r="F15" s="103"/>
      <c r="G15" s="780" t="s">
        <v>208</v>
      </c>
      <c r="H15" s="780"/>
      <c r="I15" s="98"/>
      <c r="J15" s="796" t="str">
        <f>"Patient cost without subsidy - " &amp; IF(N405=1,"year","treatment course")</f>
        <v>Patient cost without subsidy - treatment course</v>
      </c>
      <c r="K15" s="796"/>
      <c r="L15" s="70"/>
      <c r="M15" s="70"/>
      <c r="N15" s="70"/>
      <c r="O15" s="70"/>
      <c r="P15" s="103"/>
    </row>
    <row r="16" spans="1:16" x14ac:dyDescent="0.2">
      <c r="A16" s="103"/>
      <c r="B16" s="103"/>
      <c r="C16" s="103"/>
      <c r="D16" s="103"/>
      <c r="E16" s="103"/>
      <c r="F16" s="103"/>
      <c r="G16" s="92" t="s">
        <v>560</v>
      </c>
      <c r="H16" s="369" t="str">
        <f>'5. Impact - net'!M1</f>
        <v>Nil</v>
      </c>
      <c r="I16" s="99"/>
      <c r="J16" s="92" t="s">
        <v>561</v>
      </c>
      <c r="K16" s="289">
        <f>IF(N409=0,H407*K405,K417)</f>
        <v>0</v>
      </c>
      <c r="L16" s="70"/>
      <c r="M16" s="70"/>
      <c r="N16" s="470" t="str">
        <f>IFERROR(VLOOKUP(H16,CostTypePBSCode,2,FALSE),"N")</f>
        <v>N</v>
      </c>
      <c r="O16" s="70"/>
      <c r="P16" s="103"/>
    </row>
    <row r="17" spans="1:16" x14ac:dyDescent="0.2">
      <c r="A17" s="103"/>
      <c r="B17" s="103"/>
      <c r="C17" s="103"/>
      <c r="D17" s="103"/>
      <c r="E17" s="103"/>
      <c r="F17" s="103"/>
      <c r="G17" s="92" t="s">
        <v>562</v>
      </c>
      <c r="H17" s="27" t="str">
        <f>'5. Impact - net'!M2</f>
        <v>Nil</v>
      </c>
      <c r="I17" s="99"/>
      <c r="J17" s="92" t="s">
        <v>563</v>
      </c>
      <c r="K17" s="289">
        <f>IF(N409=0,H407*K407,L417)</f>
        <v>0</v>
      </c>
      <c r="L17" s="70"/>
      <c r="M17" s="70"/>
      <c r="N17" s="470" t="str">
        <f>IFERROR(VLOOKUP(H17,CostTypeCode,2,FALSE),"N")</f>
        <v>N</v>
      </c>
      <c r="O17" s="70"/>
      <c r="P17" s="103"/>
    </row>
    <row r="18" spans="1:16" x14ac:dyDescent="0.2">
      <c r="A18" s="103"/>
      <c r="B18" s="103"/>
      <c r="C18" s="103"/>
      <c r="D18" s="103"/>
      <c r="E18" s="103"/>
      <c r="F18" s="103"/>
      <c r="G18" s="95" t="s">
        <v>564</v>
      </c>
      <c r="H18" s="385"/>
      <c r="I18" s="99"/>
      <c r="J18" s="98"/>
      <c r="K18" s="98"/>
      <c r="L18" s="70"/>
      <c r="M18" s="70"/>
      <c r="N18" s="70"/>
      <c r="O18" s="70"/>
      <c r="P18" s="103"/>
    </row>
    <row r="19" spans="1:16" x14ac:dyDescent="0.2">
      <c r="A19" s="103"/>
      <c r="B19" s="103"/>
      <c r="C19" s="103"/>
      <c r="D19" s="103"/>
      <c r="E19" s="103"/>
      <c r="F19" s="103"/>
      <c r="G19" s="92" t="s">
        <v>565</v>
      </c>
      <c r="H19" s="27" t="str">
        <f>'7. Net changes - MBS'!V1</f>
        <v>Nil</v>
      </c>
      <c r="I19" s="99"/>
      <c r="J19" s="98"/>
      <c r="K19" s="98"/>
      <c r="L19" s="70"/>
      <c r="M19" s="70"/>
      <c r="N19" s="70"/>
      <c r="O19" s="70"/>
      <c r="P19" s="103"/>
    </row>
    <row r="20" spans="1:16" s="416" customFormat="1" ht="15.75" x14ac:dyDescent="0.2">
      <c r="A20" s="103"/>
      <c r="B20" s="103"/>
      <c r="C20" s="103"/>
      <c r="D20" s="103"/>
      <c r="E20" s="103"/>
      <c r="F20" s="103"/>
      <c r="G20" s="357"/>
      <c r="H20" s="357"/>
      <c r="I20" s="358"/>
      <c r="J20" s="780" t="s">
        <v>1182</v>
      </c>
      <c r="K20" s="780"/>
      <c r="L20" s="70"/>
      <c r="M20" s="70"/>
      <c r="N20" s="70"/>
      <c r="O20" s="70"/>
      <c r="P20" s="103"/>
    </row>
    <row r="21" spans="1:16" x14ac:dyDescent="0.2">
      <c r="A21" s="103"/>
      <c r="B21" s="103"/>
      <c r="C21" s="103"/>
      <c r="D21" s="103"/>
      <c r="E21" s="103"/>
      <c r="F21" s="103"/>
      <c r="G21" s="445" t="s">
        <v>735</v>
      </c>
      <c r="H21" s="27" t="str">
        <f>'6. Net changes - SA'!AA1</f>
        <v>Nil</v>
      </c>
      <c r="I21" s="99"/>
      <c r="J21" s="359" t="s">
        <v>816</v>
      </c>
      <c r="K21" s="360"/>
      <c r="L21" s="70"/>
      <c r="M21" s="70"/>
      <c r="N21" s="470" t="str">
        <f>IFERROR(VLOOKUP(H19,CostTypeCode,2,FALSE),"N")</f>
        <v>N</v>
      </c>
      <c r="O21" s="70"/>
      <c r="P21" s="103"/>
    </row>
    <row r="22" spans="1:16" x14ac:dyDescent="0.2">
      <c r="A22" s="103"/>
      <c r="B22" s="103"/>
      <c r="C22" s="103"/>
      <c r="D22" s="103"/>
      <c r="E22" s="103"/>
      <c r="F22" s="103"/>
      <c r="G22" s="97" t="s">
        <v>566</v>
      </c>
      <c r="H22" s="27" t="str">
        <f>IF(ComplexAuthCount&gt;0,"Yes","No")</f>
        <v>No</v>
      </c>
      <c r="I22" s="99"/>
      <c r="J22" s="359" t="s">
        <v>544</v>
      </c>
      <c r="K22" s="385"/>
      <c r="L22" s="70"/>
      <c r="M22" s="70"/>
      <c r="N22" s="470" t="str">
        <f>IFERROR(VLOOKUP(H21,CostTypeCode,2,FALSE),"N")</f>
        <v>N</v>
      </c>
      <c r="O22" s="70"/>
      <c r="P22" s="103"/>
    </row>
    <row r="23" spans="1:16" x14ac:dyDescent="0.2">
      <c r="A23" s="103"/>
      <c r="B23" s="103"/>
      <c r="C23" s="103"/>
      <c r="D23" s="103"/>
      <c r="E23" s="103"/>
      <c r="F23" s="103"/>
      <c r="G23" s="97" t="s">
        <v>567</v>
      </c>
      <c r="H23" s="385"/>
      <c r="I23" s="99"/>
      <c r="J23" s="359" t="s">
        <v>545</v>
      </c>
      <c r="K23" s="385"/>
      <c r="L23" s="70"/>
      <c r="M23" s="70"/>
      <c r="N23" s="70"/>
      <c r="O23" s="70"/>
      <c r="P23" s="103"/>
    </row>
    <row r="24" spans="1:16" x14ac:dyDescent="0.2">
      <c r="A24" s="103"/>
      <c r="B24" s="103"/>
      <c r="C24" s="103"/>
      <c r="D24" s="103"/>
      <c r="E24" s="103"/>
      <c r="F24" s="103"/>
      <c r="I24" s="99"/>
      <c r="J24" s="359" t="s">
        <v>546</v>
      </c>
      <c r="K24" s="385"/>
      <c r="L24" s="70"/>
      <c r="M24" s="70"/>
      <c r="N24" s="70"/>
      <c r="O24" s="70"/>
      <c r="P24" s="103"/>
    </row>
    <row r="25" spans="1:16" x14ac:dyDescent="0.2">
      <c r="A25" s="103"/>
      <c r="B25" s="103"/>
      <c r="C25" s="103"/>
      <c r="D25" s="103"/>
      <c r="E25" s="103"/>
      <c r="F25" s="103"/>
      <c r="G25" s="97" t="s">
        <v>568</v>
      </c>
      <c r="H25" s="27" t="str">
        <f>IF(H63&lt;&gt;"",H63,"")</f>
        <v/>
      </c>
      <c r="I25" s="99"/>
      <c r="J25" s="359" t="s">
        <v>634</v>
      </c>
      <c r="K25" s="385"/>
      <c r="L25" s="70"/>
      <c r="M25" s="70"/>
      <c r="N25" s="70"/>
      <c r="O25" s="70"/>
      <c r="P25" s="103"/>
    </row>
    <row r="26" spans="1:16" x14ac:dyDescent="0.2">
      <c r="A26" s="103"/>
      <c r="B26" s="103"/>
      <c r="C26" s="103"/>
      <c r="D26" s="103"/>
      <c r="E26" s="103"/>
      <c r="F26" s="103"/>
      <c r="G26" s="103"/>
      <c r="H26" s="103"/>
      <c r="I26" s="103"/>
      <c r="J26" s="103"/>
      <c r="K26" s="103"/>
      <c r="L26" s="70"/>
      <c r="M26" s="70"/>
      <c r="N26" s="70"/>
      <c r="O26" s="70"/>
      <c r="P26" s="103"/>
    </row>
    <row r="27" spans="1:16" x14ac:dyDescent="0.2">
      <c r="A27" s="103"/>
      <c r="B27" s="103"/>
      <c r="C27" s="103"/>
      <c r="D27" s="103"/>
      <c r="E27" s="103"/>
      <c r="F27" s="103"/>
      <c r="G27" s="103"/>
      <c r="H27" s="103"/>
      <c r="I27" s="103"/>
      <c r="J27" s="103"/>
      <c r="K27" s="103"/>
      <c r="L27" s="103"/>
      <c r="M27" s="103"/>
      <c r="N27" s="103"/>
      <c r="O27" s="103"/>
      <c r="P27" s="103"/>
    </row>
    <row r="28" spans="1:16" ht="15.75" x14ac:dyDescent="0.2">
      <c r="A28" s="103"/>
      <c r="B28" s="103"/>
      <c r="C28" s="96" t="s">
        <v>553</v>
      </c>
      <c r="D28" s="104"/>
      <c r="E28" s="104"/>
      <c r="F28" s="104"/>
      <c r="G28" s="104"/>
      <c r="H28" s="104"/>
      <c r="I28" s="104"/>
      <c r="J28" s="104"/>
      <c r="K28" s="104"/>
      <c r="L28" s="104"/>
      <c r="M28" s="104"/>
      <c r="N28" s="104"/>
      <c r="O28" s="104"/>
      <c r="P28" s="104"/>
    </row>
    <row r="29" spans="1:16" x14ac:dyDescent="0.2">
      <c r="A29" s="103"/>
      <c r="B29" s="103"/>
      <c r="C29" s="103"/>
      <c r="D29" s="103"/>
      <c r="E29" s="103"/>
      <c r="F29" s="103"/>
      <c r="G29" s="103"/>
      <c r="H29" s="103"/>
      <c r="I29" s="103"/>
      <c r="J29" s="103"/>
      <c r="K29" s="103"/>
      <c r="L29" s="103"/>
      <c r="M29" s="103"/>
      <c r="N29" s="103"/>
      <c r="O29" s="103"/>
      <c r="P29" s="103"/>
    </row>
    <row r="30" spans="1:16" ht="56.25" x14ac:dyDescent="0.2">
      <c r="A30" s="103"/>
      <c r="B30" s="103"/>
      <c r="C30" s="783"/>
      <c r="D30" s="784"/>
      <c r="E30" s="29" t="str">
        <f>IF(E31&lt;&gt;"",E31,E37) &amp; " " &amp; IF(E32&lt;&gt;"",E32,E38) &amp; " " &amp; IF(E33&lt;&gt;"",E33,E39) &amp; " " &amp; IF(E34&lt;&gt;"",E34,E40) &amp; " " &amp; IF(E35&lt;&gt;"",E35,E41)</f>
        <v>As there are no financial impacts for any portfolio agency, there is no financial impact for the Commonwealth. As there is no change to the price or volume of the medicine associated with this listing, there is no financial impact on the PBS. As there no change to the price or volume of the medicine associated with this listing, there is no financial impact on the RPBS. As there is no testing or medical imaging associated with this listing, there is no impact on the MBS. As there is no change in dispensing volumes or the service delivery model associated with this listing, there is no impact on SA.</v>
      </c>
      <c r="F30" s="358"/>
      <c r="G30" s="221"/>
      <c r="H30" s="358"/>
      <c r="I30" s="358"/>
      <c r="J30" s="358"/>
      <c r="K30" s="358"/>
      <c r="L30" s="358"/>
      <c r="M30" s="358"/>
      <c r="N30" s="70"/>
      <c r="O30" s="70"/>
      <c r="P30" s="103"/>
    </row>
    <row r="31" spans="1:16" x14ac:dyDescent="0.2">
      <c r="A31" s="103"/>
      <c r="B31" s="103"/>
      <c r="C31" s="774" t="s">
        <v>569</v>
      </c>
      <c r="D31" s="776"/>
      <c r="E31" s="387"/>
      <c r="F31" s="358"/>
      <c r="G31" s="103"/>
      <c r="H31" s="358"/>
      <c r="I31" s="358"/>
      <c r="J31" s="358"/>
      <c r="K31" s="358"/>
      <c r="L31" s="358"/>
      <c r="M31" s="358"/>
      <c r="N31" s="70"/>
      <c r="O31" s="70"/>
      <c r="P31" s="103"/>
    </row>
    <row r="32" spans="1:16" x14ac:dyDescent="0.2">
      <c r="A32" s="103"/>
      <c r="B32" s="103"/>
      <c r="C32" s="774" t="s">
        <v>560</v>
      </c>
      <c r="D32" s="776"/>
      <c r="E32" s="387"/>
      <c r="F32" s="358"/>
      <c r="G32" s="103"/>
      <c r="H32" s="615"/>
      <c r="I32" s="358"/>
      <c r="J32" s="358"/>
      <c r="K32" s="358"/>
      <c r="L32" s="358"/>
      <c r="M32" s="358"/>
      <c r="N32" s="70"/>
      <c r="O32" s="70"/>
      <c r="P32" s="103"/>
    </row>
    <row r="33" spans="1:16" x14ac:dyDescent="0.2">
      <c r="A33" s="103"/>
      <c r="B33" s="103"/>
      <c r="C33" s="774" t="s">
        <v>562</v>
      </c>
      <c r="D33" s="776"/>
      <c r="E33" s="387"/>
      <c r="F33" s="358"/>
      <c r="G33" s="103"/>
      <c r="H33" s="358"/>
      <c r="I33" s="358"/>
      <c r="J33" s="358"/>
      <c r="K33" s="358"/>
      <c r="L33" s="358"/>
      <c r="M33" s="358"/>
      <c r="N33" s="70"/>
      <c r="O33" s="70"/>
      <c r="P33" s="103"/>
    </row>
    <row r="34" spans="1:16" x14ac:dyDescent="0.2">
      <c r="A34" s="103"/>
      <c r="B34" s="103"/>
      <c r="C34" s="774" t="s">
        <v>565</v>
      </c>
      <c r="D34" s="776"/>
      <c r="E34" s="387"/>
      <c r="F34" s="358"/>
      <c r="G34" s="103"/>
      <c r="H34" s="358"/>
      <c r="I34" s="358"/>
      <c r="J34" s="358"/>
      <c r="K34" s="358"/>
      <c r="L34" s="358"/>
      <c r="M34" s="358"/>
      <c r="N34" s="70"/>
      <c r="O34" s="70"/>
      <c r="P34" s="103"/>
    </row>
    <row r="35" spans="1:16" x14ac:dyDescent="0.2">
      <c r="A35" s="103"/>
      <c r="B35" s="103"/>
      <c r="C35" s="774" t="s">
        <v>735</v>
      </c>
      <c r="D35" s="776"/>
      <c r="E35" s="387"/>
      <c r="F35" s="358"/>
      <c r="G35" s="103"/>
      <c r="H35" s="358"/>
      <c r="I35" s="358"/>
      <c r="J35" s="358"/>
      <c r="K35" s="358"/>
      <c r="L35" s="358"/>
      <c r="M35" s="358"/>
      <c r="N35" s="70"/>
      <c r="O35" s="70"/>
      <c r="P35" s="103"/>
    </row>
    <row r="36" spans="1:16" hidden="1" x14ac:dyDescent="0.2">
      <c r="A36" s="103"/>
      <c r="B36" s="103"/>
      <c r="C36" s="103"/>
      <c r="D36" s="103"/>
      <c r="E36" s="101"/>
      <c r="F36" s="103"/>
      <c r="G36" s="103"/>
      <c r="H36" s="103"/>
      <c r="I36" s="103"/>
      <c r="J36" s="103"/>
      <c r="K36" s="103"/>
      <c r="L36" s="70"/>
      <c r="M36" s="70"/>
      <c r="N36" s="70"/>
      <c r="O36" s="70"/>
      <c r="P36" s="103"/>
    </row>
    <row r="37" spans="1:16" hidden="1" x14ac:dyDescent="0.2">
      <c r="A37" s="103"/>
      <c r="B37" s="103"/>
      <c r="C37" s="103"/>
      <c r="D37" s="103"/>
      <c r="E37" s="224" t="str">
        <f>IF(AND(N16="N",N17="N",N21="N",N22="N"),References!AB5,IF(AND(OR(N16="C",N17="C"),H66="Price change"),References!AB6,IF(AND(OR(N16="S",N17="S"),H66="Price change"),References!AB7,IF(E31&lt;&gt;"",E31,""))))</f>
        <v>As there are no financial impacts for any portfolio agency, there is no financial impact for the Commonwealth.</v>
      </c>
      <c r="F37" s="103"/>
      <c r="G37" s="103"/>
      <c r="H37" s="103"/>
      <c r="I37" s="103"/>
      <c r="J37" s="103"/>
      <c r="K37" s="103"/>
      <c r="L37" s="70"/>
      <c r="M37" s="70"/>
      <c r="N37" s="70"/>
      <c r="O37" s="70"/>
      <c r="P37" s="103"/>
    </row>
    <row r="38" spans="1:16" hidden="1" x14ac:dyDescent="0.2">
      <c r="A38" s="103"/>
      <c r="B38" s="103"/>
      <c r="C38" s="103"/>
      <c r="D38" s="103"/>
      <c r="E38" s="224" t="str">
        <f>IF(N16="N",References!AB9,IF(AND(N16="C",H66="Price change"),References!AB10,IF(AND(N16="S",H66="Price change"),References!AB11,IF(E32&lt;&gt;"",E32,""))))</f>
        <v>As there is no change to the price or volume of the medicine associated with this listing, there is no financial impact on the PBS.</v>
      </c>
      <c r="F38" s="103"/>
      <c r="G38" s="103"/>
      <c r="H38" s="103"/>
      <c r="I38" s="103"/>
      <c r="J38" s="103"/>
      <c r="K38" s="103"/>
      <c r="L38" s="70"/>
      <c r="M38" s="70"/>
      <c r="N38" s="70"/>
      <c r="O38" s="70"/>
      <c r="P38" s="103"/>
    </row>
    <row r="39" spans="1:16" hidden="1" x14ac:dyDescent="0.2">
      <c r="A39" s="103"/>
      <c r="B39" s="103"/>
      <c r="C39" s="103"/>
      <c r="D39" s="103"/>
      <c r="E39" s="224" t="str">
        <f>IF(N17="N",References!AB13,IF(AND(N17="C",H66="Price change"),References!AB14,IF(AND(N17="S",H66="Price change"),References!AB15,IF(E33&lt;&gt;"",E33,""))))</f>
        <v>As there no change to the price or volume of the medicine associated with this listing, there is no financial impact on the RPBS.</v>
      </c>
      <c r="F39" s="103"/>
      <c r="G39" s="103"/>
      <c r="H39" s="103"/>
      <c r="I39" s="103"/>
      <c r="J39" s="103"/>
      <c r="K39" s="103"/>
      <c r="L39" s="70"/>
      <c r="M39" s="70"/>
      <c r="N39" s="70"/>
      <c r="O39" s="70"/>
      <c r="P39" s="103"/>
    </row>
    <row r="40" spans="1:16" hidden="1" x14ac:dyDescent="0.2">
      <c r="A40" s="103"/>
      <c r="B40" s="103"/>
      <c r="C40" s="103"/>
      <c r="D40" s="103"/>
      <c r="E40" s="224" t="str">
        <f>IF(N21="N",References!AB17,IF(E34&lt;&gt;"",E34,""))</f>
        <v>As there is no testing or medical imaging associated with this listing, there is no impact on the MBS.</v>
      </c>
      <c r="F40" s="103"/>
      <c r="G40" s="103"/>
      <c r="H40" s="103"/>
      <c r="I40" s="103"/>
      <c r="J40" s="103"/>
      <c r="K40" s="103"/>
      <c r="L40" s="70"/>
      <c r="M40" s="70"/>
      <c r="N40" s="70"/>
      <c r="O40" s="70"/>
      <c r="P40" s="103"/>
    </row>
    <row r="41" spans="1:16" hidden="1" x14ac:dyDescent="0.2">
      <c r="A41" s="103"/>
      <c r="B41" s="103"/>
      <c r="C41" s="103"/>
      <c r="D41" s="103"/>
      <c r="E41" s="224" t="str">
        <f>IF(N22="N",References!AB18,IF(E35&lt;&gt;"",E35,""))</f>
        <v>As there is no change in dispensing volumes or the service delivery model associated with this listing, there is no impact on SA.</v>
      </c>
      <c r="F41" s="103"/>
      <c r="G41" s="103"/>
      <c r="H41" s="103"/>
      <c r="I41" s="103"/>
      <c r="J41" s="103"/>
      <c r="K41" s="103"/>
      <c r="L41" s="70"/>
      <c r="M41" s="70"/>
      <c r="N41" s="70"/>
      <c r="O41" s="70"/>
      <c r="P41" s="103"/>
    </row>
    <row r="42" spans="1:16" x14ac:dyDescent="0.2">
      <c r="A42" s="103"/>
      <c r="B42" s="103"/>
      <c r="C42" s="103"/>
      <c r="D42" s="103"/>
      <c r="E42" s="225"/>
      <c r="F42" s="103"/>
      <c r="G42" s="103"/>
      <c r="H42" s="103"/>
      <c r="I42" s="103"/>
      <c r="J42" s="103"/>
      <c r="K42" s="103"/>
      <c r="L42" s="70"/>
      <c r="M42" s="70"/>
      <c r="N42" s="70"/>
      <c r="O42" s="70"/>
      <c r="P42" s="103"/>
    </row>
    <row r="43" spans="1:16" ht="15.75" x14ac:dyDescent="0.2">
      <c r="A43" s="103"/>
      <c r="B43" s="103"/>
      <c r="C43" s="96" t="s">
        <v>554</v>
      </c>
      <c r="D43" s="104"/>
      <c r="E43" s="104"/>
      <c r="F43" s="104"/>
      <c r="G43" s="104"/>
      <c r="H43" s="104"/>
      <c r="I43" s="104"/>
      <c r="J43" s="104"/>
      <c r="K43" s="104"/>
      <c r="L43" s="104"/>
      <c r="M43" s="104"/>
      <c r="N43" s="104"/>
      <c r="O43" s="104"/>
      <c r="P43" s="104"/>
    </row>
    <row r="44" spans="1:16" x14ac:dyDescent="0.2">
      <c r="A44" s="103"/>
      <c r="B44" s="103"/>
      <c r="C44" s="105"/>
      <c r="D44" s="105"/>
      <c r="E44" s="105"/>
      <c r="F44" s="105"/>
      <c r="G44" s="105"/>
      <c r="H44" s="105"/>
      <c r="I44" s="105"/>
      <c r="J44" s="105"/>
      <c r="K44" s="105"/>
      <c r="L44" s="70"/>
      <c r="M44" s="70"/>
      <c r="N44" s="70"/>
      <c r="O44" s="70"/>
      <c r="P44" s="103"/>
    </row>
    <row r="45" spans="1:16" x14ac:dyDescent="0.2">
      <c r="A45" s="103"/>
      <c r="B45" s="103"/>
      <c r="C45" s="774" t="s">
        <v>570</v>
      </c>
      <c r="D45" s="776"/>
      <c r="E45" s="388"/>
      <c r="F45" s="98"/>
      <c r="G45" s="785" t="str">
        <f>IF(E45="",MsgError &amp; VLOOKUP("NoPBAC",ErrorMessages,2,FALSE),"")</f>
        <v>Error: missing PBAC recommendation</v>
      </c>
      <c r="H45" s="785"/>
      <c r="I45" s="93"/>
      <c r="J45" s="93"/>
      <c r="K45" s="93"/>
      <c r="L45" s="93"/>
      <c r="M45" s="93"/>
      <c r="N45" s="70"/>
      <c r="O45" s="470">
        <f>IF(E45&lt;&gt;"",1,0)</f>
        <v>0</v>
      </c>
      <c r="P45" s="103"/>
    </row>
    <row r="46" spans="1:16" x14ac:dyDescent="0.2">
      <c r="A46" s="103"/>
      <c r="B46" s="103"/>
      <c r="C46" s="774" t="s">
        <v>571</v>
      </c>
      <c r="D46" s="776"/>
      <c r="E46" s="389"/>
      <c r="F46" s="98"/>
      <c r="G46" s="781" t="str">
        <f>IF(CoDep=0,MsgNote &amp; VLOOKUP("NoMSAC",WarningMessages,2,FALSE),IF(AND(CoDep=1,E46=""),MsgError &amp; VLOOKUP("NoMSAC",ErrorMessages,2,FALSE),""))</f>
        <v>Note: not presented to MSAC</v>
      </c>
      <c r="H46" s="781"/>
      <c r="I46" s="93"/>
      <c r="J46" s="93"/>
      <c r="K46" s="93"/>
      <c r="L46" s="93"/>
      <c r="M46" s="93"/>
      <c r="N46" s="470">
        <f>IF(AND(CoDep=1,E46=""),2,IF(CoDep=0,1,0))</f>
        <v>1</v>
      </c>
      <c r="O46" s="70"/>
      <c r="P46" s="103"/>
    </row>
    <row r="47" spans="1:16" x14ac:dyDescent="0.2">
      <c r="A47" s="103"/>
      <c r="B47" s="103"/>
      <c r="C47" s="105"/>
      <c r="D47" s="105"/>
      <c r="E47" s="105"/>
      <c r="F47" s="105"/>
      <c r="G47" s="105"/>
      <c r="H47" s="105"/>
      <c r="I47" s="105"/>
      <c r="J47" s="105"/>
      <c r="K47" s="105"/>
      <c r="L47" s="70"/>
      <c r="M47" s="70"/>
      <c r="N47" s="70"/>
      <c r="O47" s="70"/>
      <c r="P47" s="103"/>
    </row>
    <row r="48" spans="1:16" x14ac:dyDescent="0.2">
      <c r="A48" s="103"/>
      <c r="B48" s="103"/>
      <c r="C48" s="105"/>
      <c r="D48" s="105"/>
      <c r="E48" s="105"/>
      <c r="F48" s="105"/>
      <c r="G48" s="105"/>
      <c r="H48" s="105"/>
      <c r="I48" s="105"/>
      <c r="J48" s="105"/>
      <c r="K48" s="105"/>
      <c r="L48" s="70"/>
      <c r="M48" s="70"/>
      <c r="N48" s="70"/>
      <c r="O48" s="70"/>
      <c r="P48" s="103"/>
    </row>
    <row r="49" spans="1:16" ht="15.75" x14ac:dyDescent="0.2">
      <c r="A49" s="103"/>
      <c r="B49" s="103"/>
      <c r="C49" s="96" t="s">
        <v>218</v>
      </c>
      <c r="D49" s="104"/>
      <c r="E49" s="104"/>
      <c r="F49" s="104"/>
      <c r="G49" s="104"/>
      <c r="H49" s="104"/>
      <c r="I49" s="104"/>
      <c r="J49" s="104"/>
      <c r="K49" s="104"/>
      <c r="L49" s="104"/>
      <c r="M49" s="104"/>
      <c r="N49" s="104"/>
      <c r="O49" s="104"/>
      <c r="P49" s="104"/>
    </row>
    <row r="50" spans="1:16" x14ac:dyDescent="0.2">
      <c r="A50" s="103"/>
      <c r="B50" s="103"/>
      <c r="C50" s="105"/>
      <c r="D50" s="105"/>
      <c r="E50" s="105"/>
      <c r="F50" s="105"/>
      <c r="G50" s="103"/>
      <c r="H50" s="105"/>
      <c r="I50" s="105"/>
      <c r="J50" s="105"/>
      <c r="K50" s="105"/>
      <c r="L50" s="70"/>
      <c r="M50" s="70"/>
      <c r="N50" s="70"/>
      <c r="O50" s="70"/>
      <c r="P50" s="103"/>
    </row>
    <row r="51" spans="1:16" x14ac:dyDescent="0.2">
      <c r="A51" s="103"/>
      <c r="B51" s="103"/>
      <c r="C51" s="774" t="s">
        <v>35</v>
      </c>
      <c r="D51" s="776"/>
      <c r="E51" s="18"/>
      <c r="F51" s="93"/>
      <c r="G51" s="103"/>
      <c r="H51" s="93"/>
      <c r="I51" s="93"/>
      <c r="J51" s="93"/>
      <c r="K51" s="93"/>
      <c r="L51" s="93"/>
      <c r="M51" s="93"/>
      <c r="N51" s="70"/>
      <c r="O51" s="470">
        <f t="shared" ref="O51:O57" si="0">IF(E51&lt;&gt;"",1,0)</f>
        <v>0</v>
      </c>
      <c r="P51" s="103"/>
    </row>
    <row r="52" spans="1:16" x14ac:dyDescent="0.2">
      <c r="A52" s="103"/>
      <c r="B52" s="103"/>
      <c r="C52" s="774" t="s">
        <v>36</v>
      </c>
      <c r="D52" s="776"/>
      <c r="E52" s="18"/>
      <c r="F52" s="93"/>
      <c r="G52" s="103"/>
      <c r="H52" s="93"/>
      <c r="I52" s="93"/>
      <c r="J52" s="93"/>
      <c r="K52" s="93"/>
      <c r="L52" s="93"/>
      <c r="M52" s="93"/>
      <c r="N52" s="70"/>
      <c r="O52" s="470">
        <f t="shared" si="0"/>
        <v>0</v>
      </c>
      <c r="P52" s="103"/>
    </row>
    <row r="53" spans="1:16" x14ac:dyDescent="0.2">
      <c r="A53" s="103"/>
      <c r="B53" s="103"/>
      <c r="C53" s="774" t="s">
        <v>37</v>
      </c>
      <c r="D53" s="776"/>
      <c r="E53" s="18"/>
      <c r="F53" s="93"/>
      <c r="G53" s="103"/>
      <c r="H53" s="93"/>
      <c r="I53" s="93"/>
      <c r="J53" s="93"/>
      <c r="K53" s="93"/>
      <c r="L53" s="93"/>
      <c r="M53" s="93"/>
      <c r="N53" s="70"/>
      <c r="O53" s="470">
        <f t="shared" si="0"/>
        <v>0</v>
      </c>
      <c r="P53" s="103"/>
    </row>
    <row r="54" spans="1:16" x14ac:dyDescent="0.2">
      <c r="A54" s="103"/>
      <c r="B54" s="103"/>
      <c r="C54" s="774" t="s">
        <v>38</v>
      </c>
      <c r="D54" s="776"/>
      <c r="E54" s="18"/>
      <c r="F54" s="93"/>
      <c r="G54" s="103"/>
      <c r="H54" s="93"/>
      <c r="I54" s="93"/>
      <c r="J54" s="93"/>
      <c r="K54" s="93"/>
      <c r="L54" s="93"/>
      <c r="M54" s="93"/>
      <c r="N54" s="70"/>
      <c r="O54" s="470">
        <f t="shared" si="0"/>
        <v>0</v>
      </c>
      <c r="P54" s="103"/>
    </row>
    <row r="55" spans="1:16" x14ac:dyDescent="0.2">
      <c r="A55" s="103"/>
      <c r="B55" s="103"/>
      <c r="C55" s="774" t="s">
        <v>39</v>
      </c>
      <c r="D55" s="776"/>
      <c r="E55" s="23"/>
      <c r="F55" s="93"/>
      <c r="G55" s="103"/>
      <c r="H55" s="93"/>
      <c r="I55" s="93"/>
      <c r="J55" s="93"/>
      <c r="K55" s="93"/>
      <c r="L55" s="93"/>
      <c r="M55" s="93"/>
      <c r="N55" s="70"/>
      <c r="O55" s="470">
        <f t="shared" si="0"/>
        <v>0</v>
      </c>
      <c r="P55" s="103"/>
    </row>
    <row r="56" spans="1:16" x14ac:dyDescent="0.2">
      <c r="A56" s="103"/>
      <c r="B56" s="103"/>
      <c r="C56" s="774" t="s">
        <v>572</v>
      </c>
      <c r="D56" s="776"/>
      <c r="E56" s="16"/>
      <c r="F56" s="93"/>
      <c r="G56" s="93"/>
      <c r="H56" s="93"/>
      <c r="I56" s="93"/>
      <c r="J56" s="93"/>
      <c r="K56" s="93"/>
      <c r="L56" s="93"/>
      <c r="M56" s="93"/>
      <c r="N56" s="70"/>
      <c r="O56" s="470">
        <f t="shared" si="0"/>
        <v>0</v>
      </c>
      <c r="P56" s="103"/>
    </row>
    <row r="57" spans="1:16" x14ac:dyDescent="0.2">
      <c r="A57" s="103"/>
      <c r="B57" s="103"/>
      <c r="C57" s="774" t="s">
        <v>573</v>
      </c>
      <c r="D57" s="776"/>
      <c r="E57" s="16"/>
      <c r="F57" s="93"/>
      <c r="G57" s="93"/>
      <c r="H57" s="93"/>
      <c r="I57" s="93"/>
      <c r="J57" s="93"/>
      <c r="K57" s="93"/>
      <c r="L57" s="93"/>
      <c r="M57" s="93"/>
      <c r="N57" s="70"/>
      <c r="O57" s="470">
        <f t="shared" si="0"/>
        <v>0</v>
      </c>
      <c r="P57" s="103"/>
    </row>
    <row r="58" spans="1:16" x14ac:dyDescent="0.2">
      <c r="A58" s="103"/>
      <c r="B58" s="103"/>
      <c r="C58" s="105"/>
      <c r="D58" s="105"/>
      <c r="E58" s="105"/>
      <c r="F58" s="105"/>
      <c r="G58" s="105"/>
      <c r="H58" s="105"/>
      <c r="I58" s="105"/>
      <c r="J58" s="105"/>
      <c r="K58" s="105"/>
      <c r="L58" s="70"/>
      <c r="M58" s="70"/>
      <c r="N58" s="70"/>
      <c r="O58" s="70"/>
      <c r="P58" s="103"/>
    </row>
    <row r="59" spans="1:16" x14ac:dyDescent="0.2">
      <c r="A59" s="103"/>
      <c r="B59" s="103"/>
      <c r="C59" s="105"/>
      <c r="D59" s="105"/>
      <c r="E59" s="105"/>
      <c r="F59" s="105"/>
      <c r="G59" s="105"/>
      <c r="H59" s="105"/>
      <c r="I59" s="105"/>
      <c r="J59" s="105"/>
      <c r="K59" s="105"/>
      <c r="L59" s="70"/>
      <c r="M59" s="70"/>
      <c r="N59" s="70"/>
      <c r="O59" s="70"/>
      <c r="P59" s="103"/>
    </row>
    <row r="60" spans="1:16" ht="15.75" x14ac:dyDescent="0.2">
      <c r="A60" s="103"/>
      <c r="B60" s="103"/>
      <c r="C60" s="96" t="s">
        <v>888</v>
      </c>
      <c r="D60" s="104"/>
      <c r="E60" s="104"/>
      <c r="F60" s="104"/>
      <c r="G60" s="104"/>
      <c r="H60" s="104"/>
      <c r="I60" s="104"/>
      <c r="J60" s="104"/>
      <c r="K60" s="104"/>
      <c r="L60" s="104"/>
      <c r="M60" s="104"/>
      <c r="N60" s="104"/>
      <c r="O60" s="104"/>
      <c r="P60" s="104"/>
    </row>
    <row r="61" spans="1:16" x14ac:dyDescent="0.2">
      <c r="A61" s="103"/>
      <c r="B61" s="103"/>
      <c r="C61" s="105"/>
      <c r="D61" s="105"/>
      <c r="E61" s="105"/>
      <c r="F61" s="105"/>
      <c r="G61" s="105"/>
      <c r="H61" s="105"/>
      <c r="I61" s="105"/>
      <c r="J61" s="105"/>
      <c r="K61" s="105"/>
      <c r="L61" s="70"/>
      <c r="M61" s="70"/>
      <c r="N61" s="70"/>
      <c r="O61" s="70"/>
      <c r="P61" s="103"/>
    </row>
    <row r="62" spans="1:16" x14ac:dyDescent="0.2">
      <c r="A62" s="103"/>
      <c r="B62" s="103"/>
      <c r="C62" s="102"/>
      <c r="D62" s="102"/>
      <c r="E62" s="394" t="str">
        <f>IF(AND(TPAll&gt;0,OR(TPInit&gt;0,TPCont&gt;0)),MsgNote &amp; VLOOKUP("DupInCon",WarningMessages,2,FALSE),"")</f>
        <v/>
      </c>
      <c r="F62" s="98"/>
      <c r="G62" s="261" t="s">
        <v>574</v>
      </c>
      <c r="H62" s="510"/>
      <c r="I62" s="98"/>
      <c r="L62" s="357"/>
      <c r="M62" s="98"/>
      <c r="N62" s="70"/>
      <c r="O62" s="470">
        <f>IF(AND(H62&lt;&gt;"",H62&lt;&gt;0),1,0)</f>
        <v>0</v>
      </c>
      <c r="P62" s="103"/>
    </row>
    <row r="63" spans="1:16" x14ac:dyDescent="0.2">
      <c r="A63" s="103"/>
      <c r="B63" s="103"/>
      <c r="C63" s="102"/>
      <c r="D63" s="102"/>
      <c r="E63" s="394" t="str">
        <f>IF(OR(AND(TPInit&gt;0,TPCont=0),AND(TPInit=0,TPCont&gt;0)),MsgNote &amp; VLOOKUP("MisInCon",WarningMessages,2,FALSE),"")</f>
        <v/>
      </c>
      <c r="F63" s="98"/>
      <c r="G63" s="92" t="s">
        <v>568</v>
      </c>
      <c r="H63" s="266"/>
      <c r="I63" s="98"/>
      <c r="J63" s="98"/>
      <c r="K63" s="98"/>
      <c r="L63" s="592"/>
      <c r="M63" s="470">
        <f>IF(H63="Yes",1,0)</f>
        <v>0</v>
      </c>
      <c r="N63" s="70"/>
      <c r="O63" s="70"/>
      <c r="P63" s="103"/>
    </row>
    <row r="64" spans="1:16" x14ac:dyDescent="0.2">
      <c r="A64" s="103"/>
      <c r="B64" s="103"/>
      <c r="C64" s="102"/>
      <c r="D64" s="102"/>
      <c r="E64" s="102"/>
      <c r="F64" s="98"/>
      <c r="G64" s="98"/>
      <c r="H64" s="98"/>
      <c r="I64" s="98"/>
      <c r="J64" s="98"/>
      <c r="K64" s="98"/>
      <c r="L64" s="357"/>
      <c r="M64" s="98"/>
      <c r="N64" s="70"/>
      <c r="O64" s="70"/>
      <c r="P64" s="103"/>
    </row>
    <row r="65" spans="1:16" ht="15.75" x14ac:dyDescent="0.2">
      <c r="A65" s="103"/>
      <c r="B65" s="575">
        <v>1</v>
      </c>
      <c r="C65" s="777" t="str">
        <f xml:space="preserve"> IF(B65&lt;=$H$62,"Restriction " &amp; B65 &amp; " of " &amp; $H$62,MsgNotUsed)</f>
        <v>** NOT USED **</v>
      </c>
      <c r="D65" s="778"/>
      <c r="E65" s="779"/>
      <c r="F65" s="93"/>
      <c r="G65" s="98"/>
      <c r="H65" s="98"/>
      <c r="I65" s="98"/>
      <c r="J65" s="99"/>
      <c r="K65" s="99"/>
      <c r="L65" s="357"/>
      <c r="M65" s="98"/>
      <c r="N65" s="70"/>
      <c r="O65" s="70"/>
      <c r="P65" s="103"/>
    </row>
    <row r="66" spans="1:16" hidden="1" outlineLevel="1" x14ac:dyDescent="0.2">
      <c r="A66" s="615"/>
      <c r="B66" s="470">
        <f>IFERROR(VLOOKUP(D66,ProgrammeCode,3,FALSE),0)</f>
        <v>0</v>
      </c>
      <c r="C66" s="399" t="s">
        <v>575</v>
      </c>
      <c r="D66" s="266"/>
      <c r="E66" s="28" t="str">
        <f>IF(D66&lt;&gt;"",VLOOKUP(D66,ProgrammeCode,2,FALSE),"")</f>
        <v/>
      </c>
      <c r="F66" s="80"/>
      <c r="G66" s="359" t="s">
        <v>576</v>
      </c>
      <c r="H66" s="266"/>
      <c r="J66" s="398" t="s">
        <v>717</v>
      </c>
      <c r="K66" s="7"/>
      <c r="L66" s="420"/>
      <c r="M66" s="7"/>
      <c r="N66" s="470" t="str">
        <f>IF(AND(H66&lt;&gt;"",H66&lt;&gt;"New"),"E","")</f>
        <v/>
      </c>
      <c r="O66" s="405"/>
      <c r="P66" s="625"/>
    </row>
    <row r="67" spans="1:16" hidden="1" outlineLevel="1" x14ac:dyDescent="0.2">
      <c r="A67" s="625"/>
      <c r="B67" s="625"/>
      <c r="C67" s="357"/>
      <c r="D67" s="357"/>
      <c r="E67" s="357"/>
      <c r="F67" s="357"/>
      <c r="G67" s="95" t="s">
        <v>698</v>
      </c>
      <c r="H67" s="17"/>
      <c r="I67" s="357"/>
      <c r="J67" s="511"/>
      <c r="K67" s="7"/>
      <c r="L67" s="592"/>
      <c r="M67" s="470">
        <f>IF(J67&lt;&gt;"",VLOOKUP(J67,AuthorityCode,2,FALSE),0)</f>
        <v>0</v>
      </c>
      <c r="N67" s="7"/>
      <c r="O67" s="405"/>
      <c r="P67" s="625"/>
    </row>
    <row r="68" spans="1:16" hidden="1" outlineLevel="1" x14ac:dyDescent="0.2">
      <c r="A68" s="625"/>
      <c r="B68" s="625"/>
      <c r="C68" s="786" t="s">
        <v>56</v>
      </c>
      <c r="D68" s="787"/>
      <c r="E68" s="18"/>
      <c r="F68" s="406"/>
      <c r="G68" s="95" t="str">
        <f>VLOOKUP(B66,MaxQ,2,TRUE)</f>
        <v>Max quantity (units)</v>
      </c>
      <c r="H68" s="21"/>
      <c r="I68" s="357"/>
      <c r="J68" s="511"/>
      <c r="K68" s="7"/>
      <c r="L68" s="420"/>
      <c r="M68" s="7"/>
      <c r="N68" s="7"/>
      <c r="O68" s="405"/>
      <c r="P68" s="625"/>
    </row>
    <row r="69" spans="1:16" hidden="1" outlineLevel="1" x14ac:dyDescent="0.2">
      <c r="A69" s="625"/>
      <c r="B69" s="625"/>
      <c r="C69" s="407"/>
      <c r="D69" s="407"/>
      <c r="E69" s="16"/>
      <c r="F69" s="357"/>
      <c r="G69" s="95" t="s">
        <v>577</v>
      </c>
      <c r="H69" s="21"/>
      <c r="I69" s="357"/>
      <c r="J69" s="7"/>
      <c r="K69" s="7"/>
      <c r="L69" s="420"/>
      <c r="M69" s="7"/>
      <c r="N69" s="7"/>
      <c r="O69" s="405"/>
      <c r="P69" s="625"/>
    </row>
    <row r="70" spans="1:16" hidden="1" outlineLevel="1" x14ac:dyDescent="0.2">
      <c r="A70" s="625"/>
      <c r="B70" s="625"/>
      <c r="C70" s="774" t="s">
        <v>578</v>
      </c>
      <c r="D70" s="775"/>
      <c r="E70" s="16"/>
      <c r="F70" s="93"/>
      <c r="G70" s="625"/>
      <c r="H70" s="625"/>
      <c r="I70" s="357"/>
      <c r="J70" s="7"/>
      <c r="K70" s="7"/>
      <c r="L70" s="420"/>
      <c r="M70" s="7"/>
      <c r="N70" s="7"/>
      <c r="O70" s="358"/>
      <c r="P70" s="625"/>
    </row>
    <row r="71" spans="1:16" hidden="1" outlineLevel="1" x14ac:dyDescent="0.2">
      <c r="A71" s="625"/>
      <c r="B71" s="625"/>
      <c r="C71" s="774" t="s">
        <v>579</v>
      </c>
      <c r="D71" s="775"/>
      <c r="E71" s="16"/>
      <c r="F71" s="93"/>
      <c r="G71" s="625"/>
      <c r="H71" s="625"/>
      <c r="I71" s="357"/>
      <c r="J71" s="7"/>
      <c r="K71" s="7"/>
      <c r="L71" s="420"/>
      <c r="M71" s="7"/>
      <c r="N71" s="7"/>
      <c r="O71" s="405"/>
      <c r="P71" s="625"/>
    </row>
    <row r="72" spans="1:16" hidden="1" outlineLevel="1" x14ac:dyDescent="0.2">
      <c r="A72" s="625"/>
      <c r="B72" s="625"/>
      <c r="C72" s="774" t="s">
        <v>580</v>
      </c>
      <c r="D72" s="775"/>
      <c r="E72" s="16"/>
      <c r="F72" s="93"/>
      <c r="G72" s="357"/>
      <c r="H72" s="357"/>
      <c r="I72" s="357"/>
      <c r="J72" s="7"/>
      <c r="K72" s="7"/>
      <c r="L72" s="420"/>
      <c r="M72" s="7"/>
      <c r="N72" s="7"/>
      <c r="O72" s="405"/>
      <c r="P72" s="625"/>
    </row>
    <row r="73" spans="1:16" hidden="1" outlineLevel="1" x14ac:dyDescent="0.2">
      <c r="A73" s="625"/>
      <c r="B73" s="625"/>
      <c r="C73" s="774" t="s">
        <v>896</v>
      </c>
      <c r="D73" s="775"/>
      <c r="E73" s="29" t="str">
        <f>IF(E70 &lt;&gt;"",E70 &amp; " ","") &amp; IF(E71&lt;&gt;"",E71 &amp; " ","") &amp; IF(E72&lt;&gt; "",E72,"")</f>
        <v/>
      </c>
      <c r="F73" s="93"/>
      <c r="G73" s="357"/>
      <c r="H73" s="357"/>
      <c r="I73" s="357"/>
      <c r="J73" s="7"/>
      <c r="K73" s="358"/>
      <c r="L73" s="358"/>
      <c r="M73" s="358"/>
      <c r="N73" s="405"/>
      <c r="O73" s="405"/>
      <c r="P73" s="625"/>
    </row>
    <row r="74" spans="1:16" hidden="1" outlineLevel="1" x14ac:dyDescent="0.2">
      <c r="A74" s="625"/>
      <c r="B74" s="625"/>
      <c r="C74" s="774" t="s">
        <v>581</v>
      </c>
      <c r="D74" s="775"/>
      <c r="E74" s="16"/>
      <c r="F74" s="93"/>
      <c r="G74" s="357"/>
      <c r="H74" s="357"/>
      <c r="I74" s="357"/>
      <c r="J74" s="358"/>
      <c r="K74" s="358"/>
      <c r="L74" s="358"/>
      <c r="M74" s="358"/>
      <c r="N74" s="405"/>
      <c r="O74" s="405"/>
      <c r="P74" s="625"/>
    </row>
    <row r="75" spans="1:16" hidden="1" outlineLevel="1" x14ac:dyDescent="0.2">
      <c r="A75" s="625"/>
      <c r="B75" s="625"/>
      <c r="C75" s="774" t="s">
        <v>582</v>
      </c>
      <c r="D75" s="775"/>
      <c r="E75" s="16"/>
      <c r="F75" s="357"/>
      <c r="G75" s="357"/>
      <c r="H75" s="357"/>
      <c r="I75" s="357"/>
      <c r="J75" s="358"/>
      <c r="K75" s="358"/>
      <c r="L75" s="358"/>
      <c r="M75" s="358"/>
      <c r="N75" s="405"/>
      <c r="O75" s="405"/>
      <c r="P75" s="625"/>
    </row>
    <row r="76" spans="1:16" hidden="1" outlineLevel="1" x14ac:dyDescent="0.2">
      <c r="A76" s="625"/>
      <c r="B76" s="625"/>
      <c r="C76" s="774" t="s">
        <v>583</v>
      </c>
      <c r="D76" s="775"/>
      <c r="E76" s="16"/>
      <c r="F76" s="357"/>
      <c r="G76" s="357"/>
      <c r="H76" s="357"/>
      <c r="I76" s="357"/>
      <c r="J76" s="358"/>
      <c r="K76" s="358"/>
      <c r="L76" s="358"/>
      <c r="M76" s="358"/>
      <c r="N76" s="405"/>
      <c r="O76" s="405"/>
      <c r="P76" s="625"/>
    </row>
    <row r="77" spans="1:16" hidden="1" outlineLevel="1" x14ac:dyDescent="0.2">
      <c r="A77" s="625"/>
      <c r="B77" s="625"/>
      <c r="C77" s="774" t="s">
        <v>584</v>
      </c>
      <c r="D77" s="775"/>
      <c r="E77" s="16"/>
      <c r="F77" s="357"/>
      <c r="G77" s="357"/>
      <c r="H77" s="357"/>
      <c r="I77" s="357"/>
      <c r="J77" s="358"/>
      <c r="K77" s="358"/>
      <c r="L77" s="358"/>
      <c r="M77" s="358"/>
      <c r="N77" s="405"/>
      <c r="O77" s="405"/>
      <c r="P77" s="625"/>
    </row>
    <row r="78" spans="1:16" hidden="1" outlineLevel="1" x14ac:dyDescent="0.2">
      <c r="A78" s="625"/>
      <c r="B78" s="625"/>
      <c r="C78" s="627"/>
      <c r="D78" s="627"/>
      <c r="E78" s="625"/>
      <c r="F78" s="357"/>
      <c r="G78" s="357"/>
      <c r="H78" s="357"/>
      <c r="I78" s="357"/>
      <c r="J78" s="358"/>
      <c r="K78" s="358"/>
      <c r="L78" s="358"/>
      <c r="M78" s="358"/>
      <c r="N78" s="405"/>
      <c r="O78" s="405"/>
      <c r="P78" s="625"/>
    </row>
    <row r="79" spans="1:16" hidden="1" outlineLevel="1" x14ac:dyDescent="0.2">
      <c r="A79" s="625"/>
      <c r="B79" s="625"/>
      <c r="C79" s="627"/>
      <c r="D79" s="627"/>
      <c r="E79" s="625"/>
      <c r="F79" s="357"/>
      <c r="G79" s="357"/>
      <c r="H79" s="357"/>
      <c r="I79" s="357"/>
      <c r="J79" s="358"/>
      <c r="K79" s="358"/>
      <c r="L79" s="358"/>
      <c r="M79" s="358"/>
      <c r="N79" s="405"/>
      <c r="O79" s="405"/>
      <c r="P79" s="625"/>
    </row>
    <row r="80" spans="1:16" ht="15.75" collapsed="1" x14ac:dyDescent="0.2">
      <c r="A80" s="103"/>
      <c r="B80" s="575">
        <v>2</v>
      </c>
      <c r="C80" s="777" t="str">
        <f xml:space="preserve"> IF(B80&lt;=$H$62,"Restriction " &amp; B80 &amp; " of " &amp; $H$62,MsgNotUsed)</f>
        <v>** NOT USED **</v>
      </c>
      <c r="D80" s="778"/>
      <c r="E80" s="779"/>
      <c r="F80" s="93"/>
      <c r="G80" s="98"/>
      <c r="H80" s="98"/>
      <c r="I80" s="98"/>
      <c r="J80" s="99"/>
      <c r="K80" s="99"/>
      <c r="L80" s="358"/>
      <c r="M80" s="99"/>
      <c r="N80" s="70"/>
      <c r="O80" s="70"/>
      <c r="P80" s="103"/>
    </row>
    <row r="81" spans="1:16" hidden="1" outlineLevel="1" x14ac:dyDescent="0.2">
      <c r="A81" s="615"/>
      <c r="B81" s="470">
        <f>IFERROR(VLOOKUP(D81,ProgrammeCode,3,FALSE),0)</f>
        <v>0</v>
      </c>
      <c r="C81" s="399" t="s">
        <v>575</v>
      </c>
      <c r="D81" s="266"/>
      <c r="E81" s="28" t="str">
        <f>IF(D81&lt;&gt;"",VLOOKUP(D81,ProgrammeCode,2,FALSE),"")</f>
        <v/>
      </c>
      <c r="F81" s="80"/>
      <c r="G81" s="359" t="s">
        <v>576</v>
      </c>
      <c r="H81" s="266"/>
      <c r="I81" s="357"/>
      <c r="J81" s="398" t="s">
        <v>717</v>
      </c>
      <c r="K81" s="7"/>
      <c r="L81" s="420"/>
      <c r="M81" s="7"/>
      <c r="N81" s="470" t="str">
        <f>IF(AND(H81&lt;&gt;"",H81&lt;&gt;"New"),"E","")</f>
        <v/>
      </c>
      <c r="O81" s="405"/>
      <c r="P81" s="625"/>
    </row>
    <row r="82" spans="1:16" hidden="1" outlineLevel="1" x14ac:dyDescent="0.2">
      <c r="A82" s="625"/>
      <c r="B82" s="625"/>
      <c r="C82" s="357"/>
      <c r="D82" s="357"/>
      <c r="E82" s="357"/>
      <c r="F82" s="357"/>
      <c r="G82" s="95" t="s">
        <v>698</v>
      </c>
      <c r="H82" s="17"/>
      <c r="I82" s="357"/>
      <c r="J82" s="511"/>
      <c r="K82" s="420"/>
      <c r="L82" s="592"/>
      <c r="M82" s="470">
        <f>IF(J82&lt;&gt;"",VLOOKUP(J82,AuthorityCode,2,FALSE),0)</f>
        <v>0</v>
      </c>
      <c r="N82" s="7"/>
      <c r="O82" s="405"/>
      <c r="P82" s="625"/>
    </row>
    <row r="83" spans="1:16" hidden="1" outlineLevel="1" x14ac:dyDescent="0.2">
      <c r="A83" s="625"/>
      <c r="B83" s="625"/>
      <c r="C83" s="786" t="s">
        <v>56</v>
      </c>
      <c r="D83" s="787"/>
      <c r="E83" s="14"/>
      <c r="F83" s="406"/>
      <c r="G83" s="95" t="str">
        <f>VLOOKUP(B81,MaxQ,2,TRUE)</f>
        <v>Max quantity (units)</v>
      </c>
      <c r="H83" s="21"/>
      <c r="I83" s="357"/>
      <c r="J83" s="511"/>
      <c r="K83" s="420"/>
      <c r="L83" s="420"/>
      <c r="M83" s="420"/>
      <c r="N83" s="7"/>
      <c r="O83" s="405"/>
      <c r="P83" s="625"/>
    </row>
    <row r="84" spans="1:16" hidden="1" outlineLevel="1" x14ac:dyDescent="0.2">
      <c r="A84" s="625"/>
      <c r="B84" s="625"/>
      <c r="C84" s="407"/>
      <c r="D84" s="407"/>
      <c r="E84" s="16"/>
      <c r="F84" s="357"/>
      <c r="G84" s="95" t="s">
        <v>577</v>
      </c>
      <c r="H84" s="21"/>
      <c r="I84" s="357"/>
      <c r="J84" s="7"/>
      <c r="K84" s="7"/>
      <c r="L84" s="420"/>
      <c r="M84" s="7"/>
      <c r="N84" s="7"/>
      <c r="O84" s="405"/>
      <c r="P84" s="625"/>
    </row>
    <row r="85" spans="1:16" hidden="1" outlineLevel="1" x14ac:dyDescent="0.2">
      <c r="A85" s="625"/>
      <c r="B85" s="625"/>
      <c r="C85" s="774" t="s">
        <v>578</v>
      </c>
      <c r="D85" s="775"/>
      <c r="E85" s="16"/>
      <c r="F85" s="357"/>
      <c r="G85" s="625"/>
      <c r="H85" s="625"/>
      <c r="I85" s="357"/>
      <c r="J85" s="7"/>
      <c r="K85" s="7"/>
      <c r="L85" s="420"/>
      <c r="M85" s="7"/>
      <c r="N85" s="7"/>
      <c r="O85" s="358"/>
      <c r="P85" s="625"/>
    </row>
    <row r="86" spans="1:16" hidden="1" outlineLevel="1" x14ac:dyDescent="0.2">
      <c r="A86" s="625"/>
      <c r="B86" s="625"/>
      <c r="C86" s="774" t="s">
        <v>579</v>
      </c>
      <c r="D86" s="775"/>
      <c r="E86" s="16"/>
      <c r="F86" s="358"/>
      <c r="G86" s="625"/>
      <c r="H86" s="625"/>
      <c r="I86" s="357"/>
      <c r="J86" s="7"/>
      <c r="K86" s="7"/>
      <c r="L86" s="420"/>
      <c r="M86" s="7"/>
      <c r="N86" s="7"/>
      <c r="O86" s="405"/>
      <c r="P86" s="625"/>
    </row>
    <row r="87" spans="1:16" hidden="1" outlineLevel="1" x14ac:dyDescent="0.2">
      <c r="A87" s="625"/>
      <c r="B87" s="625"/>
      <c r="C87" s="774" t="s">
        <v>580</v>
      </c>
      <c r="D87" s="775"/>
      <c r="E87" s="16"/>
      <c r="F87" s="358"/>
      <c r="G87" s="358"/>
      <c r="H87" s="358"/>
      <c r="I87" s="358"/>
      <c r="J87" s="7"/>
      <c r="K87" s="7"/>
      <c r="L87" s="420"/>
      <c r="M87" s="7"/>
      <c r="N87" s="7"/>
      <c r="O87" s="405"/>
      <c r="P87" s="625"/>
    </row>
    <row r="88" spans="1:16" hidden="1" outlineLevel="1" x14ac:dyDescent="0.2">
      <c r="A88" s="625"/>
      <c r="B88" s="625"/>
      <c r="C88" s="774" t="s">
        <v>896</v>
      </c>
      <c r="D88" s="775"/>
      <c r="E88" s="29" t="str">
        <f>IF(E85 &lt;&gt;"",E85 &amp; " ","") &amp; IF(E86&lt;&gt;"",E86 &amp; " ","") &amp; IF(E87&lt;&gt; "",E87,"")</f>
        <v/>
      </c>
      <c r="F88" s="358"/>
      <c r="G88" s="358"/>
      <c r="H88" s="358"/>
      <c r="I88" s="358"/>
      <c r="J88" s="358"/>
      <c r="K88" s="358"/>
      <c r="L88" s="358"/>
      <c r="M88" s="358"/>
      <c r="N88" s="405"/>
      <c r="O88" s="405"/>
      <c r="P88" s="625"/>
    </row>
    <row r="89" spans="1:16" hidden="1" outlineLevel="1" x14ac:dyDescent="0.2">
      <c r="A89" s="625"/>
      <c r="B89" s="625"/>
      <c r="C89" s="774" t="s">
        <v>581</v>
      </c>
      <c r="D89" s="775"/>
      <c r="E89" s="16"/>
      <c r="F89" s="358"/>
      <c r="G89" s="358"/>
      <c r="H89" s="358"/>
      <c r="I89" s="358"/>
      <c r="J89" s="358"/>
      <c r="K89" s="358"/>
      <c r="L89" s="358"/>
      <c r="M89" s="358"/>
      <c r="N89" s="405"/>
      <c r="O89" s="405"/>
      <c r="P89" s="625"/>
    </row>
    <row r="90" spans="1:16" hidden="1" outlineLevel="1" x14ac:dyDescent="0.2">
      <c r="A90" s="625"/>
      <c r="B90" s="625"/>
      <c r="C90" s="774" t="s">
        <v>582</v>
      </c>
      <c r="D90" s="775"/>
      <c r="E90" s="16"/>
      <c r="F90" s="358"/>
      <c r="G90" s="358"/>
      <c r="H90" s="358"/>
      <c r="I90" s="358"/>
      <c r="J90" s="358"/>
      <c r="K90" s="358"/>
      <c r="L90" s="358"/>
      <c r="M90" s="358"/>
      <c r="N90" s="405"/>
      <c r="O90" s="405"/>
      <c r="P90" s="625"/>
    </row>
    <row r="91" spans="1:16" hidden="1" outlineLevel="1" x14ac:dyDescent="0.2">
      <c r="A91" s="625"/>
      <c r="B91" s="625"/>
      <c r="C91" s="774" t="s">
        <v>583</v>
      </c>
      <c r="D91" s="775"/>
      <c r="E91" s="16"/>
      <c r="F91" s="358"/>
      <c r="G91" s="358"/>
      <c r="H91" s="358"/>
      <c r="I91" s="358"/>
      <c r="J91" s="358"/>
      <c r="K91" s="358"/>
      <c r="L91" s="358"/>
      <c r="M91" s="358"/>
      <c r="N91" s="405"/>
      <c r="O91" s="405"/>
      <c r="P91" s="625"/>
    </row>
    <row r="92" spans="1:16" hidden="1" outlineLevel="1" x14ac:dyDescent="0.2">
      <c r="A92" s="625"/>
      <c r="B92" s="625"/>
      <c r="C92" s="774" t="s">
        <v>584</v>
      </c>
      <c r="D92" s="775"/>
      <c r="E92" s="16"/>
      <c r="F92" s="358"/>
      <c r="G92" s="358"/>
      <c r="H92" s="358"/>
      <c r="I92" s="358"/>
      <c r="J92" s="358"/>
      <c r="K92" s="358"/>
      <c r="L92" s="358"/>
      <c r="M92" s="358"/>
      <c r="N92" s="405"/>
      <c r="O92" s="405"/>
      <c r="P92" s="625"/>
    </row>
    <row r="93" spans="1:16" hidden="1" outlineLevel="1" x14ac:dyDescent="0.2">
      <c r="A93" s="625"/>
      <c r="B93" s="625"/>
      <c r="C93" s="625"/>
      <c r="D93" s="625"/>
      <c r="E93" s="625"/>
      <c r="F93" s="358"/>
      <c r="G93" s="358"/>
      <c r="H93" s="358"/>
      <c r="I93" s="358"/>
      <c r="J93" s="358"/>
      <c r="K93" s="358"/>
      <c r="L93" s="358"/>
      <c r="M93" s="358"/>
      <c r="N93" s="405"/>
      <c r="O93" s="405"/>
      <c r="P93" s="625"/>
    </row>
    <row r="94" spans="1:16" hidden="1" outlineLevel="1" x14ac:dyDescent="0.2">
      <c r="A94" s="625"/>
      <c r="B94" s="625"/>
      <c r="C94" s="625"/>
      <c r="D94" s="625"/>
      <c r="E94" s="625"/>
      <c r="F94" s="358"/>
      <c r="G94" s="358"/>
      <c r="H94" s="358"/>
      <c r="I94" s="358"/>
      <c r="J94" s="358"/>
      <c r="K94" s="358"/>
      <c r="L94" s="358"/>
      <c r="M94" s="358"/>
      <c r="N94" s="405"/>
      <c r="O94" s="405"/>
      <c r="P94" s="625"/>
    </row>
    <row r="95" spans="1:16" ht="15.75" collapsed="1" x14ac:dyDescent="0.2">
      <c r="A95" s="103"/>
      <c r="B95" s="575">
        <v>3</v>
      </c>
      <c r="C95" s="777" t="str">
        <f xml:space="preserve"> IF(B95&lt;=$H$62,"Restriction " &amp; B95 &amp; " of " &amp; $H$62,MsgNotUsed)</f>
        <v>** NOT USED **</v>
      </c>
      <c r="D95" s="778"/>
      <c r="E95" s="779"/>
      <c r="F95" s="93"/>
      <c r="G95" s="98"/>
      <c r="H95" s="98"/>
      <c r="I95" s="98"/>
      <c r="J95" s="99"/>
      <c r="K95" s="99"/>
      <c r="L95" s="357"/>
      <c r="M95" s="98"/>
      <c r="N95" s="70"/>
      <c r="O95" s="70"/>
      <c r="P95" s="103"/>
    </row>
    <row r="96" spans="1:16" hidden="1" outlineLevel="1" x14ac:dyDescent="0.2">
      <c r="A96" s="615"/>
      <c r="B96" s="470">
        <f>IFERROR(VLOOKUP(D96,ProgrammeCode,3,FALSE),0)</f>
        <v>0</v>
      </c>
      <c r="C96" s="399" t="s">
        <v>575</v>
      </c>
      <c r="D96" s="266"/>
      <c r="E96" s="28" t="str">
        <f>IF(D96&lt;&gt;"",VLOOKUP(D96,ProgrammeCode,2,FALSE),"")</f>
        <v/>
      </c>
      <c r="F96" s="80"/>
      <c r="G96" s="359" t="s">
        <v>576</v>
      </c>
      <c r="H96" s="266"/>
      <c r="I96" s="357"/>
      <c r="J96" s="398" t="s">
        <v>717</v>
      </c>
      <c r="K96" s="7"/>
      <c r="L96" s="420"/>
      <c r="M96" s="7"/>
      <c r="N96" s="470" t="str">
        <f>IF(AND(H96&lt;&gt;"",H96&lt;&gt;"New"),"E","")</f>
        <v/>
      </c>
      <c r="O96" s="405"/>
      <c r="P96" s="625"/>
    </row>
    <row r="97" spans="1:16" hidden="1" outlineLevel="1" x14ac:dyDescent="0.2">
      <c r="A97" s="625"/>
      <c r="B97" s="625"/>
      <c r="C97" s="357"/>
      <c r="D97" s="357"/>
      <c r="E97" s="357"/>
      <c r="F97" s="357"/>
      <c r="G97" s="95" t="s">
        <v>698</v>
      </c>
      <c r="H97" s="17"/>
      <c r="I97" s="357"/>
      <c r="J97" s="511"/>
      <c r="K97" s="420"/>
      <c r="L97" s="592"/>
      <c r="M97" s="470">
        <f>IF(J97&lt;&gt;"",VLOOKUP(J97,AuthorityCode,2,FALSE),0)</f>
        <v>0</v>
      </c>
      <c r="N97" s="7"/>
      <c r="O97" s="405"/>
      <c r="P97" s="625"/>
    </row>
    <row r="98" spans="1:16" hidden="1" outlineLevel="1" x14ac:dyDescent="0.2">
      <c r="A98" s="625"/>
      <c r="B98" s="625"/>
      <c r="C98" s="786" t="s">
        <v>56</v>
      </c>
      <c r="D98" s="787"/>
      <c r="E98" s="14"/>
      <c r="F98" s="406"/>
      <c r="G98" s="95" t="str">
        <f>VLOOKUP(B96,MaxQ,2,TRUE)</f>
        <v>Max quantity (units)</v>
      </c>
      <c r="H98" s="17"/>
      <c r="I98" s="357"/>
      <c r="J98" s="511"/>
      <c r="K98" s="420"/>
      <c r="L98" s="420"/>
      <c r="M98" s="420"/>
      <c r="N98" s="7"/>
      <c r="O98" s="405"/>
      <c r="P98" s="625"/>
    </row>
    <row r="99" spans="1:16" hidden="1" outlineLevel="1" x14ac:dyDescent="0.2">
      <c r="A99" s="625"/>
      <c r="B99" s="625"/>
      <c r="C99" s="357"/>
      <c r="D99" s="357"/>
      <c r="E99" s="16"/>
      <c r="F99" s="357"/>
      <c r="G99" s="95" t="s">
        <v>577</v>
      </c>
      <c r="H99" s="17"/>
      <c r="I99" s="357"/>
      <c r="J99" s="7"/>
      <c r="K99" s="7"/>
      <c r="L99" s="420"/>
      <c r="M99" s="7"/>
      <c r="N99" s="7"/>
      <c r="O99" s="405"/>
      <c r="P99" s="625"/>
    </row>
    <row r="100" spans="1:16" hidden="1" outlineLevel="1" x14ac:dyDescent="0.2">
      <c r="A100" s="625"/>
      <c r="B100" s="625"/>
      <c r="C100" s="774" t="s">
        <v>578</v>
      </c>
      <c r="D100" s="775"/>
      <c r="E100" s="16"/>
      <c r="F100" s="357"/>
      <c r="G100" s="625"/>
      <c r="H100" s="625"/>
      <c r="I100" s="357"/>
      <c r="J100" s="7"/>
      <c r="K100" s="7"/>
      <c r="L100" s="420"/>
      <c r="M100" s="7"/>
      <c r="N100" s="7"/>
      <c r="O100" s="358"/>
      <c r="P100" s="625"/>
    </row>
    <row r="101" spans="1:16" hidden="1" outlineLevel="1" x14ac:dyDescent="0.2">
      <c r="A101" s="625"/>
      <c r="B101" s="625"/>
      <c r="C101" s="774" t="s">
        <v>579</v>
      </c>
      <c r="D101" s="775"/>
      <c r="E101" s="16"/>
      <c r="F101" s="358"/>
      <c r="G101" s="625"/>
      <c r="H101" s="625"/>
      <c r="I101" s="357"/>
      <c r="J101" s="7"/>
      <c r="K101" s="7"/>
      <c r="L101" s="420"/>
      <c r="M101" s="7"/>
      <c r="N101" s="7"/>
      <c r="O101" s="405"/>
      <c r="P101" s="625"/>
    </row>
    <row r="102" spans="1:16" hidden="1" outlineLevel="1" x14ac:dyDescent="0.2">
      <c r="A102" s="625"/>
      <c r="B102" s="625"/>
      <c r="C102" s="774" t="s">
        <v>580</v>
      </c>
      <c r="D102" s="775"/>
      <c r="E102" s="16"/>
      <c r="F102" s="358"/>
      <c r="G102" s="358"/>
      <c r="H102" s="358"/>
      <c r="I102" s="358"/>
      <c r="J102" s="7"/>
      <c r="K102" s="7"/>
      <c r="L102" s="420"/>
      <c r="M102" s="7"/>
      <c r="N102" s="7"/>
      <c r="O102" s="405"/>
      <c r="P102" s="625"/>
    </row>
    <row r="103" spans="1:16" hidden="1" outlineLevel="1" x14ac:dyDescent="0.2">
      <c r="A103" s="625"/>
      <c r="B103" s="625"/>
      <c r="C103" s="774" t="s">
        <v>896</v>
      </c>
      <c r="D103" s="775"/>
      <c r="E103" s="29" t="str">
        <f>IF(E100 &lt;&gt;"",E100 &amp; " ","") &amp; IF(E101&lt;&gt;"",E101 &amp; " ","") &amp; IF(E102&lt;&gt; "",E102,"")</f>
        <v/>
      </c>
      <c r="F103" s="358"/>
      <c r="G103" s="358"/>
      <c r="H103" s="358"/>
      <c r="I103" s="358"/>
      <c r="J103" s="358"/>
      <c r="K103" s="358"/>
      <c r="L103" s="358"/>
      <c r="M103" s="358"/>
      <c r="N103" s="405"/>
      <c r="O103" s="405"/>
      <c r="P103" s="625"/>
    </row>
    <row r="104" spans="1:16" hidden="1" outlineLevel="1" x14ac:dyDescent="0.2">
      <c r="A104" s="625"/>
      <c r="B104" s="625"/>
      <c r="C104" s="774" t="s">
        <v>581</v>
      </c>
      <c r="D104" s="775"/>
      <c r="E104" s="16"/>
      <c r="F104" s="358"/>
      <c r="G104" s="358"/>
      <c r="H104" s="358"/>
      <c r="I104" s="358"/>
      <c r="J104" s="358"/>
      <c r="K104" s="358"/>
      <c r="L104" s="358"/>
      <c r="M104" s="358"/>
      <c r="N104" s="405"/>
      <c r="O104" s="405"/>
      <c r="P104" s="625"/>
    </row>
    <row r="105" spans="1:16" hidden="1" outlineLevel="1" x14ac:dyDescent="0.2">
      <c r="A105" s="625"/>
      <c r="B105" s="625"/>
      <c r="C105" s="774" t="s">
        <v>582</v>
      </c>
      <c r="D105" s="775"/>
      <c r="E105" s="16"/>
      <c r="F105" s="358"/>
      <c r="G105" s="358"/>
      <c r="H105" s="358"/>
      <c r="I105" s="358"/>
      <c r="J105" s="358"/>
      <c r="K105" s="358"/>
      <c r="L105" s="358"/>
      <c r="M105" s="358"/>
      <c r="N105" s="405"/>
      <c r="O105" s="405"/>
      <c r="P105" s="625"/>
    </row>
    <row r="106" spans="1:16" hidden="1" outlineLevel="1" x14ac:dyDescent="0.2">
      <c r="A106" s="625"/>
      <c r="B106" s="625"/>
      <c r="C106" s="774" t="s">
        <v>583</v>
      </c>
      <c r="D106" s="775"/>
      <c r="E106" s="16"/>
      <c r="F106" s="358"/>
      <c r="G106" s="358"/>
      <c r="H106" s="358"/>
      <c r="I106" s="358"/>
      <c r="J106" s="358"/>
      <c r="K106" s="358"/>
      <c r="L106" s="358"/>
      <c r="M106" s="358"/>
      <c r="N106" s="405"/>
      <c r="O106" s="405"/>
      <c r="P106" s="625"/>
    </row>
    <row r="107" spans="1:16" hidden="1" outlineLevel="1" x14ac:dyDescent="0.2">
      <c r="A107" s="625"/>
      <c r="B107" s="625"/>
      <c r="C107" s="774" t="s">
        <v>584</v>
      </c>
      <c r="D107" s="775"/>
      <c r="E107" s="16"/>
      <c r="F107" s="358"/>
      <c r="G107" s="358"/>
      <c r="H107" s="358"/>
      <c r="I107" s="358"/>
      <c r="J107" s="358"/>
      <c r="K107" s="358"/>
      <c r="L107" s="358"/>
      <c r="M107" s="358"/>
      <c r="N107" s="405"/>
      <c r="O107" s="405"/>
      <c r="P107" s="625"/>
    </row>
    <row r="108" spans="1:16" hidden="1" outlineLevel="1" x14ac:dyDescent="0.2">
      <c r="A108" s="625"/>
      <c r="B108" s="625"/>
      <c r="C108" s="625"/>
      <c r="D108" s="625"/>
      <c r="E108" s="625"/>
      <c r="F108" s="358"/>
      <c r="G108" s="358"/>
      <c r="H108" s="358"/>
      <c r="I108" s="358"/>
      <c r="J108" s="358"/>
      <c r="K108" s="358"/>
      <c r="L108" s="358"/>
      <c r="M108" s="358"/>
      <c r="N108" s="405"/>
      <c r="O108" s="405"/>
      <c r="P108" s="625"/>
    </row>
    <row r="109" spans="1:16" hidden="1" outlineLevel="1" x14ac:dyDescent="0.2">
      <c r="A109" s="625"/>
      <c r="B109" s="625"/>
      <c r="C109" s="625"/>
      <c r="D109" s="625"/>
      <c r="E109" s="625"/>
      <c r="F109" s="358"/>
      <c r="G109" s="358"/>
      <c r="H109" s="358"/>
      <c r="I109" s="358"/>
      <c r="J109" s="358"/>
      <c r="K109" s="358"/>
      <c r="L109" s="358"/>
      <c r="M109" s="358"/>
      <c r="N109" s="405"/>
      <c r="O109" s="405"/>
      <c r="P109" s="625"/>
    </row>
    <row r="110" spans="1:16" ht="15.75" collapsed="1" x14ac:dyDescent="0.2">
      <c r="A110" s="103"/>
      <c r="B110" s="575">
        <v>4</v>
      </c>
      <c r="C110" s="777" t="str">
        <f xml:space="preserve"> IF(B110&lt;=$H$62,"Restriction " &amp; B110 &amp; " of " &amp; $H$62,MsgNotUsed)</f>
        <v>** NOT USED **</v>
      </c>
      <c r="D110" s="778"/>
      <c r="E110" s="779"/>
      <c r="F110" s="93"/>
      <c r="G110" s="98"/>
      <c r="H110" s="98"/>
      <c r="I110" s="98"/>
      <c r="J110" s="99"/>
      <c r="K110" s="99"/>
      <c r="L110" s="357"/>
      <c r="M110" s="98"/>
      <c r="N110" s="70"/>
      <c r="O110" s="70"/>
      <c r="P110" s="103"/>
    </row>
    <row r="111" spans="1:16" hidden="1" outlineLevel="1" x14ac:dyDescent="0.2">
      <c r="A111" s="615"/>
      <c r="B111" s="470">
        <f>IFERROR(VLOOKUP(D111,ProgrammeCode,3,FALSE),0)</f>
        <v>0</v>
      </c>
      <c r="C111" s="399" t="s">
        <v>575</v>
      </c>
      <c r="D111" s="266"/>
      <c r="E111" s="28" t="str">
        <f>IF(D111&lt;&gt;"",VLOOKUP(D111,ProgrammeCode,2,FALSE),"")</f>
        <v/>
      </c>
      <c r="F111" s="80"/>
      <c r="G111" s="359" t="s">
        <v>576</v>
      </c>
      <c r="H111" s="266"/>
      <c r="I111" s="357"/>
      <c r="J111" s="398" t="s">
        <v>717</v>
      </c>
      <c r="K111" s="7"/>
      <c r="L111" s="420"/>
      <c r="M111" s="7"/>
      <c r="N111" s="470" t="str">
        <f>IF(AND(H111&lt;&gt;"",H111&lt;&gt;"New"),"E","")</f>
        <v/>
      </c>
      <c r="O111" s="405"/>
      <c r="P111" s="625"/>
    </row>
    <row r="112" spans="1:16" hidden="1" outlineLevel="1" x14ac:dyDescent="0.2">
      <c r="A112" s="625"/>
      <c r="B112" s="625"/>
      <c r="C112" s="357"/>
      <c r="D112" s="357"/>
      <c r="E112" s="357"/>
      <c r="F112" s="357"/>
      <c r="G112" s="95" t="s">
        <v>698</v>
      </c>
      <c r="H112" s="17"/>
      <c r="I112" s="357"/>
      <c r="J112" s="511"/>
      <c r="K112" s="420"/>
      <c r="L112" s="592"/>
      <c r="M112" s="470">
        <f>IF(J112&lt;&gt;"",VLOOKUP(J112,AuthorityCode,2,FALSE),0)</f>
        <v>0</v>
      </c>
      <c r="N112" s="7"/>
      <c r="O112" s="405"/>
      <c r="P112" s="625"/>
    </row>
    <row r="113" spans="1:16" hidden="1" outlineLevel="1" x14ac:dyDescent="0.2">
      <c r="A113" s="625"/>
      <c r="B113" s="625"/>
      <c r="C113" s="400" t="s">
        <v>56</v>
      </c>
      <c r="D113" s="408"/>
      <c r="E113" s="14"/>
      <c r="F113" s="406"/>
      <c r="G113" s="95" t="str">
        <f>VLOOKUP(B111,MaxQ,2,TRUE)</f>
        <v>Max quantity (units)</v>
      </c>
      <c r="H113" s="17"/>
      <c r="I113" s="357"/>
      <c r="J113" s="511"/>
      <c r="K113" s="420"/>
      <c r="L113" s="420"/>
      <c r="M113" s="420"/>
      <c r="N113" s="7"/>
      <c r="O113" s="405"/>
      <c r="P113" s="625"/>
    </row>
    <row r="114" spans="1:16" hidden="1" outlineLevel="1" x14ac:dyDescent="0.2">
      <c r="A114" s="625"/>
      <c r="B114" s="625"/>
      <c r="C114" s="357"/>
      <c r="D114" s="357"/>
      <c r="E114" s="16"/>
      <c r="F114" s="357"/>
      <c r="G114" s="95" t="s">
        <v>577</v>
      </c>
      <c r="H114" s="17"/>
      <c r="I114" s="357"/>
      <c r="J114" s="7"/>
      <c r="K114" s="7"/>
      <c r="L114" s="420"/>
      <c r="M114" s="7"/>
      <c r="N114" s="7"/>
      <c r="O114" s="405"/>
      <c r="P114" s="625"/>
    </row>
    <row r="115" spans="1:16" hidden="1" outlineLevel="1" x14ac:dyDescent="0.2">
      <c r="A115" s="625"/>
      <c r="B115" s="625"/>
      <c r="C115" s="774" t="s">
        <v>578</v>
      </c>
      <c r="D115" s="775"/>
      <c r="E115" s="16"/>
      <c r="F115" s="357"/>
      <c r="G115" s="625"/>
      <c r="H115" s="625"/>
      <c r="I115" s="357"/>
      <c r="J115" s="7"/>
      <c r="K115" s="7"/>
      <c r="L115" s="420"/>
      <c r="M115" s="7"/>
      <c r="N115" s="7"/>
      <c r="O115" s="358"/>
      <c r="P115" s="625"/>
    </row>
    <row r="116" spans="1:16" hidden="1" outlineLevel="1" x14ac:dyDescent="0.2">
      <c r="A116" s="625"/>
      <c r="B116" s="625"/>
      <c r="C116" s="774" t="s">
        <v>579</v>
      </c>
      <c r="D116" s="775"/>
      <c r="E116" s="16"/>
      <c r="F116" s="358"/>
      <c r="G116" s="625"/>
      <c r="H116" s="625"/>
      <c r="I116" s="357"/>
      <c r="J116" s="7"/>
      <c r="K116" s="7"/>
      <c r="L116" s="420"/>
      <c r="M116" s="7"/>
      <c r="N116" s="7"/>
      <c r="O116" s="405"/>
      <c r="P116" s="625"/>
    </row>
    <row r="117" spans="1:16" hidden="1" outlineLevel="1" x14ac:dyDescent="0.2">
      <c r="A117" s="625"/>
      <c r="B117" s="625"/>
      <c r="C117" s="774" t="s">
        <v>580</v>
      </c>
      <c r="D117" s="775"/>
      <c r="E117" s="16"/>
      <c r="F117" s="358"/>
      <c r="G117" s="358"/>
      <c r="H117" s="358"/>
      <c r="I117" s="358"/>
      <c r="J117" s="7"/>
      <c r="K117" s="7"/>
      <c r="L117" s="420"/>
      <c r="M117" s="7"/>
      <c r="N117" s="7"/>
      <c r="O117" s="405"/>
      <c r="P117" s="625"/>
    </row>
    <row r="118" spans="1:16" hidden="1" outlineLevel="1" x14ac:dyDescent="0.2">
      <c r="A118" s="625"/>
      <c r="B118" s="625"/>
      <c r="C118" s="774" t="s">
        <v>896</v>
      </c>
      <c r="D118" s="775"/>
      <c r="E118" s="29" t="str">
        <f>IF(E115 &lt;&gt;"",E115 &amp; " ","") &amp; IF(E116&lt;&gt;"",E116 &amp; " ","") &amp; IF(E117&lt;&gt; "",E117,"")</f>
        <v/>
      </c>
      <c r="F118" s="358"/>
      <c r="G118" s="358"/>
      <c r="H118" s="358"/>
      <c r="I118" s="358"/>
      <c r="J118" s="358"/>
      <c r="K118" s="358"/>
      <c r="L118" s="358"/>
      <c r="M118" s="358"/>
      <c r="N118" s="405"/>
      <c r="O118" s="405"/>
      <c r="P118" s="625"/>
    </row>
    <row r="119" spans="1:16" hidden="1" outlineLevel="1" x14ac:dyDescent="0.2">
      <c r="A119" s="625"/>
      <c r="B119" s="625"/>
      <c r="C119" s="774" t="s">
        <v>581</v>
      </c>
      <c r="D119" s="775"/>
      <c r="E119" s="16"/>
      <c r="F119" s="358"/>
      <c r="G119" s="358"/>
      <c r="H119" s="358"/>
      <c r="I119" s="358"/>
      <c r="J119" s="358"/>
      <c r="K119" s="358"/>
      <c r="L119" s="358"/>
      <c r="M119" s="358"/>
      <c r="N119" s="405"/>
      <c r="O119" s="405"/>
      <c r="P119" s="625"/>
    </row>
    <row r="120" spans="1:16" hidden="1" outlineLevel="1" x14ac:dyDescent="0.2">
      <c r="A120" s="625"/>
      <c r="B120" s="625"/>
      <c r="C120" s="774" t="s">
        <v>582</v>
      </c>
      <c r="D120" s="775"/>
      <c r="E120" s="16"/>
      <c r="F120" s="358"/>
      <c r="G120" s="358"/>
      <c r="H120" s="358"/>
      <c r="I120" s="358"/>
      <c r="J120" s="358"/>
      <c r="K120" s="358"/>
      <c r="L120" s="358"/>
      <c r="M120" s="358"/>
      <c r="N120" s="405"/>
      <c r="O120" s="405"/>
      <c r="P120" s="625"/>
    </row>
    <row r="121" spans="1:16" hidden="1" outlineLevel="1" x14ac:dyDescent="0.2">
      <c r="A121" s="625"/>
      <c r="B121" s="625"/>
      <c r="C121" s="774" t="s">
        <v>583</v>
      </c>
      <c r="D121" s="775"/>
      <c r="E121" s="16"/>
      <c r="F121" s="358"/>
      <c r="G121" s="358"/>
      <c r="H121" s="358"/>
      <c r="I121" s="358"/>
      <c r="J121" s="358"/>
      <c r="K121" s="358"/>
      <c r="L121" s="358"/>
      <c r="M121" s="358"/>
      <c r="N121" s="405"/>
      <c r="O121" s="405"/>
      <c r="P121" s="625"/>
    </row>
    <row r="122" spans="1:16" hidden="1" outlineLevel="1" x14ac:dyDescent="0.2">
      <c r="A122" s="625"/>
      <c r="B122" s="625"/>
      <c r="C122" s="774" t="s">
        <v>584</v>
      </c>
      <c r="D122" s="775"/>
      <c r="E122" s="16"/>
      <c r="F122" s="358"/>
      <c r="G122" s="358"/>
      <c r="H122" s="358"/>
      <c r="I122" s="358"/>
      <c r="J122" s="358"/>
      <c r="K122" s="358"/>
      <c r="L122" s="358"/>
      <c r="M122" s="358"/>
      <c r="N122" s="405"/>
      <c r="O122" s="405"/>
      <c r="P122" s="625"/>
    </row>
    <row r="123" spans="1:16" hidden="1" outlineLevel="1" x14ac:dyDescent="0.2">
      <c r="A123" s="625"/>
      <c r="B123" s="625"/>
      <c r="C123" s="625"/>
      <c r="D123" s="625"/>
      <c r="E123" s="625"/>
      <c r="F123" s="358"/>
      <c r="G123" s="358"/>
      <c r="H123" s="358"/>
      <c r="I123" s="358"/>
      <c r="J123" s="358"/>
      <c r="K123" s="358"/>
      <c r="L123" s="358"/>
      <c r="M123" s="358"/>
      <c r="N123" s="405"/>
      <c r="O123" s="405"/>
      <c r="P123" s="625"/>
    </row>
    <row r="124" spans="1:16" hidden="1" outlineLevel="1" x14ac:dyDescent="0.2">
      <c r="A124" s="625"/>
      <c r="B124" s="625"/>
      <c r="C124" s="625"/>
      <c r="D124" s="625"/>
      <c r="E124" s="625"/>
      <c r="F124" s="358"/>
      <c r="G124" s="358"/>
      <c r="H124" s="358"/>
      <c r="I124" s="358"/>
      <c r="J124" s="358"/>
      <c r="K124" s="358"/>
      <c r="L124" s="358"/>
      <c r="M124" s="358"/>
      <c r="N124" s="405"/>
      <c r="O124" s="405"/>
      <c r="P124" s="625"/>
    </row>
    <row r="125" spans="1:16" ht="15.75" collapsed="1" x14ac:dyDescent="0.2">
      <c r="A125" s="103"/>
      <c r="B125" s="575">
        <v>5</v>
      </c>
      <c r="C125" s="777" t="str">
        <f xml:space="preserve"> IF(B125&lt;=$H$62,"Restriction " &amp; B125 &amp; " of " &amp; $H$62,MsgNotUsed)</f>
        <v>** NOT USED **</v>
      </c>
      <c r="D125" s="778"/>
      <c r="E125" s="779"/>
      <c r="F125" s="93"/>
      <c r="G125" s="98"/>
      <c r="H125" s="98"/>
      <c r="I125" s="98"/>
      <c r="J125" s="99"/>
      <c r="K125" s="99"/>
      <c r="L125" s="357"/>
      <c r="M125" s="98"/>
      <c r="N125" s="70"/>
      <c r="O125" s="70"/>
      <c r="P125" s="103"/>
    </row>
    <row r="126" spans="1:16" hidden="1" outlineLevel="1" x14ac:dyDescent="0.2">
      <c r="A126" s="615"/>
      <c r="B126" s="470">
        <f>IFERROR(VLOOKUP(D126,ProgrammeCode,3,FALSE),0)</f>
        <v>0</v>
      </c>
      <c r="C126" s="261" t="s">
        <v>575</v>
      </c>
      <c r="D126" s="266"/>
      <c r="E126" s="28" t="str">
        <f>IF(D126&lt;&gt;"",VLOOKUP(D126,ProgrammeCode,2,FALSE),"")</f>
        <v/>
      </c>
      <c r="F126" s="80"/>
      <c r="G126" s="92" t="s">
        <v>576</v>
      </c>
      <c r="H126" s="266"/>
      <c r="I126" s="98"/>
      <c r="J126" s="398" t="s">
        <v>717</v>
      </c>
      <c r="N126" s="470" t="str">
        <f>IF(AND(H126&lt;&gt;"",H126&lt;&gt;"New"),"E","")</f>
        <v/>
      </c>
      <c r="O126" s="70"/>
      <c r="P126" s="103"/>
    </row>
    <row r="127" spans="1:16" hidden="1" outlineLevel="1" x14ac:dyDescent="0.2">
      <c r="A127" s="103"/>
      <c r="B127" s="103"/>
      <c r="C127" s="98"/>
      <c r="D127" s="98"/>
      <c r="E127" s="98"/>
      <c r="F127" s="98"/>
      <c r="G127" s="95" t="s">
        <v>698</v>
      </c>
      <c r="H127" s="17"/>
      <c r="I127" s="98"/>
      <c r="J127" s="511"/>
      <c r="K127" s="420"/>
      <c r="L127" s="592"/>
      <c r="M127" s="470">
        <f>IF(J127&lt;&gt;"",VLOOKUP(J127,AuthorityCode,2,FALSE),0)</f>
        <v>0</v>
      </c>
      <c r="O127" s="70"/>
      <c r="P127" s="103"/>
    </row>
    <row r="128" spans="1:16" hidden="1" outlineLevel="1" x14ac:dyDescent="0.2">
      <c r="A128" s="103"/>
      <c r="B128" s="103"/>
      <c r="C128" s="262" t="s">
        <v>56</v>
      </c>
      <c r="D128" s="215"/>
      <c r="E128" s="14"/>
      <c r="F128" s="100"/>
      <c r="G128" s="95" t="str">
        <f>VLOOKUP(B126,MaxQ,2,TRUE)</f>
        <v>Max quantity (units)</v>
      </c>
      <c r="H128" s="17"/>
      <c r="I128" s="98"/>
      <c r="J128" s="511"/>
      <c r="K128" s="420"/>
      <c r="L128" s="420"/>
      <c r="M128" s="420"/>
      <c r="O128" s="70"/>
      <c r="P128" s="103"/>
    </row>
    <row r="129" spans="1:16" hidden="1" outlineLevel="1" x14ac:dyDescent="0.2">
      <c r="A129" s="103"/>
      <c r="B129" s="103"/>
      <c r="C129" s="98"/>
      <c r="D129" s="98"/>
      <c r="E129" s="16"/>
      <c r="F129" s="98"/>
      <c r="G129" s="95" t="s">
        <v>577</v>
      </c>
      <c r="H129" s="17"/>
      <c r="I129" s="98"/>
      <c r="O129" s="70"/>
      <c r="P129" s="103"/>
    </row>
    <row r="130" spans="1:16" hidden="1" outlineLevel="1" x14ac:dyDescent="0.2">
      <c r="A130" s="103"/>
      <c r="B130" s="103"/>
      <c r="C130" s="774" t="s">
        <v>578</v>
      </c>
      <c r="D130" s="776"/>
      <c r="E130" s="16"/>
      <c r="F130" s="98"/>
      <c r="G130" s="103"/>
      <c r="H130" s="103"/>
      <c r="I130" s="98"/>
      <c r="O130" s="358"/>
      <c r="P130" s="103"/>
    </row>
    <row r="131" spans="1:16" hidden="1" outlineLevel="1" x14ac:dyDescent="0.2">
      <c r="A131" s="103"/>
      <c r="B131" s="103"/>
      <c r="C131" s="774" t="s">
        <v>579</v>
      </c>
      <c r="D131" s="776"/>
      <c r="E131" s="16"/>
      <c r="F131" s="99"/>
      <c r="G131" s="103"/>
      <c r="H131" s="103"/>
      <c r="I131" s="98"/>
      <c r="O131" s="70"/>
      <c r="P131" s="103"/>
    </row>
    <row r="132" spans="1:16" hidden="1" outlineLevel="1" x14ac:dyDescent="0.2">
      <c r="A132" s="103"/>
      <c r="B132" s="103"/>
      <c r="C132" s="774" t="s">
        <v>580</v>
      </c>
      <c r="D132" s="776"/>
      <c r="E132" s="16"/>
      <c r="F132" s="99"/>
      <c r="G132" s="358"/>
      <c r="H132" s="358"/>
      <c r="I132" s="99"/>
      <c r="O132" s="70"/>
      <c r="P132" s="103"/>
    </row>
    <row r="133" spans="1:16" hidden="1" outlineLevel="1" x14ac:dyDescent="0.2">
      <c r="A133" s="103"/>
      <c r="B133" s="103"/>
      <c r="C133" s="774" t="s">
        <v>896</v>
      </c>
      <c r="D133" s="776"/>
      <c r="E133" s="29" t="str">
        <f>IF(E130 &lt;&gt;"",E130 &amp; " ","") &amp; IF(E131&lt;&gt;"",E131 &amp; " ","") &amp; IF(E132&lt;&gt; "",E132,"")</f>
        <v/>
      </c>
      <c r="F133" s="99"/>
      <c r="G133" s="99"/>
      <c r="H133" s="99"/>
      <c r="I133" s="99"/>
      <c r="J133" s="99"/>
      <c r="K133" s="99"/>
      <c r="L133" s="357"/>
      <c r="M133" s="98"/>
      <c r="N133" s="70"/>
      <c r="O133" s="70"/>
      <c r="P133" s="103"/>
    </row>
    <row r="134" spans="1:16" hidden="1" outlineLevel="1" x14ac:dyDescent="0.2">
      <c r="A134" s="103"/>
      <c r="B134" s="103"/>
      <c r="C134" s="774" t="s">
        <v>581</v>
      </c>
      <c r="D134" s="776"/>
      <c r="E134" s="16"/>
      <c r="F134" s="99"/>
      <c r="G134" s="99"/>
      <c r="H134" s="99"/>
      <c r="I134" s="99"/>
      <c r="J134" s="99"/>
      <c r="K134" s="99"/>
      <c r="L134" s="357"/>
      <c r="M134" s="98"/>
      <c r="N134" s="70"/>
      <c r="O134" s="70"/>
      <c r="P134" s="103"/>
    </row>
    <row r="135" spans="1:16" hidden="1" outlineLevel="1" x14ac:dyDescent="0.2">
      <c r="A135" s="103"/>
      <c r="B135" s="103"/>
      <c r="C135" s="774" t="s">
        <v>582</v>
      </c>
      <c r="D135" s="776"/>
      <c r="E135" s="16"/>
      <c r="F135" s="99"/>
      <c r="G135" s="99"/>
      <c r="H135" s="99"/>
      <c r="I135" s="99"/>
      <c r="J135" s="99"/>
      <c r="K135" s="99"/>
      <c r="L135" s="357"/>
      <c r="M135" s="98"/>
      <c r="N135" s="70"/>
      <c r="O135" s="70"/>
      <c r="P135" s="103"/>
    </row>
    <row r="136" spans="1:16" hidden="1" outlineLevel="1" x14ac:dyDescent="0.2">
      <c r="A136" s="103"/>
      <c r="B136" s="103"/>
      <c r="C136" s="774" t="s">
        <v>583</v>
      </c>
      <c r="D136" s="776"/>
      <c r="E136" s="16"/>
      <c r="F136" s="99"/>
      <c r="G136" s="99"/>
      <c r="H136" s="99"/>
      <c r="I136" s="99"/>
      <c r="J136" s="99"/>
      <c r="K136" s="99"/>
      <c r="L136" s="357"/>
      <c r="M136" s="98"/>
      <c r="N136" s="70"/>
      <c r="O136" s="70"/>
      <c r="P136" s="103"/>
    </row>
    <row r="137" spans="1:16" hidden="1" outlineLevel="1" x14ac:dyDescent="0.2">
      <c r="A137" s="103"/>
      <c r="B137" s="103"/>
      <c r="C137" s="774" t="s">
        <v>584</v>
      </c>
      <c r="D137" s="776"/>
      <c r="E137" s="16"/>
      <c r="F137" s="99"/>
      <c r="G137" s="99"/>
      <c r="H137" s="99"/>
      <c r="I137" s="99"/>
      <c r="J137" s="99"/>
      <c r="K137" s="99"/>
      <c r="L137" s="357"/>
      <c r="M137" s="98"/>
      <c r="N137" s="70"/>
      <c r="O137" s="70"/>
      <c r="P137" s="103"/>
    </row>
    <row r="138" spans="1:16" hidden="1" outlineLevel="1" x14ac:dyDescent="0.2">
      <c r="A138" s="103"/>
      <c r="B138" s="103"/>
      <c r="C138" s="103"/>
      <c r="D138" s="103"/>
      <c r="E138" s="103"/>
      <c r="F138" s="99"/>
      <c r="G138" s="99"/>
      <c r="H138" s="99"/>
      <c r="I138" s="99"/>
      <c r="J138" s="99"/>
      <c r="K138" s="99"/>
      <c r="L138" s="357"/>
      <c r="M138" s="98"/>
      <c r="N138" s="70"/>
      <c r="O138" s="70"/>
      <c r="P138" s="103"/>
    </row>
    <row r="139" spans="1:16" hidden="1" outlineLevel="1" x14ac:dyDescent="0.2">
      <c r="A139" s="103"/>
      <c r="B139" s="103"/>
      <c r="C139" s="358"/>
      <c r="D139" s="358"/>
      <c r="E139" s="358"/>
      <c r="F139" s="93"/>
      <c r="G139" s="98"/>
      <c r="H139" s="98"/>
      <c r="I139" s="98"/>
      <c r="J139" s="98"/>
      <c r="K139" s="98"/>
      <c r="L139" s="357"/>
      <c r="M139" s="98"/>
      <c r="N139" s="70"/>
      <c r="O139" s="70"/>
      <c r="P139" s="103"/>
    </row>
    <row r="140" spans="1:16" ht="15.75" collapsed="1" x14ac:dyDescent="0.2">
      <c r="A140" s="103"/>
      <c r="B140" s="575">
        <v>6</v>
      </c>
      <c r="C140" s="777" t="str">
        <f xml:space="preserve"> IF(B140&lt;=$H$62,"Restriction " &amp; B140 &amp; " of " &amp; $H$62,MsgNotUsed)</f>
        <v>** NOT USED **</v>
      </c>
      <c r="D140" s="778"/>
      <c r="E140" s="779"/>
      <c r="F140" s="93"/>
      <c r="G140" s="98"/>
      <c r="H140" s="98"/>
      <c r="I140" s="98"/>
      <c r="J140" s="99"/>
      <c r="K140" s="99"/>
      <c r="L140" s="357"/>
      <c r="M140" s="98"/>
      <c r="N140" s="70"/>
      <c r="O140" s="70"/>
      <c r="P140" s="103"/>
    </row>
    <row r="141" spans="1:16" hidden="1" outlineLevel="1" x14ac:dyDescent="0.2">
      <c r="A141" s="103"/>
      <c r="B141" s="470">
        <f>IFERROR(VLOOKUP(D141,ProgrammeCode,3,FALSE),0)</f>
        <v>0</v>
      </c>
      <c r="C141" s="261" t="s">
        <v>575</v>
      </c>
      <c r="D141" s="266"/>
      <c r="E141" s="28" t="str">
        <f>IF(D141&lt;&gt;"",VLOOKUP(D141,ProgrammeCode,2,FALSE),"")</f>
        <v/>
      </c>
      <c r="F141" s="80"/>
      <c r="G141" s="92" t="s">
        <v>576</v>
      </c>
      <c r="H141" s="266"/>
      <c r="I141" s="98"/>
      <c r="J141" s="398" t="s">
        <v>717</v>
      </c>
      <c r="N141" s="470" t="str">
        <f>IF(AND(H141&lt;&gt;"",H141&lt;&gt;"New"),"E","")</f>
        <v/>
      </c>
      <c r="P141" s="103"/>
    </row>
    <row r="142" spans="1:16" hidden="1" outlineLevel="1" x14ac:dyDescent="0.2">
      <c r="A142" s="103"/>
      <c r="B142" s="103"/>
      <c r="C142" s="98"/>
      <c r="D142" s="98"/>
      <c r="E142" s="98"/>
      <c r="F142" s="98"/>
      <c r="G142" s="95" t="s">
        <v>698</v>
      </c>
      <c r="H142" s="17"/>
      <c r="I142" s="98"/>
      <c r="J142" s="511"/>
      <c r="K142" s="420"/>
      <c r="L142" s="592"/>
      <c r="M142" s="470">
        <f>IF(J142&lt;&gt;"",VLOOKUP(J142,AuthorityCode,2,FALSE),0)</f>
        <v>0</v>
      </c>
      <c r="P142" s="103"/>
    </row>
    <row r="143" spans="1:16" hidden="1" outlineLevel="1" x14ac:dyDescent="0.2">
      <c r="A143" s="103"/>
      <c r="B143" s="103"/>
      <c r="C143" s="262" t="s">
        <v>56</v>
      </c>
      <c r="D143" s="215"/>
      <c r="E143" s="14"/>
      <c r="F143" s="100"/>
      <c r="G143" s="95" t="str">
        <f>VLOOKUP(B141,MaxQ,2,TRUE)</f>
        <v>Max quantity (units)</v>
      </c>
      <c r="H143" s="17"/>
      <c r="I143" s="98"/>
      <c r="J143" s="511"/>
      <c r="K143" s="420"/>
      <c r="L143" s="420"/>
      <c r="M143" s="420"/>
      <c r="P143" s="103"/>
    </row>
    <row r="144" spans="1:16" hidden="1" outlineLevel="1" x14ac:dyDescent="0.2">
      <c r="A144" s="103"/>
      <c r="B144" s="103"/>
      <c r="C144" s="98"/>
      <c r="D144" s="98"/>
      <c r="E144" s="16"/>
      <c r="F144" s="98"/>
      <c r="G144" s="95" t="s">
        <v>577</v>
      </c>
      <c r="H144" s="17"/>
      <c r="I144" s="98"/>
      <c r="P144" s="103"/>
    </row>
    <row r="145" spans="1:16" hidden="1" outlineLevel="1" x14ac:dyDescent="0.2">
      <c r="A145" s="103"/>
      <c r="B145" s="103"/>
      <c r="C145" s="774" t="s">
        <v>578</v>
      </c>
      <c r="D145" s="776"/>
      <c r="E145" s="16"/>
      <c r="F145" s="98"/>
      <c r="G145" s="99"/>
      <c r="H145" s="99"/>
      <c r="I145" s="98"/>
      <c r="P145" s="103"/>
    </row>
    <row r="146" spans="1:16" hidden="1" outlineLevel="1" x14ac:dyDescent="0.2">
      <c r="A146" s="103"/>
      <c r="B146" s="103"/>
      <c r="C146" s="774" t="s">
        <v>579</v>
      </c>
      <c r="D146" s="776"/>
      <c r="E146" s="16"/>
      <c r="F146" s="99"/>
      <c r="G146" s="99"/>
      <c r="H146" s="99"/>
      <c r="I146" s="98"/>
      <c r="P146" s="103"/>
    </row>
    <row r="147" spans="1:16" hidden="1" outlineLevel="1" x14ac:dyDescent="0.2">
      <c r="A147" s="103"/>
      <c r="B147" s="103"/>
      <c r="C147" s="774" t="s">
        <v>580</v>
      </c>
      <c r="D147" s="776"/>
      <c r="E147" s="16"/>
      <c r="F147" s="99"/>
      <c r="G147" s="99"/>
      <c r="H147" s="99"/>
      <c r="I147" s="99"/>
      <c r="P147" s="103"/>
    </row>
    <row r="148" spans="1:16" hidden="1" outlineLevel="1" x14ac:dyDescent="0.2">
      <c r="A148" s="103"/>
      <c r="B148" s="103"/>
      <c r="C148" s="774" t="s">
        <v>896</v>
      </c>
      <c r="D148" s="776"/>
      <c r="E148" s="29" t="str">
        <f>IF(E145 &lt;&gt;"",E145 &amp; " ","") &amp; IF(E146&lt;&gt;"",E146 &amp; " ","") &amp; IF(E147&lt;&gt; "",E147,"")</f>
        <v/>
      </c>
      <c r="F148" s="99"/>
      <c r="G148" s="99"/>
      <c r="H148" s="99"/>
      <c r="I148" s="99"/>
      <c r="J148" s="99"/>
      <c r="K148" s="99"/>
      <c r="L148" s="357"/>
      <c r="M148" s="98"/>
      <c r="N148" s="70"/>
      <c r="O148" s="70"/>
      <c r="P148" s="103"/>
    </row>
    <row r="149" spans="1:16" hidden="1" outlineLevel="1" x14ac:dyDescent="0.2">
      <c r="A149" s="103"/>
      <c r="B149" s="103"/>
      <c r="C149" s="774" t="s">
        <v>581</v>
      </c>
      <c r="D149" s="776"/>
      <c r="E149" s="16"/>
      <c r="F149" s="99"/>
      <c r="G149" s="103"/>
      <c r="H149" s="103"/>
      <c r="I149" s="99"/>
      <c r="J149" s="99"/>
      <c r="K149" s="99"/>
      <c r="L149" s="357"/>
      <c r="M149" s="98"/>
      <c r="N149" s="70"/>
      <c r="O149" s="70"/>
      <c r="P149" s="103"/>
    </row>
    <row r="150" spans="1:16" hidden="1" outlineLevel="1" x14ac:dyDescent="0.2">
      <c r="A150" s="103"/>
      <c r="B150" s="103"/>
      <c r="C150" s="774" t="s">
        <v>582</v>
      </c>
      <c r="D150" s="776"/>
      <c r="E150" s="16"/>
      <c r="F150" s="99"/>
      <c r="G150" s="103"/>
      <c r="H150" s="103"/>
      <c r="I150" s="99"/>
      <c r="J150" s="99"/>
      <c r="K150" s="99"/>
      <c r="L150" s="357"/>
      <c r="M150" s="98"/>
      <c r="N150" s="70"/>
      <c r="O150" s="70"/>
      <c r="P150" s="103"/>
    </row>
    <row r="151" spans="1:16" hidden="1" outlineLevel="1" x14ac:dyDescent="0.2">
      <c r="A151" s="103"/>
      <c r="B151" s="103"/>
      <c r="C151" s="774" t="s">
        <v>583</v>
      </c>
      <c r="D151" s="776"/>
      <c r="E151" s="16"/>
      <c r="F151" s="99"/>
      <c r="G151" s="99"/>
      <c r="H151" s="99"/>
      <c r="I151" s="99"/>
      <c r="J151" s="99"/>
      <c r="K151" s="99"/>
      <c r="L151" s="357"/>
      <c r="M151" s="98"/>
      <c r="N151" s="70"/>
      <c r="O151" s="70"/>
      <c r="P151" s="103"/>
    </row>
    <row r="152" spans="1:16" hidden="1" outlineLevel="1" x14ac:dyDescent="0.2">
      <c r="A152" s="103"/>
      <c r="B152" s="103"/>
      <c r="C152" s="774" t="s">
        <v>584</v>
      </c>
      <c r="D152" s="776"/>
      <c r="E152" s="16"/>
      <c r="F152" s="99"/>
      <c r="G152" s="99"/>
      <c r="H152" s="99"/>
      <c r="I152" s="99"/>
      <c r="J152" s="99"/>
      <c r="K152" s="99"/>
      <c r="L152" s="357"/>
      <c r="M152" s="98"/>
      <c r="N152" s="70"/>
      <c r="O152" s="70"/>
      <c r="P152" s="103"/>
    </row>
    <row r="153" spans="1:16" hidden="1" outlineLevel="1" x14ac:dyDescent="0.2">
      <c r="A153" s="103"/>
      <c r="B153" s="103"/>
      <c r="C153" s="103"/>
      <c r="D153" s="103"/>
      <c r="E153" s="103"/>
      <c r="F153" s="99"/>
      <c r="G153" s="99"/>
      <c r="H153" s="99"/>
      <c r="I153" s="99"/>
      <c r="J153" s="99"/>
      <c r="K153" s="99"/>
      <c r="L153" s="357"/>
      <c r="M153" s="98"/>
      <c r="N153" s="70"/>
      <c r="O153" s="70"/>
      <c r="P153" s="103"/>
    </row>
    <row r="154" spans="1:16" hidden="1" outlineLevel="1" x14ac:dyDescent="0.2">
      <c r="A154" s="103"/>
      <c r="B154" s="103"/>
      <c r="C154" s="358"/>
      <c r="D154" s="358"/>
      <c r="E154" s="358"/>
      <c r="F154" s="93"/>
      <c r="G154" s="98"/>
      <c r="H154" s="98"/>
      <c r="I154" s="98"/>
      <c r="J154" s="98"/>
      <c r="K154" s="98"/>
      <c r="L154" s="357"/>
      <c r="M154" s="98"/>
      <c r="N154" s="70"/>
      <c r="O154" s="70"/>
      <c r="P154" s="103"/>
    </row>
    <row r="155" spans="1:16" ht="15.75" collapsed="1" x14ac:dyDescent="0.2">
      <c r="A155" s="103"/>
      <c r="B155" s="575">
        <v>7</v>
      </c>
      <c r="C155" s="777" t="str">
        <f xml:space="preserve"> IF(B155&lt;=$H$62,"Restriction " &amp; B155 &amp; " of " &amp; $H$62,MsgNotUsed)</f>
        <v>** NOT USED **</v>
      </c>
      <c r="D155" s="778"/>
      <c r="E155" s="779"/>
      <c r="F155" s="93"/>
      <c r="G155" s="98"/>
      <c r="H155" s="98"/>
      <c r="I155" s="98"/>
      <c r="J155" s="99"/>
      <c r="K155" s="99"/>
      <c r="L155" s="357"/>
      <c r="M155" s="98"/>
      <c r="N155" s="70"/>
      <c r="O155" s="70"/>
      <c r="P155" s="103"/>
    </row>
    <row r="156" spans="1:16" hidden="1" outlineLevel="1" x14ac:dyDescent="0.2">
      <c r="A156" s="103"/>
      <c r="B156" s="470">
        <f>IFERROR(VLOOKUP(D156,ProgrammeCode,3,FALSE),0)</f>
        <v>0</v>
      </c>
      <c r="C156" s="261" t="s">
        <v>575</v>
      </c>
      <c r="D156" s="266"/>
      <c r="E156" s="28" t="str">
        <f>IF(D156&lt;&gt;"",VLOOKUP(D156,ProgrammeCode,2,FALSE),"")</f>
        <v/>
      </c>
      <c r="F156" s="80"/>
      <c r="G156" s="92" t="s">
        <v>576</v>
      </c>
      <c r="H156" s="266"/>
      <c r="I156" s="98"/>
      <c r="J156" s="398" t="s">
        <v>717</v>
      </c>
      <c r="N156" s="470" t="str">
        <f>IF(AND(H156&lt;&gt;"",H156&lt;&gt;"New"),"E","")</f>
        <v/>
      </c>
      <c r="O156" s="70"/>
      <c r="P156" s="103"/>
    </row>
    <row r="157" spans="1:16" hidden="1" outlineLevel="1" x14ac:dyDescent="0.2">
      <c r="A157" s="103"/>
      <c r="B157" s="103"/>
      <c r="C157" s="98"/>
      <c r="D157" s="98"/>
      <c r="E157" s="98"/>
      <c r="F157" s="98"/>
      <c r="G157" s="95" t="s">
        <v>698</v>
      </c>
      <c r="H157" s="17"/>
      <c r="I157" s="98"/>
      <c r="J157" s="511"/>
      <c r="K157" s="420"/>
      <c r="L157" s="592"/>
      <c r="M157" s="470">
        <f>IF(J157&lt;&gt;"",VLOOKUP(J157,AuthorityCode,2,FALSE),0)</f>
        <v>0</v>
      </c>
      <c r="O157" s="70"/>
      <c r="P157" s="103"/>
    </row>
    <row r="158" spans="1:16" hidden="1" outlineLevel="1" x14ac:dyDescent="0.2">
      <c r="A158" s="103"/>
      <c r="B158" s="103"/>
      <c r="C158" s="262" t="s">
        <v>56</v>
      </c>
      <c r="D158" s="215"/>
      <c r="E158" s="14"/>
      <c r="F158" s="100"/>
      <c r="G158" s="95" t="str">
        <f>VLOOKUP(B156,MaxQ,2,TRUE)</f>
        <v>Max quantity (units)</v>
      </c>
      <c r="H158" s="17"/>
      <c r="I158" s="98"/>
      <c r="J158" s="511"/>
      <c r="K158" s="420"/>
      <c r="L158" s="420"/>
      <c r="M158" s="420"/>
      <c r="O158" s="70"/>
      <c r="P158" s="103"/>
    </row>
    <row r="159" spans="1:16" hidden="1" outlineLevel="1" x14ac:dyDescent="0.2">
      <c r="A159" s="103"/>
      <c r="B159" s="103"/>
      <c r="C159" s="98"/>
      <c r="D159" s="98"/>
      <c r="E159" s="16"/>
      <c r="F159" s="98"/>
      <c r="G159" s="95" t="s">
        <v>577</v>
      </c>
      <c r="H159" s="17"/>
      <c r="I159" s="98"/>
      <c r="O159" s="70"/>
      <c r="P159" s="103"/>
    </row>
    <row r="160" spans="1:16" hidden="1" outlineLevel="1" x14ac:dyDescent="0.2">
      <c r="A160" s="103"/>
      <c r="B160" s="103"/>
      <c r="C160" s="774" t="s">
        <v>578</v>
      </c>
      <c r="D160" s="776"/>
      <c r="E160" s="16"/>
      <c r="F160" s="98"/>
      <c r="G160" s="99"/>
      <c r="H160" s="99"/>
      <c r="I160" s="98"/>
      <c r="O160" s="358"/>
      <c r="P160" s="103"/>
    </row>
    <row r="161" spans="1:16" hidden="1" outlineLevel="1" x14ac:dyDescent="0.2">
      <c r="A161" s="103"/>
      <c r="B161" s="103"/>
      <c r="C161" s="774" t="s">
        <v>579</v>
      </c>
      <c r="D161" s="776"/>
      <c r="E161" s="16"/>
      <c r="F161" s="99"/>
      <c r="G161" s="99"/>
      <c r="H161" s="99"/>
      <c r="I161" s="98"/>
      <c r="O161" s="70"/>
      <c r="P161" s="103"/>
    </row>
    <row r="162" spans="1:16" hidden="1" outlineLevel="1" x14ac:dyDescent="0.2">
      <c r="A162" s="103"/>
      <c r="B162" s="103"/>
      <c r="C162" s="774" t="s">
        <v>580</v>
      </c>
      <c r="D162" s="776"/>
      <c r="E162" s="16"/>
      <c r="F162" s="99"/>
      <c r="G162" s="99"/>
      <c r="H162" s="99"/>
      <c r="I162" s="99"/>
      <c r="O162" s="70"/>
      <c r="P162" s="103"/>
    </row>
    <row r="163" spans="1:16" hidden="1" outlineLevel="1" x14ac:dyDescent="0.2">
      <c r="A163" s="103"/>
      <c r="B163" s="103"/>
      <c r="C163" s="774" t="s">
        <v>896</v>
      </c>
      <c r="D163" s="776"/>
      <c r="E163" s="29" t="str">
        <f>IF(E160 &lt;&gt;"",E160 &amp; " ","") &amp; IF(E161&lt;&gt;"",E161 &amp; " ","") &amp; IF(E162&lt;&gt; "",E162,"")</f>
        <v/>
      </c>
      <c r="F163" s="99"/>
      <c r="G163" s="99"/>
      <c r="H163" s="99"/>
      <c r="I163" s="99"/>
      <c r="J163" s="99"/>
      <c r="K163" s="99"/>
      <c r="L163" s="357"/>
      <c r="M163" s="98"/>
      <c r="N163" s="70"/>
      <c r="O163" s="70"/>
      <c r="P163" s="103"/>
    </row>
    <row r="164" spans="1:16" hidden="1" outlineLevel="1" x14ac:dyDescent="0.2">
      <c r="A164" s="103"/>
      <c r="B164" s="103"/>
      <c r="C164" s="774" t="s">
        <v>581</v>
      </c>
      <c r="D164" s="776"/>
      <c r="E164" s="16"/>
      <c r="F164" s="99"/>
      <c r="G164" s="99"/>
      <c r="H164" s="99"/>
      <c r="I164" s="99"/>
      <c r="J164" s="99"/>
      <c r="K164" s="99"/>
      <c r="L164" s="357"/>
      <c r="M164" s="98"/>
      <c r="N164" s="70"/>
      <c r="O164" s="70"/>
      <c r="P164" s="103"/>
    </row>
    <row r="165" spans="1:16" hidden="1" outlineLevel="1" x14ac:dyDescent="0.2">
      <c r="A165" s="103"/>
      <c r="B165" s="103"/>
      <c r="C165" s="774" t="s">
        <v>582</v>
      </c>
      <c r="D165" s="776"/>
      <c r="E165" s="16"/>
      <c r="F165" s="99"/>
      <c r="G165" s="99"/>
      <c r="H165" s="99"/>
      <c r="I165" s="99"/>
      <c r="J165" s="99"/>
      <c r="K165" s="99"/>
      <c r="L165" s="357"/>
      <c r="M165" s="98"/>
      <c r="N165" s="70"/>
      <c r="O165" s="70"/>
      <c r="P165" s="103"/>
    </row>
    <row r="166" spans="1:16" hidden="1" outlineLevel="1" x14ac:dyDescent="0.2">
      <c r="A166" s="103"/>
      <c r="B166" s="103"/>
      <c r="C166" s="774" t="s">
        <v>583</v>
      </c>
      <c r="D166" s="776"/>
      <c r="E166" s="16"/>
      <c r="F166" s="99"/>
      <c r="G166" s="99"/>
      <c r="H166" s="99"/>
      <c r="I166" s="99"/>
      <c r="J166" s="99"/>
      <c r="K166" s="99"/>
      <c r="L166" s="357"/>
      <c r="M166" s="98"/>
      <c r="N166" s="70"/>
      <c r="O166" s="70"/>
      <c r="P166" s="103"/>
    </row>
    <row r="167" spans="1:16" hidden="1" outlineLevel="1" x14ac:dyDescent="0.2">
      <c r="A167" s="103"/>
      <c r="B167" s="103"/>
      <c r="C167" s="774" t="s">
        <v>584</v>
      </c>
      <c r="D167" s="776"/>
      <c r="E167" s="16"/>
      <c r="F167" s="99"/>
      <c r="G167" s="99"/>
      <c r="H167" s="99"/>
      <c r="I167" s="99"/>
      <c r="J167" s="99"/>
      <c r="K167" s="99"/>
      <c r="L167" s="357"/>
      <c r="M167" s="98"/>
      <c r="N167" s="70"/>
      <c r="O167" s="70"/>
      <c r="P167" s="103"/>
    </row>
    <row r="168" spans="1:16" hidden="1" outlineLevel="1" x14ac:dyDescent="0.2">
      <c r="A168" s="103"/>
      <c r="B168" s="103"/>
      <c r="C168" s="626"/>
      <c r="D168" s="626"/>
      <c r="E168" s="103"/>
      <c r="F168" s="99"/>
      <c r="G168" s="99"/>
      <c r="H168" s="99"/>
      <c r="I168" s="99"/>
      <c r="J168" s="99"/>
      <c r="K168" s="99"/>
      <c r="L168" s="357"/>
      <c r="M168" s="98"/>
      <c r="N168" s="70"/>
      <c r="O168" s="70"/>
      <c r="P168" s="103"/>
    </row>
    <row r="169" spans="1:16" hidden="1" outlineLevel="1" x14ac:dyDescent="0.2">
      <c r="A169" s="103"/>
      <c r="B169" s="103"/>
      <c r="C169" s="357"/>
      <c r="D169" s="357"/>
      <c r="E169" s="357"/>
      <c r="F169" s="93"/>
      <c r="G169" s="98"/>
      <c r="H169" s="98"/>
      <c r="I169" s="98"/>
      <c r="J169" s="98"/>
      <c r="K169" s="98"/>
      <c r="L169" s="357"/>
      <c r="M169" s="98"/>
      <c r="N169" s="70"/>
      <c r="O169" s="70"/>
      <c r="P169" s="103"/>
    </row>
    <row r="170" spans="1:16" ht="15.75" collapsed="1" x14ac:dyDescent="0.2">
      <c r="A170" s="103"/>
      <c r="B170" s="575">
        <v>8</v>
      </c>
      <c r="C170" s="777" t="str">
        <f xml:space="preserve"> IF(B170&lt;=$H$62,"Restriction " &amp; B170 &amp; " of " &amp; $H$62,MsgNotUsed)</f>
        <v>** NOT USED **</v>
      </c>
      <c r="D170" s="778"/>
      <c r="E170" s="779"/>
      <c r="F170" s="93"/>
      <c r="G170" s="98"/>
      <c r="H170" s="98"/>
      <c r="I170" s="98"/>
      <c r="J170" s="99"/>
      <c r="K170" s="99"/>
      <c r="L170" s="357"/>
      <c r="M170" s="98"/>
      <c r="N170" s="70"/>
      <c r="O170" s="70"/>
      <c r="P170" s="103"/>
    </row>
    <row r="171" spans="1:16" hidden="1" outlineLevel="1" x14ac:dyDescent="0.2">
      <c r="A171" s="103"/>
      <c r="B171" s="470">
        <f>IFERROR(VLOOKUP(D171,ProgrammeCode,3,FALSE),0)</f>
        <v>0</v>
      </c>
      <c r="C171" s="261" t="s">
        <v>575</v>
      </c>
      <c r="D171" s="266"/>
      <c r="E171" s="28" t="str">
        <f>IF(D171&lt;&gt;"",VLOOKUP(D171,ProgrammeCode,2,FALSE),"")</f>
        <v/>
      </c>
      <c r="F171" s="80"/>
      <c r="G171" s="92" t="s">
        <v>576</v>
      </c>
      <c r="H171" s="266"/>
      <c r="I171" s="98"/>
      <c r="J171" s="398" t="s">
        <v>717</v>
      </c>
      <c r="N171" s="470" t="str">
        <f>IF(AND(H171&lt;&gt;"",H171&lt;&gt;"New"),"E","")</f>
        <v/>
      </c>
      <c r="O171" s="70"/>
      <c r="P171" s="103"/>
    </row>
    <row r="172" spans="1:16" hidden="1" outlineLevel="1" x14ac:dyDescent="0.2">
      <c r="A172" s="103"/>
      <c r="B172" s="103"/>
      <c r="C172" s="98"/>
      <c r="D172" s="98"/>
      <c r="E172" s="98"/>
      <c r="F172" s="98"/>
      <c r="G172" s="95" t="s">
        <v>698</v>
      </c>
      <c r="H172" s="17"/>
      <c r="I172" s="98"/>
      <c r="J172" s="511"/>
      <c r="K172" s="420"/>
      <c r="L172" s="592"/>
      <c r="M172" s="470">
        <f>IF(J172&lt;&gt;"",VLOOKUP(J172,AuthorityCode,2,FALSE),0)</f>
        <v>0</v>
      </c>
      <c r="O172" s="70"/>
      <c r="P172" s="103"/>
    </row>
    <row r="173" spans="1:16" hidden="1" outlineLevel="1" x14ac:dyDescent="0.2">
      <c r="A173" s="103"/>
      <c r="B173" s="103"/>
      <c r="C173" s="262" t="s">
        <v>56</v>
      </c>
      <c r="D173" s="215"/>
      <c r="E173" s="14"/>
      <c r="F173" s="100"/>
      <c r="G173" s="95" t="str">
        <f>VLOOKUP(B171,MaxQ,2,TRUE)</f>
        <v>Max quantity (units)</v>
      </c>
      <c r="H173" s="17"/>
      <c r="I173" s="98"/>
      <c r="J173" s="511"/>
      <c r="K173" s="420"/>
      <c r="L173" s="420"/>
      <c r="M173" s="420"/>
      <c r="O173" s="70"/>
      <c r="P173" s="103"/>
    </row>
    <row r="174" spans="1:16" hidden="1" outlineLevel="1" x14ac:dyDescent="0.2">
      <c r="A174" s="103"/>
      <c r="B174" s="103"/>
      <c r="C174" s="98"/>
      <c r="D174" s="98"/>
      <c r="E174" s="16"/>
      <c r="F174" s="98"/>
      <c r="G174" s="95" t="s">
        <v>577</v>
      </c>
      <c r="H174" s="17"/>
      <c r="I174" s="98"/>
      <c r="O174" s="70"/>
      <c r="P174" s="103"/>
    </row>
    <row r="175" spans="1:16" hidden="1" outlineLevel="1" x14ac:dyDescent="0.2">
      <c r="A175" s="103"/>
      <c r="B175" s="103"/>
      <c r="C175" s="774" t="s">
        <v>578</v>
      </c>
      <c r="D175" s="776"/>
      <c r="E175" s="16"/>
      <c r="F175" s="98"/>
      <c r="G175" s="99"/>
      <c r="H175" s="99"/>
      <c r="I175" s="98"/>
      <c r="O175" s="358"/>
      <c r="P175" s="103"/>
    </row>
    <row r="176" spans="1:16" hidden="1" outlineLevel="1" x14ac:dyDescent="0.2">
      <c r="A176" s="103"/>
      <c r="B176" s="103"/>
      <c r="C176" s="774" t="s">
        <v>579</v>
      </c>
      <c r="D176" s="776"/>
      <c r="E176" s="16"/>
      <c r="F176" s="99"/>
      <c r="G176" s="99"/>
      <c r="H176" s="99"/>
      <c r="I176" s="98"/>
      <c r="O176" s="70"/>
      <c r="P176" s="103"/>
    </row>
    <row r="177" spans="1:16" hidden="1" outlineLevel="1" x14ac:dyDescent="0.2">
      <c r="A177" s="103"/>
      <c r="B177" s="103"/>
      <c r="C177" s="774" t="s">
        <v>580</v>
      </c>
      <c r="D177" s="776"/>
      <c r="E177" s="16"/>
      <c r="F177" s="99"/>
      <c r="G177" s="99"/>
      <c r="H177" s="99"/>
      <c r="I177" s="99"/>
      <c r="O177" s="70"/>
      <c r="P177" s="103"/>
    </row>
    <row r="178" spans="1:16" hidden="1" outlineLevel="1" x14ac:dyDescent="0.2">
      <c r="A178" s="103"/>
      <c r="B178" s="103"/>
      <c r="C178" s="774" t="s">
        <v>896</v>
      </c>
      <c r="D178" s="776"/>
      <c r="E178" s="29" t="str">
        <f>IF(E175 &lt;&gt;"",E175 &amp; " ","") &amp; IF(E176&lt;&gt;"",E176 &amp; " ","") &amp; IF(E177&lt;&gt; "",E177,"")</f>
        <v/>
      </c>
      <c r="F178" s="99"/>
      <c r="G178" s="99"/>
      <c r="H178" s="99"/>
      <c r="I178" s="99"/>
      <c r="J178" s="99"/>
      <c r="K178" s="99"/>
      <c r="L178" s="357"/>
      <c r="M178" s="98"/>
      <c r="N178" s="70"/>
      <c r="O178" s="70"/>
      <c r="P178" s="103"/>
    </row>
    <row r="179" spans="1:16" hidden="1" outlineLevel="1" x14ac:dyDescent="0.2">
      <c r="A179" s="103"/>
      <c r="B179" s="103"/>
      <c r="C179" s="774" t="s">
        <v>581</v>
      </c>
      <c r="D179" s="776"/>
      <c r="E179" s="16"/>
      <c r="F179" s="99"/>
      <c r="G179" s="99"/>
      <c r="H179" s="99"/>
      <c r="I179" s="99"/>
      <c r="J179" s="99"/>
      <c r="K179" s="99"/>
      <c r="L179" s="357"/>
      <c r="M179" s="98"/>
      <c r="N179" s="70"/>
      <c r="O179" s="70"/>
      <c r="P179" s="103"/>
    </row>
    <row r="180" spans="1:16" hidden="1" outlineLevel="1" x14ac:dyDescent="0.2">
      <c r="A180" s="103"/>
      <c r="B180" s="103"/>
      <c r="C180" s="774" t="s">
        <v>582</v>
      </c>
      <c r="D180" s="776"/>
      <c r="E180" s="16"/>
      <c r="F180" s="99"/>
      <c r="G180" s="99"/>
      <c r="H180" s="99"/>
      <c r="I180" s="99"/>
      <c r="J180" s="99"/>
      <c r="K180" s="99"/>
      <c r="L180" s="357"/>
      <c r="M180" s="98"/>
      <c r="N180" s="70"/>
      <c r="O180" s="70"/>
      <c r="P180" s="103"/>
    </row>
    <row r="181" spans="1:16" hidden="1" outlineLevel="1" x14ac:dyDescent="0.2">
      <c r="A181" s="103"/>
      <c r="B181" s="103"/>
      <c r="C181" s="774" t="s">
        <v>583</v>
      </c>
      <c r="D181" s="776"/>
      <c r="E181" s="16"/>
      <c r="F181" s="99"/>
      <c r="G181" s="99"/>
      <c r="H181" s="99"/>
      <c r="I181" s="99"/>
      <c r="J181" s="99"/>
      <c r="K181" s="99"/>
      <c r="L181" s="357"/>
      <c r="M181" s="98"/>
      <c r="N181" s="70"/>
      <c r="O181" s="70"/>
      <c r="P181" s="103"/>
    </row>
    <row r="182" spans="1:16" hidden="1" outlineLevel="1" x14ac:dyDescent="0.2">
      <c r="A182" s="103"/>
      <c r="B182" s="103"/>
      <c r="C182" s="774" t="s">
        <v>584</v>
      </c>
      <c r="D182" s="776"/>
      <c r="E182" s="16"/>
      <c r="F182" s="99"/>
      <c r="G182" s="99"/>
      <c r="H182" s="99"/>
      <c r="I182" s="99"/>
      <c r="J182" s="99"/>
      <c r="K182" s="99"/>
      <c r="L182" s="357"/>
      <c r="M182" s="98"/>
      <c r="N182" s="70"/>
      <c r="O182" s="70"/>
      <c r="P182" s="103"/>
    </row>
    <row r="183" spans="1:16" hidden="1" outlineLevel="1" x14ac:dyDescent="0.2">
      <c r="A183" s="103"/>
      <c r="B183" s="103"/>
      <c r="C183" s="103"/>
      <c r="D183" s="103"/>
      <c r="E183" s="103"/>
      <c r="F183" s="99"/>
      <c r="G183" s="99"/>
      <c r="H183" s="99"/>
      <c r="I183" s="99"/>
      <c r="J183" s="99"/>
      <c r="K183" s="99"/>
      <c r="L183" s="357"/>
      <c r="M183" s="98"/>
      <c r="N183" s="70"/>
      <c r="O183" s="70"/>
      <c r="P183" s="103"/>
    </row>
    <row r="184" spans="1:16" hidden="1" outlineLevel="1" x14ac:dyDescent="0.2">
      <c r="A184" s="103"/>
      <c r="B184" s="103"/>
      <c r="C184" s="357"/>
      <c r="D184" s="357"/>
      <c r="E184" s="357"/>
      <c r="F184" s="93"/>
      <c r="G184" s="98"/>
      <c r="H184" s="98"/>
      <c r="I184" s="98"/>
      <c r="J184" s="98"/>
      <c r="K184" s="98"/>
      <c r="L184" s="357"/>
      <c r="M184" s="98"/>
      <c r="N184" s="70"/>
      <c r="O184" s="70"/>
      <c r="P184" s="103"/>
    </row>
    <row r="185" spans="1:16" ht="15.75" collapsed="1" x14ac:dyDescent="0.2">
      <c r="A185" s="103"/>
      <c r="B185" s="575">
        <v>9</v>
      </c>
      <c r="C185" s="777" t="str">
        <f xml:space="preserve"> IF(B185&lt;=$H$62,"Restriction " &amp; B185 &amp; " of " &amp; $H$62,MsgNotUsed)</f>
        <v>** NOT USED **</v>
      </c>
      <c r="D185" s="778"/>
      <c r="E185" s="779"/>
      <c r="F185" s="93"/>
      <c r="G185" s="98"/>
      <c r="H185" s="98"/>
      <c r="I185" s="98"/>
      <c r="J185" s="99"/>
      <c r="K185" s="99"/>
      <c r="L185" s="357"/>
      <c r="M185" s="98"/>
      <c r="N185" s="70"/>
      <c r="O185" s="70"/>
      <c r="P185" s="103"/>
    </row>
    <row r="186" spans="1:16" hidden="1" outlineLevel="1" x14ac:dyDescent="0.2">
      <c r="A186" s="103"/>
      <c r="B186" s="470">
        <f>IFERROR(VLOOKUP(D186,ProgrammeCode,3,FALSE),0)</f>
        <v>0</v>
      </c>
      <c r="C186" s="261" t="s">
        <v>575</v>
      </c>
      <c r="D186" s="266"/>
      <c r="E186" s="28" t="str">
        <f>IF(D186&lt;&gt;"",VLOOKUP(D186,ProgrammeCode,2,FALSE),"")</f>
        <v/>
      </c>
      <c r="F186" s="80"/>
      <c r="G186" s="92" t="s">
        <v>576</v>
      </c>
      <c r="H186" s="266"/>
      <c r="I186" s="98"/>
      <c r="J186" s="398" t="s">
        <v>717</v>
      </c>
      <c r="N186" s="470" t="str">
        <f>IF(AND(H186&lt;&gt;"",H186&lt;&gt;"New"),"E","")</f>
        <v/>
      </c>
      <c r="O186" s="70"/>
      <c r="P186" s="103"/>
    </row>
    <row r="187" spans="1:16" hidden="1" outlineLevel="1" x14ac:dyDescent="0.2">
      <c r="A187" s="103"/>
      <c r="B187" s="103"/>
      <c r="C187" s="98"/>
      <c r="D187" s="98"/>
      <c r="E187" s="98"/>
      <c r="F187" s="98"/>
      <c r="G187" s="95" t="s">
        <v>698</v>
      </c>
      <c r="H187" s="17"/>
      <c r="I187" s="98"/>
      <c r="J187" s="511"/>
      <c r="K187" s="420"/>
      <c r="L187" s="592"/>
      <c r="M187" s="470">
        <f>IF(J187&lt;&gt;"",VLOOKUP(J187,AuthorityCode,2,FALSE),0)</f>
        <v>0</v>
      </c>
      <c r="O187" s="70"/>
      <c r="P187" s="103"/>
    </row>
    <row r="188" spans="1:16" hidden="1" outlineLevel="1" x14ac:dyDescent="0.2">
      <c r="A188" s="103"/>
      <c r="B188" s="103"/>
      <c r="C188" s="262" t="s">
        <v>56</v>
      </c>
      <c r="D188" s="215"/>
      <c r="E188" s="14"/>
      <c r="F188" s="100"/>
      <c r="G188" s="95" t="str">
        <f>VLOOKUP(B186,MaxQ,2,TRUE)</f>
        <v>Max quantity (units)</v>
      </c>
      <c r="H188" s="17"/>
      <c r="I188" s="98"/>
      <c r="J188" s="511"/>
      <c r="K188" s="420"/>
      <c r="L188" s="420"/>
      <c r="M188" s="420"/>
      <c r="O188" s="70"/>
      <c r="P188" s="103"/>
    </row>
    <row r="189" spans="1:16" hidden="1" outlineLevel="1" x14ac:dyDescent="0.2">
      <c r="A189" s="103"/>
      <c r="B189" s="103"/>
      <c r="C189" s="98"/>
      <c r="D189" s="98"/>
      <c r="E189" s="16"/>
      <c r="F189" s="98"/>
      <c r="G189" s="95" t="s">
        <v>577</v>
      </c>
      <c r="H189" s="17"/>
      <c r="I189" s="98"/>
      <c r="O189" s="70"/>
      <c r="P189" s="103"/>
    </row>
    <row r="190" spans="1:16" hidden="1" outlineLevel="1" x14ac:dyDescent="0.2">
      <c r="A190" s="103"/>
      <c r="B190" s="103"/>
      <c r="C190" s="774" t="s">
        <v>578</v>
      </c>
      <c r="D190" s="776"/>
      <c r="E190" s="16"/>
      <c r="F190" s="98"/>
      <c r="G190" s="99"/>
      <c r="H190" s="99"/>
      <c r="I190" s="98"/>
      <c r="O190" s="358"/>
      <c r="P190" s="103"/>
    </row>
    <row r="191" spans="1:16" hidden="1" outlineLevel="1" x14ac:dyDescent="0.2">
      <c r="A191" s="103"/>
      <c r="B191" s="103"/>
      <c r="C191" s="774" t="s">
        <v>579</v>
      </c>
      <c r="D191" s="776"/>
      <c r="E191" s="16"/>
      <c r="F191" s="99"/>
      <c r="G191" s="99"/>
      <c r="H191" s="99"/>
      <c r="I191" s="98"/>
      <c r="O191" s="70"/>
      <c r="P191" s="103"/>
    </row>
    <row r="192" spans="1:16" hidden="1" outlineLevel="1" x14ac:dyDescent="0.2">
      <c r="A192" s="103"/>
      <c r="B192" s="103"/>
      <c r="C192" s="774" t="s">
        <v>580</v>
      </c>
      <c r="D192" s="776"/>
      <c r="E192" s="16"/>
      <c r="F192" s="99"/>
      <c r="G192" s="99"/>
      <c r="H192" s="99"/>
      <c r="I192" s="99"/>
      <c r="O192" s="70"/>
      <c r="P192" s="103"/>
    </row>
    <row r="193" spans="1:16" hidden="1" outlineLevel="1" x14ac:dyDescent="0.2">
      <c r="A193" s="103"/>
      <c r="B193" s="103"/>
      <c r="C193" s="774" t="s">
        <v>896</v>
      </c>
      <c r="D193" s="776"/>
      <c r="E193" s="29" t="str">
        <f>IF(E190 &lt;&gt;"",E190 &amp; " ","") &amp; IF(E191&lt;&gt;"",E191 &amp; " ","") &amp; IF(E192&lt;&gt; "",E192,"")</f>
        <v/>
      </c>
      <c r="F193" s="99"/>
      <c r="G193" s="99"/>
      <c r="H193" s="99"/>
      <c r="I193" s="99"/>
      <c r="J193" s="99"/>
      <c r="K193" s="99"/>
      <c r="L193" s="357"/>
      <c r="M193" s="98"/>
      <c r="N193" s="70"/>
      <c r="O193" s="70"/>
      <c r="P193" s="103"/>
    </row>
    <row r="194" spans="1:16" hidden="1" outlineLevel="1" x14ac:dyDescent="0.2">
      <c r="A194" s="103"/>
      <c r="B194" s="103"/>
      <c r="C194" s="774" t="s">
        <v>581</v>
      </c>
      <c r="D194" s="776"/>
      <c r="E194" s="16"/>
      <c r="F194" s="99"/>
      <c r="G194" s="99"/>
      <c r="H194" s="99"/>
      <c r="I194" s="99"/>
      <c r="J194" s="99"/>
      <c r="K194" s="99"/>
      <c r="L194" s="357"/>
      <c r="M194" s="98"/>
      <c r="N194" s="70"/>
      <c r="O194" s="70"/>
      <c r="P194" s="103"/>
    </row>
    <row r="195" spans="1:16" hidden="1" outlineLevel="1" x14ac:dyDescent="0.2">
      <c r="A195" s="103"/>
      <c r="B195" s="103"/>
      <c r="C195" s="774" t="s">
        <v>582</v>
      </c>
      <c r="D195" s="776"/>
      <c r="E195" s="16"/>
      <c r="F195" s="99"/>
      <c r="G195" s="99"/>
      <c r="H195" s="99"/>
      <c r="I195" s="99"/>
      <c r="J195" s="99"/>
      <c r="K195" s="99"/>
      <c r="L195" s="357"/>
      <c r="M195" s="98"/>
      <c r="N195" s="70"/>
      <c r="O195" s="70"/>
      <c r="P195" s="103"/>
    </row>
    <row r="196" spans="1:16" hidden="1" outlineLevel="1" x14ac:dyDescent="0.2">
      <c r="A196" s="103"/>
      <c r="B196" s="103"/>
      <c r="C196" s="774" t="s">
        <v>583</v>
      </c>
      <c r="D196" s="776"/>
      <c r="E196" s="16"/>
      <c r="F196" s="99"/>
      <c r="G196" s="99"/>
      <c r="H196" s="99"/>
      <c r="I196" s="99"/>
      <c r="J196" s="99"/>
      <c r="K196" s="99"/>
      <c r="L196" s="357"/>
      <c r="M196" s="98"/>
      <c r="N196" s="70"/>
      <c r="O196" s="70"/>
      <c r="P196" s="103"/>
    </row>
    <row r="197" spans="1:16" hidden="1" outlineLevel="1" x14ac:dyDescent="0.2">
      <c r="A197" s="103"/>
      <c r="B197" s="103"/>
      <c r="C197" s="774" t="s">
        <v>584</v>
      </c>
      <c r="D197" s="776"/>
      <c r="E197" s="16"/>
      <c r="F197" s="99"/>
      <c r="G197" s="99"/>
      <c r="H197" s="99"/>
      <c r="I197" s="99"/>
      <c r="J197" s="99"/>
      <c r="K197" s="99"/>
      <c r="L197" s="357"/>
      <c r="M197" s="98"/>
      <c r="N197" s="70"/>
      <c r="O197" s="70"/>
      <c r="P197" s="103"/>
    </row>
    <row r="198" spans="1:16" hidden="1" outlineLevel="1" x14ac:dyDescent="0.2">
      <c r="A198" s="103"/>
      <c r="B198" s="103"/>
      <c r="C198" s="103"/>
      <c r="D198" s="103"/>
      <c r="E198" s="103"/>
      <c r="F198" s="99"/>
      <c r="G198" s="99"/>
      <c r="H198" s="99"/>
      <c r="I198" s="99"/>
      <c r="J198" s="99"/>
      <c r="K198" s="99"/>
      <c r="L198" s="357"/>
      <c r="M198" s="98"/>
      <c r="N198" s="70"/>
      <c r="O198" s="70"/>
      <c r="P198" s="103"/>
    </row>
    <row r="199" spans="1:16" hidden="1" outlineLevel="1" x14ac:dyDescent="0.2">
      <c r="A199" s="103"/>
      <c r="B199" s="103"/>
      <c r="C199" s="357"/>
      <c r="D199" s="357"/>
      <c r="E199" s="357"/>
      <c r="F199" s="93"/>
      <c r="G199" s="98"/>
      <c r="H199" s="98"/>
      <c r="I199" s="98"/>
      <c r="J199" s="98"/>
      <c r="K199" s="98"/>
      <c r="L199" s="357"/>
      <c r="M199" s="98"/>
      <c r="N199" s="70"/>
      <c r="O199" s="70"/>
      <c r="P199" s="103"/>
    </row>
    <row r="200" spans="1:16" ht="15.75" collapsed="1" x14ac:dyDescent="0.2">
      <c r="A200" s="103"/>
      <c r="B200" s="575">
        <v>10</v>
      </c>
      <c r="C200" s="777" t="str">
        <f xml:space="preserve"> IF(B200&lt;=$H$62,"Restriction " &amp; B200 &amp; " of " &amp; $H$62,MsgNotUsed)</f>
        <v>** NOT USED **</v>
      </c>
      <c r="D200" s="778"/>
      <c r="E200" s="779"/>
      <c r="F200" s="93"/>
      <c r="G200" s="98"/>
      <c r="H200" s="98"/>
      <c r="I200" s="98"/>
      <c r="J200" s="99"/>
      <c r="K200" s="99"/>
      <c r="L200" s="357"/>
      <c r="M200" s="98"/>
      <c r="N200" s="70"/>
      <c r="O200" s="70"/>
      <c r="P200" s="103"/>
    </row>
    <row r="201" spans="1:16" hidden="1" outlineLevel="1" x14ac:dyDescent="0.2">
      <c r="A201" s="103"/>
      <c r="B201" s="470">
        <f>IFERROR(VLOOKUP(D201,ProgrammeCode,3,FALSE),0)</f>
        <v>0</v>
      </c>
      <c r="C201" s="261" t="s">
        <v>575</v>
      </c>
      <c r="D201" s="266"/>
      <c r="E201" s="28" t="str">
        <f>IF(D201&lt;&gt;"",VLOOKUP(D201,ProgrammeCode,2,FALSE),"")</f>
        <v/>
      </c>
      <c r="F201" s="80"/>
      <c r="G201" s="92" t="s">
        <v>576</v>
      </c>
      <c r="H201" s="266"/>
      <c r="I201" s="98"/>
      <c r="J201" s="398" t="s">
        <v>717</v>
      </c>
      <c r="N201" s="470" t="str">
        <f>IF(AND(H201&lt;&gt;"",H201&lt;&gt;"New"),"E","")</f>
        <v/>
      </c>
      <c r="O201" s="70"/>
      <c r="P201" s="103"/>
    </row>
    <row r="202" spans="1:16" hidden="1" outlineLevel="1" x14ac:dyDescent="0.2">
      <c r="A202" s="103"/>
      <c r="B202" s="103"/>
      <c r="C202" s="98"/>
      <c r="D202" s="98"/>
      <c r="E202" s="98"/>
      <c r="F202" s="98"/>
      <c r="G202" s="95" t="s">
        <v>698</v>
      </c>
      <c r="H202" s="17"/>
      <c r="I202" s="98"/>
      <c r="J202" s="511"/>
      <c r="K202" s="420"/>
      <c r="L202" s="592"/>
      <c r="M202" s="470">
        <f>IF(J202&lt;&gt;"",VLOOKUP(J202,AuthorityCode,2,FALSE),0)</f>
        <v>0</v>
      </c>
      <c r="O202" s="70"/>
      <c r="P202" s="103"/>
    </row>
    <row r="203" spans="1:16" hidden="1" outlineLevel="1" x14ac:dyDescent="0.2">
      <c r="A203" s="103"/>
      <c r="B203" s="103"/>
      <c r="C203" s="262" t="s">
        <v>56</v>
      </c>
      <c r="D203" s="215"/>
      <c r="E203" s="14"/>
      <c r="F203" s="100"/>
      <c r="G203" s="95" t="str">
        <f>VLOOKUP(B201,MaxQ,2,TRUE)</f>
        <v>Max quantity (units)</v>
      </c>
      <c r="H203" s="17"/>
      <c r="I203" s="98"/>
      <c r="J203" s="511"/>
      <c r="K203" s="420"/>
      <c r="L203" s="420"/>
      <c r="M203" s="420"/>
      <c r="O203" s="70"/>
      <c r="P203" s="103"/>
    </row>
    <row r="204" spans="1:16" hidden="1" outlineLevel="1" x14ac:dyDescent="0.2">
      <c r="A204" s="103"/>
      <c r="B204" s="103"/>
      <c r="C204" s="98"/>
      <c r="D204" s="98"/>
      <c r="E204" s="16"/>
      <c r="F204" s="98"/>
      <c r="G204" s="95" t="s">
        <v>577</v>
      </c>
      <c r="H204" s="17"/>
      <c r="I204" s="98"/>
      <c r="O204" s="70"/>
      <c r="P204" s="103"/>
    </row>
    <row r="205" spans="1:16" hidden="1" outlineLevel="1" x14ac:dyDescent="0.2">
      <c r="A205" s="103"/>
      <c r="B205" s="103"/>
      <c r="C205" s="774" t="s">
        <v>578</v>
      </c>
      <c r="D205" s="776"/>
      <c r="E205" s="16"/>
      <c r="F205" s="98"/>
      <c r="G205" s="99"/>
      <c r="H205" s="99"/>
      <c r="I205" s="98"/>
      <c r="O205" s="358"/>
      <c r="P205" s="103"/>
    </row>
    <row r="206" spans="1:16" hidden="1" outlineLevel="1" x14ac:dyDescent="0.2">
      <c r="A206" s="103"/>
      <c r="B206" s="103"/>
      <c r="C206" s="774" t="s">
        <v>579</v>
      </c>
      <c r="D206" s="776"/>
      <c r="E206" s="16"/>
      <c r="F206" s="99"/>
      <c r="G206" s="99"/>
      <c r="H206" s="99"/>
      <c r="I206" s="98"/>
      <c r="O206" s="70"/>
      <c r="P206" s="103"/>
    </row>
    <row r="207" spans="1:16" hidden="1" outlineLevel="1" x14ac:dyDescent="0.2">
      <c r="A207" s="103"/>
      <c r="B207" s="103"/>
      <c r="C207" s="774" t="s">
        <v>580</v>
      </c>
      <c r="D207" s="776"/>
      <c r="E207" s="16"/>
      <c r="F207" s="99"/>
      <c r="G207" s="99"/>
      <c r="H207" s="99"/>
      <c r="I207" s="99"/>
      <c r="O207" s="70"/>
      <c r="P207" s="103"/>
    </row>
    <row r="208" spans="1:16" hidden="1" outlineLevel="1" x14ac:dyDescent="0.2">
      <c r="A208" s="103"/>
      <c r="B208" s="103"/>
      <c r="C208" s="774" t="s">
        <v>896</v>
      </c>
      <c r="D208" s="776"/>
      <c r="E208" s="29" t="str">
        <f>IF(E205 &lt;&gt;"",E205 &amp; " ","") &amp; IF(E206&lt;&gt;"",E206 &amp; " ","") &amp; IF(E207&lt;&gt; "",E207,"")</f>
        <v/>
      </c>
      <c r="F208" s="99"/>
      <c r="G208" s="99"/>
      <c r="H208" s="99"/>
      <c r="I208" s="99"/>
      <c r="J208" s="99"/>
      <c r="K208" s="99"/>
      <c r="L208" s="357"/>
      <c r="M208" s="98"/>
      <c r="N208" s="70"/>
      <c r="O208" s="70"/>
      <c r="P208" s="103"/>
    </row>
    <row r="209" spans="1:16" hidden="1" outlineLevel="1" x14ac:dyDescent="0.2">
      <c r="A209" s="103"/>
      <c r="B209" s="103"/>
      <c r="C209" s="774" t="s">
        <v>581</v>
      </c>
      <c r="D209" s="776"/>
      <c r="E209" s="16"/>
      <c r="F209" s="99"/>
      <c r="G209" s="99"/>
      <c r="H209" s="99"/>
      <c r="I209" s="99"/>
      <c r="J209" s="99"/>
      <c r="K209" s="99"/>
      <c r="L209" s="357"/>
      <c r="M209" s="98"/>
      <c r="N209" s="70"/>
      <c r="O209" s="70"/>
      <c r="P209" s="103"/>
    </row>
    <row r="210" spans="1:16" hidden="1" outlineLevel="1" x14ac:dyDescent="0.2">
      <c r="A210" s="103"/>
      <c r="B210" s="103"/>
      <c r="C210" s="774" t="s">
        <v>582</v>
      </c>
      <c r="D210" s="776"/>
      <c r="E210" s="16"/>
      <c r="F210" s="99"/>
      <c r="G210" s="99"/>
      <c r="H210" s="99"/>
      <c r="I210" s="99"/>
      <c r="J210" s="99"/>
      <c r="K210" s="99"/>
      <c r="L210" s="357"/>
      <c r="M210" s="98"/>
      <c r="N210" s="70"/>
      <c r="O210" s="70"/>
      <c r="P210" s="103"/>
    </row>
    <row r="211" spans="1:16" hidden="1" outlineLevel="1" x14ac:dyDescent="0.2">
      <c r="A211" s="103"/>
      <c r="B211" s="103"/>
      <c r="C211" s="774" t="s">
        <v>583</v>
      </c>
      <c r="D211" s="776"/>
      <c r="E211" s="16"/>
      <c r="F211" s="99"/>
      <c r="G211" s="99"/>
      <c r="H211" s="99"/>
      <c r="I211" s="99"/>
      <c r="J211" s="99"/>
      <c r="K211" s="99"/>
      <c r="L211" s="357"/>
      <c r="M211" s="98"/>
      <c r="N211" s="70"/>
      <c r="O211" s="70"/>
      <c r="P211" s="103"/>
    </row>
    <row r="212" spans="1:16" hidden="1" outlineLevel="1" x14ac:dyDescent="0.2">
      <c r="A212" s="103"/>
      <c r="B212" s="103"/>
      <c r="C212" s="774" t="s">
        <v>584</v>
      </c>
      <c r="D212" s="776"/>
      <c r="E212" s="16"/>
      <c r="F212" s="99"/>
      <c r="G212" s="99"/>
      <c r="H212" s="99"/>
      <c r="I212" s="99"/>
      <c r="J212" s="99"/>
      <c r="K212" s="99"/>
      <c r="L212" s="357"/>
      <c r="M212" s="98"/>
      <c r="N212" s="70"/>
      <c r="O212" s="70"/>
      <c r="P212" s="103"/>
    </row>
    <row r="213" spans="1:16" hidden="1" outlineLevel="1" x14ac:dyDescent="0.2">
      <c r="A213" s="103"/>
      <c r="B213" s="103"/>
      <c r="C213" s="103"/>
      <c r="D213" s="103"/>
      <c r="E213" s="103"/>
      <c r="F213" s="99"/>
      <c r="G213" s="99"/>
      <c r="H213" s="99"/>
      <c r="I213" s="99"/>
      <c r="J213" s="99"/>
      <c r="K213" s="99"/>
      <c r="L213" s="357"/>
      <c r="M213" s="98"/>
      <c r="N213" s="70"/>
      <c r="O213" s="70"/>
      <c r="P213" s="103"/>
    </row>
    <row r="214" spans="1:16" hidden="1" outlineLevel="1" x14ac:dyDescent="0.2">
      <c r="A214" s="103"/>
      <c r="B214" s="103"/>
      <c r="C214" s="357"/>
      <c r="D214" s="357"/>
      <c r="E214" s="357"/>
      <c r="F214" s="93"/>
      <c r="G214" s="98"/>
      <c r="H214" s="98"/>
      <c r="I214" s="98"/>
      <c r="J214" s="98"/>
      <c r="K214" s="98"/>
      <c r="L214" s="357"/>
      <c r="M214" s="98"/>
      <c r="N214" s="70"/>
      <c r="O214" s="70"/>
      <c r="P214" s="103"/>
    </row>
    <row r="215" spans="1:16" ht="15.75" collapsed="1" x14ac:dyDescent="0.2">
      <c r="A215" s="103"/>
      <c r="B215" s="575">
        <v>11</v>
      </c>
      <c r="C215" s="777" t="str">
        <f xml:space="preserve"> IF(B215&lt;=$H$62,"Restriction " &amp; B215 &amp; " of " &amp; $H$62,MsgNotUsed)</f>
        <v>** NOT USED **</v>
      </c>
      <c r="D215" s="778"/>
      <c r="E215" s="779"/>
      <c r="F215" s="93"/>
      <c r="G215" s="98"/>
      <c r="H215" s="98"/>
      <c r="I215" s="98"/>
      <c r="J215" s="99"/>
      <c r="K215" s="99"/>
      <c r="L215" s="357"/>
      <c r="M215" s="98"/>
      <c r="N215" s="70"/>
      <c r="O215" s="70"/>
      <c r="P215" s="103"/>
    </row>
    <row r="216" spans="1:16" hidden="1" outlineLevel="1" x14ac:dyDescent="0.2">
      <c r="A216" s="103"/>
      <c r="B216" s="470">
        <f>IFERROR(VLOOKUP(D216,ProgrammeCode,3,FALSE),0)</f>
        <v>0</v>
      </c>
      <c r="C216" s="261" t="s">
        <v>575</v>
      </c>
      <c r="D216" s="266"/>
      <c r="E216" s="28" t="str">
        <f>IF(D216&lt;&gt;"",VLOOKUP(D216,ProgrammeCode,2,FALSE),"")</f>
        <v/>
      </c>
      <c r="F216" s="80"/>
      <c r="G216" s="92" t="s">
        <v>576</v>
      </c>
      <c r="H216" s="266"/>
      <c r="I216" s="98"/>
      <c r="J216" s="398" t="s">
        <v>717</v>
      </c>
      <c r="N216" s="470" t="str">
        <f>IF(AND(H216&lt;&gt;"",H216&lt;&gt;"New"),"E","")</f>
        <v/>
      </c>
      <c r="O216" s="70"/>
      <c r="P216" s="103"/>
    </row>
    <row r="217" spans="1:16" hidden="1" outlineLevel="1" x14ac:dyDescent="0.2">
      <c r="A217" s="103"/>
      <c r="B217" s="103"/>
      <c r="C217" s="98"/>
      <c r="D217" s="98"/>
      <c r="E217" s="98"/>
      <c r="F217" s="98"/>
      <c r="G217" s="95" t="s">
        <v>698</v>
      </c>
      <c r="H217" s="17"/>
      <c r="I217" s="98"/>
      <c r="J217" s="511"/>
      <c r="K217" s="420"/>
      <c r="L217" s="592"/>
      <c r="M217" s="470">
        <f>IF(J217&lt;&gt;"",VLOOKUP(J217,AuthorityCode,2,FALSE),0)</f>
        <v>0</v>
      </c>
      <c r="O217" s="70"/>
      <c r="P217" s="103"/>
    </row>
    <row r="218" spans="1:16" hidden="1" outlineLevel="1" x14ac:dyDescent="0.2">
      <c r="A218" s="103"/>
      <c r="B218" s="103"/>
      <c r="C218" s="262" t="s">
        <v>56</v>
      </c>
      <c r="D218" s="215"/>
      <c r="E218" s="14"/>
      <c r="F218" s="100"/>
      <c r="G218" s="95" t="str">
        <f>VLOOKUP(B216,MaxQ,2,TRUE)</f>
        <v>Max quantity (units)</v>
      </c>
      <c r="H218" s="17"/>
      <c r="I218" s="98"/>
      <c r="J218" s="511"/>
      <c r="K218" s="420"/>
      <c r="L218" s="420"/>
      <c r="M218" s="420"/>
      <c r="O218" s="70"/>
      <c r="P218" s="103"/>
    </row>
    <row r="219" spans="1:16" hidden="1" outlineLevel="1" x14ac:dyDescent="0.2">
      <c r="A219" s="103"/>
      <c r="B219" s="103"/>
      <c r="C219" s="98"/>
      <c r="D219" s="98"/>
      <c r="E219" s="16"/>
      <c r="F219" s="98"/>
      <c r="G219" s="95" t="s">
        <v>577</v>
      </c>
      <c r="H219" s="17"/>
      <c r="I219" s="98"/>
      <c r="O219" s="70"/>
      <c r="P219" s="103"/>
    </row>
    <row r="220" spans="1:16" hidden="1" outlineLevel="1" x14ac:dyDescent="0.2">
      <c r="A220" s="103"/>
      <c r="B220" s="103"/>
      <c r="C220" s="774" t="s">
        <v>578</v>
      </c>
      <c r="D220" s="776"/>
      <c r="E220" s="16"/>
      <c r="F220" s="98"/>
      <c r="G220" s="99"/>
      <c r="H220" s="99"/>
      <c r="I220" s="98"/>
      <c r="O220" s="358"/>
      <c r="P220" s="103"/>
    </row>
    <row r="221" spans="1:16" hidden="1" outlineLevel="1" x14ac:dyDescent="0.2">
      <c r="A221" s="103"/>
      <c r="B221" s="103"/>
      <c r="C221" s="774" t="s">
        <v>579</v>
      </c>
      <c r="D221" s="776"/>
      <c r="E221" s="16"/>
      <c r="F221" s="99"/>
      <c r="G221" s="99"/>
      <c r="H221" s="99"/>
      <c r="I221" s="98"/>
      <c r="O221" s="70"/>
      <c r="P221" s="103"/>
    </row>
    <row r="222" spans="1:16" hidden="1" outlineLevel="1" x14ac:dyDescent="0.2">
      <c r="A222" s="103"/>
      <c r="B222" s="103"/>
      <c r="C222" s="774" t="s">
        <v>580</v>
      </c>
      <c r="D222" s="776"/>
      <c r="E222" s="16"/>
      <c r="F222" s="99"/>
      <c r="G222" s="99"/>
      <c r="H222" s="99"/>
      <c r="I222" s="99"/>
      <c r="O222" s="70"/>
      <c r="P222" s="103"/>
    </row>
    <row r="223" spans="1:16" hidden="1" outlineLevel="1" x14ac:dyDescent="0.2">
      <c r="A223" s="103"/>
      <c r="B223" s="103"/>
      <c r="C223" s="774" t="s">
        <v>896</v>
      </c>
      <c r="D223" s="776"/>
      <c r="E223" s="29" t="str">
        <f>IF(E220 &lt;&gt;"",E220 &amp; " ","") &amp; IF(E221&lt;&gt;"",E221 &amp; " ","") &amp; IF(E222&lt;&gt; "",E222,"")</f>
        <v/>
      </c>
      <c r="F223" s="99"/>
      <c r="G223" s="99"/>
      <c r="H223" s="99"/>
      <c r="I223" s="99"/>
      <c r="J223" s="99"/>
      <c r="K223" s="99"/>
      <c r="L223" s="357"/>
      <c r="M223" s="98"/>
      <c r="N223" s="70"/>
      <c r="O223" s="70"/>
      <c r="P223" s="103"/>
    </row>
    <row r="224" spans="1:16" hidden="1" outlineLevel="1" x14ac:dyDescent="0.2">
      <c r="A224" s="103"/>
      <c r="B224" s="103"/>
      <c r="C224" s="774" t="s">
        <v>581</v>
      </c>
      <c r="D224" s="776"/>
      <c r="E224" s="16"/>
      <c r="F224" s="99"/>
      <c r="G224" s="99"/>
      <c r="H224" s="99"/>
      <c r="I224" s="99"/>
      <c r="J224" s="99"/>
      <c r="K224" s="99"/>
      <c r="L224" s="357"/>
      <c r="M224" s="98"/>
      <c r="N224" s="70"/>
      <c r="O224" s="70"/>
      <c r="P224" s="103"/>
    </row>
    <row r="225" spans="1:16" hidden="1" outlineLevel="1" x14ac:dyDescent="0.2">
      <c r="A225" s="103"/>
      <c r="B225" s="103"/>
      <c r="C225" s="774" t="s">
        <v>582</v>
      </c>
      <c r="D225" s="776"/>
      <c r="E225" s="16"/>
      <c r="F225" s="99"/>
      <c r="G225" s="99"/>
      <c r="H225" s="99"/>
      <c r="I225" s="99"/>
      <c r="J225" s="99"/>
      <c r="K225" s="99"/>
      <c r="L225" s="357"/>
      <c r="M225" s="98"/>
      <c r="N225" s="70"/>
      <c r="O225" s="70"/>
      <c r="P225" s="103"/>
    </row>
    <row r="226" spans="1:16" hidden="1" outlineLevel="1" x14ac:dyDescent="0.2">
      <c r="A226" s="103"/>
      <c r="B226" s="103"/>
      <c r="C226" s="774" t="s">
        <v>583</v>
      </c>
      <c r="D226" s="776"/>
      <c r="E226" s="16"/>
      <c r="F226" s="99"/>
      <c r="G226" s="99"/>
      <c r="H226" s="99"/>
      <c r="I226" s="99"/>
      <c r="J226" s="99"/>
      <c r="K226" s="99"/>
      <c r="L226" s="357"/>
      <c r="M226" s="98"/>
      <c r="N226" s="70"/>
      <c r="O226" s="70"/>
      <c r="P226" s="103"/>
    </row>
    <row r="227" spans="1:16" hidden="1" outlineLevel="1" x14ac:dyDescent="0.2">
      <c r="A227" s="103"/>
      <c r="B227" s="103"/>
      <c r="C227" s="774" t="s">
        <v>584</v>
      </c>
      <c r="D227" s="776"/>
      <c r="E227" s="16"/>
      <c r="F227" s="99"/>
      <c r="G227" s="99"/>
      <c r="H227" s="99"/>
      <c r="I227" s="99"/>
      <c r="J227" s="99"/>
      <c r="K227" s="99"/>
      <c r="L227" s="357"/>
      <c r="M227" s="98"/>
      <c r="N227" s="70"/>
      <c r="O227" s="70"/>
      <c r="P227" s="103"/>
    </row>
    <row r="228" spans="1:16" hidden="1" outlineLevel="1" x14ac:dyDescent="0.2">
      <c r="A228" s="103"/>
      <c r="B228" s="103"/>
      <c r="C228" s="103"/>
      <c r="D228" s="103"/>
      <c r="E228" s="103"/>
      <c r="F228" s="99"/>
      <c r="G228" s="99"/>
      <c r="H228" s="99"/>
      <c r="I228" s="99"/>
      <c r="J228" s="99"/>
      <c r="K228" s="99"/>
      <c r="L228" s="357"/>
      <c r="M228" s="98"/>
      <c r="N228" s="70"/>
      <c r="O228" s="70"/>
      <c r="P228" s="103"/>
    </row>
    <row r="229" spans="1:16" hidden="1" outlineLevel="1" x14ac:dyDescent="0.2">
      <c r="A229" s="103"/>
      <c r="B229" s="103"/>
      <c r="C229" s="357"/>
      <c r="D229" s="357"/>
      <c r="E229" s="357"/>
      <c r="F229" s="93"/>
      <c r="G229" s="98"/>
      <c r="H229" s="98"/>
      <c r="I229" s="98"/>
      <c r="J229" s="98"/>
      <c r="K229" s="98"/>
      <c r="L229" s="357"/>
      <c r="M229" s="98"/>
      <c r="N229" s="70"/>
      <c r="O229" s="70"/>
      <c r="P229" s="103"/>
    </row>
    <row r="230" spans="1:16" ht="15.75" collapsed="1" x14ac:dyDescent="0.2">
      <c r="A230" s="103"/>
      <c r="B230" s="575">
        <v>12</v>
      </c>
      <c r="C230" s="777" t="str">
        <f xml:space="preserve"> IF(B230&lt;=$H$62,"Restriction " &amp; B230 &amp; " of " &amp; $H$62,MsgNotUsed)</f>
        <v>** NOT USED **</v>
      </c>
      <c r="D230" s="778"/>
      <c r="E230" s="779"/>
      <c r="F230" s="93"/>
      <c r="G230" s="357"/>
      <c r="H230" s="357"/>
      <c r="I230" s="357"/>
      <c r="J230" s="358"/>
      <c r="K230" s="358"/>
      <c r="L230" s="357"/>
      <c r="M230" s="357"/>
      <c r="N230" s="70"/>
      <c r="O230" s="70"/>
      <c r="P230" s="103"/>
    </row>
    <row r="231" spans="1:16" hidden="1" outlineLevel="1" x14ac:dyDescent="0.2">
      <c r="A231" s="103"/>
      <c r="B231" s="470">
        <f>IFERROR(VLOOKUP(D231,ProgrammeCode,3,FALSE),0)</f>
        <v>0</v>
      </c>
      <c r="C231" s="399" t="s">
        <v>575</v>
      </c>
      <c r="D231" s="266"/>
      <c r="E231" s="28" t="str">
        <f>IF(D231&lt;&gt;"",VLOOKUP(D231,ProgrammeCode,2,FALSE),"")</f>
        <v/>
      </c>
      <c r="F231" s="80"/>
      <c r="G231" s="359" t="s">
        <v>576</v>
      </c>
      <c r="H231" s="266"/>
      <c r="I231" s="357"/>
      <c r="J231" s="398" t="s">
        <v>717</v>
      </c>
      <c r="K231" s="365"/>
      <c r="M231" s="365"/>
      <c r="N231" s="470" t="str">
        <f>IF(AND(H231&lt;&gt;"",H231&lt;&gt;"New"),"E","")</f>
        <v/>
      </c>
      <c r="O231" s="70"/>
      <c r="P231" s="103"/>
    </row>
    <row r="232" spans="1:16" hidden="1" outlineLevel="1" x14ac:dyDescent="0.2">
      <c r="A232" s="103"/>
      <c r="B232" s="103"/>
      <c r="C232" s="357"/>
      <c r="D232" s="357"/>
      <c r="E232" s="357"/>
      <c r="F232" s="357"/>
      <c r="G232" s="95" t="s">
        <v>698</v>
      </c>
      <c r="H232" s="17"/>
      <c r="I232" s="357"/>
      <c r="J232" s="511"/>
      <c r="K232" s="420"/>
      <c r="L232" s="592"/>
      <c r="M232" s="470">
        <f>IF(J232&lt;&gt;"",VLOOKUP(J232,AuthorityCode,2,FALSE),0)</f>
        <v>0</v>
      </c>
      <c r="N232" s="365"/>
      <c r="O232" s="70"/>
      <c r="P232" s="103"/>
    </row>
    <row r="233" spans="1:16" hidden="1" outlineLevel="1" x14ac:dyDescent="0.2">
      <c r="A233" s="103"/>
      <c r="B233" s="103"/>
      <c r="C233" s="400" t="s">
        <v>56</v>
      </c>
      <c r="D233" s="215"/>
      <c r="E233" s="14"/>
      <c r="F233" s="100"/>
      <c r="G233" s="95" t="str">
        <f>VLOOKUP(B231,MaxQ,2,TRUE)</f>
        <v>Max quantity (units)</v>
      </c>
      <c r="H233" s="17"/>
      <c r="I233" s="357"/>
      <c r="J233" s="511"/>
      <c r="K233" s="420"/>
      <c r="L233" s="420"/>
      <c r="M233" s="420"/>
      <c r="N233" s="365"/>
      <c r="O233" s="70"/>
      <c r="P233" s="103"/>
    </row>
    <row r="234" spans="1:16" hidden="1" outlineLevel="1" x14ac:dyDescent="0.2">
      <c r="A234" s="103"/>
      <c r="B234" s="103"/>
      <c r="C234" s="357"/>
      <c r="D234" s="357"/>
      <c r="E234" s="16"/>
      <c r="F234" s="357"/>
      <c r="G234" s="95" t="s">
        <v>577</v>
      </c>
      <c r="H234" s="17"/>
      <c r="I234" s="357"/>
      <c r="J234" s="365"/>
      <c r="K234" s="365"/>
      <c r="M234" s="365"/>
      <c r="N234" s="365"/>
      <c r="O234" s="70"/>
      <c r="P234" s="103"/>
    </row>
    <row r="235" spans="1:16" hidden="1" outlineLevel="1" x14ac:dyDescent="0.2">
      <c r="A235" s="103"/>
      <c r="B235" s="103"/>
      <c r="C235" s="774" t="s">
        <v>578</v>
      </c>
      <c r="D235" s="776"/>
      <c r="E235" s="16"/>
      <c r="F235" s="357"/>
      <c r="G235" s="358"/>
      <c r="H235" s="358"/>
      <c r="I235" s="357"/>
      <c r="J235" s="365"/>
      <c r="K235" s="365"/>
      <c r="M235" s="365"/>
      <c r="N235" s="365"/>
      <c r="O235" s="358"/>
      <c r="P235" s="103"/>
    </row>
    <row r="236" spans="1:16" hidden="1" outlineLevel="1" x14ac:dyDescent="0.2">
      <c r="A236" s="103"/>
      <c r="B236" s="103"/>
      <c r="C236" s="774" t="s">
        <v>579</v>
      </c>
      <c r="D236" s="776"/>
      <c r="E236" s="16"/>
      <c r="F236" s="358"/>
      <c r="G236" s="358"/>
      <c r="H236" s="358"/>
      <c r="I236" s="357"/>
      <c r="J236" s="365"/>
      <c r="K236" s="365"/>
      <c r="M236" s="365"/>
      <c r="N236" s="365"/>
      <c r="O236" s="70"/>
      <c r="P236" s="103"/>
    </row>
    <row r="237" spans="1:16" hidden="1" outlineLevel="1" x14ac:dyDescent="0.2">
      <c r="A237" s="103"/>
      <c r="B237" s="103"/>
      <c r="C237" s="774" t="s">
        <v>580</v>
      </c>
      <c r="D237" s="776"/>
      <c r="E237" s="16"/>
      <c r="F237" s="358"/>
      <c r="G237" s="358"/>
      <c r="H237" s="358"/>
      <c r="I237" s="358"/>
      <c r="J237" s="365"/>
      <c r="K237" s="365"/>
      <c r="M237" s="365"/>
      <c r="N237" s="365"/>
      <c r="O237" s="70"/>
      <c r="P237" s="103"/>
    </row>
    <row r="238" spans="1:16" hidden="1" outlineLevel="1" x14ac:dyDescent="0.2">
      <c r="A238" s="103"/>
      <c r="B238" s="103"/>
      <c r="C238" s="774" t="s">
        <v>896</v>
      </c>
      <c r="D238" s="776"/>
      <c r="E238" s="29" t="str">
        <f>IF(E235 &lt;&gt;"",E235 &amp; " ","") &amp; IF(E236&lt;&gt;"",E236 &amp; " ","") &amp; IF(E237&lt;&gt; "",E237,"")</f>
        <v/>
      </c>
      <c r="F238" s="358"/>
      <c r="G238" s="358"/>
      <c r="H238" s="358"/>
      <c r="I238" s="358"/>
      <c r="J238" s="358"/>
      <c r="K238" s="358"/>
      <c r="L238" s="357"/>
      <c r="M238" s="357"/>
      <c r="N238" s="70"/>
      <c r="O238" s="70"/>
      <c r="P238" s="103"/>
    </row>
    <row r="239" spans="1:16" hidden="1" outlineLevel="1" x14ac:dyDescent="0.2">
      <c r="A239" s="103"/>
      <c r="B239" s="103"/>
      <c r="C239" s="774" t="s">
        <v>581</v>
      </c>
      <c r="D239" s="776"/>
      <c r="E239" s="16"/>
      <c r="F239" s="358"/>
      <c r="G239" s="358"/>
      <c r="H239" s="358"/>
      <c r="I239" s="358"/>
      <c r="J239" s="358"/>
      <c r="K239" s="358"/>
      <c r="L239" s="357"/>
      <c r="M239" s="357"/>
      <c r="N239" s="70"/>
      <c r="O239" s="70"/>
      <c r="P239" s="103"/>
    </row>
    <row r="240" spans="1:16" hidden="1" outlineLevel="1" x14ac:dyDescent="0.2">
      <c r="A240" s="103"/>
      <c r="B240" s="103"/>
      <c r="C240" s="774" t="s">
        <v>582</v>
      </c>
      <c r="D240" s="776"/>
      <c r="E240" s="16"/>
      <c r="F240" s="358"/>
      <c r="G240" s="358"/>
      <c r="H240" s="358"/>
      <c r="I240" s="358"/>
      <c r="J240" s="358"/>
      <c r="K240" s="358"/>
      <c r="L240" s="357"/>
      <c r="M240" s="357"/>
      <c r="N240" s="70"/>
      <c r="O240" s="70"/>
      <c r="P240" s="103"/>
    </row>
    <row r="241" spans="1:16" hidden="1" outlineLevel="1" x14ac:dyDescent="0.2">
      <c r="A241" s="103"/>
      <c r="B241" s="103"/>
      <c r="C241" s="774" t="s">
        <v>583</v>
      </c>
      <c r="D241" s="776"/>
      <c r="E241" s="16"/>
      <c r="F241" s="358"/>
      <c r="G241" s="358"/>
      <c r="H241" s="358"/>
      <c r="I241" s="358"/>
      <c r="J241" s="358"/>
      <c r="K241" s="358"/>
      <c r="L241" s="357"/>
      <c r="M241" s="357"/>
      <c r="N241" s="70"/>
      <c r="O241" s="70"/>
      <c r="P241" s="103"/>
    </row>
    <row r="242" spans="1:16" hidden="1" outlineLevel="1" x14ac:dyDescent="0.2">
      <c r="A242" s="103"/>
      <c r="B242" s="103"/>
      <c r="C242" s="774" t="s">
        <v>584</v>
      </c>
      <c r="D242" s="776"/>
      <c r="E242" s="16"/>
      <c r="F242" s="358"/>
      <c r="G242" s="358"/>
      <c r="H242" s="358"/>
      <c r="I242" s="358"/>
      <c r="J242" s="358"/>
      <c r="K242" s="358"/>
      <c r="L242" s="357"/>
      <c r="M242" s="357"/>
      <c r="N242" s="70"/>
      <c r="O242" s="70"/>
      <c r="P242" s="103"/>
    </row>
    <row r="243" spans="1:16" hidden="1" outlineLevel="1" x14ac:dyDescent="0.2">
      <c r="A243" s="103"/>
      <c r="B243" s="103"/>
      <c r="C243" s="103"/>
      <c r="D243" s="103"/>
      <c r="E243" s="103"/>
      <c r="F243" s="358"/>
      <c r="G243" s="358"/>
      <c r="H243" s="358"/>
      <c r="I243" s="358"/>
      <c r="J243" s="358"/>
      <c r="K243" s="358"/>
      <c r="L243" s="357"/>
      <c r="M243" s="357"/>
      <c r="N243" s="70"/>
      <c r="O243" s="70"/>
      <c r="P243" s="103"/>
    </row>
    <row r="244" spans="1:16" hidden="1" outlineLevel="1" x14ac:dyDescent="0.2">
      <c r="A244" s="103"/>
      <c r="B244" s="103"/>
      <c r="C244" s="357"/>
      <c r="D244" s="357"/>
      <c r="E244" s="357"/>
      <c r="F244" s="93"/>
      <c r="G244" s="357"/>
      <c r="H244" s="357"/>
      <c r="I244" s="357"/>
      <c r="J244" s="357"/>
      <c r="K244" s="357"/>
      <c r="L244" s="357"/>
      <c r="M244" s="357"/>
      <c r="N244" s="70"/>
      <c r="O244" s="70"/>
      <c r="P244" s="103"/>
    </row>
    <row r="245" spans="1:16" ht="15.75" collapsed="1" x14ac:dyDescent="0.2">
      <c r="A245" s="103"/>
      <c r="B245" s="575">
        <v>13</v>
      </c>
      <c r="C245" s="777" t="str">
        <f xml:space="preserve"> IF(B245&lt;=$H$62,"Restriction " &amp; B245 &amp; " of " &amp; $H$62,MsgNotUsed)</f>
        <v>** NOT USED **</v>
      </c>
      <c r="D245" s="778"/>
      <c r="E245" s="779"/>
      <c r="F245" s="93"/>
      <c r="G245" s="357"/>
      <c r="H245" s="357"/>
      <c r="I245" s="357"/>
      <c r="J245" s="358"/>
      <c r="K245" s="358"/>
      <c r="L245" s="357"/>
      <c r="M245" s="357"/>
      <c r="N245" s="70"/>
      <c r="O245" s="70"/>
      <c r="P245" s="103"/>
    </row>
    <row r="246" spans="1:16" hidden="1" outlineLevel="1" x14ac:dyDescent="0.2">
      <c r="A246" s="103"/>
      <c r="B246" s="470">
        <f>IFERROR(VLOOKUP(D246,ProgrammeCode,3,FALSE),0)</f>
        <v>0</v>
      </c>
      <c r="C246" s="399" t="s">
        <v>575</v>
      </c>
      <c r="D246" s="266"/>
      <c r="E246" s="28" t="str">
        <f>IF(D246&lt;&gt;"",VLOOKUP(D246,ProgrammeCode,2,FALSE),"")</f>
        <v/>
      </c>
      <c r="F246" s="80"/>
      <c r="G246" s="359" t="s">
        <v>576</v>
      </c>
      <c r="H246" s="266"/>
      <c r="I246" s="357"/>
      <c r="J246" s="398" t="s">
        <v>717</v>
      </c>
      <c r="K246" s="365"/>
      <c r="M246" s="365"/>
      <c r="N246" s="470" t="str">
        <f>IF(AND(H246&lt;&gt;"",H246&lt;&gt;"New"),"E","")</f>
        <v/>
      </c>
      <c r="O246" s="365"/>
      <c r="P246" s="103"/>
    </row>
    <row r="247" spans="1:16" hidden="1" outlineLevel="1" x14ac:dyDescent="0.2">
      <c r="A247" s="103"/>
      <c r="B247" s="103"/>
      <c r="C247" s="357"/>
      <c r="D247" s="357"/>
      <c r="E247" s="357"/>
      <c r="F247" s="357"/>
      <c r="G247" s="95" t="s">
        <v>698</v>
      </c>
      <c r="H247" s="17"/>
      <c r="I247" s="357"/>
      <c r="J247" s="511"/>
      <c r="K247" s="420"/>
      <c r="L247" s="592"/>
      <c r="M247" s="470">
        <f>IF(J247&lt;&gt;"",VLOOKUP(J247,AuthorityCode,2,FALSE),0)</f>
        <v>0</v>
      </c>
      <c r="N247" s="365"/>
      <c r="O247" s="365"/>
      <c r="P247" s="103"/>
    </row>
    <row r="248" spans="1:16" hidden="1" outlineLevel="1" x14ac:dyDescent="0.2">
      <c r="A248" s="103"/>
      <c r="B248" s="103"/>
      <c r="C248" s="400" t="s">
        <v>56</v>
      </c>
      <c r="D248" s="215"/>
      <c r="E248" s="14"/>
      <c r="F248" s="100"/>
      <c r="G248" s="95" t="str">
        <f>VLOOKUP(B246,MaxQ,2,TRUE)</f>
        <v>Max quantity (units)</v>
      </c>
      <c r="H248" s="17"/>
      <c r="I248" s="357"/>
      <c r="J248" s="511"/>
      <c r="K248" s="420"/>
      <c r="L248" s="420"/>
      <c r="M248" s="420"/>
      <c r="N248" s="365"/>
      <c r="O248" s="365"/>
      <c r="P248" s="103"/>
    </row>
    <row r="249" spans="1:16" hidden="1" outlineLevel="1" x14ac:dyDescent="0.2">
      <c r="A249" s="103"/>
      <c r="B249" s="103"/>
      <c r="C249" s="357"/>
      <c r="D249" s="357"/>
      <c r="E249" s="16"/>
      <c r="F249" s="357"/>
      <c r="G249" s="95" t="s">
        <v>577</v>
      </c>
      <c r="H249" s="17"/>
      <c r="I249" s="357"/>
      <c r="J249" s="365"/>
      <c r="K249" s="365"/>
      <c r="M249" s="365"/>
      <c r="N249" s="365"/>
      <c r="O249" s="365"/>
      <c r="P249" s="103"/>
    </row>
    <row r="250" spans="1:16" hidden="1" outlineLevel="1" x14ac:dyDescent="0.2">
      <c r="A250" s="103"/>
      <c r="B250" s="103"/>
      <c r="C250" s="774" t="s">
        <v>578</v>
      </c>
      <c r="D250" s="776"/>
      <c r="E250" s="16"/>
      <c r="F250" s="357"/>
      <c r="G250" s="358"/>
      <c r="H250" s="358"/>
      <c r="I250" s="357"/>
      <c r="J250" s="365"/>
      <c r="K250" s="365"/>
      <c r="M250" s="365"/>
      <c r="N250" s="365"/>
      <c r="O250" s="365"/>
      <c r="P250" s="103"/>
    </row>
    <row r="251" spans="1:16" hidden="1" outlineLevel="1" x14ac:dyDescent="0.2">
      <c r="A251" s="103"/>
      <c r="B251" s="103"/>
      <c r="C251" s="774" t="s">
        <v>579</v>
      </c>
      <c r="D251" s="776"/>
      <c r="E251" s="16"/>
      <c r="F251" s="358"/>
      <c r="G251" s="358"/>
      <c r="H251" s="358"/>
      <c r="I251" s="357"/>
      <c r="J251" s="365"/>
      <c r="K251" s="365"/>
      <c r="M251" s="365"/>
      <c r="N251" s="365"/>
      <c r="O251" s="365"/>
      <c r="P251" s="103"/>
    </row>
    <row r="252" spans="1:16" hidden="1" outlineLevel="1" x14ac:dyDescent="0.2">
      <c r="A252" s="103"/>
      <c r="B252" s="103"/>
      <c r="C252" s="774" t="s">
        <v>580</v>
      </c>
      <c r="D252" s="776"/>
      <c r="E252" s="16"/>
      <c r="F252" s="358"/>
      <c r="G252" s="358"/>
      <c r="H252" s="358"/>
      <c r="I252" s="358"/>
      <c r="J252" s="365"/>
      <c r="K252" s="365"/>
      <c r="M252" s="365"/>
      <c r="N252" s="365"/>
      <c r="O252" s="365"/>
      <c r="P252" s="103"/>
    </row>
    <row r="253" spans="1:16" hidden="1" outlineLevel="1" x14ac:dyDescent="0.2">
      <c r="A253" s="103"/>
      <c r="B253" s="103"/>
      <c r="C253" s="774" t="s">
        <v>896</v>
      </c>
      <c r="D253" s="776"/>
      <c r="E253" s="29" t="str">
        <f>IF(E250 &lt;&gt;"",E250 &amp; " ","") &amp; IF(E251&lt;&gt;"",E251 &amp; " ","") &amp; IF(E252&lt;&gt; "",E252,"")</f>
        <v/>
      </c>
      <c r="F253" s="358"/>
      <c r="G253" s="358"/>
      <c r="H253" s="358"/>
      <c r="I253" s="358"/>
      <c r="J253" s="358"/>
      <c r="K253" s="358"/>
      <c r="L253" s="357"/>
      <c r="M253" s="357"/>
      <c r="N253" s="70"/>
      <c r="O253" s="70"/>
      <c r="P253" s="103"/>
    </row>
    <row r="254" spans="1:16" hidden="1" outlineLevel="1" x14ac:dyDescent="0.2">
      <c r="A254" s="103"/>
      <c r="B254" s="103"/>
      <c r="C254" s="774" t="s">
        <v>581</v>
      </c>
      <c r="D254" s="776"/>
      <c r="E254" s="16"/>
      <c r="F254" s="358"/>
      <c r="G254" s="103"/>
      <c r="H254" s="103"/>
      <c r="I254" s="358"/>
      <c r="J254" s="358"/>
      <c r="K254" s="358"/>
      <c r="L254" s="357"/>
      <c r="M254" s="357"/>
      <c r="N254" s="70"/>
      <c r="O254" s="70"/>
      <c r="P254" s="103"/>
    </row>
    <row r="255" spans="1:16" hidden="1" outlineLevel="1" x14ac:dyDescent="0.2">
      <c r="A255" s="103"/>
      <c r="B255" s="103"/>
      <c r="C255" s="774" t="s">
        <v>582</v>
      </c>
      <c r="D255" s="776"/>
      <c r="E255" s="16"/>
      <c r="F255" s="358"/>
      <c r="G255" s="103"/>
      <c r="H255" s="103"/>
      <c r="I255" s="358"/>
      <c r="J255" s="358"/>
      <c r="K255" s="358"/>
      <c r="L255" s="357"/>
      <c r="M255" s="357"/>
      <c r="N255" s="70"/>
      <c r="O255" s="70"/>
      <c r="P255" s="103"/>
    </row>
    <row r="256" spans="1:16" hidden="1" outlineLevel="1" x14ac:dyDescent="0.2">
      <c r="A256" s="103"/>
      <c r="B256" s="103"/>
      <c r="C256" s="774" t="s">
        <v>583</v>
      </c>
      <c r="D256" s="776"/>
      <c r="E256" s="16"/>
      <c r="F256" s="358"/>
      <c r="G256" s="358"/>
      <c r="H256" s="358"/>
      <c r="I256" s="358"/>
      <c r="J256" s="358"/>
      <c r="K256" s="358"/>
      <c r="L256" s="357"/>
      <c r="M256" s="357"/>
      <c r="N256" s="70"/>
      <c r="O256" s="70"/>
      <c r="P256" s="103"/>
    </row>
    <row r="257" spans="1:16" hidden="1" outlineLevel="1" x14ac:dyDescent="0.2">
      <c r="A257" s="103"/>
      <c r="B257" s="103"/>
      <c r="C257" s="774" t="s">
        <v>584</v>
      </c>
      <c r="D257" s="776"/>
      <c r="E257" s="16"/>
      <c r="F257" s="358"/>
      <c r="G257" s="358"/>
      <c r="H257" s="358"/>
      <c r="I257" s="358"/>
      <c r="J257" s="358"/>
      <c r="K257" s="358"/>
      <c r="L257" s="357"/>
      <c r="M257" s="357"/>
      <c r="N257" s="70"/>
      <c r="O257" s="70"/>
      <c r="P257" s="103"/>
    </row>
    <row r="258" spans="1:16" hidden="1" outlineLevel="1" x14ac:dyDescent="0.2">
      <c r="A258" s="103"/>
      <c r="B258" s="103"/>
      <c r="C258" s="103"/>
      <c r="D258" s="103"/>
      <c r="E258" s="103"/>
      <c r="F258" s="358"/>
      <c r="G258" s="358"/>
      <c r="H258" s="358"/>
      <c r="I258" s="358"/>
      <c r="J258" s="358"/>
      <c r="K258" s="358"/>
      <c r="L258" s="357"/>
      <c r="M258" s="357"/>
      <c r="N258" s="70"/>
      <c r="O258" s="70"/>
      <c r="P258" s="103"/>
    </row>
    <row r="259" spans="1:16" hidden="1" outlineLevel="1" x14ac:dyDescent="0.2">
      <c r="A259" s="103"/>
      <c r="B259" s="103"/>
      <c r="C259" s="358"/>
      <c r="D259" s="358"/>
      <c r="E259" s="358"/>
      <c r="F259" s="93"/>
      <c r="G259" s="357"/>
      <c r="H259" s="357"/>
      <c r="I259" s="357"/>
      <c r="J259" s="357"/>
      <c r="K259" s="357"/>
      <c r="L259" s="357"/>
      <c r="M259" s="357"/>
      <c r="N259" s="70"/>
      <c r="O259" s="70"/>
      <c r="P259" s="103"/>
    </row>
    <row r="260" spans="1:16" ht="15.75" collapsed="1" x14ac:dyDescent="0.2">
      <c r="A260" s="103"/>
      <c r="B260" s="575">
        <v>14</v>
      </c>
      <c r="C260" s="777" t="str">
        <f xml:space="preserve"> IF(B260&lt;=$H$62,"Restriction " &amp; B260 &amp; " of " &amp; $H$62,MsgNotUsed)</f>
        <v>** NOT USED **</v>
      </c>
      <c r="D260" s="778"/>
      <c r="E260" s="779"/>
      <c r="F260" s="93"/>
      <c r="G260" s="357"/>
      <c r="H260" s="357"/>
      <c r="I260" s="357"/>
      <c r="J260" s="358"/>
      <c r="K260" s="358"/>
      <c r="L260" s="357"/>
      <c r="M260" s="357"/>
      <c r="N260" s="70"/>
      <c r="O260" s="70"/>
      <c r="P260" s="103"/>
    </row>
    <row r="261" spans="1:16" hidden="1" outlineLevel="1" x14ac:dyDescent="0.2">
      <c r="A261" s="103"/>
      <c r="B261" s="470">
        <f>IFERROR(VLOOKUP(D261,ProgrammeCode,3,FALSE),0)</f>
        <v>0</v>
      </c>
      <c r="C261" s="399" t="s">
        <v>575</v>
      </c>
      <c r="D261" s="266"/>
      <c r="E261" s="28" t="str">
        <f>IF(D261&lt;&gt;"",VLOOKUP(D261,ProgrammeCode,2,FALSE),"")</f>
        <v/>
      </c>
      <c r="F261" s="80"/>
      <c r="G261" s="359" t="s">
        <v>576</v>
      </c>
      <c r="H261" s="266"/>
      <c r="I261" s="357"/>
      <c r="J261" s="398" t="s">
        <v>717</v>
      </c>
      <c r="K261" s="365"/>
      <c r="M261" s="365"/>
      <c r="N261" s="470" t="str">
        <f>IF(AND(H261&lt;&gt;"",H261&lt;&gt;"New"),"E","")</f>
        <v/>
      </c>
      <c r="O261" s="70"/>
      <c r="P261" s="103"/>
    </row>
    <row r="262" spans="1:16" hidden="1" outlineLevel="1" x14ac:dyDescent="0.2">
      <c r="A262" s="103"/>
      <c r="B262" s="103"/>
      <c r="C262" s="357"/>
      <c r="D262" s="357"/>
      <c r="E262" s="357"/>
      <c r="F262" s="357"/>
      <c r="G262" s="95" t="s">
        <v>698</v>
      </c>
      <c r="H262" s="17"/>
      <c r="I262" s="357"/>
      <c r="J262" s="511"/>
      <c r="K262" s="420"/>
      <c r="L262" s="592"/>
      <c r="M262" s="470">
        <f>IF(J262&lt;&gt;"",VLOOKUP(J262,AuthorityCode,2,FALSE),0)</f>
        <v>0</v>
      </c>
      <c r="N262" s="365"/>
      <c r="O262" s="70"/>
      <c r="P262" s="103"/>
    </row>
    <row r="263" spans="1:16" hidden="1" outlineLevel="1" x14ac:dyDescent="0.2">
      <c r="A263" s="103"/>
      <c r="B263" s="103"/>
      <c r="C263" s="400" t="s">
        <v>56</v>
      </c>
      <c r="D263" s="215"/>
      <c r="E263" s="14"/>
      <c r="F263" s="100"/>
      <c r="G263" s="95" t="str">
        <f>VLOOKUP(B261,MaxQ,2,TRUE)</f>
        <v>Max quantity (units)</v>
      </c>
      <c r="H263" s="17"/>
      <c r="I263" s="357"/>
      <c r="J263" s="511"/>
      <c r="K263" s="420"/>
      <c r="L263" s="420"/>
      <c r="M263" s="420"/>
      <c r="N263" s="365"/>
      <c r="O263" s="70"/>
      <c r="P263" s="103"/>
    </row>
    <row r="264" spans="1:16" hidden="1" outlineLevel="1" x14ac:dyDescent="0.2">
      <c r="A264" s="103"/>
      <c r="B264" s="103"/>
      <c r="C264" s="357"/>
      <c r="D264" s="357"/>
      <c r="E264" s="16"/>
      <c r="F264" s="357"/>
      <c r="G264" s="95" t="s">
        <v>577</v>
      </c>
      <c r="H264" s="17"/>
      <c r="I264" s="357"/>
      <c r="J264" s="365"/>
      <c r="K264" s="365"/>
      <c r="M264" s="365"/>
      <c r="N264" s="365"/>
      <c r="O264" s="70"/>
      <c r="P264" s="103"/>
    </row>
    <row r="265" spans="1:16" hidden="1" outlineLevel="1" x14ac:dyDescent="0.2">
      <c r="A265" s="103"/>
      <c r="B265" s="103"/>
      <c r="C265" s="774" t="s">
        <v>578</v>
      </c>
      <c r="D265" s="776"/>
      <c r="E265" s="16"/>
      <c r="F265" s="357"/>
      <c r="G265" s="358"/>
      <c r="H265" s="358"/>
      <c r="I265" s="357"/>
      <c r="J265" s="365"/>
      <c r="K265" s="365"/>
      <c r="M265" s="365"/>
      <c r="N265" s="365"/>
      <c r="O265" s="358"/>
      <c r="P265" s="103"/>
    </row>
    <row r="266" spans="1:16" hidden="1" outlineLevel="1" x14ac:dyDescent="0.2">
      <c r="A266" s="103"/>
      <c r="B266" s="103"/>
      <c r="C266" s="774" t="s">
        <v>579</v>
      </c>
      <c r="D266" s="776"/>
      <c r="E266" s="16"/>
      <c r="F266" s="358"/>
      <c r="G266" s="358"/>
      <c r="H266" s="358"/>
      <c r="I266" s="357"/>
      <c r="J266" s="365"/>
      <c r="K266" s="365"/>
      <c r="M266" s="365"/>
      <c r="N266" s="365"/>
      <c r="O266" s="70"/>
      <c r="P266" s="103"/>
    </row>
    <row r="267" spans="1:16" hidden="1" outlineLevel="1" x14ac:dyDescent="0.2">
      <c r="A267" s="103"/>
      <c r="B267" s="103"/>
      <c r="C267" s="774" t="s">
        <v>580</v>
      </c>
      <c r="D267" s="776"/>
      <c r="E267" s="16"/>
      <c r="F267" s="358"/>
      <c r="G267" s="358"/>
      <c r="H267" s="358"/>
      <c r="I267" s="358"/>
      <c r="J267" s="365"/>
      <c r="K267" s="365"/>
      <c r="M267" s="365"/>
      <c r="N267" s="365"/>
      <c r="O267" s="70"/>
      <c r="P267" s="103"/>
    </row>
    <row r="268" spans="1:16" hidden="1" outlineLevel="1" x14ac:dyDescent="0.2">
      <c r="A268" s="103"/>
      <c r="B268" s="103"/>
      <c r="C268" s="774" t="s">
        <v>896</v>
      </c>
      <c r="D268" s="776"/>
      <c r="E268" s="29" t="str">
        <f>IF(E265 &lt;&gt;"",E265 &amp; " ","") &amp; IF(E266&lt;&gt;"",E266 &amp; " ","") &amp; IF(E267&lt;&gt; "",E267,"")</f>
        <v/>
      </c>
      <c r="F268" s="358"/>
      <c r="G268" s="358"/>
      <c r="H268" s="358"/>
      <c r="I268" s="358"/>
      <c r="J268" s="358"/>
      <c r="K268" s="358"/>
      <c r="L268" s="357"/>
      <c r="M268" s="357"/>
      <c r="N268" s="70"/>
      <c r="O268" s="70"/>
      <c r="P268" s="103"/>
    </row>
    <row r="269" spans="1:16" hidden="1" outlineLevel="1" x14ac:dyDescent="0.2">
      <c r="A269" s="103"/>
      <c r="B269" s="103"/>
      <c r="C269" s="774" t="s">
        <v>581</v>
      </c>
      <c r="D269" s="776"/>
      <c r="E269" s="16"/>
      <c r="F269" s="358"/>
      <c r="G269" s="358"/>
      <c r="H269" s="358"/>
      <c r="I269" s="358"/>
      <c r="J269" s="358"/>
      <c r="K269" s="358"/>
      <c r="L269" s="357"/>
      <c r="M269" s="357"/>
      <c r="N269" s="70"/>
      <c r="O269" s="70"/>
      <c r="P269" s="103"/>
    </row>
    <row r="270" spans="1:16" hidden="1" outlineLevel="1" x14ac:dyDescent="0.2">
      <c r="A270" s="103"/>
      <c r="B270" s="103"/>
      <c r="C270" s="774" t="s">
        <v>582</v>
      </c>
      <c r="D270" s="776"/>
      <c r="E270" s="16"/>
      <c r="F270" s="358"/>
      <c r="G270" s="358"/>
      <c r="H270" s="358"/>
      <c r="I270" s="358"/>
      <c r="J270" s="358"/>
      <c r="K270" s="358"/>
      <c r="L270" s="357"/>
      <c r="M270" s="357"/>
      <c r="N270" s="70"/>
      <c r="O270" s="70"/>
      <c r="P270" s="103"/>
    </row>
    <row r="271" spans="1:16" hidden="1" outlineLevel="1" x14ac:dyDescent="0.2">
      <c r="A271" s="103"/>
      <c r="B271" s="103"/>
      <c r="C271" s="774" t="s">
        <v>583</v>
      </c>
      <c r="D271" s="776"/>
      <c r="E271" s="16"/>
      <c r="F271" s="358"/>
      <c r="G271" s="358"/>
      <c r="H271" s="358"/>
      <c r="I271" s="358"/>
      <c r="J271" s="358"/>
      <c r="K271" s="358"/>
      <c r="L271" s="357"/>
      <c r="M271" s="357"/>
      <c r="N271" s="70"/>
      <c r="O271" s="70"/>
      <c r="P271" s="103"/>
    </row>
    <row r="272" spans="1:16" hidden="1" outlineLevel="1" x14ac:dyDescent="0.2">
      <c r="A272" s="103"/>
      <c r="B272" s="103"/>
      <c r="C272" s="774" t="s">
        <v>584</v>
      </c>
      <c r="D272" s="776"/>
      <c r="E272" s="16"/>
      <c r="F272" s="358"/>
      <c r="G272" s="358"/>
      <c r="H272" s="358"/>
      <c r="I272" s="358"/>
      <c r="J272" s="358"/>
      <c r="K272" s="358"/>
      <c r="L272" s="357"/>
      <c r="M272" s="357"/>
      <c r="N272" s="70"/>
      <c r="O272" s="70"/>
      <c r="P272" s="103"/>
    </row>
    <row r="273" spans="1:16" hidden="1" outlineLevel="1" x14ac:dyDescent="0.2">
      <c r="A273" s="103"/>
      <c r="B273" s="103"/>
      <c r="C273" s="626"/>
      <c r="D273" s="626"/>
      <c r="E273" s="103"/>
      <c r="F273" s="358"/>
      <c r="G273" s="358"/>
      <c r="H273" s="358"/>
      <c r="I273" s="358"/>
      <c r="J273" s="358"/>
      <c r="K273" s="358"/>
      <c r="L273" s="357"/>
      <c r="M273" s="357"/>
      <c r="N273" s="70"/>
      <c r="O273" s="70"/>
      <c r="P273" s="103"/>
    </row>
    <row r="274" spans="1:16" hidden="1" outlineLevel="1" x14ac:dyDescent="0.2">
      <c r="A274" s="103"/>
      <c r="B274" s="103"/>
      <c r="C274" s="357"/>
      <c r="D274" s="357"/>
      <c r="E274" s="357"/>
      <c r="F274" s="93"/>
      <c r="G274" s="357"/>
      <c r="H274" s="357"/>
      <c r="I274" s="357"/>
      <c r="J274" s="357"/>
      <c r="K274" s="357"/>
      <c r="L274" s="357"/>
      <c r="M274" s="357"/>
      <c r="N274" s="70"/>
      <c r="O274" s="70"/>
      <c r="P274" s="103"/>
    </row>
    <row r="275" spans="1:16" ht="15.75" collapsed="1" x14ac:dyDescent="0.2">
      <c r="A275" s="103"/>
      <c r="B275" s="575">
        <v>15</v>
      </c>
      <c r="C275" s="777" t="str">
        <f xml:space="preserve"> IF(B275&lt;=$H$62,"Restriction " &amp; B275 &amp; " of " &amp; $H$62,MsgNotUsed)</f>
        <v>** NOT USED **</v>
      </c>
      <c r="D275" s="778"/>
      <c r="E275" s="779"/>
      <c r="F275" s="93"/>
      <c r="G275" s="357"/>
      <c r="H275" s="357"/>
      <c r="I275" s="357"/>
      <c r="J275" s="358"/>
      <c r="K275" s="358"/>
      <c r="L275" s="357"/>
      <c r="M275" s="357"/>
      <c r="N275" s="70"/>
      <c r="O275" s="70"/>
      <c r="P275" s="103"/>
    </row>
    <row r="276" spans="1:16" hidden="1" outlineLevel="1" x14ac:dyDescent="0.2">
      <c r="A276" s="103"/>
      <c r="B276" s="470">
        <f>IFERROR(VLOOKUP(D276,ProgrammeCode,3,FALSE),0)</f>
        <v>0</v>
      </c>
      <c r="C276" s="399" t="s">
        <v>575</v>
      </c>
      <c r="D276" s="266"/>
      <c r="E276" s="28" t="str">
        <f>IF(D276&lt;&gt;"",VLOOKUP(D276,ProgrammeCode,2,FALSE),"")</f>
        <v/>
      </c>
      <c r="F276" s="80"/>
      <c r="G276" s="359" t="s">
        <v>576</v>
      </c>
      <c r="H276" s="266"/>
      <c r="I276" s="357"/>
      <c r="J276" s="398" t="s">
        <v>717</v>
      </c>
      <c r="K276" s="365"/>
      <c r="M276" s="365"/>
      <c r="N276" s="470" t="str">
        <f>IF(AND(H276&lt;&gt;"",H276&lt;&gt;"New"),"E","")</f>
        <v/>
      </c>
      <c r="O276" s="70"/>
      <c r="P276" s="103"/>
    </row>
    <row r="277" spans="1:16" hidden="1" outlineLevel="1" x14ac:dyDescent="0.2">
      <c r="A277" s="103"/>
      <c r="B277" s="103"/>
      <c r="C277" s="357"/>
      <c r="D277" s="357"/>
      <c r="E277" s="357"/>
      <c r="F277" s="357"/>
      <c r="G277" s="95" t="s">
        <v>698</v>
      </c>
      <c r="H277" s="17"/>
      <c r="I277" s="357"/>
      <c r="J277" s="511"/>
      <c r="K277" s="420"/>
      <c r="L277" s="592"/>
      <c r="M277" s="470">
        <f>IF(J277&lt;&gt;"",VLOOKUP(J277,AuthorityCode,2,FALSE),0)</f>
        <v>0</v>
      </c>
      <c r="N277" s="365"/>
      <c r="O277" s="70"/>
      <c r="P277" s="103"/>
    </row>
    <row r="278" spans="1:16" hidden="1" outlineLevel="1" x14ac:dyDescent="0.2">
      <c r="A278" s="103"/>
      <c r="B278" s="103"/>
      <c r="C278" s="400" t="s">
        <v>56</v>
      </c>
      <c r="D278" s="215"/>
      <c r="E278" s="14"/>
      <c r="F278" s="100"/>
      <c r="G278" s="95" t="str">
        <f>VLOOKUP(B276,MaxQ,2,TRUE)</f>
        <v>Max quantity (units)</v>
      </c>
      <c r="H278" s="17"/>
      <c r="I278" s="357"/>
      <c r="J278" s="511"/>
      <c r="K278" s="420"/>
      <c r="L278" s="420"/>
      <c r="M278" s="420"/>
      <c r="N278" s="365"/>
      <c r="O278" s="70"/>
      <c r="P278" s="103"/>
    </row>
    <row r="279" spans="1:16" hidden="1" outlineLevel="1" x14ac:dyDescent="0.2">
      <c r="A279" s="103"/>
      <c r="B279" s="103"/>
      <c r="C279" s="357"/>
      <c r="D279" s="357"/>
      <c r="E279" s="16"/>
      <c r="F279" s="357"/>
      <c r="G279" s="95" t="s">
        <v>577</v>
      </c>
      <c r="H279" s="17"/>
      <c r="I279" s="357"/>
      <c r="J279" s="365"/>
      <c r="K279" s="365"/>
      <c r="M279" s="365"/>
      <c r="N279" s="365"/>
      <c r="O279" s="70"/>
      <c r="P279" s="103"/>
    </row>
    <row r="280" spans="1:16" hidden="1" outlineLevel="1" x14ac:dyDescent="0.2">
      <c r="A280" s="103"/>
      <c r="B280" s="103"/>
      <c r="C280" s="774" t="s">
        <v>578</v>
      </c>
      <c r="D280" s="776"/>
      <c r="E280" s="16"/>
      <c r="F280" s="357"/>
      <c r="G280" s="358"/>
      <c r="H280" s="358"/>
      <c r="I280" s="357"/>
      <c r="J280" s="365"/>
      <c r="K280" s="365"/>
      <c r="M280" s="365"/>
      <c r="N280" s="365"/>
      <c r="O280" s="358"/>
      <c r="P280" s="103"/>
    </row>
    <row r="281" spans="1:16" hidden="1" outlineLevel="1" x14ac:dyDescent="0.2">
      <c r="A281" s="103"/>
      <c r="B281" s="103"/>
      <c r="C281" s="774" t="s">
        <v>579</v>
      </c>
      <c r="D281" s="776"/>
      <c r="E281" s="16"/>
      <c r="F281" s="358"/>
      <c r="G281" s="358"/>
      <c r="H281" s="358"/>
      <c r="I281" s="357"/>
      <c r="J281" s="365"/>
      <c r="K281" s="365"/>
      <c r="M281" s="365"/>
      <c r="N281" s="365"/>
      <c r="O281" s="70"/>
      <c r="P281" s="103"/>
    </row>
    <row r="282" spans="1:16" hidden="1" outlineLevel="1" x14ac:dyDescent="0.2">
      <c r="A282" s="103"/>
      <c r="B282" s="103"/>
      <c r="C282" s="774" t="s">
        <v>580</v>
      </c>
      <c r="D282" s="776"/>
      <c r="E282" s="16"/>
      <c r="F282" s="358"/>
      <c r="G282" s="358"/>
      <c r="H282" s="358"/>
      <c r="I282" s="358"/>
      <c r="J282" s="365"/>
      <c r="K282" s="365"/>
      <c r="M282" s="365"/>
      <c r="N282" s="365"/>
      <c r="O282" s="70"/>
      <c r="P282" s="103"/>
    </row>
    <row r="283" spans="1:16" hidden="1" outlineLevel="1" x14ac:dyDescent="0.2">
      <c r="A283" s="103"/>
      <c r="B283" s="103"/>
      <c r="C283" s="774" t="s">
        <v>896</v>
      </c>
      <c r="D283" s="776"/>
      <c r="E283" s="29" t="str">
        <f>IF(E280 &lt;&gt;"",E280 &amp; " ","") &amp; IF(E281&lt;&gt;"",E281 &amp; " ","") &amp; IF(E282&lt;&gt; "",E282,"")</f>
        <v/>
      </c>
      <c r="F283" s="358"/>
      <c r="G283" s="358"/>
      <c r="H283" s="358"/>
      <c r="I283" s="358"/>
      <c r="J283" s="358"/>
      <c r="K283" s="358"/>
      <c r="L283" s="357"/>
      <c r="M283" s="357"/>
      <c r="N283" s="70"/>
      <c r="O283" s="70"/>
      <c r="P283" s="103"/>
    </row>
    <row r="284" spans="1:16" hidden="1" outlineLevel="1" x14ac:dyDescent="0.2">
      <c r="A284" s="103"/>
      <c r="B284" s="103"/>
      <c r="C284" s="774" t="s">
        <v>581</v>
      </c>
      <c r="D284" s="776"/>
      <c r="E284" s="16"/>
      <c r="F284" s="358"/>
      <c r="G284" s="358"/>
      <c r="H284" s="358"/>
      <c r="I284" s="358"/>
      <c r="J284" s="358"/>
      <c r="K284" s="358"/>
      <c r="L284" s="357"/>
      <c r="M284" s="357"/>
      <c r="N284" s="70"/>
      <c r="O284" s="70"/>
      <c r="P284" s="103"/>
    </row>
    <row r="285" spans="1:16" hidden="1" outlineLevel="1" x14ac:dyDescent="0.2">
      <c r="A285" s="103"/>
      <c r="B285" s="103"/>
      <c r="C285" s="774" t="s">
        <v>582</v>
      </c>
      <c r="D285" s="776"/>
      <c r="E285" s="16"/>
      <c r="F285" s="358"/>
      <c r="G285" s="358"/>
      <c r="H285" s="358"/>
      <c r="I285" s="358"/>
      <c r="J285" s="358"/>
      <c r="K285" s="358"/>
      <c r="L285" s="357"/>
      <c r="M285" s="357"/>
      <c r="N285" s="70"/>
      <c r="O285" s="70"/>
      <c r="P285" s="103"/>
    </row>
    <row r="286" spans="1:16" hidden="1" outlineLevel="1" x14ac:dyDescent="0.2">
      <c r="A286" s="103"/>
      <c r="B286" s="103"/>
      <c r="C286" s="774" t="s">
        <v>583</v>
      </c>
      <c r="D286" s="776"/>
      <c r="E286" s="16"/>
      <c r="F286" s="358"/>
      <c r="G286" s="358"/>
      <c r="H286" s="358"/>
      <c r="I286" s="358"/>
      <c r="J286" s="358"/>
      <c r="K286" s="358"/>
      <c r="L286" s="357"/>
      <c r="M286" s="357"/>
      <c r="N286" s="70"/>
      <c r="O286" s="70"/>
      <c r="P286" s="103"/>
    </row>
    <row r="287" spans="1:16" hidden="1" outlineLevel="1" x14ac:dyDescent="0.2">
      <c r="A287" s="103"/>
      <c r="B287" s="103"/>
      <c r="C287" s="774" t="s">
        <v>584</v>
      </c>
      <c r="D287" s="776"/>
      <c r="E287" s="16"/>
      <c r="F287" s="358"/>
      <c r="G287" s="358"/>
      <c r="H287" s="358"/>
      <c r="I287" s="358"/>
      <c r="J287" s="358"/>
      <c r="K287" s="358"/>
      <c r="L287" s="357"/>
      <c r="M287" s="357"/>
      <c r="N287" s="70"/>
      <c r="O287" s="70"/>
      <c r="P287" s="103"/>
    </row>
    <row r="288" spans="1:16" hidden="1" outlineLevel="1" x14ac:dyDescent="0.2">
      <c r="A288" s="103"/>
      <c r="B288" s="103"/>
      <c r="C288" s="103"/>
      <c r="D288" s="103"/>
      <c r="E288" s="103"/>
      <c r="F288" s="358"/>
      <c r="G288" s="358"/>
      <c r="H288" s="358"/>
      <c r="I288" s="358"/>
      <c r="J288" s="358"/>
      <c r="K288" s="358"/>
      <c r="L288" s="357"/>
      <c r="M288" s="357"/>
      <c r="N288" s="70"/>
      <c r="O288" s="70"/>
      <c r="P288" s="103"/>
    </row>
    <row r="289" spans="1:16" hidden="1" outlineLevel="1" x14ac:dyDescent="0.2">
      <c r="A289" s="103"/>
      <c r="B289" s="103"/>
      <c r="C289" s="357"/>
      <c r="D289" s="357"/>
      <c r="E289" s="357"/>
      <c r="F289" s="93"/>
      <c r="G289" s="357"/>
      <c r="H289" s="357"/>
      <c r="I289" s="357"/>
      <c r="J289" s="357"/>
      <c r="K289" s="357"/>
      <c r="L289" s="357"/>
      <c r="M289" s="357"/>
      <c r="N289" s="70"/>
      <c r="O289" s="70"/>
      <c r="P289" s="103"/>
    </row>
    <row r="290" spans="1:16" ht="15.75" collapsed="1" x14ac:dyDescent="0.2">
      <c r="A290" s="103"/>
      <c r="B290" s="575">
        <v>16</v>
      </c>
      <c r="C290" s="777" t="str">
        <f xml:space="preserve"> IF(B290&lt;=$H$62,"Restriction " &amp; B290 &amp; " of " &amp; $H$62,MsgNotUsed)</f>
        <v>** NOT USED **</v>
      </c>
      <c r="D290" s="778"/>
      <c r="E290" s="779"/>
      <c r="F290" s="93"/>
      <c r="G290" s="357"/>
      <c r="H290" s="357"/>
      <c r="I290" s="357"/>
      <c r="J290" s="358"/>
      <c r="K290" s="358"/>
      <c r="L290" s="357"/>
      <c r="M290" s="357"/>
      <c r="N290" s="70"/>
      <c r="O290" s="70"/>
      <c r="P290" s="103"/>
    </row>
    <row r="291" spans="1:16" hidden="1" outlineLevel="1" x14ac:dyDescent="0.2">
      <c r="A291" s="103"/>
      <c r="B291" s="470">
        <f>IFERROR(VLOOKUP(D291,ProgrammeCode,3,FALSE),0)</f>
        <v>0</v>
      </c>
      <c r="C291" s="399" t="s">
        <v>575</v>
      </c>
      <c r="D291" s="266"/>
      <c r="E291" s="28" t="str">
        <f>IF(D291&lt;&gt;"",VLOOKUP(D291,ProgrammeCode,2,FALSE),"")</f>
        <v/>
      </c>
      <c r="F291" s="80"/>
      <c r="G291" s="359" t="s">
        <v>576</v>
      </c>
      <c r="H291" s="266"/>
      <c r="I291" s="357"/>
      <c r="J291" s="398" t="s">
        <v>717</v>
      </c>
      <c r="K291" s="365"/>
      <c r="M291" s="365"/>
      <c r="N291" s="470" t="str">
        <f>IF(AND(H291&lt;&gt;"",H291&lt;&gt;"New"),"E","")</f>
        <v/>
      </c>
      <c r="O291" s="70"/>
      <c r="P291" s="103"/>
    </row>
    <row r="292" spans="1:16" hidden="1" outlineLevel="1" x14ac:dyDescent="0.2">
      <c r="A292" s="103"/>
      <c r="B292" s="103"/>
      <c r="C292" s="357"/>
      <c r="D292" s="357"/>
      <c r="E292" s="357"/>
      <c r="F292" s="357"/>
      <c r="G292" s="95" t="s">
        <v>698</v>
      </c>
      <c r="H292" s="17"/>
      <c r="I292" s="357"/>
      <c r="J292" s="511"/>
      <c r="K292" s="420"/>
      <c r="L292" s="592"/>
      <c r="M292" s="470">
        <f>IF(J292&lt;&gt;"",VLOOKUP(J292,AuthorityCode,2,FALSE),0)</f>
        <v>0</v>
      </c>
      <c r="N292" s="365"/>
      <c r="O292" s="70"/>
      <c r="P292" s="103"/>
    </row>
    <row r="293" spans="1:16" hidden="1" outlineLevel="1" x14ac:dyDescent="0.2">
      <c r="A293" s="103"/>
      <c r="B293" s="103"/>
      <c r="C293" s="400" t="s">
        <v>56</v>
      </c>
      <c r="D293" s="215"/>
      <c r="E293" s="14"/>
      <c r="F293" s="100"/>
      <c r="G293" s="95" t="str">
        <f>VLOOKUP(B291,MaxQ,2,TRUE)</f>
        <v>Max quantity (units)</v>
      </c>
      <c r="H293" s="17"/>
      <c r="I293" s="357"/>
      <c r="J293" s="511"/>
      <c r="K293" s="420"/>
      <c r="L293" s="420"/>
      <c r="M293" s="420"/>
      <c r="N293" s="365"/>
      <c r="O293" s="70"/>
      <c r="P293" s="103"/>
    </row>
    <row r="294" spans="1:16" hidden="1" outlineLevel="1" x14ac:dyDescent="0.2">
      <c r="A294" s="103"/>
      <c r="B294" s="103"/>
      <c r="C294" s="357"/>
      <c r="D294" s="357"/>
      <c r="E294" s="16"/>
      <c r="F294" s="357"/>
      <c r="G294" s="95" t="s">
        <v>577</v>
      </c>
      <c r="H294" s="17"/>
      <c r="I294" s="357"/>
      <c r="J294" s="365"/>
      <c r="K294" s="365"/>
      <c r="M294" s="365"/>
      <c r="N294" s="365"/>
      <c r="O294" s="70"/>
      <c r="P294" s="103"/>
    </row>
    <row r="295" spans="1:16" hidden="1" outlineLevel="1" x14ac:dyDescent="0.2">
      <c r="A295" s="103"/>
      <c r="B295" s="103"/>
      <c r="C295" s="774" t="s">
        <v>578</v>
      </c>
      <c r="D295" s="776"/>
      <c r="E295" s="16"/>
      <c r="F295" s="357"/>
      <c r="G295" s="358"/>
      <c r="H295" s="358"/>
      <c r="I295" s="357"/>
      <c r="J295" s="365"/>
      <c r="K295" s="365"/>
      <c r="M295" s="365"/>
      <c r="N295" s="365"/>
      <c r="O295" s="358"/>
      <c r="P295" s="103"/>
    </row>
    <row r="296" spans="1:16" hidden="1" outlineLevel="1" x14ac:dyDescent="0.2">
      <c r="A296" s="103"/>
      <c r="B296" s="103"/>
      <c r="C296" s="774" t="s">
        <v>579</v>
      </c>
      <c r="D296" s="776"/>
      <c r="E296" s="16"/>
      <c r="F296" s="358"/>
      <c r="G296" s="358"/>
      <c r="H296" s="358"/>
      <c r="I296" s="357"/>
      <c r="J296" s="365"/>
      <c r="K296" s="365"/>
      <c r="M296" s="365"/>
      <c r="N296" s="365"/>
      <c r="O296" s="70"/>
      <c r="P296" s="103"/>
    </row>
    <row r="297" spans="1:16" hidden="1" outlineLevel="1" x14ac:dyDescent="0.2">
      <c r="A297" s="103"/>
      <c r="B297" s="103"/>
      <c r="C297" s="774" t="s">
        <v>580</v>
      </c>
      <c r="D297" s="776"/>
      <c r="E297" s="16"/>
      <c r="F297" s="358"/>
      <c r="G297" s="358"/>
      <c r="H297" s="358"/>
      <c r="I297" s="358"/>
      <c r="J297" s="365"/>
      <c r="K297" s="365"/>
      <c r="M297" s="365"/>
      <c r="N297" s="365"/>
      <c r="O297" s="70"/>
      <c r="P297" s="103"/>
    </row>
    <row r="298" spans="1:16" hidden="1" outlineLevel="1" x14ac:dyDescent="0.2">
      <c r="A298" s="103"/>
      <c r="B298" s="103"/>
      <c r="C298" s="774" t="s">
        <v>896</v>
      </c>
      <c r="D298" s="776"/>
      <c r="E298" s="29" t="str">
        <f>IF(E295 &lt;&gt;"",E295 &amp; " ","") &amp; IF(E296&lt;&gt;"",E296 &amp; " ","") &amp; IF(E297&lt;&gt; "",E297,"")</f>
        <v/>
      </c>
      <c r="F298" s="358"/>
      <c r="G298" s="358"/>
      <c r="H298" s="358"/>
      <c r="I298" s="358"/>
      <c r="J298" s="358"/>
      <c r="K298" s="358"/>
      <c r="L298" s="357"/>
      <c r="M298" s="357"/>
      <c r="N298" s="70"/>
      <c r="O298" s="70"/>
      <c r="P298" s="103"/>
    </row>
    <row r="299" spans="1:16" hidden="1" outlineLevel="1" x14ac:dyDescent="0.2">
      <c r="A299" s="103"/>
      <c r="B299" s="103"/>
      <c r="C299" s="774" t="s">
        <v>581</v>
      </c>
      <c r="D299" s="776"/>
      <c r="E299" s="16"/>
      <c r="F299" s="358"/>
      <c r="G299" s="358"/>
      <c r="H299" s="358"/>
      <c r="I299" s="358"/>
      <c r="J299" s="358"/>
      <c r="K299" s="358"/>
      <c r="L299" s="357"/>
      <c r="M299" s="357"/>
      <c r="N299" s="70"/>
      <c r="O299" s="70"/>
      <c r="P299" s="103"/>
    </row>
    <row r="300" spans="1:16" hidden="1" outlineLevel="1" x14ac:dyDescent="0.2">
      <c r="A300" s="103"/>
      <c r="B300" s="103"/>
      <c r="C300" s="774" t="s">
        <v>582</v>
      </c>
      <c r="D300" s="776"/>
      <c r="E300" s="16"/>
      <c r="F300" s="358"/>
      <c r="G300" s="358"/>
      <c r="H300" s="358"/>
      <c r="I300" s="358"/>
      <c r="J300" s="358"/>
      <c r="K300" s="358"/>
      <c r="L300" s="357"/>
      <c r="M300" s="357"/>
      <c r="N300" s="70"/>
      <c r="O300" s="70"/>
      <c r="P300" s="103"/>
    </row>
    <row r="301" spans="1:16" hidden="1" outlineLevel="1" x14ac:dyDescent="0.2">
      <c r="A301" s="103"/>
      <c r="B301" s="103"/>
      <c r="C301" s="774" t="s">
        <v>583</v>
      </c>
      <c r="D301" s="776"/>
      <c r="E301" s="16"/>
      <c r="F301" s="358"/>
      <c r="G301" s="358"/>
      <c r="H301" s="358"/>
      <c r="I301" s="358"/>
      <c r="J301" s="358"/>
      <c r="K301" s="358"/>
      <c r="L301" s="357"/>
      <c r="M301" s="357"/>
      <c r="N301" s="70"/>
      <c r="O301" s="70"/>
      <c r="P301" s="103"/>
    </row>
    <row r="302" spans="1:16" hidden="1" outlineLevel="1" x14ac:dyDescent="0.2">
      <c r="A302" s="103"/>
      <c r="B302" s="103"/>
      <c r="C302" s="774" t="s">
        <v>584</v>
      </c>
      <c r="D302" s="776"/>
      <c r="E302" s="16"/>
      <c r="F302" s="358"/>
      <c r="G302" s="358"/>
      <c r="H302" s="358"/>
      <c r="I302" s="358"/>
      <c r="J302" s="358"/>
      <c r="K302" s="358"/>
      <c r="L302" s="357"/>
      <c r="M302" s="357"/>
      <c r="N302" s="70"/>
      <c r="O302" s="70"/>
      <c r="P302" s="103"/>
    </row>
    <row r="303" spans="1:16" hidden="1" outlineLevel="1" x14ac:dyDescent="0.2">
      <c r="A303" s="103"/>
      <c r="B303" s="103"/>
      <c r="C303" s="103"/>
      <c r="D303" s="103"/>
      <c r="E303" s="103"/>
      <c r="F303" s="358"/>
      <c r="G303" s="358"/>
      <c r="H303" s="358"/>
      <c r="I303" s="358"/>
      <c r="J303" s="358"/>
      <c r="K303" s="358"/>
      <c r="L303" s="357"/>
      <c r="M303" s="357"/>
      <c r="N303" s="70"/>
      <c r="O303" s="70"/>
      <c r="P303" s="103"/>
    </row>
    <row r="304" spans="1:16" hidden="1" outlineLevel="1" x14ac:dyDescent="0.2">
      <c r="A304" s="103"/>
      <c r="B304" s="103"/>
      <c r="C304" s="357"/>
      <c r="D304" s="357"/>
      <c r="E304" s="357"/>
      <c r="F304" s="93"/>
      <c r="G304" s="357"/>
      <c r="H304" s="357"/>
      <c r="I304" s="357"/>
      <c r="J304" s="357"/>
      <c r="K304" s="357"/>
      <c r="L304" s="357"/>
      <c r="M304" s="357"/>
      <c r="N304" s="70"/>
      <c r="O304" s="70"/>
      <c r="P304" s="103"/>
    </row>
    <row r="305" spans="1:16" ht="15.75" collapsed="1" x14ac:dyDescent="0.2">
      <c r="A305" s="103"/>
      <c r="B305" s="575">
        <v>17</v>
      </c>
      <c r="C305" s="777" t="str">
        <f xml:space="preserve"> IF(B305&lt;=$H$62,"Restriction " &amp; B305 &amp; " of " &amp; $H$62,MsgNotUsed)</f>
        <v>** NOT USED **</v>
      </c>
      <c r="D305" s="778"/>
      <c r="E305" s="779"/>
      <c r="F305" s="93"/>
      <c r="G305" s="357"/>
      <c r="H305" s="357"/>
      <c r="I305" s="357"/>
      <c r="J305" s="358"/>
      <c r="K305" s="358"/>
      <c r="L305" s="357"/>
      <c r="M305" s="357"/>
      <c r="N305" s="70"/>
      <c r="O305" s="70"/>
      <c r="P305" s="103"/>
    </row>
    <row r="306" spans="1:16" hidden="1" outlineLevel="1" x14ac:dyDescent="0.2">
      <c r="A306" s="103"/>
      <c r="B306" s="470">
        <f>IF(D306&lt;&gt;"",VLOOKUP(D306,ProgrammeCode,3,FALSE),0)</f>
        <v>0</v>
      </c>
      <c r="C306" s="399" t="s">
        <v>575</v>
      </c>
      <c r="D306" s="266"/>
      <c r="E306" s="28" t="str">
        <f>IF(D306&lt;&gt;"",VLOOKUP(D306,ProgrammeCode,2,FALSE),"")</f>
        <v/>
      </c>
      <c r="F306" s="80"/>
      <c r="G306" s="359" t="s">
        <v>576</v>
      </c>
      <c r="H306" s="266"/>
      <c r="I306" s="357"/>
      <c r="J306" s="398" t="s">
        <v>717</v>
      </c>
      <c r="K306" s="365"/>
      <c r="M306" s="365"/>
      <c r="N306" s="470" t="str">
        <f>IF(AND(H306&lt;&gt;"",H306&lt;&gt;"New"),"E","")</f>
        <v/>
      </c>
      <c r="O306" s="70"/>
      <c r="P306" s="103"/>
    </row>
    <row r="307" spans="1:16" hidden="1" outlineLevel="1" x14ac:dyDescent="0.2">
      <c r="A307" s="103"/>
      <c r="B307" s="103"/>
      <c r="C307" s="357"/>
      <c r="D307" s="357"/>
      <c r="E307" s="357"/>
      <c r="F307" s="357"/>
      <c r="G307" s="95" t="s">
        <v>698</v>
      </c>
      <c r="H307" s="17"/>
      <c r="I307" s="357"/>
      <c r="J307" s="511"/>
      <c r="K307" s="420"/>
      <c r="L307" s="592"/>
      <c r="M307" s="470">
        <f>IF(J307&lt;&gt;"",VLOOKUP(J307,AuthorityCode,2,FALSE),0)</f>
        <v>0</v>
      </c>
      <c r="N307" s="365"/>
      <c r="O307" s="70"/>
      <c r="P307" s="103"/>
    </row>
    <row r="308" spans="1:16" hidden="1" outlineLevel="1" x14ac:dyDescent="0.2">
      <c r="A308" s="103"/>
      <c r="B308" s="103"/>
      <c r="C308" s="400" t="s">
        <v>56</v>
      </c>
      <c r="D308" s="215"/>
      <c r="E308" s="14"/>
      <c r="F308" s="100"/>
      <c r="G308" s="95" t="str">
        <f>VLOOKUP(B306,MaxQ,2,TRUE)</f>
        <v>Max quantity (units)</v>
      </c>
      <c r="H308" s="17"/>
      <c r="I308" s="357"/>
      <c r="J308" s="511"/>
      <c r="K308" s="420"/>
      <c r="L308" s="420"/>
      <c r="M308" s="420"/>
      <c r="N308" s="365"/>
      <c r="O308" s="70"/>
      <c r="P308" s="103"/>
    </row>
    <row r="309" spans="1:16" hidden="1" outlineLevel="1" x14ac:dyDescent="0.2">
      <c r="A309" s="103"/>
      <c r="B309" s="103"/>
      <c r="C309" s="357"/>
      <c r="D309" s="357"/>
      <c r="E309" s="16"/>
      <c r="F309" s="357"/>
      <c r="G309" s="95" t="s">
        <v>577</v>
      </c>
      <c r="H309" s="17"/>
      <c r="I309" s="357"/>
      <c r="J309" s="365"/>
      <c r="K309" s="365"/>
      <c r="M309" s="365"/>
      <c r="N309" s="365"/>
      <c r="O309" s="70"/>
      <c r="P309" s="103"/>
    </row>
    <row r="310" spans="1:16" hidden="1" outlineLevel="1" x14ac:dyDescent="0.2">
      <c r="A310" s="103"/>
      <c r="B310" s="103"/>
      <c r="C310" s="774" t="s">
        <v>578</v>
      </c>
      <c r="D310" s="776"/>
      <c r="E310" s="16"/>
      <c r="F310" s="357"/>
      <c r="G310" s="358"/>
      <c r="H310" s="358"/>
      <c r="I310" s="357"/>
      <c r="J310" s="365"/>
      <c r="K310" s="365"/>
      <c r="M310" s="365"/>
      <c r="N310" s="365"/>
      <c r="O310" s="358"/>
      <c r="P310" s="103"/>
    </row>
    <row r="311" spans="1:16" hidden="1" outlineLevel="1" x14ac:dyDescent="0.2">
      <c r="A311" s="103"/>
      <c r="B311" s="103"/>
      <c r="C311" s="774" t="s">
        <v>579</v>
      </c>
      <c r="D311" s="776"/>
      <c r="E311" s="16"/>
      <c r="F311" s="358"/>
      <c r="G311" s="358"/>
      <c r="H311" s="358"/>
      <c r="I311" s="357"/>
      <c r="J311" s="365"/>
      <c r="K311" s="365"/>
      <c r="M311" s="365"/>
      <c r="N311" s="365"/>
      <c r="O311" s="70"/>
      <c r="P311" s="103"/>
    </row>
    <row r="312" spans="1:16" hidden="1" outlineLevel="1" x14ac:dyDescent="0.2">
      <c r="A312" s="103"/>
      <c r="B312" s="103"/>
      <c r="C312" s="774" t="s">
        <v>580</v>
      </c>
      <c r="D312" s="776"/>
      <c r="E312" s="16"/>
      <c r="F312" s="358"/>
      <c r="G312" s="358"/>
      <c r="H312" s="358"/>
      <c r="I312" s="358"/>
      <c r="J312" s="365"/>
      <c r="K312" s="365"/>
      <c r="M312" s="365"/>
      <c r="N312" s="365"/>
      <c r="O312" s="70"/>
      <c r="P312" s="103"/>
    </row>
    <row r="313" spans="1:16" hidden="1" outlineLevel="1" x14ac:dyDescent="0.2">
      <c r="A313" s="103"/>
      <c r="B313" s="103"/>
      <c r="C313" s="774" t="s">
        <v>896</v>
      </c>
      <c r="D313" s="776"/>
      <c r="E313" s="29" t="str">
        <f>IF(E310 &lt;&gt;"",E310 &amp; " ","") &amp; IF(E311&lt;&gt;"",E311 &amp; " ","") &amp; IF(E312&lt;&gt; "",E312,"")</f>
        <v/>
      </c>
      <c r="F313" s="358"/>
      <c r="G313" s="358"/>
      <c r="H313" s="358"/>
      <c r="I313" s="358"/>
      <c r="J313" s="358"/>
      <c r="K313" s="358"/>
      <c r="L313" s="357"/>
      <c r="M313" s="357"/>
      <c r="N313" s="70"/>
      <c r="O313" s="70"/>
      <c r="P313" s="103"/>
    </row>
    <row r="314" spans="1:16" hidden="1" outlineLevel="1" x14ac:dyDescent="0.2">
      <c r="A314" s="103"/>
      <c r="B314" s="103"/>
      <c r="C314" s="774" t="s">
        <v>581</v>
      </c>
      <c r="D314" s="776"/>
      <c r="E314" s="16"/>
      <c r="F314" s="358"/>
      <c r="G314" s="358"/>
      <c r="H314" s="358"/>
      <c r="I314" s="358"/>
      <c r="J314" s="358"/>
      <c r="K314" s="358"/>
      <c r="L314" s="357"/>
      <c r="M314" s="357"/>
      <c r="N314" s="70"/>
      <c r="O314" s="70"/>
      <c r="P314" s="103"/>
    </row>
    <row r="315" spans="1:16" hidden="1" outlineLevel="1" x14ac:dyDescent="0.2">
      <c r="A315" s="103"/>
      <c r="B315" s="103"/>
      <c r="C315" s="774" t="s">
        <v>582</v>
      </c>
      <c r="D315" s="776"/>
      <c r="E315" s="16"/>
      <c r="F315" s="358"/>
      <c r="G315" s="358"/>
      <c r="H315" s="358"/>
      <c r="I315" s="358"/>
      <c r="J315" s="358"/>
      <c r="K315" s="358"/>
      <c r="L315" s="357"/>
      <c r="M315" s="357"/>
      <c r="N315" s="70"/>
      <c r="O315" s="70"/>
      <c r="P315" s="103"/>
    </row>
    <row r="316" spans="1:16" hidden="1" outlineLevel="1" x14ac:dyDescent="0.2">
      <c r="A316" s="103"/>
      <c r="B316" s="103"/>
      <c r="C316" s="774" t="s">
        <v>583</v>
      </c>
      <c r="D316" s="776"/>
      <c r="E316" s="16"/>
      <c r="F316" s="358"/>
      <c r="G316" s="358"/>
      <c r="H316" s="358"/>
      <c r="I316" s="358"/>
      <c r="J316" s="358"/>
      <c r="K316" s="358"/>
      <c r="L316" s="357"/>
      <c r="M316" s="357"/>
      <c r="N316" s="70"/>
      <c r="O316" s="70"/>
      <c r="P316" s="103"/>
    </row>
    <row r="317" spans="1:16" hidden="1" outlineLevel="1" x14ac:dyDescent="0.2">
      <c r="A317" s="103"/>
      <c r="B317" s="103"/>
      <c r="C317" s="774" t="s">
        <v>584</v>
      </c>
      <c r="D317" s="776"/>
      <c r="E317" s="16"/>
      <c r="F317" s="358"/>
      <c r="G317" s="358"/>
      <c r="H317" s="358"/>
      <c r="I317" s="358"/>
      <c r="J317" s="358"/>
      <c r="K317" s="358"/>
      <c r="L317" s="357"/>
      <c r="M317" s="357"/>
      <c r="N317" s="70"/>
      <c r="O317" s="70"/>
      <c r="P317" s="103"/>
    </row>
    <row r="318" spans="1:16" hidden="1" outlineLevel="1" x14ac:dyDescent="0.2">
      <c r="A318" s="103"/>
      <c r="B318" s="103"/>
      <c r="C318" s="103"/>
      <c r="D318" s="103"/>
      <c r="E318" s="103"/>
      <c r="F318" s="358"/>
      <c r="G318" s="358"/>
      <c r="H318" s="358"/>
      <c r="I318" s="358"/>
      <c r="J318" s="358"/>
      <c r="K318" s="358"/>
      <c r="L318" s="357"/>
      <c r="M318" s="357"/>
      <c r="N318" s="70"/>
      <c r="O318" s="70"/>
      <c r="P318" s="103"/>
    </row>
    <row r="319" spans="1:16" hidden="1" outlineLevel="1" x14ac:dyDescent="0.2">
      <c r="A319" s="103"/>
      <c r="B319" s="103"/>
      <c r="C319" s="357"/>
      <c r="D319" s="357"/>
      <c r="E319" s="357"/>
      <c r="F319" s="93"/>
      <c r="G319" s="357"/>
      <c r="H319" s="357"/>
      <c r="I319" s="357"/>
      <c r="J319" s="357"/>
      <c r="K319" s="357"/>
      <c r="L319" s="357"/>
      <c r="M319" s="357"/>
      <c r="N319" s="70"/>
      <c r="O319" s="70"/>
      <c r="P319" s="103"/>
    </row>
    <row r="320" spans="1:16" ht="15.75" collapsed="1" x14ac:dyDescent="0.2">
      <c r="A320" s="103"/>
      <c r="B320" s="575">
        <v>18</v>
      </c>
      <c r="C320" s="777" t="str">
        <f xml:space="preserve"> IF(B320&lt;=$H$62,"Restriction " &amp; B320 &amp; " of " &amp; $H$62,MsgNotUsed)</f>
        <v>** NOT USED **</v>
      </c>
      <c r="D320" s="778"/>
      <c r="E320" s="779"/>
      <c r="F320" s="93"/>
      <c r="G320" s="357"/>
      <c r="H320" s="357"/>
      <c r="I320" s="357"/>
      <c r="J320" s="358"/>
      <c r="K320" s="358"/>
      <c r="L320" s="357"/>
      <c r="M320" s="357"/>
      <c r="N320" s="70"/>
      <c r="O320" s="70"/>
      <c r="P320" s="103"/>
    </row>
    <row r="321" spans="1:16" hidden="1" outlineLevel="1" x14ac:dyDescent="0.2">
      <c r="A321" s="103"/>
      <c r="B321" s="470">
        <f>IFERROR(VLOOKUP(D321,ProgrammeCode,3,FALSE),0)</f>
        <v>0</v>
      </c>
      <c r="C321" s="399" t="s">
        <v>575</v>
      </c>
      <c r="D321" s="266"/>
      <c r="E321" s="28" t="str">
        <f>IF(D321&lt;&gt;"",VLOOKUP(D321,ProgrammeCode,2,FALSE),"")</f>
        <v/>
      </c>
      <c r="F321" s="80"/>
      <c r="G321" s="359" t="s">
        <v>576</v>
      </c>
      <c r="H321" s="266"/>
      <c r="I321" s="357"/>
      <c r="J321" s="398" t="s">
        <v>717</v>
      </c>
      <c r="K321" s="365"/>
      <c r="M321" s="365"/>
      <c r="N321" s="470" t="str">
        <f>IF(AND(H321&lt;&gt;"",H321&lt;&gt;"New"),"E","")</f>
        <v/>
      </c>
      <c r="O321" s="70"/>
      <c r="P321" s="103"/>
    </row>
    <row r="322" spans="1:16" hidden="1" outlineLevel="1" x14ac:dyDescent="0.2">
      <c r="A322" s="103"/>
      <c r="B322" s="103"/>
      <c r="C322" s="357"/>
      <c r="D322" s="357"/>
      <c r="E322" s="357"/>
      <c r="F322" s="357"/>
      <c r="G322" s="95" t="s">
        <v>698</v>
      </c>
      <c r="H322" s="17"/>
      <c r="I322" s="357"/>
      <c r="J322" s="511"/>
      <c r="K322" s="420"/>
      <c r="L322" s="592"/>
      <c r="M322" s="470">
        <f>IF(J322&lt;&gt;"",VLOOKUP(J322,AuthorityCode,2,FALSE),0)</f>
        <v>0</v>
      </c>
      <c r="N322" s="365"/>
      <c r="O322" s="70"/>
      <c r="P322" s="103"/>
    </row>
    <row r="323" spans="1:16" hidden="1" outlineLevel="1" x14ac:dyDescent="0.2">
      <c r="A323" s="103"/>
      <c r="B323" s="103"/>
      <c r="C323" s="400" t="s">
        <v>56</v>
      </c>
      <c r="D323" s="215"/>
      <c r="E323" s="14"/>
      <c r="F323" s="100"/>
      <c r="G323" s="95" t="str">
        <f>VLOOKUP(B321,MaxQ,2,TRUE)</f>
        <v>Max quantity (units)</v>
      </c>
      <c r="H323" s="17"/>
      <c r="I323" s="357"/>
      <c r="J323" s="511"/>
      <c r="K323" s="420"/>
      <c r="L323" s="420"/>
      <c r="M323" s="420"/>
      <c r="N323" s="365"/>
      <c r="O323" s="70"/>
      <c r="P323" s="103"/>
    </row>
    <row r="324" spans="1:16" hidden="1" outlineLevel="1" x14ac:dyDescent="0.2">
      <c r="A324" s="103"/>
      <c r="B324" s="103"/>
      <c r="C324" s="357"/>
      <c r="D324" s="357"/>
      <c r="E324" s="16"/>
      <c r="F324" s="357"/>
      <c r="G324" s="95" t="s">
        <v>577</v>
      </c>
      <c r="H324" s="17"/>
      <c r="I324" s="357"/>
      <c r="J324" s="365"/>
      <c r="K324" s="365"/>
      <c r="M324" s="365"/>
      <c r="N324" s="365"/>
      <c r="O324" s="70"/>
      <c r="P324" s="103"/>
    </row>
    <row r="325" spans="1:16" hidden="1" outlineLevel="1" x14ac:dyDescent="0.2">
      <c r="A325" s="103"/>
      <c r="B325" s="103"/>
      <c r="C325" s="774" t="s">
        <v>578</v>
      </c>
      <c r="D325" s="776"/>
      <c r="E325" s="16"/>
      <c r="F325" s="357"/>
      <c r="G325" s="358"/>
      <c r="H325" s="358"/>
      <c r="I325" s="357"/>
      <c r="J325" s="365"/>
      <c r="K325" s="365"/>
      <c r="M325" s="365"/>
      <c r="N325" s="365"/>
      <c r="O325" s="358"/>
      <c r="P325" s="103"/>
    </row>
    <row r="326" spans="1:16" hidden="1" outlineLevel="1" x14ac:dyDescent="0.2">
      <c r="A326" s="103"/>
      <c r="B326" s="103"/>
      <c r="C326" s="774" t="s">
        <v>579</v>
      </c>
      <c r="D326" s="776"/>
      <c r="E326" s="16"/>
      <c r="F326" s="358"/>
      <c r="G326" s="358"/>
      <c r="H326" s="358"/>
      <c r="I326" s="357"/>
      <c r="J326" s="365"/>
      <c r="K326" s="365"/>
      <c r="M326" s="365"/>
      <c r="N326" s="365"/>
      <c r="O326" s="70"/>
      <c r="P326" s="103"/>
    </row>
    <row r="327" spans="1:16" hidden="1" outlineLevel="1" x14ac:dyDescent="0.2">
      <c r="A327" s="103"/>
      <c r="B327" s="103"/>
      <c r="C327" s="774" t="s">
        <v>580</v>
      </c>
      <c r="D327" s="776"/>
      <c r="E327" s="16"/>
      <c r="F327" s="358"/>
      <c r="G327" s="358"/>
      <c r="H327" s="358"/>
      <c r="I327" s="358"/>
      <c r="J327" s="365"/>
      <c r="K327" s="365"/>
      <c r="M327" s="365"/>
      <c r="N327" s="365"/>
      <c r="O327" s="70"/>
      <c r="P327" s="103"/>
    </row>
    <row r="328" spans="1:16" hidden="1" outlineLevel="1" x14ac:dyDescent="0.2">
      <c r="A328" s="103"/>
      <c r="B328" s="103"/>
      <c r="C328" s="774" t="s">
        <v>896</v>
      </c>
      <c r="D328" s="776"/>
      <c r="E328" s="29" t="str">
        <f>IF(E325 &lt;&gt;"",E325 &amp; " ","") &amp; IF(E326&lt;&gt;"",E326 &amp; " ","") &amp; IF(E327&lt;&gt; "",E327,"")</f>
        <v/>
      </c>
      <c r="F328" s="358"/>
      <c r="G328" s="358"/>
      <c r="H328" s="358"/>
      <c r="I328" s="358"/>
      <c r="J328" s="358"/>
      <c r="K328" s="358"/>
      <c r="L328" s="357"/>
      <c r="M328" s="357"/>
      <c r="N328" s="70"/>
      <c r="O328" s="70"/>
      <c r="P328" s="103"/>
    </row>
    <row r="329" spans="1:16" hidden="1" outlineLevel="1" x14ac:dyDescent="0.2">
      <c r="A329" s="103"/>
      <c r="B329" s="103"/>
      <c r="C329" s="774" t="s">
        <v>581</v>
      </c>
      <c r="D329" s="776"/>
      <c r="E329" s="16"/>
      <c r="F329" s="358"/>
      <c r="G329" s="358"/>
      <c r="H329" s="358"/>
      <c r="I329" s="358"/>
      <c r="J329" s="358"/>
      <c r="K329" s="358"/>
      <c r="L329" s="357"/>
      <c r="M329" s="357"/>
      <c r="N329" s="70"/>
      <c r="O329" s="70"/>
      <c r="P329" s="103"/>
    </row>
    <row r="330" spans="1:16" hidden="1" outlineLevel="1" x14ac:dyDescent="0.2">
      <c r="A330" s="103"/>
      <c r="B330" s="103"/>
      <c r="C330" s="774" t="s">
        <v>582</v>
      </c>
      <c r="D330" s="776"/>
      <c r="E330" s="16"/>
      <c r="F330" s="358"/>
      <c r="G330" s="358"/>
      <c r="H330" s="358"/>
      <c r="I330" s="358"/>
      <c r="J330" s="358"/>
      <c r="K330" s="358"/>
      <c r="L330" s="357"/>
      <c r="M330" s="357"/>
      <c r="N330" s="70"/>
      <c r="O330" s="70"/>
      <c r="P330" s="103"/>
    </row>
    <row r="331" spans="1:16" hidden="1" outlineLevel="1" x14ac:dyDescent="0.2">
      <c r="A331" s="103"/>
      <c r="B331" s="103"/>
      <c r="C331" s="774" t="s">
        <v>583</v>
      </c>
      <c r="D331" s="776"/>
      <c r="E331" s="16"/>
      <c r="F331" s="358"/>
      <c r="G331" s="358"/>
      <c r="H331" s="358"/>
      <c r="I331" s="358"/>
      <c r="J331" s="358"/>
      <c r="K331" s="358"/>
      <c r="L331" s="357"/>
      <c r="M331" s="357"/>
      <c r="N331" s="70"/>
      <c r="O331" s="70"/>
      <c r="P331" s="103"/>
    </row>
    <row r="332" spans="1:16" hidden="1" outlineLevel="1" x14ac:dyDescent="0.2">
      <c r="A332" s="103"/>
      <c r="B332" s="103"/>
      <c r="C332" s="774" t="s">
        <v>584</v>
      </c>
      <c r="D332" s="776"/>
      <c r="E332" s="16"/>
      <c r="F332" s="358"/>
      <c r="G332" s="358"/>
      <c r="H332" s="358"/>
      <c r="I332" s="358"/>
      <c r="J332" s="358"/>
      <c r="K332" s="358"/>
      <c r="L332" s="357"/>
      <c r="M332" s="357"/>
      <c r="N332" s="70"/>
      <c r="O332" s="70"/>
      <c r="P332" s="103"/>
    </row>
    <row r="333" spans="1:16" hidden="1" outlineLevel="1" x14ac:dyDescent="0.2">
      <c r="A333" s="103"/>
      <c r="B333" s="103"/>
      <c r="C333" s="103"/>
      <c r="D333" s="103"/>
      <c r="E333" s="103"/>
      <c r="F333" s="358"/>
      <c r="G333" s="358"/>
      <c r="H333" s="358"/>
      <c r="I333" s="358"/>
      <c r="J333" s="358"/>
      <c r="K333" s="358"/>
      <c r="L333" s="357"/>
      <c r="M333" s="357"/>
      <c r="N333" s="70"/>
      <c r="O333" s="70"/>
      <c r="P333" s="103"/>
    </row>
    <row r="334" spans="1:16" hidden="1" outlineLevel="1" x14ac:dyDescent="0.2">
      <c r="A334" s="103"/>
      <c r="B334" s="103"/>
      <c r="C334" s="357"/>
      <c r="D334" s="357"/>
      <c r="E334" s="357"/>
      <c r="F334" s="93"/>
      <c r="G334" s="357"/>
      <c r="H334" s="357"/>
      <c r="I334" s="357"/>
      <c r="J334" s="357"/>
      <c r="K334" s="357"/>
      <c r="L334" s="357"/>
      <c r="M334" s="357"/>
      <c r="N334" s="70"/>
      <c r="O334" s="70"/>
      <c r="P334" s="103"/>
    </row>
    <row r="335" spans="1:16" ht="15.75" collapsed="1" x14ac:dyDescent="0.2">
      <c r="A335" s="103"/>
      <c r="B335" s="575">
        <v>19</v>
      </c>
      <c r="C335" s="777" t="str">
        <f xml:space="preserve"> IF(B335&lt;=$H$62,"Restriction " &amp; B335 &amp; " of " &amp; $H$62,MsgNotUsed)</f>
        <v>** NOT USED **</v>
      </c>
      <c r="D335" s="778"/>
      <c r="E335" s="779"/>
      <c r="F335" s="93"/>
      <c r="G335" s="357"/>
      <c r="H335" s="357"/>
      <c r="I335" s="357"/>
      <c r="J335" s="358"/>
      <c r="K335" s="358"/>
      <c r="L335" s="357"/>
      <c r="M335" s="357"/>
      <c r="N335" s="70"/>
      <c r="O335" s="70"/>
      <c r="P335" s="103"/>
    </row>
    <row r="336" spans="1:16" hidden="1" outlineLevel="1" x14ac:dyDescent="0.2">
      <c r="A336" s="103"/>
      <c r="B336" s="470">
        <f>IFERROR(VLOOKUP(D336,ProgrammeCode,3,FALSE),0)</f>
        <v>0</v>
      </c>
      <c r="C336" s="399" t="s">
        <v>575</v>
      </c>
      <c r="D336" s="266"/>
      <c r="E336" s="28" t="str">
        <f>IF(D336&lt;&gt;"",VLOOKUP(D336,ProgrammeCode,2,FALSE),"")</f>
        <v/>
      </c>
      <c r="F336" s="80"/>
      <c r="G336" s="359" t="s">
        <v>576</v>
      </c>
      <c r="H336" s="266"/>
      <c r="I336" s="357"/>
      <c r="J336" s="398" t="s">
        <v>717</v>
      </c>
      <c r="K336" s="365"/>
      <c r="M336" s="365"/>
      <c r="N336" s="470" t="str">
        <f>IF(AND(H336&lt;&gt;"",H336&lt;&gt;"New"),"E","")</f>
        <v/>
      </c>
      <c r="O336" s="70"/>
      <c r="P336" s="103"/>
    </row>
    <row r="337" spans="1:16" hidden="1" outlineLevel="1" x14ac:dyDescent="0.2">
      <c r="A337" s="103"/>
      <c r="B337" s="103"/>
      <c r="C337" s="357"/>
      <c r="D337" s="357"/>
      <c r="E337" s="357"/>
      <c r="F337" s="357"/>
      <c r="G337" s="95" t="s">
        <v>698</v>
      </c>
      <c r="H337" s="17"/>
      <c r="I337" s="357"/>
      <c r="J337" s="511"/>
      <c r="K337" s="420"/>
      <c r="L337" s="592"/>
      <c r="M337" s="470">
        <f>IF(J337&lt;&gt;"",VLOOKUP(J337,AuthorityCode,2,FALSE),0)</f>
        <v>0</v>
      </c>
      <c r="N337" s="365"/>
      <c r="O337" s="70"/>
      <c r="P337" s="103"/>
    </row>
    <row r="338" spans="1:16" hidden="1" outlineLevel="1" x14ac:dyDescent="0.2">
      <c r="A338" s="103"/>
      <c r="B338" s="103"/>
      <c r="C338" s="400" t="s">
        <v>56</v>
      </c>
      <c r="D338" s="215"/>
      <c r="E338" s="14"/>
      <c r="F338" s="100"/>
      <c r="G338" s="95" t="str">
        <f>VLOOKUP(B336,MaxQ,2,TRUE)</f>
        <v>Max quantity (units)</v>
      </c>
      <c r="H338" s="17"/>
      <c r="I338" s="357"/>
      <c r="J338" s="511"/>
      <c r="K338" s="420"/>
      <c r="L338" s="420"/>
      <c r="M338" s="420"/>
      <c r="N338" s="365"/>
      <c r="O338" s="70"/>
      <c r="P338" s="103"/>
    </row>
    <row r="339" spans="1:16" hidden="1" outlineLevel="1" x14ac:dyDescent="0.2">
      <c r="A339" s="103"/>
      <c r="B339" s="103"/>
      <c r="C339" s="357"/>
      <c r="D339" s="357"/>
      <c r="E339" s="16"/>
      <c r="F339" s="357"/>
      <c r="G339" s="95" t="s">
        <v>577</v>
      </c>
      <c r="H339" s="17"/>
      <c r="I339" s="357"/>
      <c r="J339" s="365"/>
      <c r="K339" s="365"/>
      <c r="M339" s="365"/>
      <c r="N339" s="365"/>
      <c r="O339" s="70"/>
      <c r="P339" s="103"/>
    </row>
    <row r="340" spans="1:16" hidden="1" outlineLevel="1" x14ac:dyDescent="0.2">
      <c r="A340" s="103"/>
      <c r="B340" s="103"/>
      <c r="C340" s="774" t="s">
        <v>578</v>
      </c>
      <c r="D340" s="776"/>
      <c r="E340" s="16"/>
      <c r="F340" s="357"/>
      <c r="G340" s="358"/>
      <c r="H340" s="358"/>
      <c r="I340" s="357"/>
      <c r="J340" s="365"/>
      <c r="K340" s="365"/>
      <c r="M340" s="365"/>
      <c r="N340" s="365"/>
      <c r="O340" s="358"/>
      <c r="P340" s="103"/>
    </row>
    <row r="341" spans="1:16" hidden="1" outlineLevel="1" x14ac:dyDescent="0.2">
      <c r="A341" s="103"/>
      <c r="B341" s="103"/>
      <c r="C341" s="774" t="s">
        <v>579</v>
      </c>
      <c r="D341" s="776"/>
      <c r="E341" s="16"/>
      <c r="F341" s="358"/>
      <c r="G341" s="358"/>
      <c r="H341" s="358"/>
      <c r="I341" s="357"/>
      <c r="J341" s="365"/>
      <c r="K341" s="365"/>
      <c r="M341" s="365"/>
      <c r="N341" s="365"/>
      <c r="O341" s="70"/>
      <c r="P341" s="103"/>
    </row>
    <row r="342" spans="1:16" hidden="1" outlineLevel="1" x14ac:dyDescent="0.2">
      <c r="A342" s="103"/>
      <c r="B342" s="103"/>
      <c r="C342" s="774" t="s">
        <v>580</v>
      </c>
      <c r="D342" s="776"/>
      <c r="E342" s="16"/>
      <c r="F342" s="358"/>
      <c r="G342" s="358"/>
      <c r="H342" s="358"/>
      <c r="I342" s="358"/>
      <c r="J342" s="365"/>
      <c r="K342" s="365"/>
      <c r="M342" s="365"/>
      <c r="N342" s="365"/>
      <c r="O342" s="70"/>
      <c r="P342" s="103"/>
    </row>
    <row r="343" spans="1:16" hidden="1" outlineLevel="1" x14ac:dyDescent="0.2">
      <c r="A343" s="103"/>
      <c r="B343" s="103"/>
      <c r="C343" s="774" t="s">
        <v>896</v>
      </c>
      <c r="D343" s="776"/>
      <c r="E343" s="29" t="str">
        <f>IF(E340 &lt;&gt;"",E340 &amp; " ","") &amp; IF(E341&lt;&gt;"",E341 &amp; " ","") &amp; IF(E342&lt;&gt; "",E342,"")</f>
        <v/>
      </c>
      <c r="F343" s="358"/>
      <c r="G343" s="358"/>
      <c r="H343" s="358"/>
      <c r="I343" s="358"/>
      <c r="J343" s="358"/>
      <c r="K343" s="358"/>
      <c r="L343" s="357"/>
      <c r="M343" s="357"/>
      <c r="N343" s="70"/>
      <c r="O343" s="70"/>
      <c r="P343" s="103"/>
    </row>
    <row r="344" spans="1:16" hidden="1" outlineLevel="1" x14ac:dyDescent="0.2">
      <c r="A344" s="103"/>
      <c r="B344" s="103"/>
      <c r="C344" s="774" t="s">
        <v>581</v>
      </c>
      <c r="D344" s="776"/>
      <c r="E344" s="16"/>
      <c r="F344" s="358"/>
      <c r="G344" s="358"/>
      <c r="H344" s="358"/>
      <c r="I344" s="358"/>
      <c r="J344" s="358"/>
      <c r="K344" s="358"/>
      <c r="L344" s="357"/>
      <c r="M344" s="357"/>
      <c r="N344" s="70"/>
      <c r="O344" s="70"/>
      <c r="P344" s="103"/>
    </row>
    <row r="345" spans="1:16" hidden="1" outlineLevel="1" x14ac:dyDescent="0.2">
      <c r="A345" s="103"/>
      <c r="B345" s="103"/>
      <c r="C345" s="774" t="s">
        <v>582</v>
      </c>
      <c r="D345" s="776"/>
      <c r="E345" s="16"/>
      <c r="F345" s="358"/>
      <c r="G345" s="358"/>
      <c r="H345" s="358"/>
      <c r="I345" s="358"/>
      <c r="J345" s="358"/>
      <c r="K345" s="358"/>
      <c r="L345" s="357"/>
      <c r="M345" s="357"/>
      <c r="N345" s="70"/>
      <c r="O345" s="70"/>
      <c r="P345" s="103"/>
    </row>
    <row r="346" spans="1:16" hidden="1" outlineLevel="1" x14ac:dyDescent="0.2">
      <c r="A346" s="103"/>
      <c r="B346" s="103"/>
      <c r="C346" s="774" t="s">
        <v>583</v>
      </c>
      <c r="D346" s="776"/>
      <c r="E346" s="16"/>
      <c r="F346" s="358"/>
      <c r="G346" s="358"/>
      <c r="H346" s="358"/>
      <c r="I346" s="358"/>
      <c r="J346" s="358"/>
      <c r="K346" s="358"/>
      <c r="L346" s="357"/>
      <c r="M346" s="357"/>
      <c r="N346" s="70"/>
      <c r="O346" s="70"/>
      <c r="P346" s="103"/>
    </row>
    <row r="347" spans="1:16" hidden="1" outlineLevel="1" x14ac:dyDescent="0.2">
      <c r="A347" s="103"/>
      <c r="B347" s="103"/>
      <c r="C347" s="774" t="s">
        <v>584</v>
      </c>
      <c r="D347" s="776"/>
      <c r="E347" s="16"/>
      <c r="F347" s="358"/>
      <c r="G347" s="358"/>
      <c r="H347" s="358"/>
      <c r="I347" s="358"/>
      <c r="J347" s="358"/>
      <c r="K347" s="358"/>
      <c r="L347" s="357"/>
      <c r="M347" s="357"/>
      <c r="N347" s="70"/>
      <c r="O347" s="70"/>
      <c r="P347" s="103"/>
    </row>
    <row r="348" spans="1:16" hidden="1" outlineLevel="1" x14ac:dyDescent="0.2">
      <c r="A348" s="103"/>
      <c r="B348" s="103"/>
      <c r="C348" s="103"/>
      <c r="D348" s="103"/>
      <c r="E348" s="103"/>
      <c r="F348" s="358"/>
      <c r="G348" s="358"/>
      <c r="H348" s="358"/>
      <c r="I348" s="358"/>
      <c r="J348" s="358"/>
      <c r="K348" s="358"/>
      <c r="L348" s="357"/>
      <c r="M348" s="357"/>
      <c r="N348" s="70"/>
      <c r="O348" s="70"/>
      <c r="P348" s="103"/>
    </row>
    <row r="349" spans="1:16" hidden="1" outlineLevel="1" x14ac:dyDescent="0.2">
      <c r="A349" s="103"/>
      <c r="B349" s="103"/>
      <c r="C349" s="357"/>
      <c r="D349" s="357"/>
      <c r="E349" s="357"/>
      <c r="F349" s="93"/>
      <c r="G349" s="357"/>
      <c r="H349" s="357"/>
      <c r="I349" s="357"/>
      <c r="J349" s="357"/>
      <c r="K349" s="357"/>
      <c r="L349" s="357"/>
      <c r="M349" s="357"/>
      <c r="N349" s="70"/>
      <c r="O349" s="70"/>
      <c r="P349" s="103"/>
    </row>
    <row r="350" spans="1:16" ht="15.75" collapsed="1" x14ac:dyDescent="0.2">
      <c r="A350" s="103"/>
      <c r="B350" s="575">
        <v>20</v>
      </c>
      <c r="C350" s="777" t="str">
        <f xml:space="preserve"> IF(B350&lt;=$H$62,"Restriction " &amp; B350 &amp; " of " &amp; $H$62,MsgNotUsed)</f>
        <v>** NOT USED **</v>
      </c>
      <c r="D350" s="803"/>
      <c r="E350" s="804"/>
      <c r="F350" s="93"/>
      <c r="G350" s="357"/>
      <c r="H350" s="357"/>
      <c r="I350" s="357"/>
      <c r="J350" s="358"/>
      <c r="K350" s="358"/>
      <c r="L350" s="357"/>
      <c r="M350" s="357"/>
      <c r="N350" s="70"/>
      <c r="O350" s="70"/>
      <c r="P350" s="103"/>
    </row>
    <row r="351" spans="1:16" hidden="1" outlineLevel="1" x14ac:dyDescent="0.2">
      <c r="A351" s="103"/>
      <c r="B351" s="470">
        <f>IFERROR(VLOOKUP(D351,ProgrammeCode,3,FALSE),0)</f>
        <v>0</v>
      </c>
      <c r="C351" s="399" t="s">
        <v>575</v>
      </c>
      <c r="D351" s="266"/>
      <c r="E351" s="28" t="str">
        <f>IF(D351&lt;&gt;"",VLOOKUP(D351,ProgrammeCode,2,FALSE),"")</f>
        <v/>
      </c>
      <c r="F351" s="80"/>
      <c r="G351" s="359" t="s">
        <v>576</v>
      </c>
      <c r="H351" s="266"/>
      <c r="I351" s="357"/>
      <c r="J351" s="398" t="s">
        <v>717</v>
      </c>
      <c r="K351" s="365"/>
      <c r="M351" s="365"/>
      <c r="N351" s="470" t="str">
        <f>IF(AND(H351&lt;&gt;"",H351&lt;&gt;"New"),"E","")</f>
        <v/>
      </c>
      <c r="O351" s="70"/>
      <c r="P351" s="103"/>
    </row>
    <row r="352" spans="1:16" hidden="1" outlineLevel="1" x14ac:dyDescent="0.2">
      <c r="A352" s="103"/>
      <c r="B352" s="103"/>
      <c r="C352" s="357"/>
      <c r="D352" s="357"/>
      <c r="E352" s="357"/>
      <c r="F352" s="357"/>
      <c r="G352" s="95" t="s">
        <v>698</v>
      </c>
      <c r="H352" s="17"/>
      <c r="I352" s="357"/>
      <c r="J352" s="511"/>
      <c r="K352" s="420"/>
      <c r="L352" s="592"/>
      <c r="M352" s="470">
        <f>IF(J352&lt;&gt;"",VLOOKUP(J352,AuthorityCode,2,FALSE),0)</f>
        <v>0</v>
      </c>
      <c r="N352" s="365"/>
      <c r="O352" s="70"/>
      <c r="P352" s="103"/>
    </row>
    <row r="353" spans="1:16" hidden="1" outlineLevel="1" x14ac:dyDescent="0.2">
      <c r="A353" s="103"/>
      <c r="B353" s="103"/>
      <c r="C353" s="400" t="s">
        <v>56</v>
      </c>
      <c r="D353" s="215"/>
      <c r="E353" s="14"/>
      <c r="F353" s="100"/>
      <c r="G353" s="95" t="str">
        <f>VLOOKUP(B351,MaxQ,2,TRUE)</f>
        <v>Max quantity (units)</v>
      </c>
      <c r="H353" s="17"/>
      <c r="I353" s="357"/>
      <c r="J353" s="511"/>
      <c r="K353" s="420"/>
      <c r="L353" s="420"/>
      <c r="M353" s="420"/>
      <c r="N353" s="365"/>
      <c r="O353" s="70"/>
      <c r="P353" s="103"/>
    </row>
    <row r="354" spans="1:16" hidden="1" outlineLevel="1" x14ac:dyDescent="0.2">
      <c r="A354" s="103"/>
      <c r="B354" s="103"/>
      <c r="C354" s="357"/>
      <c r="D354" s="357"/>
      <c r="E354" s="16"/>
      <c r="F354" s="357"/>
      <c r="G354" s="95" t="s">
        <v>577</v>
      </c>
      <c r="H354" s="17"/>
      <c r="I354" s="357"/>
      <c r="J354" s="365"/>
      <c r="K354" s="365"/>
      <c r="M354" s="365"/>
      <c r="N354" s="365"/>
      <c r="O354" s="70"/>
      <c r="P354" s="103"/>
    </row>
    <row r="355" spans="1:16" hidden="1" outlineLevel="1" x14ac:dyDescent="0.2">
      <c r="A355" s="103"/>
      <c r="B355" s="103"/>
      <c r="C355" s="774" t="s">
        <v>578</v>
      </c>
      <c r="D355" s="790"/>
      <c r="E355" s="16"/>
      <c r="F355" s="357"/>
      <c r="G355" s="358"/>
      <c r="H355" s="358"/>
      <c r="I355" s="357"/>
      <c r="J355" s="365"/>
      <c r="K355" s="365"/>
      <c r="M355" s="365"/>
      <c r="N355" s="365"/>
      <c r="O355" s="358"/>
      <c r="P355" s="103"/>
    </row>
    <row r="356" spans="1:16" hidden="1" outlineLevel="1" x14ac:dyDescent="0.2">
      <c r="A356" s="103"/>
      <c r="B356" s="103"/>
      <c r="C356" s="774" t="s">
        <v>579</v>
      </c>
      <c r="D356" s="790"/>
      <c r="E356" s="16"/>
      <c r="F356" s="358"/>
      <c r="G356" s="358"/>
      <c r="H356" s="358"/>
      <c r="I356" s="357"/>
      <c r="J356" s="365"/>
      <c r="K356" s="365"/>
      <c r="M356" s="365"/>
      <c r="N356" s="365"/>
      <c r="O356" s="70"/>
      <c r="P356" s="103"/>
    </row>
    <row r="357" spans="1:16" hidden="1" outlineLevel="1" x14ac:dyDescent="0.2">
      <c r="A357" s="103"/>
      <c r="B357" s="103"/>
      <c r="C357" s="774" t="s">
        <v>580</v>
      </c>
      <c r="D357" s="790"/>
      <c r="E357" s="16"/>
      <c r="F357" s="358"/>
      <c r="G357" s="103"/>
      <c r="H357" s="103"/>
      <c r="I357" s="358"/>
      <c r="J357" s="365"/>
      <c r="K357" s="365"/>
      <c r="M357" s="365"/>
      <c r="N357" s="365"/>
      <c r="O357" s="70"/>
      <c r="P357" s="103"/>
    </row>
    <row r="358" spans="1:16" hidden="1" outlineLevel="1" x14ac:dyDescent="0.2">
      <c r="A358" s="103"/>
      <c r="B358" s="103"/>
      <c r="C358" s="774" t="s">
        <v>896</v>
      </c>
      <c r="D358" s="790"/>
      <c r="E358" s="29" t="str">
        <f>IF(E355 &lt;&gt;"",E355 &amp; " ","") &amp; IF(E356&lt;&gt;"",E356 &amp; " ","") &amp; IF(E357&lt;&gt; "",E357,"")</f>
        <v/>
      </c>
      <c r="F358" s="358"/>
      <c r="G358" s="103"/>
      <c r="H358" s="103"/>
      <c r="I358" s="358"/>
      <c r="J358" s="358"/>
      <c r="K358" s="358"/>
      <c r="L358" s="357"/>
      <c r="M358" s="357"/>
      <c r="N358" s="70"/>
      <c r="O358" s="70"/>
      <c r="P358" s="103"/>
    </row>
    <row r="359" spans="1:16" hidden="1" outlineLevel="1" x14ac:dyDescent="0.2">
      <c r="A359" s="103"/>
      <c r="B359" s="103"/>
      <c r="C359" s="774" t="s">
        <v>581</v>
      </c>
      <c r="D359" s="790"/>
      <c r="E359" s="16"/>
      <c r="F359" s="358"/>
      <c r="G359" s="358"/>
      <c r="H359" s="358"/>
      <c r="I359" s="358"/>
      <c r="J359" s="358"/>
      <c r="K359" s="358"/>
      <c r="L359" s="357"/>
      <c r="M359" s="357"/>
      <c r="N359" s="70"/>
      <c r="O359" s="70"/>
      <c r="P359" s="103"/>
    </row>
    <row r="360" spans="1:16" hidden="1" outlineLevel="1" x14ac:dyDescent="0.2">
      <c r="A360" s="103"/>
      <c r="B360" s="103"/>
      <c r="C360" s="774" t="s">
        <v>582</v>
      </c>
      <c r="D360" s="790"/>
      <c r="E360" s="16"/>
      <c r="F360" s="358"/>
      <c r="G360" s="358"/>
      <c r="H360" s="358"/>
      <c r="I360" s="358"/>
      <c r="J360" s="358"/>
      <c r="K360" s="358"/>
      <c r="L360" s="357"/>
      <c r="M360" s="357"/>
      <c r="N360" s="70"/>
      <c r="O360" s="70"/>
      <c r="P360" s="103"/>
    </row>
    <row r="361" spans="1:16" hidden="1" outlineLevel="1" x14ac:dyDescent="0.2">
      <c r="A361" s="103"/>
      <c r="B361" s="103"/>
      <c r="C361" s="774" t="s">
        <v>583</v>
      </c>
      <c r="D361" s="790"/>
      <c r="E361" s="16"/>
      <c r="F361" s="358"/>
      <c r="G361" s="365"/>
      <c r="H361" s="365"/>
      <c r="I361" s="358"/>
      <c r="J361" s="365"/>
      <c r="K361" s="358"/>
      <c r="L361" s="358"/>
      <c r="M361" s="358"/>
      <c r="N361" s="358"/>
      <c r="O361" s="358"/>
      <c r="P361" s="103"/>
    </row>
    <row r="362" spans="1:16" ht="12.75" hidden="1" customHeight="1" outlineLevel="1" x14ac:dyDescent="0.2">
      <c r="A362" s="103"/>
      <c r="B362" s="103"/>
      <c r="C362" s="774" t="s">
        <v>584</v>
      </c>
      <c r="D362" s="790"/>
      <c r="E362" s="16"/>
      <c r="F362" s="358"/>
      <c r="G362" s="365"/>
      <c r="H362" s="365"/>
      <c r="I362" s="358"/>
      <c r="J362" s="365"/>
      <c r="K362" s="358"/>
      <c r="L362" s="358"/>
      <c r="M362" s="358"/>
      <c r="N362" s="358"/>
      <c r="O362" s="358"/>
      <c r="P362" s="103"/>
    </row>
    <row r="363" spans="1:16" collapsed="1" x14ac:dyDescent="0.2">
      <c r="A363" s="103"/>
      <c r="B363" s="103"/>
      <c r="C363" s="103"/>
      <c r="D363" s="103"/>
      <c r="E363" s="103"/>
      <c r="F363" s="358"/>
      <c r="G363" s="358"/>
      <c r="H363" s="358"/>
      <c r="I363" s="358"/>
      <c r="J363" s="358"/>
      <c r="K363" s="358"/>
      <c r="L363" s="357"/>
      <c r="M363" s="357"/>
      <c r="N363" s="70"/>
      <c r="O363" s="70"/>
      <c r="P363" s="103"/>
    </row>
    <row r="364" spans="1:16" x14ac:dyDescent="0.2">
      <c r="A364" s="103"/>
      <c r="B364" s="103"/>
      <c r="C364" s="358"/>
      <c r="D364" s="358"/>
      <c r="E364" s="358"/>
      <c r="F364" s="93"/>
      <c r="G364" s="357"/>
      <c r="H364" s="357"/>
      <c r="I364" s="357"/>
      <c r="J364" s="357"/>
      <c r="K364" s="357"/>
      <c r="L364" s="357"/>
      <c r="M364" s="357"/>
      <c r="N364" s="70"/>
      <c r="O364" s="70"/>
      <c r="P364" s="103"/>
    </row>
    <row r="365" spans="1:16" ht="15.75" x14ac:dyDescent="0.2">
      <c r="A365" s="103"/>
      <c r="B365" s="103"/>
      <c r="C365" s="96" t="s">
        <v>295</v>
      </c>
      <c r="D365" s="104"/>
      <c r="E365" s="104"/>
      <c r="F365" s="104"/>
      <c r="G365" s="104"/>
      <c r="H365" s="104"/>
      <c r="I365" s="104"/>
      <c r="J365" s="104"/>
      <c r="K365" s="104"/>
      <c r="L365" s="104"/>
      <c r="M365" s="104"/>
      <c r="N365" s="104"/>
      <c r="O365" s="104"/>
      <c r="P365" s="104"/>
    </row>
    <row r="366" spans="1:16" x14ac:dyDescent="0.2">
      <c r="A366" s="358"/>
      <c r="B366" s="358"/>
      <c r="C366" s="99"/>
      <c r="D366" s="99"/>
      <c r="E366" s="99"/>
      <c r="F366" s="93"/>
      <c r="G366" s="93"/>
      <c r="H366" s="93"/>
      <c r="I366" s="93"/>
      <c r="J366" s="105"/>
      <c r="K366" s="105"/>
      <c r="L366" s="70"/>
      <c r="M366" s="70"/>
      <c r="N366" s="70"/>
      <c r="O366" s="70"/>
      <c r="P366" s="103"/>
    </row>
    <row r="367" spans="1:16" x14ac:dyDescent="0.2">
      <c r="A367" s="103"/>
      <c r="B367" s="103"/>
      <c r="C367" s="774" t="s">
        <v>585</v>
      </c>
      <c r="D367" s="776"/>
      <c r="E367" s="14"/>
      <c r="F367" s="93"/>
      <c r="G367" s="781" t="str">
        <f>IF(N367=0,MsgNote &amp; VLOOKUP("NoExist",WarningMessages,2,FALSE),"")</f>
        <v>Note: no exiting PBS listings of this medicine</v>
      </c>
      <c r="H367" s="781"/>
      <c r="I367" s="93"/>
      <c r="J367" s="93"/>
      <c r="K367" s="93"/>
      <c r="L367" s="93"/>
      <c r="M367" s="93"/>
      <c r="N367" s="470">
        <f>COUNTIF(N66:N351,"E")</f>
        <v>0</v>
      </c>
      <c r="O367" s="70"/>
      <c r="P367" s="103"/>
    </row>
    <row r="368" spans="1:16" x14ac:dyDescent="0.2">
      <c r="A368" s="103"/>
      <c r="B368" s="103"/>
      <c r="C368" s="99"/>
      <c r="D368" s="358"/>
      <c r="E368" s="358"/>
      <c r="F368" s="93"/>
      <c r="G368" s="93"/>
      <c r="H368" s="93"/>
      <c r="I368" s="93"/>
      <c r="J368" s="93"/>
      <c r="K368" s="93"/>
      <c r="L368" s="93"/>
      <c r="M368" s="93"/>
      <c r="N368" s="70"/>
      <c r="O368" s="70"/>
      <c r="P368" s="103"/>
    </row>
    <row r="369" spans="1:16" x14ac:dyDescent="0.2">
      <c r="A369" s="103"/>
      <c r="B369" s="103"/>
      <c r="C369" s="99"/>
      <c r="D369" s="358"/>
      <c r="E369" s="103"/>
      <c r="F369" s="103"/>
      <c r="G369" s="103"/>
      <c r="H369" s="103"/>
      <c r="I369" s="103"/>
      <c r="J369" s="103"/>
      <c r="K369" s="103"/>
      <c r="L369" s="103"/>
      <c r="M369" s="103"/>
      <c r="N369" s="70"/>
      <c r="O369" s="70"/>
      <c r="P369" s="103"/>
    </row>
    <row r="370" spans="1:16" ht="15.75" x14ac:dyDescent="0.2">
      <c r="A370" s="103"/>
      <c r="B370" s="103"/>
      <c r="C370" s="96" t="s">
        <v>292</v>
      </c>
      <c r="D370" s="104"/>
      <c r="E370" s="104"/>
      <c r="F370" s="104"/>
      <c r="G370" s="104"/>
      <c r="H370" s="104"/>
      <c r="I370" s="104"/>
      <c r="J370" s="104"/>
      <c r="K370" s="104"/>
      <c r="L370" s="104"/>
      <c r="M370" s="104"/>
      <c r="N370" s="104"/>
      <c r="O370" s="104"/>
      <c r="P370" s="104"/>
    </row>
    <row r="371" spans="1:16" x14ac:dyDescent="0.2">
      <c r="A371" s="103"/>
      <c r="B371" s="103"/>
      <c r="C371" s="99"/>
      <c r="D371" s="99"/>
      <c r="E371" s="99"/>
      <c r="F371" s="93"/>
      <c r="G371" s="93"/>
      <c r="H371" s="93"/>
      <c r="I371" s="93"/>
      <c r="J371" s="105"/>
      <c r="K371" s="105"/>
      <c r="L371" s="70"/>
      <c r="M371" s="70"/>
      <c r="N371" s="70"/>
      <c r="O371" s="70"/>
      <c r="P371" s="103"/>
    </row>
    <row r="372" spans="1:16" ht="14.25" customHeight="1" x14ac:dyDescent="0.2">
      <c r="A372" s="103"/>
      <c r="B372" s="103"/>
      <c r="C372" s="99"/>
      <c r="D372" s="99"/>
      <c r="E372" s="99"/>
      <c r="F372" s="93"/>
      <c r="G372" s="781" t="str">
        <f>IF(N372=2,MsgError &amp; VLOOKUP("NoFlow",ErrorMessages,2,FALSE),IF(N372=1,MsgNote &amp; VLOOKUP("NoFlow",WarningMessages,2,FALSE),""))</f>
        <v>Note: no flow-ons to other medicines</v>
      </c>
      <c r="H372" s="781"/>
      <c r="I372" s="93"/>
      <c r="J372" s="105"/>
      <c r="K372" s="105"/>
      <c r="L372" s="70"/>
      <c r="M372" s="70"/>
      <c r="N372" s="470">
        <f>IF(AND(M63=1,B386=0),2,IF(M63=0,1,0))</f>
        <v>1</v>
      </c>
      <c r="O372" s="70"/>
      <c r="P372" s="103"/>
    </row>
    <row r="373" spans="1:16" x14ac:dyDescent="0.2">
      <c r="A373" s="103"/>
      <c r="B373" s="103"/>
      <c r="C373" s="99"/>
      <c r="D373" s="99"/>
      <c r="E373" s="99"/>
      <c r="F373" s="93"/>
      <c r="G373" s="93"/>
      <c r="H373" s="93"/>
      <c r="I373" s="93"/>
      <c r="J373" s="105"/>
      <c r="K373" s="105"/>
      <c r="L373" s="70"/>
      <c r="M373" s="70"/>
      <c r="N373" s="70"/>
      <c r="O373" s="70"/>
      <c r="P373" s="103"/>
    </row>
    <row r="374" spans="1:16" ht="15" x14ac:dyDescent="0.2">
      <c r="A374" s="103"/>
      <c r="B374" s="103"/>
      <c r="C374" s="99"/>
      <c r="D374" s="99"/>
      <c r="E374" s="791" t="s">
        <v>293</v>
      </c>
      <c r="F374" s="792"/>
      <c r="G374" s="792"/>
      <c r="H374" s="792"/>
      <c r="I374" s="792"/>
      <c r="J374" s="792"/>
      <c r="K374" s="793"/>
      <c r="L374" s="70"/>
      <c r="M374" s="70"/>
      <c r="N374" s="70"/>
      <c r="O374" s="70"/>
      <c r="P374" s="103"/>
    </row>
    <row r="375" spans="1:16" x14ac:dyDescent="0.2">
      <c r="A375" s="103"/>
      <c r="B375" s="103"/>
      <c r="C375" s="799" t="s">
        <v>294</v>
      </c>
      <c r="D375" s="800"/>
      <c r="E375" s="94" t="s">
        <v>318</v>
      </c>
      <c r="F375" s="801" t="s">
        <v>319</v>
      </c>
      <c r="G375" s="802"/>
      <c r="H375" s="802"/>
      <c r="I375" s="802"/>
      <c r="J375" s="802"/>
      <c r="K375" s="802"/>
      <c r="L375" s="93"/>
      <c r="M375" s="93"/>
      <c r="N375" s="70"/>
      <c r="O375" s="70"/>
      <c r="P375" s="103"/>
    </row>
    <row r="376" spans="1:16" x14ac:dyDescent="0.2">
      <c r="A376" s="103"/>
      <c r="B376" s="103"/>
      <c r="C376" s="788"/>
      <c r="D376" s="807"/>
      <c r="E376" s="106"/>
      <c r="F376" s="794"/>
      <c r="G376" s="795"/>
      <c r="H376" s="795"/>
      <c r="I376" s="795"/>
      <c r="J376" s="795"/>
      <c r="K376" s="795"/>
      <c r="L376" s="93"/>
      <c r="M376" s="93"/>
      <c r="N376" s="70"/>
      <c r="O376" s="70"/>
      <c r="P376" s="103"/>
    </row>
    <row r="377" spans="1:16" x14ac:dyDescent="0.2">
      <c r="A377" s="103"/>
      <c r="B377" s="103"/>
      <c r="C377" s="788"/>
      <c r="D377" s="789"/>
      <c r="E377" s="106"/>
      <c r="F377" s="794"/>
      <c r="G377" s="795"/>
      <c r="H377" s="795"/>
      <c r="I377" s="795"/>
      <c r="J377" s="795"/>
      <c r="K377" s="795"/>
      <c r="L377" s="93"/>
      <c r="M377" s="93"/>
      <c r="N377" s="70"/>
      <c r="O377" s="70"/>
      <c r="P377" s="103"/>
    </row>
    <row r="378" spans="1:16" x14ac:dyDescent="0.2">
      <c r="A378" s="103"/>
      <c r="B378" s="103"/>
      <c r="C378" s="788"/>
      <c r="D378" s="789"/>
      <c r="E378" s="106"/>
      <c r="F378" s="794"/>
      <c r="G378" s="795"/>
      <c r="H378" s="795"/>
      <c r="I378" s="795"/>
      <c r="J378" s="795"/>
      <c r="K378" s="795"/>
      <c r="L378" s="93"/>
      <c r="M378" s="93"/>
      <c r="N378" s="70"/>
      <c r="O378" s="70"/>
      <c r="P378" s="103"/>
    </row>
    <row r="379" spans="1:16" x14ac:dyDescent="0.2">
      <c r="A379" s="103"/>
      <c r="B379" s="103"/>
      <c r="C379" s="788"/>
      <c r="D379" s="789"/>
      <c r="E379" s="106"/>
      <c r="F379" s="794"/>
      <c r="G379" s="795"/>
      <c r="H379" s="795"/>
      <c r="I379" s="795"/>
      <c r="J379" s="795"/>
      <c r="K379" s="795"/>
      <c r="L379" s="93"/>
      <c r="M379" s="93"/>
      <c r="N379" s="70"/>
      <c r="O379" s="70"/>
      <c r="P379" s="103"/>
    </row>
    <row r="380" spans="1:16" x14ac:dyDescent="0.2">
      <c r="A380" s="103"/>
      <c r="B380" s="103"/>
      <c r="C380" s="788"/>
      <c r="D380" s="789"/>
      <c r="E380" s="106"/>
      <c r="F380" s="794"/>
      <c r="G380" s="795"/>
      <c r="H380" s="795"/>
      <c r="I380" s="795"/>
      <c r="J380" s="795"/>
      <c r="K380" s="795"/>
      <c r="L380" s="93"/>
      <c r="M380" s="93"/>
      <c r="N380" s="70"/>
      <c r="O380" s="70"/>
      <c r="P380" s="103"/>
    </row>
    <row r="381" spans="1:16" x14ac:dyDescent="0.2">
      <c r="A381" s="103"/>
      <c r="B381" s="103"/>
      <c r="C381" s="788"/>
      <c r="D381" s="789"/>
      <c r="E381" s="106"/>
      <c r="F381" s="794"/>
      <c r="G381" s="795"/>
      <c r="H381" s="795"/>
      <c r="I381" s="795"/>
      <c r="J381" s="795"/>
      <c r="K381" s="795"/>
      <c r="L381" s="93"/>
      <c r="M381" s="93"/>
      <c r="N381" s="70"/>
      <c r="O381" s="70"/>
      <c r="P381" s="103"/>
    </row>
    <row r="382" spans="1:16" x14ac:dyDescent="0.2">
      <c r="A382" s="103"/>
      <c r="B382" s="103"/>
      <c r="C382" s="797"/>
      <c r="D382" s="798"/>
      <c r="E382" s="106"/>
      <c r="F382" s="794"/>
      <c r="G382" s="795"/>
      <c r="H382" s="795"/>
      <c r="I382" s="795"/>
      <c r="J382" s="795"/>
      <c r="K382" s="795"/>
      <c r="L382" s="93"/>
      <c r="M382" s="93"/>
      <c r="N382" s="70"/>
      <c r="O382" s="70"/>
      <c r="P382" s="103"/>
    </row>
    <row r="383" spans="1:16" x14ac:dyDescent="0.2">
      <c r="A383" s="103"/>
      <c r="B383" s="103"/>
      <c r="C383" s="797"/>
      <c r="D383" s="798"/>
      <c r="E383" s="106"/>
      <c r="F383" s="794"/>
      <c r="G383" s="795"/>
      <c r="H383" s="795"/>
      <c r="I383" s="795"/>
      <c r="J383" s="795"/>
      <c r="K383" s="795"/>
      <c r="L383" s="93"/>
      <c r="M383" s="93"/>
      <c r="N383" s="70"/>
      <c r="O383" s="70"/>
      <c r="P383" s="103"/>
    </row>
    <row r="384" spans="1:16" x14ac:dyDescent="0.2">
      <c r="A384" s="103"/>
      <c r="B384" s="103"/>
      <c r="C384" s="797"/>
      <c r="D384" s="798"/>
      <c r="E384" s="106"/>
      <c r="F384" s="794"/>
      <c r="G384" s="795"/>
      <c r="H384" s="795"/>
      <c r="I384" s="795"/>
      <c r="J384" s="795"/>
      <c r="K384" s="795"/>
      <c r="L384" s="93"/>
      <c r="M384" s="93"/>
      <c r="N384" s="70"/>
      <c r="O384" s="70"/>
      <c r="P384" s="103"/>
    </row>
    <row r="385" spans="1:16" x14ac:dyDescent="0.2">
      <c r="A385" s="103"/>
      <c r="B385" s="103"/>
      <c r="C385" s="797"/>
      <c r="D385" s="798"/>
      <c r="E385" s="106"/>
      <c r="F385" s="794"/>
      <c r="G385" s="795"/>
      <c r="H385" s="795"/>
      <c r="I385" s="795"/>
      <c r="J385" s="795"/>
      <c r="K385" s="795"/>
      <c r="L385" s="93"/>
      <c r="M385" s="93"/>
      <c r="N385" s="70"/>
      <c r="O385" s="70"/>
      <c r="P385" s="103"/>
    </row>
    <row r="386" spans="1:16" x14ac:dyDescent="0.2">
      <c r="A386" s="103"/>
      <c r="B386" s="575">
        <f>COUNTA(C376:D385)</f>
        <v>0</v>
      </c>
      <c r="C386" s="99"/>
      <c r="D386" s="99"/>
      <c r="E386" s="99"/>
      <c r="F386" s="93"/>
      <c r="G386" s="93"/>
      <c r="H386" s="93"/>
      <c r="I386" s="93"/>
      <c r="J386" s="93"/>
      <c r="K386" s="93"/>
      <c r="L386" s="93"/>
      <c r="M386" s="93"/>
      <c r="N386" s="70"/>
      <c r="O386" s="70"/>
      <c r="P386" s="103"/>
    </row>
    <row r="387" spans="1:16" x14ac:dyDescent="0.2">
      <c r="A387" s="103"/>
      <c r="B387" s="103"/>
      <c r="C387" s="99"/>
      <c r="D387" s="99"/>
      <c r="E387" s="99"/>
      <c r="F387" s="93"/>
      <c r="G387" s="93"/>
      <c r="H387" s="93"/>
      <c r="I387" s="93"/>
      <c r="J387" s="93"/>
      <c r="K387" s="93"/>
      <c r="L387" s="93"/>
      <c r="M387" s="93"/>
      <c r="N387" s="70"/>
      <c r="O387" s="70"/>
      <c r="P387" s="103"/>
    </row>
    <row r="388" spans="1:16" ht="15.75" x14ac:dyDescent="0.2">
      <c r="A388" s="103"/>
      <c r="B388" s="103"/>
      <c r="C388" s="96" t="s">
        <v>214</v>
      </c>
      <c r="D388" s="104"/>
      <c r="E388" s="104"/>
      <c r="F388" s="104"/>
      <c r="G388" s="104"/>
      <c r="H388" s="104"/>
      <c r="I388" s="104"/>
      <c r="J388" s="104"/>
      <c r="K388" s="104"/>
      <c r="L388" s="104"/>
      <c r="M388" s="104"/>
      <c r="N388" s="104"/>
      <c r="O388" s="104"/>
      <c r="P388" s="104"/>
    </row>
    <row r="389" spans="1:16" x14ac:dyDescent="0.2">
      <c r="A389" s="358"/>
      <c r="B389" s="358"/>
      <c r="C389" s="99"/>
      <c r="D389" s="99"/>
      <c r="E389" s="99"/>
      <c r="F389" s="98"/>
      <c r="G389" s="98"/>
      <c r="H389" s="98"/>
      <c r="I389" s="98"/>
      <c r="J389" s="105"/>
      <c r="K389" s="105"/>
      <c r="L389" s="70"/>
      <c r="M389" s="70"/>
      <c r="N389" s="70"/>
      <c r="O389" s="70"/>
      <c r="P389" s="103"/>
    </row>
    <row r="390" spans="1:16" x14ac:dyDescent="0.2">
      <c r="A390" s="103"/>
      <c r="B390" s="103"/>
      <c r="C390" s="774" t="s">
        <v>846</v>
      </c>
      <c r="D390" s="776"/>
      <c r="E390" s="19"/>
      <c r="F390" s="357"/>
      <c r="G390" s="357"/>
      <c r="H390" s="357"/>
      <c r="I390" s="357"/>
      <c r="J390" s="357"/>
      <c r="K390" s="357"/>
      <c r="L390" s="357"/>
      <c r="M390" s="357"/>
      <c r="N390" s="70"/>
      <c r="O390" s="470">
        <f>IF(E390&lt;&gt;"",1,0)</f>
        <v>0</v>
      </c>
      <c r="P390" s="103"/>
    </row>
    <row r="391" spans="1:16" x14ac:dyDescent="0.2">
      <c r="A391" s="103"/>
      <c r="B391" s="103"/>
      <c r="C391" s="774" t="s">
        <v>586</v>
      </c>
      <c r="D391" s="776"/>
      <c r="E391" s="19"/>
      <c r="F391" s="357"/>
      <c r="G391" s="806" t="str">
        <f>IF(H9="Minor",MsgNote &amp; VLOOKUP(H9,WarningMessages,2,FALSE),"")</f>
        <v/>
      </c>
      <c r="H391" s="806"/>
      <c r="I391" s="357"/>
      <c r="J391" s="357"/>
      <c r="K391" s="357"/>
      <c r="L391" s="357"/>
      <c r="M391" s="357"/>
      <c r="N391" s="70"/>
      <c r="O391" s="470">
        <f>IF(E391&lt;&gt;"",1,IF(G391&lt;&gt;"",1,0))</f>
        <v>0</v>
      </c>
      <c r="P391" s="103"/>
    </row>
    <row r="392" spans="1:16" x14ac:dyDescent="0.2">
      <c r="A392" s="103"/>
      <c r="B392" s="103"/>
      <c r="C392" s="99"/>
      <c r="D392" s="99"/>
      <c r="E392" s="99"/>
      <c r="F392" s="357"/>
      <c r="G392" s="357"/>
      <c r="H392" s="357"/>
      <c r="I392" s="357"/>
      <c r="J392" s="357"/>
      <c r="K392" s="357"/>
      <c r="L392" s="357"/>
      <c r="M392" s="357"/>
      <c r="N392" s="70"/>
      <c r="O392" s="70"/>
      <c r="P392" s="103"/>
    </row>
    <row r="393" spans="1:16" x14ac:dyDescent="0.2">
      <c r="A393" s="103"/>
      <c r="B393" s="103"/>
      <c r="C393" s="99"/>
      <c r="D393" s="99"/>
      <c r="E393" s="99"/>
      <c r="F393" s="357"/>
      <c r="G393" s="357"/>
      <c r="H393" s="357"/>
      <c r="I393" s="357"/>
      <c r="J393" s="357"/>
      <c r="K393" s="357"/>
      <c r="L393" s="357"/>
      <c r="M393" s="357"/>
      <c r="N393" s="70"/>
      <c r="O393" s="70"/>
      <c r="P393" s="103"/>
    </row>
    <row r="394" spans="1:16" ht="15.75" x14ac:dyDescent="0.2">
      <c r="A394" s="103"/>
      <c r="B394" s="103"/>
      <c r="C394" s="96" t="s">
        <v>215</v>
      </c>
      <c r="D394" s="104"/>
      <c r="E394" s="104"/>
      <c r="F394" s="104"/>
      <c r="G394" s="104"/>
      <c r="H394" s="104"/>
      <c r="I394" s="104"/>
      <c r="J394" s="104"/>
      <c r="K394" s="104"/>
      <c r="L394" s="104"/>
      <c r="M394" s="104"/>
      <c r="N394" s="104"/>
      <c r="O394" s="104"/>
      <c r="P394" s="104"/>
    </row>
    <row r="395" spans="1:16" x14ac:dyDescent="0.2">
      <c r="A395" s="358"/>
      <c r="B395" s="358"/>
      <c r="C395" s="99"/>
      <c r="D395" s="99"/>
      <c r="E395" s="99"/>
      <c r="F395" s="98"/>
      <c r="G395" s="98"/>
      <c r="H395" s="98"/>
      <c r="I395" s="98"/>
      <c r="J395" s="105"/>
      <c r="K395" s="105"/>
      <c r="L395" s="70"/>
      <c r="M395" s="70"/>
      <c r="N395" s="70"/>
      <c r="O395" s="70"/>
      <c r="P395" s="103"/>
    </row>
    <row r="396" spans="1:16" x14ac:dyDescent="0.2">
      <c r="A396" s="103"/>
      <c r="B396" s="103"/>
      <c r="C396" s="774" t="s">
        <v>587</v>
      </c>
      <c r="D396" s="776"/>
      <c r="E396" s="18"/>
      <c r="F396" s="98"/>
      <c r="G396" s="92" t="s">
        <v>420</v>
      </c>
      <c r="H396" s="30" t="str">
        <f>IF('0. Title'!E39&lt;&gt;"",'0. Title'!E39,"")</f>
        <v/>
      </c>
      <c r="I396" s="98"/>
      <c r="J396" s="92" t="s">
        <v>893</v>
      </c>
      <c r="K396" s="77"/>
      <c r="L396" s="357"/>
      <c r="M396" s="98"/>
      <c r="N396" s="470">
        <f>IF(K396="Yes",1,0)</f>
        <v>0</v>
      </c>
      <c r="O396" s="470">
        <f>IF(OR(H397&lt;&gt;"Cost-minimisation",AND(E396&lt;&gt;"",H397="Cost-minimisation")),1,0)</f>
        <v>1</v>
      </c>
      <c r="P396" s="103"/>
    </row>
    <row r="397" spans="1:16" x14ac:dyDescent="0.2">
      <c r="A397" s="103"/>
      <c r="B397" s="103"/>
      <c r="C397" s="99"/>
      <c r="D397" s="99"/>
      <c r="E397" s="99"/>
      <c r="F397" s="98"/>
      <c r="G397" s="92" t="s">
        <v>895</v>
      </c>
      <c r="H397" s="266"/>
      <c r="I397" s="98"/>
      <c r="J397" s="92" t="s">
        <v>894</v>
      </c>
      <c r="K397" s="77"/>
      <c r="L397" s="357"/>
      <c r="M397" s="98"/>
      <c r="N397" s="470">
        <f>IF(K397="Yes",1,0)</f>
        <v>0</v>
      </c>
      <c r="O397" s="470">
        <f>IF(K396&lt;&gt;"",1,0)</f>
        <v>0</v>
      </c>
      <c r="P397" s="103"/>
    </row>
    <row r="398" spans="1:16" x14ac:dyDescent="0.2">
      <c r="A398" s="103"/>
      <c r="B398" s="103"/>
      <c r="C398" s="99"/>
      <c r="D398" s="99"/>
      <c r="E398" s="99"/>
      <c r="F398" s="98"/>
      <c r="G398" s="98"/>
      <c r="H398" s="98"/>
      <c r="I398" s="98"/>
      <c r="J398" s="92" t="s">
        <v>588</v>
      </c>
      <c r="K398" s="762"/>
      <c r="L398" s="357"/>
      <c r="M398" s="98"/>
      <c r="N398" s="470">
        <f>IF(K398="Yes",1,0)</f>
        <v>0</v>
      </c>
      <c r="O398" s="470">
        <f>IF(OR(AND(K397="No",K398=""),AND(K397&lt;&gt;"",K398&lt;&gt;"")),1,0)</f>
        <v>0</v>
      </c>
      <c r="P398" s="103"/>
    </row>
    <row r="399" spans="1:16" x14ac:dyDescent="0.2">
      <c r="A399" s="103"/>
      <c r="B399" s="103"/>
      <c r="C399" s="99"/>
      <c r="D399" s="99"/>
      <c r="E399" s="99"/>
      <c r="F399" s="98"/>
      <c r="G399" s="98"/>
      <c r="H399" s="98"/>
      <c r="I399" s="98"/>
      <c r="J399" s="761" t="s">
        <v>1311</v>
      </c>
      <c r="K399" s="808"/>
      <c r="L399" s="808"/>
      <c r="M399" s="98"/>
      <c r="N399" s="70"/>
      <c r="O399" s="70"/>
      <c r="P399" s="103"/>
    </row>
    <row r="400" spans="1:16" x14ac:dyDescent="0.2">
      <c r="A400" s="103"/>
      <c r="B400" s="103"/>
      <c r="C400" s="99"/>
      <c r="D400" s="99"/>
      <c r="E400" s="99"/>
      <c r="F400" s="98"/>
      <c r="G400" s="98"/>
      <c r="H400" s="98"/>
      <c r="I400" s="98"/>
      <c r="J400" s="98"/>
      <c r="K400" s="98"/>
      <c r="L400" s="357"/>
      <c r="M400" s="98"/>
      <c r="N400" s="70"/>
      <c r="O400" s="70"/>
      <c r="P400" s="103"/>
    </row>
    <row r="401" spans="1:16" ht="15.75" x14ac:dyDescent="0.2">
      <c r="A401" s="103"/>
      <c r="B401" s="103"/>
      <c r="C401" s="96" t="s">
        <v>216</v>
      </c>
      <c r="D401" s="104"/>
      <c r="E401" s="104"/>
      <c r="F401" s="104"/>
      <c r="G401" s="104"/>
      <c r="H401" s="104"/>
      <c r="I401" s="104"/>
      <c r="J401" s="104"/>
      <c r="K401" s="104"/>
      <c r="L401" s="104"/>
      <c r="M401" s="104"/>
      <c r="N401" s="104"/>
      <c r="O401" s="104"/>
      <c r="P401" s="104"/>
    </row>
    <row r="402" spans="1:16" x14ac:dyDescent="0.2">
      <c r="A402" s="358"/>
      <c r="B402" s="358"/>
      <c r="C402" s="99"/>
      <c r="D402" s="99"/>
      <c r="E402" s="99"/>
      <c r="F402" s="98"/>
      <c r="G402" s="98"/>
      <c r="H402" s="98"/>
      <c r="I402" s="98"/>
      <c r="J402" s="105"/>
      <c r="K402" s="105"/>
      <c r="L402" s="70"/>
      <c r="M402" s="70"/>
      <c r="N402" s="70"/>
      <c r="O402" s="70"/>
      <c r="P402" s="103"/>
    </row>
    <row r="403" spans="1:16" x14ac:dyDescent="0.2">
      <c r="A403" s="103"/>
      <c r="B403" s="103"/>
      <c r="C403" s="774" t="s">
        <v>733</v>
      </c>
      <c r="D403" s="776"/>
      <c r="E403" s="509"/>
      <c r="F403" s="98"/>
      <c r="G403" s="92" t="s">
        <v>732</v>
      </c>
      <c r="H403" s="20"/>
      <c r="I403" s="98"/>
      <c r="J403" s="810" t="str">
        <f>IF(N403=1,MsgNote &amp; VLOOKUP("PxPop",WarningMessages,2,FALSE),"")</f>
        <v>Note: patient number derived from population</v>
      </c>
      <c r="K403" s="811"/>
      <c r="L403" s="357"/>
      <c r="M403" s="98"/>
      <c r="N403" s="470">
        <f>IF(AND(H396&lt;&gt;"Epidemiology",H397&lt;&gt;"Price change"),1,0)</f>
        <v>1</v>
      </c>
      <c r="O403" s="99"/>
      <c r="P403" s="103"/>
    </row>
    <row r="404" spans="1:16" x14ac:dyDescent="0.2">
      <c r="A404" s="103"/>
      <c r="B404" s="103"/>
      <c r="C404" s="99"/>
      <c r="D404" s="99"/>
      <c r="E404" s="99"/>
      <c r="F404" s="98"/>
      <c r="G404" s="98"/>
      <c r="H404" s="98"/>
      <c r="I404" s="98"/>
      <c r="J404" s="98"/>
      <c r="K404" s="98"/>
      <c r="L404" s="357"/>
      <c r="M404" s="98"/>
      <c r="N404" s="70"/>
      <c r="O404" s="70"/>
      <c r="P404" s="103"/>
    </row>
    <row r="405" spans="1:16" x14ac:dyDescent="0.2">
      <c r="A405" s="103"/>
      <c r="B405" s="103"/>
      <c r="C405" s="774" t="s">
        <v>591</v>
      </c>
      <c r="D405" s="776"/>
      <c r="E405" s="509"/>
      <c r="F405" s="98"/>
      <c r="G405" s="92" t="s">
        <v>589</v>
      </c>
      <c r="H405" s="77"/>
      <c r="I405" s="98"/>
      <c r="J405" s="92" t="s">
        <v>590</v>
      </c>
      <c r="K405" s="289">
        <f>IF(N409=0,'3b. Impact - proposed (pub)'!J274,K417)</f>
        <v>0</v>
      </c>
      <c r="L405" s="357"/>
      <c r="M405" s="98"/>
      <c r="N405" s="470" t="str">
        <f>IFERROR(VLOOKUP(H405,CalculationMethodCode,2,FALSE),"")</f>
        <v/>
      </c>
      <c r="O405" s="470">
        <f>IF(H405&lt;&gt;"",1,0)</f>
        <v>0</v>
      </c>
      <c r="P405" s="103"/>
    </row>
    <row r="406" spans="1:16" x14ac:dyDescent="0.2">
      <c r="A406" s="103"/>
      <c r="B406" s="103"/>
      <c r="C406" s="99"/>
      <c r="D406" s="99"/>
      <c r="E406" s="99"/>
      <c r="F406" s="98"/>
      <c r="G406" s="98"/>
      <c r="H406" s="98"/>
      <c r="I406" s="98"/>
      <c r="J406" s="98"/>
      <c r="K406" s="98"/>
      <c r="L406" s="357"/>
      <c r="M406" s="98"/>
      <c r="N406" s="70"/>
      <c r="O406" s="70"/>
      <c r="P406" s="103"/>
    </row>
    <row r="407" spans="1:16" x14ac:dyDescent="0.2">
      <c r="A407" s="103"/>
      <c r="B407" s="103"/>
      <c r="C407" s="99"/>
      <c r="D407" s="99"/>
      <c r="E407" s="99"/>
      <c r="F407" s="98"/>
      <c r="G407" s="359" t="str">
        <f>"Scripts / " &amp; IF(N405=1,"year","course")</f>
        <v>Scripts / course</v>
      </c>
      <c r="H407" s="20"/>
      <c r="I407" s="98"/>
      <c r="J407" s="92" t="s">
        <v>592</v>
      </c>
      <c r="K407" s="289">
        <f>IF(N409=0,'3c. Impact - proposed (eff)'!J274,L417)</f>
        <v>0</v>
      </c>
      <c r="L407" s="357"/>
      <c r="M407" s="98"/>
      <c r="N407" s="70"/>
      <c r="O407" s="470">
        <f>IF(AND(E405&lt;&gt;"",H407&lt;&gt;""),1,0)</f>
        <v>0</v>
      </c>
      <c r="P407" s="103"/>
    </row>
    <row r="408" spans="1:16" x14ac:dyDescent="0.2">
      <c r="A408" s="103"/>
      <c r="B408" s="103"/>
      <c r="C408" s="358"/>
      <c r="D408" s="358"/>
      <c r="E408" s="358"/>
      <c r="F408" s="98"/>
      <c r="G408" s="98"/>
      <c r="H408" s="98"/>
      <c r="I408" s="98"/>
      <c r="J408" s="98"/>
      <c r="K408" s="98"/>
      <c r="L408" s="357"/>
      <c r="M408" s="98"/>
      <c r="N408" s="103"/>
      <c r="O408" s="470">
        <f>SUM(O405:O407)+SUM(O396:O398)+SUM(O390:O391)+O62+SUM(O51:O57)+O45+SUM(O7:O9)</f>
        <v>1</v>
      </c>
      <c r="P408" s="103"/>
    </row>
    <row r="409" spans="1:16" s="416" customFormat="1" x14ac:dyDescent="0.2">
      <c r="A409" s="103"/>
      <c r="B409" s="103"/>
      <c r="C409" s="358"/>
      <c r="D409" s="358"/>
      <c r="E409" s="358"/>
      <c r="F409" s="357"/>
      <c r="I409" s="357"/>
      <c r="J409" s="598" t="s">
        <v>1181</v>
      </c>
      <c r="K409" s="360"/>
      <c r="L409" s="357"/>
      <c r="M409" s="357"/>
      <c r="N409" s="470">
        <f>IF(K409="Yes",1,0)</f>
        <v>0</v>
      </c>
      <c r="O409" s="592"/>
      <c r="P409" s="103"/>
    </row>
    <row r="410" spans="1:16" s="416" customFormat="1" x14ac:dyDescent="0.2">
      <c r="A410" s="103"/>
      <c r="B410" s="103"/>
      <c r="C410" s="358"/>
      <c r="D410" s="358"/>
      <c r="E410" s="358"/>
      <c r="F410" s="357"/>
      <c r="G410" s="357"/>
      <c r="H410" s="357"/>
      <c r="I410" s="357"/>
      <c r="J410" s="357"/>
      <c r="K410" s="357"/>
      <c r="L410" s="357"/>
      <c r="M410" s="357"/>
      <c r="N410" s="103"/>
      <c r="O410" s="592"/>
      <c r="P410" s="103"/>
    </row>
    <row r="411" spans="1:16" x14ac:dyDescent="0.2">
      <c r="A411" s="103"/>
      <c r="B411" s="103"/>
      <c r="C411" s="358"/>
      <c r="D411" s="358"/>
      <c r="E411" s="358"/>
      <c r="F411" s="98"/>
      <c r="G411" s="809" t="s">
        <v>815</v>
      </c>
      <c r="H411" s="809"/>
      <c r="I411" s="809"/>
      <c r="J411" s="600" t="str">
        <f>"Scripts / " &amp; IF(N405=1,"year","course")</f>
        <v>Scripts / course</v>
      </c>
      <c r="K411" s="599" t="s">
        <v>590</v>
      </c>
      <c r="L411" s="599" t="s">
        <v>592</v>
      </c>
      <c r="M411" s="357"/>
      <c r="N411" s="70"/>
      <c r="O411" s="70"/>
      <c r="P411" s="103"/>
    </row>
    <row r="412" spans="1:16" x14ac:dyDescent="0.2">
      <c r="A412" s="103"/>
      <c r="B412" s="103"/>
      <c r="C412" s="358"/>
      <c r="D412" s="358"/>
      <c r="E412" s="358"/>
      <c r="F412" s="357"/>
      <c r="G412" s="805"/>
      <c r="H412" s="805"/>
      <c r="I412" s="805"/>
      <c r="J412" s="597"/>
      <c r="K412" s="603"/>
      <c r="L412" s="602"/>
      <c r="M412" s="357"/>
      <c r="N412" s="70"/>
      <c r="O412" s="70"/>
      <c r="P412" s="103"/>
    </row>
    <row r="413" spans="1:16" x14ac:dyDescent="0.2">
      <c r="A413" s="103"/>
      <c r="B413" s="103"/>
      <c r="C413" s="358"/>
      <c r="D413" s="358"/>
      <c r="E413" s="358"/>
      <c r="F413" s="357"/>
      <c r="G413" s="805"/>
      <c r="H413" s="805"/>
      <c r="I413" s="805"/>
      <c r="J413" s="597"/>
      <c r="K413" s="603"/>
      <c r="L413" s="602"/>
      <c r="M413" s="357"/>
      <c r="N413" s="70"/>
      <c r="O413" s="70"/>
      <c r="P413" s="103"/>
    </row>
    <row r="414" spans="1:16" x14ac:dyDescent="0.2">
      <c r="A414" s="103"/>
      <c r="B414" s="103"/>
      <c r="C414" s="358"/>
      <c r="D414" s="358"/>
      <c r="E414" s="358"/>
      <c r="F414" s="357"/>
      <c r="G414" s="805"/>
      <c r="H414" s="805"/>
      <c r="I414" s="805"/>
      <c r="J414" s="597"/>
      <c r="K414" s="603"/>
      <c r="L414" s="602"/>
      <c r="M414" s="357"/>
      <c r="N414" s="70"/>
      <c r="O414" s="70"/>
      <c r="P414" s="103"/>
    </row>
    <row r="415" spans="1:16" x14ac:dyDescent="0.2">
      <c r="A415" s="103"/>
      <c r="B415" s="103"/>
      <c r="C415" s="358"/>
      <c r="D415" s="358"/>
      <c r="E415" s="358"/>
      <c r="F415" s="357"/>
      <c r="G415" s="805"/>
      <c r="H415" s="805"/>
      <c r="I415" s="805"/>
      <c r="J415" s="597"/>
      <c r="K415" s="603"/>
      <c r="L415" s="602"/>
      <c r="M415" s="357"/>
      <c r="N415" s="70"/>
      <c r="O415" s="70"/>
      <c r="P415" s="103"/>
    </row>
    <row r="416" spans="1:16" x14ac:dyDescent="0.2">
      <c r="A416" s="103"/>
      <c r="B416" s="103"/>
      <c r="C416" s="358"/>
      <c r="D416" s="358"/>
      <c r="E416" s="358"/>
      <c r="F416" s="357"/>
      <c r="G416" s="805"/>
      <c r="H416" s="805"/>
      <c r="I416" s="805"/>
      <c r="J416" s="597"/>
      <c r="K416" s="603"/>
      <c r="L416" s="602"/>
      <c r="M416" s="357"/>
      <c r="N416" s="70"/>
      <c r="O416" s="70"/>
      <c r="P416" s="103"/>
    </row>
    <row r="417" spans="1:16" s="416" customFormat="1" x14ac:dyDescent="0.2">
      <c r="A417" s="103"/>
      <c r="B417" s="103"/>
      <c r="C417" s="358"/>
      <c r="D417" s="358"/>
      <c r="E417" s="358"/>
      <c r="F417" s="357"/>
      <c r="G417" s="357"/>
      <c r="H417" s="357"/>
      <c r="I417" s="357"/>
      <c r="J417" s="601" t="s">
        <v>73</v>
      </c>
      <c r="K417" s="604">
        <f>SUMPRODUCT(J412:J416,K412:K416)</f>
        <v>0</v>
      </c>
      <c r="L417" s="604">
        <f>SUMPRODUCT(J412:J416,L412:L416)</f>
        <v>0</v>
      </c>
      <c r="M417" s="357"/>
      <c r="N417" s="70"/>
      <c r="O417" s="70"/>
      <c r="P417" s="103"/>
    </row>
    <row r="418" spans="1:16" x14ac:dyDescent="0.2">
      <c r="A418" s="103"/>
      <c r="B418" s="103"/>
      <c r="C418" s="358"/>
      <c r="D418" s="358"/>
      <c r="E418" s="358"/>
      <c r="F418" s="357"/>
      <c r="G418" s="357"/>
      <c r="H418" s="357"/>
      <c r="I418" s="357"/>
      <c r="J418" s="357"/>
      <c r="K418" s="357"/>
      <c r="L418" s="357"/>
      <c r="M418" s="357"/>
      <c r="N418" s="70"/>
      <c r="O418" s="70"/>
      <c r="P418" s="103"/>
    </row>
    <row r="419" spans="1:16" ht="15.75" x14ac:dyDescent="0.2">
      <c r="A419" s="103"/>
      <c r="B419" s="103"/>
      <c r="C419" s="96"/>
      <c r="D419" s="104"/>
      <c r="E419" s="104"/>
      <c r="F419" s="104"/>
      <c r="G419" s="104"/>
      <c r="H419" s="104"/>
      <c r="I419" s="104"/>
      <c r="J419" s="104"/>
      <c r="K419" s="104"/>
      <c r="L419" s="104"/>
      <c r="M419" s="104"/>
      <c r="N419" s="104"/>
      <c r="O419" s="104"/>
      <c r="P419" s="104"/>
    </row>
    <row r="420" spans="1:16" x14ac:dyDescent="0.2">
      <c r="A420" s="103"/>
      <c r="B420" s="103"/>
      <c r="C420" s="103"/>
      <c r="D420" s="103"/>
      <c r="E420" s="103"/>
      <c r="F420" s="103"/>
      <c r="G420" s="103"/>
      <c r="H420" s="103"/>
      <c r="I420" s="103"/>
      <c r="J420" s="103"/>
      <c r="K420" s="103"/>
      <c r="L420" s="103"/>
      <c r="M420" s="103"/>
      <c r="N420" s="103"/>
      <c r="O420" s="103"/>
      <c r="P420" s="103"/>
    </row>
    <row r="421" spans="1:16" x14ac:dyDescent="0.2">
      <c r="A421" s="103"/>
      <c r="B421" s="103"/>
      <c r="C421" s="626"/>
      <c r="D421" s="626"/>
      <c r="E421" s="103"/>
      <c r="F421" s="103"/>
      <c r="G421" s="615"/>
      <c r="H421" s="615"/>
      <c r="I421" s="103"/>
      <c r="J421" s="103"/>
      <c r="K421" s="103"/>
      <c r="L421" s="103"/>
      <c r="M421" s="103"/>
      <c r="N421" s="103"/>
      <c r="O421" s="103"/>
      <c r="P421" s="103"/>
    </row>
    <row r="422" spans="1:16" x14ac:dyDescent="0.2">
      <c r="A422" s="103"/>
      <c r="B422" s="103"/>
      <c r="C422" s="626"/>
      <c r="D422" s="626"/>
      <c r="E422" s="103"/>
      <c r="F422" s="103"/>
      <c r="G422" s="615"/>
      <c r="H422" s="615"/>
      <c r="I422" s="103"/>
      <c r="J422" s="103"/>
      <c r="K422" s="103"/>
      <c r="L422" s="103"/>
      <c r="M422" s="103"/>
      <c r="N422" s="103"/>
      <c r="O422" s="103"/>
      <c r="P422" s="103"/>
    </row>
    <row r="423" spans="1:16" ht="12.75" customHeight="1" x14ac:dyDescent="0.2">
      <c r="A423" s="615"/>
      <c r="B423" s="615"/>
      <c r="C423" s="615"/>
      <c r="D423" s="615"/>
      <c r="E423" s="615"/>
      <c r="F423" s="615"/>
      <c r="G423" s="615"/>
      <c r="H423" s="615"/>
      <c r="I423" s="615"/>
      <c r="J423" s="615"/>
      <c r="K423" s="615"/>
      <c r="L423" s="615"/>
      <c r="M423" s="615"/>
      <c r="N423" s="615"/>
      <c r="O423" s="615"/>
      <c r="P423" s="615"/>
    </row>
    <row r="424" spans="1:16" ht="12.75" customHeight="1" x14ac:dyDescent="0.2">
      <c r="A424" s="615"/>
      <c r="O424" s="365"/>
    </row>
    <row r="425" spans="1:16" ht="12.75" customHeight="1" x14ac:dyDescent="0.2">
      <c r="A425" s="615"/>
      <c r="O425" s="365"/>
    </row>
    <row r="426" spans="1:16" ht="12.75" customHeight="1" x14ac:dyDescent="0.2">
      <c r="A426" s="615"/>
      <c r="O426" s="365"/>
    </row>
    <row r="427" spans="1:16" ht="12.75" customHeight="1" x14ac:dyDescent="0.2">
      <c r="A427" s="615"/>
      <c r="O427" s="365"/>
    </row>
    <row r="428" spans="1:16" ht="12.75" customHeight="1" x14ac:dyDescent="0.2">
      <c r="A428" s="615"/>
      <c r="O428" s="365"/>
    </row>
    <row r="429" spans="1:16" ht="12.75" customHeight="1" x14ac:dyDescent="0.2">
      <c r="A429" s="615"/>
      <c r="O429" s="365"/>
    </row>
    <row r="430" spans="1:16" ht="12.75" customHeight="1" x14ac:dyDescent="0.2">
      <c r="A430" s="615"/>
      <c r="O430" s="365"/>
    </row>
    <row r="431" spans="1:16" ht="12.75" customHeight="1" x14ac:dyDescent="0.2">
      <c r="A431" s="615"/>
      <c r="O431" s="365"/>
    </row>
    <row r="432" spans="1:16" ht="12.75" customHeight="1" x14ac:dyDescent="0.2">
      <c r="A432" s="615"/>
      <c r="O432" s="365"/>
    </row>
    <row r="433" spans="1:15" ht="12.75" customHeight="1" x14ac:dyDescent="0.2">
      <c r="A433" s="615"/>
      <c r="O433" s="365"/>
    </row>
    <row r="434" spans="1:15" ht="12.75" customHeight="1" x14ac:dyDescent="0.2">
      <c r="A434" s="615"/>
      <c r="O434" s="365"/>
    </row>
    <row r="435" spans="1:15" ht="12.75" customHeight="1" x14ac:dyDescent="0.2">
      <c r="A435" s="615"/>
      <c r="O435" s="365"/>
    </row>
    <row r="436" spans="1:15" ht="12.75" customHeight="1" x14ac:dyDescent="0.2">
      <c r="A436" s="615"/>
      <c r="O436" s="365"/>
    </row>
    <row r="437" spans="1:15" ht="12.75" customHeight="1" x14ac:dyDescent="0.2">
      <c r="A437" s="615"/>
      <c r="O437" s="365"/>
    </row>
    <row r="438" spans="1:15" ht="12.75" customHeight="1" x14ac:dyDescent="0.2">
      <c r="A438" s="615"/>
      <c r="O438" s="365"/>
    </row>
    <row r="439" spans="1:15" ht="12.75" customHeight="1" x14ac:dyDescent="0.2">
      <c r="A439" s="615"/>
      <c r="O439" s="365"/>
    </row>
    <row r="440" spans="1:15" ht="12.75" customHeight="1" x14ac:dyDescent="0.2">
      <c r="A440" s="615"/>
      <c r="O440" s="365"/>
    </row>
    <row r="441" spans="1:15" ht="12.75" customHeight="1" x14ac:dyDescent="0.2">
      <c r="A441" s="615"/>
      <c r="O441" s="365"/>
    </row>
    <row r="442" spans="1:15" ht="12.75" customHeight="1" x14ac:dyDescent="0.2">
      <c r="A442" s="615"/>
      <c r="O442" s="365"/>
    </row>
    <row r="443" spans="1:15" ht="12.75" customHeight="1" x14ac:dyDescent="0.2">
      <c r="O443" s="365"/>
    </row>
    <row r="444" spans="1:15" ht="12.75" customHeight="1" x14ac:dyDescent="0.2">
      <c r="O444" s="365"/>
    </row>
    <row r="445" spans="1:15" ht="12.75" customHeight="1" x14ac:dyDescent="0.2">
      <c r="O445" s="365"/>
    </row>
    <row r="446" spans="1:15" ht="12.75" customHeight="1" x14ac:dyDescent="0.2">
      <c r="O446" s="365"/>
    </row>
    <row r="447" spans="1:15" ht="12.75" customHeight="1" x14ac:dyDescent="0.2">
      <c r="O447" s="365"/>
    </row>
    <row r="448" spans="1:15" ht="12.75" customHeight="1" x14ac:dyDescent="0.2">
      <c r="O448" s="365"/>
    </row>
    <row r="449" spans="15:15" ht="12.75" customHeight="1" x14ac:dyDescent="0.2">
      <c r="O449" s="365"/>
    </row>
    <row r="450" spans="15:15" ht="12.75" customHeight="1" x14ac:dyDescent="0.2">
      <c r="O450" s="365"/>
    </row>
    <row r="451" spans="15:15" ht="12.75" customHeight="1" x14ac:dyDescent="0.2">
      <c r="O451" s="365"/>
    </row>
    <row r="452" spans="15:15" ht="12.75" customHeight="1" x14ac:dyDescent="0.2">
      <c r="O452" s="365"/>
    </row>
    <row r="453" spans="15:15" ht="12.75" customHeight="1" x14ac:dyDescent="0.2">
      <c r="O453" s="365"/>
    </row>
    <row r="454" spans="15:15" ht="12.75" customHeight="1" x14ac:dyDescent="0.2">
      <c r="O454" s="365"/>
    </row>
    <row r="455" spans="15:15" ht="12.75" customHeight="1" x14ac:dyDescent="0.2">
      <c r="O455" s="365"/>
    </row>
    <row r="456" spans="15:15" ht="12.75" customHeight="1" x14ac:dyDescent="0.2">
      <c r="O456" s="365"/>
    </row>
    <row r="457" spans="15:15" ht="12.75" customHeight="1" x14ac:dyDescent="0.2">
      <c r="O457" s="365"/>
    </row>
    <row r="458" spans="15:15" ht="12.75" customHeight="1" x14ac:dyDescent="0.2">
      <c r="O458" s="365"/>
    </row>
    <row r="459" spans="15:15" ht="12.75" customHeight="1" x14ac:dyDescent="0.2">
      <c r="O459" s="365"/>
    </row>
    <row r="460" spans="15:15" ht="12.75" customHeight="1" x14ac:dyDescent="0.2">
      <c r="O460" s="365"/>
    </row>
    <row r="461" spans="15:15" ht="12.75" customHeight="1" x14ac:dyDescent="0.2">
      <c r="O461" s="365"/>
    </row>
    <row r="462" spans="15:15" ht="12.75" customHeight="1" x14ac:dyDescent="0.2">
      <c r="O462" s="365"/>
    </row>
    <row r="463" spans="15:15" ht="12.75" customHeight="1" x14ac:dyDescent="0.2">
      <c r="O463" s="365"/>
    </row>
    <row r="464" spans="15:15" ht="12.75" customHeight="1" x14ac:dyDescent="0.2">
      <c r="O464" s="365"/>
    </row>
    <row r="465" spans="15:15" ht="12.75" customHeight="1" x14ac:dyDescent="0.2">
      <c r="O465" s="365"/>
    </row>
    <row r="466" spans="15:15" ht="12.75" customHeight="1" x14ac:dyDescent="0.2">
      <c r="O466" s="365"/>
    </row>
    <row r="467" spans="15:15" ht="12.75" customHeight="1" x14ac:dyDescent="0.2">
      <c r="O467" s="365"/>
    </row>
    <row r="468" spans="15:15" ht="12.75" customHeight="1" x14ac:dyDescent="0.2">
      <c r="O468" s="365"/>
    </row>
    <row r="469" spans="15:15" ht="12.75" customHeight="1" x14ac:dyDescent="0.2">
      <c r="O469" s="365"/>
    </row>
    <row r="470" spans="15:15" ht="12.75" customHeight="1" x14ac:dyDescent="0.2">
      <c r="O470" s="365"/>
    </row>
    <row r="471" spans="15:15" ht="12.75" customHeight="1" x14ac:dyDescent="0.2">
      <c r="O471" s="365"/>
    </row>
    <row r="472" spans="15:15" ht="12.75" customHeight="1" x14ac:dyDescent="0.2">
      <c r="O472" s="365"/>
    </row>
    <row r="473" spans="15:15" ht="12.75" customHeight="1" x14ac:dyDescent="0.2">
      <c r="O473" s="365"/>
    </row>
    <row r="474" spans="15:15" ht="12.75" customHeight="1" x14ac:dyDescent="0.2">
      <c r="O474" s="365"/>
    </row>
    <row r="475" spans="15:15" ht="12.75" customHeight="1" x14ac:dyDescent="0.2">
      <c r="O475" s="365"/>
    </row>
    <row r="476" spans="15:15" ht="12.75" customHeight="1" x14ac:dyDescent="0.2">
      <c r="O476" s="365"/>
    </row>
    <row r="477" spans="15:15" ht="12.75" customHeight="1" x14ac:dyDescent="0.2">
      <c r="O477" s="365"/>
    </row>
    <row r="478" spans="15:15" ht="12.75" customHeight="1" x14ac:dyDescent="0.2">
      <c r="O478" s="365"/>
    </row>
    <row r="479" spans="15:15" ht="12.75" customHeight="1" x14ac:dyDescent="0.2">
      <c r="O479" s="365"/>
    </row>
    <row r="480" spans="15:15" ht="12.75" customHeight="1" x14ac:dyDescent="0.2">
      <c r="O480" s="365"/>
    </row>
    <row r="481" spans="15:15" ht="12.75" customHeight="1" x14ac:dyDescent="0.2">
      <c r="O481" s="365"/>
    </row>
    <row r="482" spans="15:15" ht="12.75" customHeight="1" x14ac:dyDescent="0.2">
      <c r="O482" s="365"/>
    </row>
    <row r="483" spans="15:15" ht="12.75" customHeight="1" x14ac:dyDescent="0.2">
      <c r="O483" s="365"/>
    </row>
    <row r="484" spans="15:15" ht="12.75" customHeight="1" x14ac:dyDescent="0.2">
      <c r="O484" s="365"/>
    </row>
    <row r="485" spans="15:15" ht="12.75" customHeight="1" x14ac:dyDescent="0.2">
      <c r="O485" s="365"/>
    </row>
    <row r="486" spans="15:15" ht="12.75" customHeight="1" x14ac:dyDescent="0.2">
      <c r="O486" s="365"/>
    </row>
    <row r="487" spans="15:15" ht="12.75" customHeight="1" x14ac:dyDescent="0.2">
      <c r="O487" s="365"/>
    </row>
    <row r="488" spans="15:15" ht="12.75" customHeight="1" x14ac:dyDescent="0.2">
      <c r="O488" s="365"/>
    </row>
    <row r="489" spans="15:15" ht="12.75" customHeight="1" x14ac:dyDescent="0.2">
      <c r="O489" s="365"/>
    </row>
    <row r="490" spans="15:15" ht="12.75" customHeight="1" x14ac:dyDescent="0.2">
      <c r="O490" s="365"/>
    </row>
    <row r="491" spans="15:15" ht="12.75" customHeight="1" x14ac:dyDescent="0.2">
      <c r="O491" s="365"/>
    </row>
    <row r="492" spans="15:15" ht="12.75" customHeight="1" x14ac:dyDescent="0.2">
      <c r="O492" s="365"/>
    </row>
    <row r="493" spans="15:15" ht="12.75" customHeight="1" x14ac:dyDescent="0.2">
      <c r="O493" s="365"/>
    </row>
    <row r="494" spans="15:15" ht="12.75" customHeight="1" x14ac:dyDescent="0.2">
      <c r="O494" s="365"/>
    </row>
    <row r="495" spans="15:15" ht="12.75" customHeight="1" x14ac:dyDescent="0.2">
      <c r="O495" s="365"/>
    </row>
    <row r="496" spans="15:15" ht="12.75" customHeight="1" x14ac:dyDescent="0.2">
      <c r="O496" s="365"/>
    </row>
    <row r="497" spans="15:15" ht="12.75" customHeight="1" x14ac:dyDescent="0.2">
      <c r="O497" s="365"/>
    </row>
    <row r="498" spans="15:15" ht="12.75" customHeight="1" x14ac:dyDescent="0.2">
      <c r="O498" s="365"/>
    </row>
    <row r="499" spans="15:15" ht="12.75" customHeight="1" x14ac:dyDescent="0.2">
      <c r="O499" s="365"/>
    </row>
    <row r="500" spans="15:15" ht="12.75" customHeight="1" x14ac:dyDescent="0.2">
      <c r="O500" s="365"/>
    </row>
    <row r="501" spans="15:15" ht="12.75" customHeight="1" x14ac:dyDescent="0.2">
      <c r="O501" s="365"/>
    </row>
    <row r="502" spans="15:15" ht="12.75" customHeight="1" x14ac:dyDescent="0.2">
      <c r="O502" s="365"/>
    </row>
    <row r="503" spans="15:15" ht="12.75" customHeight="1" x14ac:dyDescent="0.2">
      <c r="O503" s="365"/>
    </row>
    <row r="504" spans="15:15" ht="12.75" customHeight="1" x14ac:dyDescent="0.2">
      <c r="O504" s="365"/>
    </row>
    <row r="505" spans="15:15" ht="12.75" customHeight="1" x14ac:dyDescent="0.2">
      <c r="O505" s="365"/>
    </row>
    <row r="506" spans="15:15" ht="12.75" customHeight="1" x14ac:dyDescent="0.2">
      <c r="O506" s="365"/>
    </row>
    <row r="507" spans="15:15" ht="12.75" customHeight="1" x14ac:dyDescent="0.2">
      <c r="O507" s="365"/>
    </row>
    <row r="508" spans="15:15" ht="12.75" customHeight="1" x14ac:dyDescent="0.2">
      <c r="O508" s="365"/>
    </row>
    <row r="509" spans="15:15" ht="12.75" customHeight="1" x14ac:dyDescent="0.2">
      <c r="O509" s="365"/>
    </row>
    <row r="510" spans="15:15" ht="12.75" customHeight="1" x14ac:dyDescent="0.2">
      <c r="O510" s="365"/>
    </row>
    <row r="511" spans="15:15" ht="12.75" customHeight="1" x14ac:dyDescent="0.2">
      <c r="O511" s="365"/>
    </row>
    <row r="512" spans="15:15" ht="12.75" customHeight="1" x14ac:dyDescent="0.2">
      <c r="O512" s="365"/>
    </row>
    <row r="513" spans="15:15" ht="12.75" customHeight="1" x14ac:dyDescent="0.2">
      <c r="O513" s="365"/>
    </row>
    <row r="514" spans="15:15" ht="12.75" customHeight="1" x14ac:dyDescent="0.2">
      <c r="O514" s="365"/>
    </row>
    <row r="515" spans="15:15" ht="12.75" customHeight="1" x14ac:dyDescent="0.2">
      <c r="O515" s="365"/>
    </row>
    <row r="516" spans="15:15" ht="12.75" customHeight="1" x14ac:dyDescent="0.2">
      <c r="O516" s="365"/>
    </row>
    <row r="517" spans="15:15" ht="12.75" customHeight="1" x14ac:dyDescent="0.2">
      <c r="O517" s="365"/>
    </row>
    <row r="518" spans="15:15" ht="12.75" customHeight="1" x14ac:dyDescent="0.2">
      <c r="O518" s="365"/>
    </row>
    <row r="519" spans="15:15" ht="12.75" customHeight="1" x14ac:dyDescent="0.2">
      <c r="O519" s="365"/>
    </row>
    <row r="520" spans="15:15" ht="12.75" customHeight="1" x14ac:dyDescent="0.2">
      <c r="O520" s="365"/>
    </row>
    <row r="521" spans="15:15" ht="12.75" customHeight="1" x14ac:dyDescent="0.2">
      <c r="O521" s="365"/>
    </row>
    <row r="522" spans="15:15" ht="12.75" customHeight="1" x14ac:dyDescent="0.2">
      <c r="O522" s="365"/>
    </row>
    <row r="523" spans="15:15" ht="12.75" customHeight="1" x14ac:dyDescent="0.2">
      <c r="O523" s="365"/>
    </row>
  </sheetData>
  <sheetProtection selectLockedCells="1"/>
  <mergeCells count="246">
    <mergeCell ref="G416:I416"/>
    <mergeCell ref="G411:I411"/>
    <mergeCell ref="G412:I412"/>
    <mergeCell ref="G413:I413"/>
    <mergeCell ref="G414:I414"/>
    <mergeCell ref="C325:D325"/>
    <mergeCell ref="C341:D341"/>
    <mergeCell ref="C342:D342"/>
    <mergeCell ref="C343:D343"/>
    <mergeCell ref="C344:D344"/>
    <mergeCell ref="C345:D345"/>
    <mergeCell ref="C346:D346"/>
    <mergeCell ref="C347:D347"/>
    <mergeCell ref="C326:D326"/>
    <mergeCell ref="C327:D327"/>
    <mergeCell ref="C328:D328"/>
    <mergeCell ref="C329:D329"/>
    <mergeCell ref="C330:D330"/>
    <mergeCell ref="C331:D331"/>
    <mergeCell ref="C332:D332"/>
    <mergeCell ref="C335:E335"/>
    <mergeCell ref="C340:D340"/>
    <mergeCell ref="F376:K376"/>
    <mergeCell ref="J403:K403"/>
    <mergeCell ref="C314:D314"/>
    <mergeCell ref="C315:D315"/>
    <mergeCell ref="C316:D316"/>
    <mergeCell ref="C317:D317"/>
    <mergeCell ref="C320:E320"/>
    <mergeCell ref="G415:I415"/>
    <mergeCell ref="C391:D391"/>
    <mergeCell ref="G391:H391"/>
    <mergeCell ref="C357:D357"/>
    <mergeCell ref="C358:D358"/>
    <mergeCell ref="C359:D359"/>
    <mergeCell ref="C396:D396"/>
    <mergeCell ref="C403:D403"/>
    <mergeCell ref="F378:K378"/>
    <mergeCell ref="F379:K379"/>
    <mergeCell ref="C376:D376"/>
    <mergeCell ref="K399:L399"/>
    <mergeCell ref="C299:D299"/>
    <mergeCell ref="C300:D300"/>
    <mergeCell ref="C301:D301"/>
    <mergeCell ref="C302:D302"/>
    <mergeCell ref="C305:E305"/>
    <mergeCell ref="C310:D310"/>
    <mergeCell ref="C311:D311"/>
    <mergeCell ref="C312:D312"/>
    <mergeCell ref="C313:D313"/>
    <mergeCell ref="C284:D284"/>
    <mergeCell ref="C285:D285"/>
    <mergeCell ref="C286:D286"/>
    <mergeCell ref="C287:D287"/>
    <mergeCell ref="C290:E290"/>
    <mergeCell ref="C295:D295"/>
    <mergeCell ref="C296:D296"/>
    <mergeCell ref="C297:D297"/>
    <mergeCell ref="C298:D298"/>
    <mergeCell ref="J15:K15"/>
    <mergeCell ref="C362:D362"/>
    <mergeCell ref="C367:D367"/>
    <mergeCell ref="G367:H367"/>
    <mergeCell ref="C390:D390"/>
    <mergeCell ref="C382:D382"/>
    <mergeCell ref="C383:D383"/>
    <mergeCell ref="C384:D384"/>
    <mergeCell ref="C385:D385"/>
    <mergeCell ref="C360:D360"/>
    <mergeCell ref="C361:D361"/>
    <mergeCell ref="C375:D375"/>
    <mergeCell ref="F381:K381"/>
    <mergeCell ref="F382:K382"/>
    <mergeCell ref="F383:K383"/>
    <mergeCell ref="F375:K375"/>
    <mergeCell ref="F380:K380"/>
    <mergeCell ref="F384:K384"/>
    <mergeCell ref="F385:K385"/>
    <mergeCell ref="C236:D236"/>
    <mergeCell ref="C237:D237"/>
    <mergeCell ref="C227:D227"/>
    <mergeCell ref="C350:E350"/>
    <mergeCell ref="C356:D356"/>
    <mergeCell ref="C238:D238"/>
    <mergeCell ref="C239:D239"/>
    <mergeCell ref="C240:D240"/>
    <mergeCell ref="C241:D241"/>
    <mergeCell ref="C242:D242"/>
    <mergeCell ref="C245:E245"/>
    <mergeCell ref="C250:D250"/>
    <mergeCell ref="C251:D251"/>
    <mergeCell ref="C252:D252"/>
    <mergeCell ref="C255:D255"/>
    <mergeCell ref="C256:D256"/>
    <mergeCell ref="C257:D257"/>
    <mergeCell ref="C260:E260"/>
    <mergeCell ref="C265:D265"/>
    <mergeCell ref="C380:D380"/>
    <mergeCell ref="C381:D381"/>
    <mergeCell ref="C379:D379"/>
    <mergeCell ref="C355:D355"/>
    <mergeCell ref="E374:K374"/>
    <mergeCell ref="G372:H372"/>
    <mergeCell ref="F377:K377"/>
    <mergeCell ref="C266:D266"/>
    <mergeCell ref="C267:D267"/>
    <mergeCell ref="C268:D268"/>
    <mergeCell ref="C269:D269"/>
    <mergeCell ref="C270:D270"/>
    <mergeCell ref="C271:D271"/>
    <mergeCell ref="C272:D272"/>
    <mergeCell ref="C275:E275"/>
    <mergeCell ref="C280:D280"/>
    <mergeCell ref="C281:D281"/>
    <mergeCell ref="C282:D282"/>
    <mergeCell ref="C283:D283"/>
    <mergeCell ref="C191:D191"/>
    <mergeCell ref="C192:D192"/>
    <mergeCell ref="C193:D193"/>
    <mergeCell ref="C194:D194"/>
    <mergeCell ref="C212:D212"/>
    <mergeCell ref="C215:E215"/>
    <mergeCell ref="C197:D197"/>
    <mergeCell ref="C200:E200"/>
    <mergeCell ref="C205:D205"/>
    <mergeCell ref="C206:D206"/>
    <mergeCell ref="C207:D207"/>
    <mergeCell ref="C209:D209"/>
    <mergeCell ref="C210:D210"/>
    <mergeCell ref="C211:D211"/>
    <mergeCell ref="C195:D195"/>
    <mergeCell ref="C196:D196"/>
    <mergeCell ref="C226:D226"/>
    <mergeCell ref="C377:D377"/>
    <mergeCell ref="C378:D378"/>
    <mergeCell ref="C253:D253"/>
    <mergeCell ref="C254:D254"/>
    <mergeCell ref="C235:D235"/>
    <mergeCell ref="C190:D190"/>
    <mergeCell ref="C175:D175"/>
    <mergeCell ref="C176:D176"/>
    <mergeCell ref="C177:D177"/>
    <mergeCell ref="C178:D178"/>
    <mergeCell ref="C179:D179"/>
    <mergeCell ref="C180:D180"/>
    <mergeCell ref="C181:D181"/>
    <mergeCell ref="C182:D182"/>
    <mergeCell ref="C185:E185"/>
    <mergeCell ref="C220:D220"/>
    <mergeCell ref="C221:D221"/>
    <mergeCell ref="C222:D222"/>
    <mergeCell ref="C223:D223"/>
    <mergeCell ref="C224:D224"/>
    <mergeCell ref="C225:D225"/>
    <mergeCell ref="C230:E230"/>
    <mergeCell ref="C208:D208"/>
    <mergeCell ref="C160:D160"/>
    <mergeCell ref="C161:D161"/>
    <mergeCell ref="C162:D162"/>
    <mergeCell ref="C146:D146"/>
    <mergeCell ref="C147:D147"/>
    <mergeCell ref="C148:D148"/>
    <mergeCell ref="C149:D149"/>
    <mergeCell ref="C150:D150"/>
    <mergeCell ref="C151:D151"/>
    <mergeCell ref="C152:D152"/>
    <mergeCell ref="C155:E155"/>
    <mergeCell ref="C98:D98"/>
    <mergeCell ref="C85:D85"/>
    <mergeCell ref="C86:D86"/>
    <mergeCell ref="C87:D87"/>
    <mergeCell ref="C88:D88"/>
    <mergeCell ref="C91:D91"/>
    <mergeCell ref="C92:D92"/>
    <mergeCell ref="C95:E95"/>
    <mergeCell ref="C65:E65"/>
    <mergeCell ref="C68:D68"/>
    <mergeCell ref="C70:D70"/>
    <mergeCell ref="C71:D71"/>
    <mergeCell ref="C72:D72"/>
    <mergeCell ref="C76:D76"/>
    <mergeCell ref="C77:D77"/>
    <mergeCell ref="C83:D83"/>
    <mergeCell ref="C74:D74"/>
    <mergeCell ref="C75:D75"/>
    <mergeCell ref="C80:E80"/>
    <mergeCell ref="C7:D7"/>
    <mergeCell ref="C9:D9"/>
    <mergeCell ref="C30:D30"/>
    <mergeCell ref="C31:D31"/>
    <mergeCell ref="C32:D32"/>
    <mergeCell ref="C33:D33"/>
    <mergeCell ref="C8:D8"/>
    <mergeCell ref="G15:H15"/>
    <mergeCell ref="C45:D45"/>
    <mergeCell ref="G45:H45"/>
    <mergeCell ref="C145:D145"/>
    <mergeCell ref="C115:D115"/>
    <mergeCell ref="C116:D116"/>
    <mergeCell ref="C117:D117"/>
    <mergeCell ref="C135:D135"/>
    <mergeCell ref="C136:D136"/>
    <mergeCell ref="C137:D137"/>
    <mergeCell ref="C140:E140"/>
    <mergeCell ref="C130:D130"/>
    <mergeCell ref="C131:D131"/>
    <mergeCell ref="C132:D132"/>
    <mergeCell ref="C133:D133"/>
    <mergeCell ref="C134:D134"/>
    <mergeCell ref="J20:K20"/>
    <mergeCell ref="C57:D57"/>
    <mergeCell ref="C73:D73"/>
    <mergeCell ref="C51:D51"/>
    <mergeCell ref="C52:D52"/>
    <mergeCell ref="C53:D53"/>
    <mergeCell ref="C54:D54"/>
    <mergeCell ref="C55:D55"/>
    <mergeCell ref="C56:D56"/>
    <mergeCell ref="C34:D34"/>
    <mergeCell ref="C35:D35"/>
    <mergeCell ref="G46:H46"/>
    <mergeCell ref="C46:D46"/>
    <mergeCell ref="C100:D100"/>
    <mergeCell ref="C89:D89"/>
    <mergeCell ref="C90:D90"/>
    <mergeCell ref="C405:D405"/>
    <mergeCell ref="C106:D106"/>
    <mergeCell ref="C118:D118"/>
    <mergeCell ref="C119:D119"/>
    <mergeCell ref="C120:D120"/>
    <mergeCell ref="C101:D101"/>
    <mergeCell ref="C102:D102"/>
    <mergeCell ref="C163:D163"/>
    <mergeCell ref="C164:D164"/>
    <mergeCell ref="C165:D165"/>
    <mergeCell ref="C166:D166"/>
    <mergeCell ref="C167:D167"/>
    <mergeCell ref="C170:E170"/>
    <mergeCell ref="C103:D103"/>
    <mergeCell ref="C125:E125"/>
    <mergeCell ref="C107:D107"/>
    <mergeCell ref="C110:E110"/>
    <mergeCell ref="C121:D121"/>
    <mergeCell ref="C122:D122"/>
    <mergeCell ref="C104:D104"/>
    <mergeCell ref="C105:D105"/>
  </mergeCells>
  <conditionalFormatting sqref="K396:K397 H18">
    <cfRule type="cellIs" dxfId="607" priority="303" operator="equal">
      <formula>"Yes"</formula>
    </cfRule>
  </conditionalFormatting>
  <conditionalFormatting sqref="K7">
    <cfRule type="cellIs" dxfId="606" priority="302" operator="equal">
      <formula>"Yes"</formula>
    </cfRule>
  </conditionalFormatting>
  <conditionalFormatting sqref="E367">
    <cfRule type="expression" dxfId="605" priority="298">
      <formula>OR($H$66="New",$H$81="New")</formula>
    </cfRule>
  </conditionalFormatting>
  <conditionalFormatting sqref="H16">
    <cfRule type="cellIs" dxfId="604" priority="294" operator="equal">
      <formula>"High save"</formula>
    </cfRule>
    <cfRule type="cellIs" dxfId="603" priority="295" operator="equal">
      <formula>"Minor save"</formula>
    </cfRule>
    <cfRule type="cellIs" dxfId="602" priority="296" operator="equal">
      <formula>"Minor cost"</formula>
    </cfRule>
    <cfRule type="cellIs" dxfId="601" priority="297" operator="equal">
      <formula>"High cost"</formula>
    </cfRule>
  </conditionalFormatting>
  <conditionalFormatting sqref="H17 H21 H19">
    <cfRule type="cellIs" dxfId="600" priority="291" operator="equal">
      <formula>"Nil"</formula>
    </cfRule>
    <cfRule type="cellIs" dxfId="599" priority="292" operator="equal">
      <formula>"Save"</formula>
    </cfRule>
    <cfRule type="cellIs" dxfId="598" priority="293" operator="equal">
      <formula>"Cost"</formula>
    </cfRule>
  </conditionalFormatting>
  <conditionalFormatting sqref="H22">
    <cfRule type="cellIs" dxfId="597" priority="290" operator="equal">
      <formula>"Yes"</formula>
    </cfRule>
  </conditionalFormatting>
  <conditionalFormatting sqref="E396">
    <cfRule type="expression" dxfId="596" priority="277">
      <formula>$H$397&lt;&gt;"Cost-minimisation"</formula>
    </cfRule>
  </conditionalFormatting>
  <conditionalFormatting sqref="E403 H405 H407 E405 H403">
    <cfRule type="expression" dxfId="595" priority="150">
      <formula>$H$397="Price change"</formula>
    </cfRule>
  </conditionalFormatting>
  <conditionalFormatting sqref="E46">
    <cfRule type="expression" dxfId="594" priority="313">
      <formula>OR($K$7="No",$K$7="")</formula>
    </cfRule>
  </conditionalFormatting>
  <conditionalFormatting sqref="K398">
    <cfRule type="expression" dxfId="593" priority="86">
      <formula>$K$397&lt;&gt;"Yes"</formula>
    </cfRule>
    <cfRule type="expression" dxfId="592" priority="154">
      <formula>AND($K$398="Yes",$K$397="No")</formula>
    </cfRule>
    <cfRule type="cellIs" dxfId="591" priority="251" operator="equal">
      <formula>"Yes"</formula>
    </cfRule>
  </conditionalFormatting>
  <conditionalFormatting sqref="H23">
    <cfRule type="cellIs" dxfId="590" priority="152" operator="equal">
      <formula>"Complex"</formula>
    </cfRule>
    <cfRule type="cellIs" dxfId="589" priority="153" operator="equal">
      <formula>"Additional data"</formula>
    </cfRule>
  </conditionalFormatting>
  <conditionalFormatting sqref="E405">
    <cfRule type="expression" dxfId="588" priority="151">
      <formula>$H$66="Price change"</formula>
    </cfRule>
  </conditionalFormatting>
  <conditionalFormatting sqref="H403">
    <cfRule type="expression" dxfId="587" priority="276">
      <formula>$H$396&lt;&gt;"Epidemiology"</formula>
    </cfRule>
  </conditionalFormatting>
  <conditionalFormatting sqref="J403:K403">
    <cfRule type="expression" dxfId="586" priority="149">
      <formula>$J$403&lt;&gt;""</formula>
    </cfRule>
  </conditionalFormatting>
  <conditionalFormatting sqref="H63">
    <cfRule type="cellIs" dxfId="585" priority="148" operator="equal">
      <formula>"Yes"</formula>
    </cfRule>
  </conditionalFormatting>
  <conditionalFormatting sqref="D81">
    <cfRule type="expression" dxfId="584" priority="147">
      <formula>AND($E$66="",#REF!="")</formula>
    </cfRule>
  </conditionalFormatting>
  <conditionalFormatting sqref="E68:E77 E66 H66:H69 J67">
    <cfRule type="expression" dxfId="583" priority="146">
      <formula>$D$66=""</formula>
    </cfRule>
  </conditionalFormatting>
  <conditionalFormatting sqref="E83:E92 E81 H81:H84 J82">
    <cfRule type="expression" dxfId="582" priority="145">
      <formula>$D$81=""</formula>
    </cfRule>
  </conditionalFormatting>
  <conditionalFormatting sqref="E98:E107 E96 H96:H99 J97">
    <cfRule type="expression" dxfId="581" priority="144">
      <formula>$D$96=""</formula>
    </cfRule>
  </conditionalFormatting>
  <conditionalFormatting sqref="D96">
    <cfRule type="expression" dxfId="580" priority="143">
      <formula>AND($E$66="",#REF!="")</formula>
    </cfRule>
  </conditionalFormatting>
  <conditionalFormatting sqref="D111">
    <cfRule type="expression" dxfId="579" priority="142">
      <formula>AND($E$66="",#REF!="")</formula>
    </cfRule>
  </conditionalFormatting>
  <conditionalFormatting sqref="D126">
    <cfRule type="expression" dxfId="578" priority="141">
      <formula>AND($E$66="",#REF!="")</formula>
    </cfRule>
  </conditionalFormatting>
  <conditionalFormatting sqref="D141">
    <cfRule type="expression" dxfId="577" priority="140">
      <formula>AND($E$66="",#REF!="")</formula>
    </cfRule>
  </conditionalFormatting>
  <conditionalFormatting sqref="D156 D186 D201 D216 D351">
    <cfRule type="expression" dxfId="576" priority="139">
      <formula>AND($E$66="",#REF!="")</formula>
    </cfRule>
  </conditionalFormatting>
  <conditionalFormatting sqref="D171">
    <cfRule type="expression" dxfId="575" priority="138">
      <formula>AND($E$66="",#REF!="")</formula>
    </cfRule>
  </conditionalFormatting>
  <conditionalFormatting sqref="K407 K17 L412:L416">
    <cfRule type="expression" dxfId="574" priority="133">
      <formula>$K$396&lt;&gt;"Yes"</formula>
    </cfRule>
  </conditionalFormatting>
  <conditionalFormatting sqref="E113:E122 E111 H111:H114 J112">
    <cfRule type="expression" dxfId="573" priority="131">
      <formula>$D$111=""</formula>
    </cfRule>
  </conditionalFormatting>
  <conditionalFormatting sqref="E141 E143:E152 H141:H144 J142">
    <cfRule type="expression" dxfId="572" priority="129">
      <formula>$D$141=""</formula>
    </cfRule>
  </conditionalFormatting>
  <conditionalFormatting sqref="E156 E158:E167 H156:H159 J157">
    <cfRule type="expression" dxfId="571" priority="128">
      <formula>$D$156=""</formula>
    </cfRule>
  </conditionalFormatting>
  <conditionalFormatting sqref="E171 E173:E182 H171:H174 J172">
    <cfRule type="expression" dxfId="570" priority="127">
      <formula>$D$171=""</formula>
    </cfRule>
  </conditionalFormatting>
  <conditionalFormatting sqref="E186 E188:E197 H186:H189 J187">
    <cfRule type="expression" dxfId="569" priority="126">
      <formula>$D$186=""</formula>
    </cfRule>
  </conditionalFormatting>
  <conditionalFormatting sqref="E201 E203:E212 H201:H204 J202">
    <cfRule type="expression" dxfId="568" priority="125">
      <formula>$D$201=""</formula>
    </cfRule>
  </conditionalFormatting>
  <conditionalFormatting sqref="E216 E218:E227 H216:H219 J217">
    <cfRule type="expression" dxfId="567" priority="124">
      <formula>$D$216=""</formula>
    </cfRule>
  </conditionalFormatting>
  <conditionalFormatting sqref="E351 E353:E362 H351:H354 J352">
    <cfRule type="expression" dxfId="566" priority="123">
      <formula>$D$351=""</formula>
    </cfRule>
  </conditionalFormatting>
  <conditionalFormatting sqref="G391:H391">
    <cfRule type="expression" dxfId="565" priority="119">
      <formula>$G$391&lt;&gt;""</formula>
    </cfRule>
  </conditionalFormatting>
  <conditionalFormatting sqref="E62">
    <cfRule type="expression" dxfId="564" priority="118">
      <formula>$E$62&lt;&gt;""</formula>
    </cfRule>
  </conditionalFormatting>
  <conditionalFormatting sqref="E63">
    <cfRule type="expression" dxfId="563" priority="117">
      <formula>$E$63&lt;&gt;""</formula>
    </cfRule>
  </conditionalFormatting>
  <conditionalFormatting sqref="C376:C381 C382:K385 E376:K381">
    <cfRule type="expression" dxfId="562" priority="100">
      <formula>$H$63&lt;&gt;"Yes"</formula>
    </cfRule>
  </conditionalFormatting>
  <conditionalFormatting sqref="H25">
    <cfRule type="expression" dxfId="561" priority="96">
      <formula>$H$25="Yes"</formula>
    </cfRule>
  </conditionalFormatting>
  <conditionalFormatting sqref="E128:E137 E126 H126:H129 J127">
    <cfRule type="expression" dxfId="560" priority="95">
      <formula>$D$126=""</formula>
    </cfRule>
  </conditionalFormatting>
  <conditionalFormatting sqref="K21">
    <cfRule type="cellIs" dxfId="559" priority="94" operator="equal">
      <formula>"No"</formula>
    </cfRule>
  </conditionalFormatting>
  <conditionalFormatting sqref="K22">
    <cfRule type="cellIs" dxfId="558" priority="92" operator="equal">
      <formula>"No"</formula>
    </cfRule>
  </conditionalFormatting>
  <conditionalFormatting sqref="K23">
    <cfRule type="cellIs" dxfId="557" priority="90" operator="equal">
      <formula>"No"</formula>
    </cfRule>
  </conditionalFormatting>
  <conditionalFormatting sqref="K24:K25">
    <cfRule type="cellIs" dxfId="556" priority="88" operator="equal">
      <formula>"No"</formula>
    </cfRule>
  </conditionalFormatting>
  <conditionalFormatting sqref="G45:H45">
    <cfRule type="expression" dxfId="555" priority="85">
      <formula>$G$45&lt;&gt;""</formula>
    </cfRule>
  </conditionalFormatting>
  <conditionalFormatting sqref="D231">
    <cfRule type="expression" dxfId="554" priority="68">
      <formula>AND($E$66="",#REF!="")</formula>
    </cfRule>
  </conditionalFormatting>
  <conditionalFormatting sqref="E231 E233:E242 H231:H234 J232">
    <cfRule type="expression" dxfId="553" priority="67">
      <formula>$D$231=""</formula>
    </cfRule>
  </conditionalFormatting>
  <conditionalFormatting sqref="D246">
    <cfRule type="expression" dxfId="552" priority="66">
      <formula>AND($E$66="",#REF!="")</formula>
    </cfRule>
  </conditionalFormatting>
  <conditionalFormatting sqref="D261">
    <cfRule type="expression" dxfId="551" priority="65">
      <formula>AND($E$66="",#REF!="")</formula>
    </cfRule>
  </conditionalFormatting>
  <conditionalFormatting sqref="D276 D291 D306 D321">
    <cfRule type="expression" dxfId="550" priority="64">
      <formula>AND($E$66="",#REF!="")</formula>
    </cfRule>
  </conditionalFormatting>
  <conditionalFormatting sqref="E246 E248:E257 H246:H249 J247">
    <cfRule type="expression" dxfId="549" priority="63">
      <formula>$D$246=""</formula>
    </cfRule>
  </conditionalFormatting>
  <conditionalFormatting sqref="E261 E263:E272 H261:H264 J262">
    <cfRule type="expression" dxfId="548" priority="62">
      <formula>$D$261=""</formula>
    </cfRule>
  </conditionalFormatting>
  <conditionalFormatting sqref="E276 E278:E287 H276:H279 J277">
    <cfRule type="expression" dxfId="547" priority="61">
      <formula>$D$276=""</formula>
    </cfRule>
  </conditionalFormatting>
  <conditionalFormatting sqref="E291 E293:E302 H291:H294 J292">
    <cfRule type="expression" dxfId="546" priority="60">
      <formula>$D$291=""</formula>
    </cfRule>
  </conditionalFormatting>
  <conditionalFormatting sqref="E306 E308:E317 H306:H309 J307">
    <cfRule type="expression" dxfId="545" priority="59">
      <formula>$D$306=""</formula>
    </cfRule>
  </conditionalFormatting>
  <conditionalFormatting sqref="E321 E323:E332 H321:H324 J322">
    <cfRule type="expression" dxfId="544" priority="58">
      <formula>$D$321=""</formula>
    </cfRule>
  </conditionalFormatting>
  <conditionalFormatting sqref="D336">
    <cfRule type="expression" dxfId="543" priority="57">
      <formula>AND($E$66="",#REF!="")</formula>
    </cfRule>
  </conditionalFormatting>
  <conditionalFormatting sqref="E336 E338:E347 H336:H339 J337">
    <cfRule type="expression" dxfId="542" priority="56">
      <formula>$D$336=""</formula>
    </cfRule>
  </conditionalFormatting>
  <conditionalFormatting sqref="E403">
    <cfRule type="expression" dxfId="541" priority="33">
      <formula>$J$403=""</formula>
    </cfRule>
  </conditionalFormatting>
  <conditionalFormatting sqref="J68">
    <cfRule type="expression" dxfId="540" priority="29">
      <formula>$M$67&lt;2</formula>
    </cfRule>
  </conditionalFormatting>
  <conditionalFormatting sqref="J83">
    <cfRule type="expression" dxfId="539" priority="28">
      <formula>$M$82&lt;2</formula>
    </cfRule>
  </conditionalFormatting>
  <conditionalFormatting sqref="J98">
    <cfRule type="expression" dxfId="538" priority="27">
      <formula>$M$97&lt;2</formula>
    </cfRule>
  </conditionalFormatting>
  <conditionalFormatting sqref="J113">
    <cfRule type="expression" dxfId="537" priority="26">
      <formula>$M$112&lt;2</formula>
    </cfRule>
  </conditionalFormatting>
  <conditionalFormatting sqref="J128">
    <cfRule type="expression" dxfId="536" priority="25">
      <formula>$M$127&lt;2</formula>
    </cfRule>
  </conditionalFormatting>
  <conditionalFormatting sqref="J143">
    <cfRule type="expression" dxfId="535" priority="24">
      <formula>$M$142&lt;2</formula>
    </cfRule>
  </conditionalFormatting>
  <conditionalFormatting sqref="J158">
    <cfRule type="expression" dxfId="534" priority="23">
      <formula>$M$157&lt;2</formula>
    </cfRule>
  </conditionalFormatting>
  <conditionalFormatting sqref="J173">
    <cfRule type="expression" dxfId="533" priority="22">
      <formula>$M$172&lt;2</formula>
    </cfRule>
  </conditionalFormatting>
  <conditionalFormatting sqref="J188">
    <cfRule type="expression" dxfId="532" priority="21">
      <formula>$M$187&lt;2</formula>
    </cfRule>
  </conditionalFormatting>
  <conditionalFormatting sqref="J203">
    <cfRule type="expression" dxfId="531" priority="20">
      <formula>$M$202&lt;2</formula>
    </cfRule>
  </conditionalFormatting>
  <conditionalFormatting sqref="J218">
    <cfRule type="expression" dxfId="530" priority="19">
      <formula>$M$217&lt;2</formula>
    </cfRule>
  </conditionalFormatting>
  <conditionalFormatting sqref="J233">
    <cfRule type="expression" dxfId="529" priority="18">
      <formula>$M$232&lt;2</formula>
    </cfRule>
  </conditionalFormatting>
  <conditionalFormatting sqref="J248">
    <cfRule type="expression" dxfId="528" priority="17">
      <formula>$M$247&lt;2</formula>
    </cfRule>
  </conditionalFormatting>
  <conditionalFormatting sqref="J263">
    <cfRule type="expression" dxfId="527" priority="16">
      <formula>$M$262&lt;2</formula>
    </cfRule>
  </conditionalFormatting>
  <conditionalFormatting sqref="J278">
    <cfRule type="expression" dxfId="526" priority="15">
      <formula>$M$277&lt;2</formula>
    </cfRule>
  </conditionalFormatting>
  <conditionalFormatting sqref="J293">
    <cfRule type="expression" dxfId="525" priority="14">
      <formula>$M$292&lt;2</formula>
    </cfRule>
  </conditionalFormatting>
  <conditionalFormatting sqref="J308">
    <cfRule type="expression" dxfId="524" priority="13">
      <formula>$M$307&lt;2</formula>
    </cfRule>
  </conditionalFormatting>
  <conditionalFormatting sqref="J323">
    <cfRule type="expression" dxfId="523" priority="12">
      <formula>$M$322&lt;2</formula>
    </cfRule>
  </conditionalFormatting>
  <conditionalFormatting sqref="J338">
    <cfRule type="expression" dxfId="522" priority="11">
      <formula>$M$337&lt;2</formula>
    </cfRule>
  </conditionalFormatting>
  <conditionalFormatting sqref="J353">
    <cfRule type="expression" dxfId="521" priority="10">
      <formula>$M$352&lt;2</formula>
    </cfRule>
  </conditionalFormatting>
  <conditionalFormatting sqref="G372:H372">
    <cfRule type="expression" dxfId="520" priority="800">
      <formula>$N$372=1</formula>
    </cfRule>
    <cfRule type="expression" dxfId="519" priority="801">
      <formula>$N$372=2</formula>
    </cfRule>
  </conditionalFormatting>
  <conditionalFormatting sqref="G367:H367">
    <cfRule type="notContainsBlanks" dxfId="518" priority="810">
      <formula>LEN(TRIM(G367))&gt;0</formula>
    </cfRule>
  </conditionalFormatting>
  <conditionalFormatting sqref="G46:H46">
    <cfRule type="expression" dxfId="517" priority="803">
      <formula>$N$46=1</formula>
    </cfRule>
    <cfRule type="expression" dxfId="516" priority="804">
      <formula>$N$46=2</formula>
    </cfRule>
  </conditionalFormatting>
  <conditionalFormatting sqref="E32">
    <cfRule type="expression" dxfId="515" priority="805">
      <formula>OR($N$16="N",H66="Price change")</formula>
    </cfRule>
  </conditionalFormatting>
  <conditionalFormatting sqref="E33">
    <cfRule type="expression" dxfId="514" priority="806">
      <formula>OR($N$17="N",H66="Price change")</formula>
    </cfRule>
  </conditionalFormatting>
  <conditionalFormatting sqref="E34">
    <cfRule type="expression" dxfId="513" priority="807">
      <formula>$N$21="N"</formula>
    </cfRule>
  </conditionalFormatting>
  <conditionalFormatting sqref="E35">
    <cfRule type="expression" dxfId="512" priority="808">
      <formula>$N$22="N"</formula>
    </cfRule>
  </conditionalFormatting>
  <conditionalFormatting sqref="J9:K9">
    <cfRule type="expression" dxfId="511" priority="809">
      <formula>AND($N$9&lt;&gt;1,$N$9&lt;&gt;2)</formula>
    </cfRule>
  </conditionalFormatting>
  <conditionalFormatting sqref="K409">
    <cfRule type="cellIs" dxfId="510" priority="7" operator="equal">
      <formula>"Yes"</formula>
    </cfRule>
  </conditionalFormatting>
  <conditionalFormatting sqref="G412:L416">
    <cfRule type="expression" dxfId="509" priority="6">
      <formula>$N$409=0</formula>
    </cfRule>
  </conditionalFormatting>
  <conditionalFormatting sqref="H407">
    <cfRule type="expression" dxfId="508" priority="4">
      <formula>$N$409=1</formula>
    </cfRule>
  </conditionalFormatting>
  <conditionalFormatting sqref="H403">
    <cfRule type="expression" dxfId="507" priority="3">
      <formula>$N$409=1</formula>
    </cfRule>
  </conditionalFormatting>
  <conditionalFormatting sqref="K399">
    <cfRule type="expression" dxfId="506" priority="1">
      <formula>$K$398&lt;&gt;"Yes"</formula>
    </cfRule>
  </conditionalFormatting>
  <dataValidations count="16">
    <dataValidation type="list" allowBlank="1" showInputMessage="1" showErrorMessage="1" sqref="D66 D81 D96 D111 D126 D141 D156 D171 D186 D201 D216 D351 D231 D246 D261 D276 D291 D306 D321 D336">
      <formula1>Programme</formula1>
    </dataValidation>
    <dataValidation type="list" allowBlank="1" showInputMessage="1" showErrorMessage="1" sqref="H23 K19">
      <formula1>Reporting</formula1>
    </dataValidation>
    <dataValidation type="list" allowBlank="1" showInputMessage="1" showErrorMessage="1" sqref="H7">
      <formula1>PBACMeetingDate</formula1>
    </dataValidation>
    <dataValidation type="list" allowBlank="1" showInputMessage="1" showErrorMessage="1" sqref="K8">
      <formula1>CalendarYear</formula1>
    </dataValidation>
    <dataValidation type="list" allowBlank="1" showInputMessage="1" showErrorMessage="1" sqref="H9">
      <formula1>SubmissionType</formula1>
    </dataValidation>
    <dataValidation type="list" allowBlank="1" showInputMessage="1" showErrorMessage="1" sqref="H397">
      <formula1>EconomicAnalysis</formula1>
    </dataValidation>
    <dataValidation type="list" allowBlank="1" showInputMessage="1" showErrorMessage="1" sqref="H66 H81 H96 H216 H111 H126 H141 H156 H171 H186 H201 H351 H231 H321 H246 H261 H276 H291 H306 H336">
      <formula1>ListingType</formula1>
    </dataValidation>
    <dataValidation type="list" allowBlank="1" showInputMessage="1" showErrorMessage="1" sqref="K7 H63 H18 K396:K398 K21:K25 K409">
      <formula1>Switch</formula1>
    </dataValidation>
    <dataValidation type="list" allowBlank="1" showInputMessage="1" showErrorMessage="1" sqref="E112">
      <formula1>ProgrammeLong</formula1>
    </dataValidation>
    <dataValidation type="list" allowBlank="1" showInputMessage="1" showErrorMessage="1" sqref="K367:M367">
      <formula1>"Yes,No"</formula1>
    </dataValidation>
    <dataValidation type="list" allowBlank="1" showInputMessage="1" showErrorMessage="1" sqref="H405">
      <formula1>CalculationMethod</formula1>
    </dataValidation>
    <dataValidation type="list" allowBlank="1" showInputMessage="1" showErrorMessage="1" sqref="E68 E83 E98 E113 E128 E143 E158 E173 E188 E203 E218 E353 E233 E248 E263 E278 E293 E308 E323 E338">
      <formula1>TPLong</formula1>
    </dataValidation>
    <dataValidation type="list" allowBlank="1" showInputMessage="1" showErrorMessage="1" sqref="J67 J82 J97 J112 J127 J142 J157 J172 J187 J202 J217 J232 J247 J262 J277 J292 J307 J322 J337 J352">
      <formula1>Authority</formula1>
    </dataValidation>
    <dataValidation type="list" allowBlank="1" showInputMessage="1" showErrorMessage="1" sqref="J68 J83 J98 J113 J128 J143 J158 J173 J188 J203 J218 J233 J248 J263 J278 J293 J308 J323 J338 J353">
      <formula1>Electronic</formula1>
    </dataValidation>
    <dataValidation type="whole" allowBlank="1" showInputMessage="1" showErrorMessage="1" sqref="H62">
      <formula1>1</formula1>
      <formula2>20</formula2>
    </dataValidation>
    <dataValidation type="list" allowBlank="1" showInputMessage="1" showErrorMessage="1" sqref="K9">
      <formula1>SubResubType</formula1>
    </dataValidation>
  </dataValidations>
  <pageMargins left="3.937007874015748E-2" right="3.937007874015748E-2" top="0.55118110236220474" bottom="0.74803149606299213" header="0.31496062992125984" footer="0.31496062992125984"/>
  <pageSetup paperSize="9" scale="49" orientation="portrait" r:id="rId1"/>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theme="6"/>
  </sheetPr>
  <dimension ref="A1:AD398"/>
  <sheetViews>
    <sheetView showGridLines="0" zoomScaleNormal="100" workbookViewId="0"/>
  </sheetViews>
  <sheetFormatPr defaultRowHeight="12.75" customHeight="1" outlineLevelRow="1" x14ac:dyDescent="0.2"/>
  <cols>
    <col min="1" max="1" width="3.7109375" customWidth="1"/>
    <col min="2" max="2" width="3.7109375" style="416" hidden="1" customWidth="1"/>
    <col min="3" max="3" width="3.7109375" hidden="1" customWidth="1"/>
    <col min="4" max="4" width="35.7109375" customWidth="1"/>
    <col min="5" max="5" width="10.7109375" style="416" customWidth="1"/>
    <col min="6" max="17" width="10.7109375" customWidth="1"/>
    <col min="18" max="18" width="3.7109375" customWidth="1"/>
    <col min="19" max="20" width="10.7109375" customWidth="1"/>
    <col min="21" max="21" width="3.7109375" hidden="1" customWidth="1"/>
    <col min="22" max="22" width="3.7109375" style="416" hidden="1" customWidth="1"/>
    <col min="23" max="23" width="10.7109375" hidden="1" customWidth="1"/>
    <col min="24" max="24" width="10.7109375" style="416" hidden="1" customWidth="1"/>
    <col min="25" max="25" width="3.7109375" style="416" customWidth="1"/>
    <col min="26" max="27" width="10.7109375" style="416" customWidth="1"/>
    <col min="28" max="32" width="10.7109375" customWidth="1"/>
  </cols>
  <sheetData>
    <row r="1" spans="1:30" ht="23.25" x14ac:dyDescent="0.2">
      <c r="A1" s="107">
        <f>IF((SUM(F8:K17)&lt;&gt;0),2,0)</f>
        <v>0</v>
      </c>
      <c r="B1" s="107"/>
      <c r="C1" s="117"/>
      <c r="D1" s="116" t="s">
        <v>1016</v>
      </c>
      <c r="E1" s="117"/>
      <c r="F1" s="117"/>
      <c r="G1" s="117"/>
      <c r="H1" s="117"/>
      <c r="I1" s="117"/>
      <c r="J1" s="117"/>
      <c r="K1" s="117"/>
      <c r="L1" s="117"/>
      <c r="M1" s="117"/>
      <c r="N1" s="259"/>
      <c r="O1" s="259"/>
      <c r="P1" s="259"/>
      <c r="Q1" s="259"/>
      <c r="R1" s="259"/>
      <c r="S1" s="259"/>
      <c r="T1" s="259"/>
      <c r="U1" s="259"/>
      <c r="V1" s="259"/>
      <c r="W1" s="259"/>
      <c r="X1" s="259"/>
      <c r="Y1" s="259"/>
      <c r="Z1" s="259"/>
      <c r="AA1" s="259"/>
      <c r="AB1" s="820" t="str">
        <f>IF(A1=0,MsgNotUsed,"")</f>
        <v>** NOT USED **</v>
      </c>
      <c r="AC1" s="820"/>
      <c r="AD1" s="820"/>
    </row>
    <row r="2" spans="1:30" ht="15.75" x14ac:dyDescent="0.2">
      <c r="A2" s="117"/>
      <c r="B2" s="117"/>
      <c r="C2" s="117"/>
      <c r="D2" s="110" t="str">
        <f>CONCATENATE("Name of medicine: ", MedicineBrand)</f>
        <v xml:space="preserve">Name of medicine: </v>
      </c>
      <c r="E2" s="117"/>
      <c r="F2" s="117"/>
      <c r="G2" s="117"/>
      <c r="H2" s="117"/>
      <c r="I2" s="117"/>
      <c r="J2" s="117"/>
      <c r="K2" s="117"/>
      <c r="L2" s="117"/>
      <c r="M2" s="117"/>
      <c r="N2" s="259"/>
      <c r="O2" s="259"/>
      <c r="P2" s="259"/>
      <c r="Q2" s="259"/>
      <c r="R2" s="259"/>
      <c r="S2" s="259"/>
      <c r="T2" s="259"/>
      <c r="U2" s="259"/>
      <c r="V2" s="259"/>
      <c r="W2" s="259"/>
      <c r="X2" s="259"/>
      <c r="Y2" s="259"/>
      <c r="Z2" s="259"/>
      <c r="AA2" s="259"/>
      <c r="AB2" s="259"/>
      <c r="AC2" s="259"/>
      <c r="AD2" s="259"/>
    </row>
    <row r="3" spans="1:30" ht="15.75" x14ac:dyDescent="0.2">
      <c r="A3" s="117"/>
      <c r="B3" s="117"/>
      <c r="C3" s="117"/>
      <c r="D3" s="110" t="str">
        <f>CONCATENATE("Indication: ",Indication)</f>
        <v xml:space="preserve">Indication: </v>
      </c>
      <c r="E3" s="117"/>
      <c r="F3" s="117"/>
      <c r="G3" s="117"/>
      <c r="H3" s="117"/>
      <c r="I3" s="117"/>
      <c r="J3" s="117"/>
      <c r="K3" s="117"/>
      <c r="L3" s="117"/>
      <c r="M3" s="117"/>
      <c r="N3" s="259"/>
      <c r="O3" s="259"/>
      <c r="P3" s="259"/>
      <c r="Q3" s="259"/>
      <c r="R3" s="259"/>
      <c r="S3" s="259"/>
      <c r="T3" s="259"/>
      <c r="U3" s="259"/>
      <c r="V3" s="259"/>
      <c r="W3" s="259"/>
      <c r="X3" s="259"/>
      <c r="Y3" s="259"/>
      <c r="Z3" s="259"/>
      <c r="AA3" s="259"/>
      <c r="AB3" s="259"/>
      <c r="AC3" s="259"/>
      <c r="AD3" s="259"/>
    </row>
    <row r="4" spans="1:30" s="420" customFormat="1" ht="12.75" customHeight="1" x14ac:dyDescent="0.2">
      <c r="A4" s="641"/>
      <c r="B4" s="641"/>
      <c r="C4" s="641"/>
    </row>
    <row r="5" spans="1:30" ht="15.75" x14ac:dyDescent="0.2">
      <c r="A5" s="125"/>
      <c r="B5" s="125"/>
      <c r="C5" s="125"/>
      <c r="D5" s="123" t="s">
        <v>879</v>
      </c>
      <c r="E5" s="127"/>
      <c r="F5" s="127"/>
      <c r="G5" s="127"/>
      <c r="H5" s="127"/>
      <c r="I5" s="127"/>
      <c r="J5" s="127"/>
      <c r="K5" s="127"/>
      <c r="L5" s="127"/>
      <c r="M5" s="127"/>
      <c r="N5" s="127"/>
      <c r="O5" s="127"/>
      <c r="P5" s="127"/>
      <c r="Q5" s="127"/>
      <c r="R5" s="127"/>
      <c r="S5" s="127"/>
      <c r="T5" s="127"/>
      <c r="U5" s="127"/>
      <c r="V5" s="127"/>
      <c r="W5" s="127"/>
      <c r="X5" s="127"/>
      <c r="Y5" s="127"/>
      <c r="Z5" s="127"/>
      <c r="AA5" s="127"/>
      <c r="AB5" s="127"/>
      <c r="AC5" s="127"/>
      <c r="AD5" s="127"/>
    </row>
    <row r="6" spans="1:30" s="420" customFormat="1" hidden="1" x14ac:dyDescent="0.2">
      <c r="A6" s="162"/>
      <c r="B6" s="162"/>
      <c r="C6" s="162"/>
      <c r="D6" s="162"/>
      <c r="E6" s="162"/>
      <c r="F6" s="162"/>
      <c r="G6" s="162"/>
      <c r="H6" s="162"/>
      <c r="I6" s="162"/>
      <c r="J6" s="162"/>
      <c r="K6" s="162"/>
      <c r="L6" s="162"/>
      <c r="M6" s="162"/>
      <c r="N6" s="162"/>
      <c r="O6" s="162"/>
      <c r="P6" s="162"/>
      <c r="Q6" s="162"/>
      <c r="R6" s="162"/>
      <c r="S6" s="162"/>
      <c r="T6" s="162"/>
      <c r="U6" s="162"/>
      <c r="V6" s="162"/>
      <c r="W6" s="162"/>
      <c r="X6" s="162"/>
      <c r="Y6" s="162"/>
      <c r="Z6" s="162"/>
      <c r="AA6" s="162"/>
      <c r="AB6" s="162"/>
      <c r="AC6" s="162"/>
      <c r="AD6" s="162"/>
    </row>
    <row r="7" spans="1:30" hidden="1" x14ac:dyDescent="0.2">
      <c r="A7" s="125"/>
      <c r="B7" s="434"/>
      <c r="C7" s="120"/>
      <c r="D7" s="648"/>
      <c r="E7" s="653"/>
      <c r="F7" s="78">
        <f>FirstYear</f>
        <v>2021</v>
      </c>
      <c r="G7" s="307">
        <f>F7+1</f>
        <v>2022</v>
      </c>
      <c r="H7" s="307">
        <f>G7+1</f>
        <v>2023</v>
      </c>
      <c r="I7" s="307">
        <f>H7+1</f>
        <v>2024</v>
      </c>
      <c r="J7" s="307">
        <f>I7+1</f>
        <v>2025</v>
      </c>
      <c r="K7" s="307">
        <f>J7+1</f>
        <v>2026</v>
      </c>
      <c r="L7" s="162"/>
      <c r="M7" s="162"/>
      <c r="N7" s="162"/>
      <c r="O7" s="162"/>
      <c r="P7" s="162"/>
      <c r="Q7" s="162"/>
      <c r="S7" s="416"/>
      <c r="T7" s="416"/>
      <c r="U7" s="416"/>
      <c r="W7" s="416"/>
      <c r="AB7" s="416"/>
      <c r="AC7" s="416"/>
      <c r="AD7" s="416"/>
    </row>
    <row r="8" spans="1:30" hidden="1" x14ac:dyDescent="0.2">
      <c r="A8" s="125"/>
      <c r="B8" s="434"/>
      <c r="C8" s="120"/>
      <c r="E8" s="649">
        <v>1</v>
      </c>
      <c r="F8" s="174">
        <f t="shared" ref="F8:K8" si="0">L54</f>
        <v>0</v>
      </c>
      <c r="G8" s="174">
        <f t="shared" si="0"/>
        <v>0</v>
      </c>
      <c r="H8" s="174">
        <f t="shared" si="0"/>
        <v>0</v>
      </c>
      <c r="I8" s="174">
        <f t="shared" si="0"/>
        <v>0</v>
      </c>
      <c r="J8" s="174">
        <f t="shared" si="0"/>
        <v>0</v>
      </c>
      <c r="K8" s="174">
        <f t="shared" si="0"/>
        <v>0</v>
      </c>
      <c r="L8" s="162"/>
      <c r="M8" s="162"/>
      <c r="N8" s="162"/>
      <c r="O8" s="162"/>
      <c r="P8" s="162"/>
      <c r="Q8" s="162"/>
      <c r="S8" s="416"/>
      <c r="T8" s="416"/>
      <c r="U8" s="416"/>
      <c r="W8" s="416"/>
      <c r="AB8" s="416"/>
      <c r="AC8" s="416"/>
      <c r="AD8" s="416"/>
    </row>
    <row r="9" spans="1:30" hidden="1" x14ac:dyDescent="0.2">
      <c r="A9" s="125"/>
      <c r="B9" s="434"/>
      <c r="C9" s="120"/>
      <c r="E9" s="649">
        <v>2</v>
      </c>
      <c r="F9" s="174">
        <f t="shared" ref="F9:K9" si="1">L92</f>
        <v>0</v>
      </c>
      <c r="G9" s="174">
        <f t="shared" si="1"/>
        <v>0</v>
      </c>
      <c r="H9" s="174">
        <f t="shared" si="1"/>
        <v>0</v>
      </c>
      <c r="I9" s="174">
        <f t="shared" si="1"/>
        <v>0</v>
      </c>
      <c r="J9" s="174">
        <f t="shared" si="1"/>
        <v>0</v>
      </c>
      <c r="K9" s="174">
        <f t="shared" si="1"/>
        <v>0</v>
      </c>
      <c r="L9" s="162"/>
      <c r="M9" s="162"/>
      <c r="N9" s="162"/>
      <c r="O9" s="162"/>
      <c r="P9" s="162"/>
      <c r="Q9" s="162"/>
      <c r="S9" s="416"/>
      <c r="T9" s="416"/>
      <c r="U9" s="416"/>
      <c r="W9" s="416"/>
      <c r="AB9" s="416"/>
      <c r="AC9" s="416"/>
      <c r="AD9" s="416"/>
    </row>
    <row r="10" spans="1:30" hidden="1" x14ac:dyDescent="0.2">
      <c r="A10" s="125"/>
      <c r="B10" s="434"/>
      <c r="C10" s="120"/>
      <c r="E10" s="649">
        <v>3</v>
      </c>
      <c r="F10" s="174">
        <f t="shared" ref="F10:K10" si="2">L130</f>
        <v>0</v>
      </c>
      <c r="G10" s="174">
        <f t="shared" si="2"/>
        <v>0</v>
      </c>
      <c r="H10" s="174">
        <f t="shared" si="2"/>
        <v>0</v>
      </c>
      <c r="I10" s="174">
        <f t="shared" si="2"/>
        <v>0</v>
      </c>
      <c r="J10" s="174">
        <f t="shared" si="2"/>
        <v>0</v>
      </c>
      <c r="K10" s="174">
        <f t="shared" si="2"/>
        <v>0</v>
      </c>
      <c r="L10" s="162"/>
      <c r="M10" s="162"/>
      <c r="N10" s="162"/>
      <c r="O10" s="162"/>
      <c r="P10" s="162"/>
      <c r="Q10" s="162"/>
      <c r="S10" s="416"/>
      <c r="T10" s="416"/>
      <c r="U10" s="416"/>
      <c r="W10" s="416"/>
      <c r="AB10" s="416"/>
      <c r="AC10" s="416"/>
      <c r="AD10" s="416"/>
    </row>
    <row r="11" spans="1:30" hidden="1" x14ac:dyDescent="0.2">
      <c r="A11" s="125"/>
      <c r="B11" s="434"/>
      <c r="C11" s="120"/>
      <c r="E11" s="649">
        <v>4</v>
      </c>
      <c r="F11" s="174">
        <f t="shared" ref="F11:K11" si="3">L168</f>
        <v>0</v>
      </c>
      <c r="G11" s="174">
        <f t="shared" si="3"/>
        <v>0</v>
      </c>
      <c r="H11" s="174">
        <f t="shared" si="3"/>
        <v>0</v>
      </c>
      <c r="I11" s="174">
        <f t="shared" si="3"/>
        <v>0</v>
      </c>
      <c r="J11" s="174">
        <f t="shared" si="3"/>
        <v>0</v>
      </c>
      <c r="K11" s="174">
        <f t="shared" si="3"/>
        <v>0</v>
      </c>
      <c r="L11" s="162"/>
      <c r="M11" s="162"/>
      <c r="N11" s="162"/>
      <c r="O11" s="162"/>
      <c r="P11" s="162"/>
      <c r="Q11" s="162"/>
      <c r="S11" s="416"/>
      <c r="T11" s="416"/>
      <c r="U11" s="416"/>
      <c r="W11" s="416"/>
      <c r="AB11" s="416"/>
      <c r="AC11" s="416"/>
      <c r="AD11" s="416"/>
    </row>
    <row r="12" spans="1:30" s="416" customFormat="1" hidden="1" x14ac:dyDescent="0.2">
      <c r="A12" s="125"/>
      <c r="B12" s="434"/>
      <c r="C12" s="434"/>
      <c r="E12" s="649">
        <v>5</v>
      </c>
      <c r="F12" s="174">
        <f t="shared" ref="F12:K12" si="4">L206</f>
        <v>0</v>
      </c>
      <c r="G12" s="174">
        <f t="shared" si="4"/>
        <v>0</v>
      </c>
      <c r="H12" s="174">
        <f t="shared" si="4"/>
        <v>0</v>
      </c>
      <c r="I12" s="174">
        <f t="shared" si="4"/>
        <v>0</v>
      </c>
      <c r="J12" s="174">
        <f t="shared" si="4"/>
        <v>0</v>
      </c>
      <c r="K12" s="174">
        <f t="shared" si="4"/>
        <v>0</v>
      </c>
      <c r="L12" s="162"/>
      <c r="M12" s="162"/>
      <c r="N12" s="162"/>
      <c r="O12" s="162"/>
      <c r="P12" s="162"/>
      <c r="Q12" s="162"/>
    </row>
    <row r="13" spans="1:30" s="416" customFormat="1" hidden="1" x14ac:dyDescent="0.2">
      <c r="A13" s="125"/>
      <c r="B13" s="434"/>
      <c r="C13" s="434"/>
      <c r="E13" s="649">
        <v>6</v>
      </c>
      <c r="F13" s="174">
        <f t="shared" ref="F13:K13" si="5">L244</f>
        <v>0</v>
      </c>
      <c r="G13" s="174">
        <f t="shared" si="5"/>
        <v>0</v>
      </c>
      <c r="H13" s="174">
        <f t="shared" si="5"/>
        <v>0</v>
      </c>
      <c r="I13" s="174">
        <f t="shared" si="5"/>
        <v>0</v>
      </c>
      <c r="J13" s="174">
        <f t="shared" si="5"/>
        <v>0</v>
      </c>
      <c r="K13" s="174">
        <f t="shared" si="5"/>
        <v>0</v>
      </c>
      <c r="L13" s="162"/>
      <c r="M13" s="162"/>
      <c r="N13" s="162"/>
      <c r="O13" s="162"/>
      <c r="P13" s="162"/>
      <c r="Q13" s="162"/>
    </row>
    <row r="14" spans="1:30" s="416" customFormat="1" hidden="1" x14ac:dyDescent="0.2">
      <c r="A14" s="125"/>
      <c r="B14" s="434"/>
      <c r="C14" s="434"/>
      <c r="E14" s="649">
        <v>7</v>
      </c>
      <c r="F14" s="174">
        <f t="shared" ref="F14:K14" si="6">L282</f>
        <v>0</v>
      </c>
      <c r="G14" s="174">
        <f t="shared" si="6"/>
        <v>0</v>
      </c>
      <c r="H14" s="174">
        <f t="shared" si="6"/>
        <v>0</v>
      </c>
      <c r="I14" s="174">
        <f t="shared" si="6"/>
        <v>0</v>
      </c>
      <c r="J14" s="174">
        <f t="shared" si="6"/>
        <v>0</v>
      </c>
      <c r="K14" s="174">
        <f t="shared" si="6"/>
        <v>0</v>
      </c>
      <c r="L14" s="162"/>
      <c r="M14" s="162"/>
      <c r="N14" s="162"/>
      <c r="O14" s="162"/>
      <c r="P14" s="162"/>
      <c r="Q14" s="162"/>
    </row>
    <row r="15" spans="1:30" s="416" customFormat="1" hidden="1" x14ac:dyDescent="0.2">
      <c r="A15" s="125"/>
      <c r="B15" s="434"/>
      <c r="C15" s="434"/>
      <c r="E15" s="649">
        <v>8</v>
      </c>
      <c r="F15" s="174">
        <f t="shared" ref="F15:K15" si="7">L320</f>
        <v>0</v>
      </c>
      <c r="G15" s="174">
        <f t="shared" si="7"/>
        <v>0</v>
      </c>
      <c r="H15" s="174">
        <f t="shared" si="7"/>
        <v>0</v>
      </c>
      <c r="I15" s="174">
        <f t="shared" si="7"/>
        <v>0</v>
      </c>
      <c r="J15" s="174">
        <f t="shared" si="7"/>
        <v>0</v>
      </c>
      <c r="K15" s="174">
        <f t="shared" si="7"/>
        <v>0</v>
      </c>
      <c r="L15" s="162"/>
      <c r="M15" s="162"/>
      <c r="N15" s="162"/>
      <c r="O15" s="162"/>
      <c r="P15" s="162"/>
      <c r="Q15" s="162"/>
    </row>
    <row r="16" spans="1:30" s="416" customFormat="1" hidden="1" x14ac:dyDescent="0.2">
      <c r="A16" s="125"/>
      <c r="B16" s="434"/>
      <c r="C16" s="434"/>
      <c r="E16" s="649">
        <v>9</v>
      </c>
      <c r="F16" s="174">
        <f t="shared" ref="F16:K16" si="8">L358</f>
        <v>0</v>
      </c>
      <c r="G16" s="174">
        <f t="shared" si="8"/>
        <v>0</v>
      </c>
      <c r="H16" s="174">
        <f t="shared" si="8"/>
        <v>0</v>
      </c>
      <c r="I16" s="174">
        <f t="shared" si="8"/>
        <v>0</v>
      </c>
      <c r="J16" s="174">
        <f t="shared" si="8"/>
        <v>0</v>
      </c>
      <c r="K16" s="174">
        <f t="shared" si="8"/>
        <v>0</v>
      </c>
      <c r="L16" s="162"/>
      <c r="M16" s="162"/>
      <c r="N16" s="162"/>
      <c r="O16" s="162"/>
      <c r="P16" s="162"/>
      <c r="Q16" s="162"/>
    </row>
    <row r="17" spans="1:30" hidden="1" x14ac:dyDescent="0.2">
      <c r="A17" s="125"/>
      <c r="B17" s="434"/>
      <c r="C17" s="120"/>
      <c r="E17" s="649">
        <v>10</v>
      </c>
      <c r="F17" s="174">
        <f t="shared" ref="F17:K17" si="9">L396</f>
        <v>0</v>
      </c>
      <c r="G17" s="174">
        <f t="shared" si="9"/>
        <v>0</v>
      </c>
      <c r="H17" s="174">
        <f t="shared" si="9"/>
        <v>0</v>
      </c>
      <c r="I17" s="174">
        <f t="shared" si="9"/>
        <v>0</v>
      </c>
      <c r="J17" s="174">
        <f t="shared" si="9"/>
        <v>0</v>
      </c>
      <c r="K17" s="174">
        <f t="shared" si="9"/>
        <v>0</v>
      </c>
      <c r="L17" s="162"/>
      <c r="M17" s="162"/>
      <c r="N17" s="162"/>
      <c r="O17" s="162"/>
      <c r="P17" s="162"/>
      <c r="Q17" s="162"/>
      <c r="S17" s="416"/>
      <c r="T17" s="416"/>
      <c r="U17" s="416"/>
      <c r="W17" s="416"/>
      <c r="AB17" s="416"/>
      <c r="AC17" s="416"/>
      <c r="AD17" s="416"/>
    </row>
    <row r="18" spans="1:30" x14ac:dyDescent="0.2">
      <c r="A18" s="125"/>
      <c r="B18" s="434"/>
      <c r="C18" s="120"/>
      <c r="D18" s="642"/>
      <c r="E18" s="654"/>
      <c r="F18" s="654"/>
      <c r="G18" s="654"/>
      <c r="H18" s="654"/>
      <c r="I18" s="654"/>
      <c r="J18" s="654"/>
      <c r="K18" s="654"/>
      <c r="L18" s="162"/>
      <c r="M18" s="162"/>
      <c r="N18" s="162"/>
      <c r="O18" s="162"/>
      <c r="P18" s="162"/>
      <c r="Q18" s="162"/>
      <c r="S18" s="416"/>
      <c r="T18" s="416"/>
      <c r="U18" s="416"/>
      <c r="W18" s="416"/>
      <c r="AB18" s="416"/>
      <c r="AC18" s="416"/>
      <c r="AD18" s="416"/>
    </row>
    <row r="19" spans="1:30" ht="15.75" x14ac:dyDescent="0.2">
      <c r="A19" s="646"/>
      <c r="B19" s="242">
        <f>IF(G21&lt;&gt;"",1,0)</f>
        <v>0</v>
      </c>
      <c r="C19" s="242">
        <v>1</v>
      </c>
      <c r="D19" s="79" t="str">
        <f>IF(B19=0,MsgNotUsed, CONCATENATE("Persistent ", C19, ": ", G21, " (", F25, "-", Q25, ")"))</f>
        <v>** NOT USED **</v>
      </c>
      <c r="E19" s="127"/>
      <c r="F19" s="127"/>
      <c r="G19" s="127"/>
      <c r="H19" s="127"/>
      <c r="I19" s="127"/>
      <c r="J19" s="175"/>
      <c r="K19" s="127"/>
      <c r="L19" s="127"/>
      <c r="M19" s="127"/>
      <c r="N19" s="260"/>
      <c r="O19" s="260"/>
      <c r="P19" s="260"/>
      <c r="Q19" s="260"/>
      <c r="R19" s="260"/>
      <c r="S19" s="260"/>
      <c r="T19" s="260"/>
      <c r="U19" s="260"/>
      <c r="V19" s="260"/>
      <c r="W19" s="260"/>
      <c r="X19" s="260"/>
      <c r="Y19" s="260"/>
      <c r="Z19" s="260"/>
      <c r="AA19" s="260"/>
      <c r="AB19" s="260"/>
      <c r="AC19" s="260"/>
      <c r="AD19" s="260"/>
    </row>
    <row r="20" spans="1:30" ht="12.75" hidden="1" customHeight="1" outlineLevel="1" x14ac:dyDescent="0.2">
      <c r="A20" s="615"/>
      <c r="S20" s="416"/>
      <c r="T20" s="416"/>
      <c r="U20" s="416"/>
      <c r="W20" s="416"/>
      <c r="AB20" s="416"/>
      <c r="AC20" s="416"/>
      <c r="AD20" s="416"/>
    </row>
    <row r="21" spans="1:30" ht="12.75" hidden="1" customHeight="1" outlineLevel="1" x14ac:dyDescent="0.2">
      <c r="A21" s="615"/>
      <c r="E21"/>
      <c r="F21" s="42" t="s">
        <v>480</v>
      </c>
      <c r="G21" s="913"/>
      <c r="H21" s="881"/>
      <c r="I21" s="881"/>
      <c r="J21" s="881"/>
      <c r="K21" s="881"/>
      <c r="L21" s="882"/>
      <c r="U21" s="416"/>
      <c r="W21" s="416"/>
      <c r="AB21" s="416"/>
      <c r="AC21" s="416"/>
      <c r="AD21" s="416"/>
    </row>
    <row r="22" spans="1:30" ht="12.75" hidden="1" customHeight="1" outlineLevel="1" x14ac:dyDescent="0.2">
      <c r="A22" s="615"/>
      <c r="E22"/>
      <c r="S22" s="416"/>
      <c r="T22" s="416"/>
      <c r="U22" s="416"/>
      <c r="W22" s="416"/>
      <c r="AB22" s="416"/>
      <c r="AC22" s="416"/>
      <c r="AD22" s="416"/>
    </row>
    <row r="23" spans="1:30" ht="12.75" hidden="1" customHeight="1" outlineLevel="1" x14ac:dyDescent="0.2">
      <c r="A23" s="615"/>
      <c r="E23"/>
      <c r="F23" s="42" t="s">
        <v>258</v>
      </c>
      <c r="G23" s="913"/>
      <c r="H23" s="881"/>
      <c r="I23" s="881"/>
      <c r="J23" s="881"/>
      <c r="K23" s="881"/>
      <c r="L23" s="882"/>
      <c r="U23" s="416"/>
      <c r="W23" s="416"/>
      <c r="Z23" s="919" t="str">
        <f>IF(AC25&lt;&gt;"",MsgNote &amp; VLOOKUP("PRate",WarningMessages,2),"")</f>
        <v/>
      </c>
      <c r="AA23" s="919"/>
      <c r="AB23" s="919"/>
      <c r="AC23" s="919"/>
      <c r="AD23" s="919"/>
    </row>
    <row r="24" spans="1:30" s="416" customFormat="1" ht="12.75" hidden="1" customHeight="1" outlineLevel="1" x14ac:dyDescent="0.2">
      <c r="A24" s="615"/>
      <c r="E24"/>
      <c r="G24" s="557">
        <v>1</v>
      </c>
      <c r="H24" s="557">
        <v>2</v>
      </c>
      <c r="I24" s="557">
        <v>3</v>
      </c>
      <c r="J24" s="557">
        <v>4</v>
      </c>
      <c r="K24" s="557">
        <v>5</v>
      </c>
      <c r="L24" s="557">
        <v>6</v>
      </c>
      <c r="M24" s="557">
        <v>7</v>
      </c>
      <c r="N24" s="557">
        <v>8</v>
      </c>
      <c r="O24" s="557">
        <v>9</v>
      </c>
      <c r="P24" s="557">
        <v>10</v>
      </c>
      <c r="Q24" s="557">
        <v>11</v>
      </c>
    </row>
    <row r="25" spans="1:30" ht="12.75" hidden="1" customHeight="1" outlineLevel="1" x14ac:dyDescent="0.2">
      <c r="A25" s="615"/>
      <c r="D25" s="318"/>
      <c r="E25" s="566" t="s">
        <v>1065</v>
      </c>
      <c r="F25" s="307">
        <f t="shared" ref="F25:K25" si="10">G25-1</f>
        <v>2015</v>
      </c>
      <c r="G25" s="307">
        <f t="shared" si="10"/>
        <v>2016</v>
      </c>
      <c r="H25" s="307">
        <f t="shared" si="10"/>
        <v>2017</v>
      </c>
      <c r="I25" s="307">
        <f t="shared" si="10"/>
        <v>2018</v>
      </c>
      <c r="J25" s="307">
        <f t="shared" si="10"/>
        <v>2019</v>
      </c>
      <c r="K25" s="307">
        <f t="shared" si="10"/>
        <v>2020</v>
      </c>
      <c r="L25" s="307">
        <f>FirstYear</f>
        <v>2021</v>
      </c>
      <c r="M25" s="307">
        <f>L25+1</f>
        <v>2022</v>
      </c>
      <c r="N25" s="307">
        <f>M25+1</f>
        <v>2023</v>
      </c>
      <c r="O25" s="307">
        <f>N25+1</f>
        <v>2024</v>
      </c>
      <c r="P25" s="307">
        <f>O25+1</f>
        <v>2025</v>
      </c>
      <c r="Q25" s="307">
        <f>P25+1</f>
        <v>2026</v>
      </c>
      <c r="S25" s="921" t="s">
        <v>1300</v>
      </c>
      <c r="T25" s="921"/>
      <c r="U25" s="416"/>
      <c r="W25" s="416"/>
      <c r="Z25" s="918" t="s">
        <v>1303</v>
      </c>
      <c r="AA25" s="918"/>
      <c r="AB25" s="918"/>
      <c r="AC25" s="544"/>
    </row>
    <row r="26" spans="1:30" ht="12.75" hidden="1" customHeight="1" outlineLevel="1" x14ac:dyDescent="0.2">
      <c r="A26" s="615"/>
      <c r="D26" s="42" t="s">
        <v>282</v>
      </c>
      <c r="E26" s="320"/>
      <c r="F26" s="322">
        <f>E26</f>
        <v>0</v>
      </c>
      <c r="G26" s="322">
        <f t="shared" ref="G26:Q26" si="11">F26*VLOOKUP(G24,PRate01,2,FALSE)</f>
        <v>0</v>
      </c>
      <c r="H26" s="322">
        <f t="shared" si="11"/>
        <v>0</v>
      </c>
      <c r="I26" s="322">
        <f t="shared" si="11"/>
        <v>0</v>
      </c>
      <c r="J26" s="322">
        <f t="shared" si="11"/>
        <v>0</v>
      </c>
      <c r="K26" s="322">
        <f t="shared" si="11"/>
        <v>0</v>
      </c>
      <c r="L26" s="322">
        <f t="shared" si="11"/>
        <v>0</v>
      </c>
      <c r="M26" s="322">
        <f t="shared" si="11"/>
        <v>0</v>
      </c>
      <c r="N26" s="322">
        <f t="shared" si="11"/>
        <v>0</v>
      </c>
      <c r="O26" s="322">
        <f t="shared" si="11"/>
        <v>0</v>
      </c>
      <c r="P26" s="322">
        <f t="shared" si="11"/>
        <v>0</v>
      </c>
      <c r="Q26" s="322">
        <f t="shared" si="11"/>
        <v>0</v>
      </c>
      <c r="S26" s="547" t="s">
        <v>1005</v>
      </c>
      <c r="T26" s="548"/>
      <c r="U26" s="416"/>
      <c r="V26" s="554">
        <v>1</v>
      </c>
      <c r="W26" s="549">
        <f t="shared" ref="W26:W36" si="12">IF($AC$25&lt;&gt;"",$AC$25,T26)</f>
        <v>0</v>
      </c>
      <c r="X26" s="549">
        <f t="shared" ref="X26:X37" si="13">IF($AC$41&lt;&gt;"",$AC$41,T42)</f>
        <v>0</v>
      </c>
      <c r="Y26" s="553"/>
      <c r="Z26" s="553"/>
      <c r="AA26" s="553"/>
      <c r="AC26" s="416"/>
      <c r="AD26" s="416"/>
    </row>
    <row r="27" spans="1:30" ht="12.75" hidden="1" customHeight="1" outlineLevel="1" x14ac:dyDescent="0.2">
      <c r="A27" s="615"/>
      <c r="D27" s="42" t="s">
        <v>283</v>
      </c>
      <c r="E27" s="320"/>
      <c r="F27" s="319"/>
      <c r="G27" s="322">
        <f>E27</f>
        <v>0</v>
      </c>
      <c r="H27" s="322">
        <f t="shared" ref="H27:Q27" si="14">G27*VLOOKUP(G24,PRate01,2,FALSE)</f>
        <v>0</v>
      </c>
      <c r="I27" s="322">
        <f t="shared" si="14"/>
        <v>0</v>
      </c>
      <c r="J27" s="322">
        <f t="shared" si="14"/>
        <v>0</v>
      </c>
      <c r="K27" s="322">
        <f t="shared" si="14"/>
        <v>0</v>
      </c>
      <c r="L27" s="322">
        <f t="shared" si="14"/>
        <v>0</v>
      </c>
      <c r="M27" s="322">
        <f t="shared" si="14"/>
        <v>0</v>
      </c>
      <c r="N27" s="322">
        <f t="shared" si="14"/>
        <v>0</v>
      </c>
      <c r="O27" s="322">
        <f t="shared" si="14"/>
        <v>0</v>
      </c>
      <c r="P27" s="322">
        <f t="shared" si="14"/>
        <v>0</v>
      </c>
      <c r="Q27" s="322">
        <f t="shared" si="14"/>
        <v>0</v>
      </c>
      <c r="S27" s="42" t="s">
        <v>1006</v>
      </c>
      <c r="T27" s="544"/>
      <c r="U27" s="416"/>
      <c r="V27" s="554">
        <v>2</v>
      </c>
      <c r="W27" s="549">
        <f t="shared" si="12"/>
        <v>0</v>
      </c>
      <c r="X27" s="549">
        <f t="shared" si="13"/>
        <v>0</v>
      </c>
      <c r="Y27"/>
      <c r="Z27" s="42" t="s">
        <v>258</v>
      </c>
      <c r="AA27" s="914"/>
      <c r="AB27" s="914"/>
      <c r="AC27" s="914"/>
      <c r="AD27" s="914"/>
    </row>
    <row r="28" spans="1:30" ht="12.75" hidden="1" customHeight="1" outlineLevel="1" x14ac:dyDescent="0.2">
      <c r="A28" s="615"/>
      <c r="D28" s="42" t="s">
        <v>284</v>
      </c>
      <c r="E28" s="320"/>
      <c r="F28" s="319"/>
      <c r="G28" s="319"/>
      <c r="H28" s="322">
        <f>E28</f>
        <v>0</v>
      </c>
      <c r="I28" s="322">
        <f t="shared" ref="I28:Q28" si="15">H28*VLOOKUP(G24,PRate01,2,FALSE)</f>
        <v>0</v>
      </c>
      <c r="J28" s="322">
        <f t="shared" si="15"/>
        <v>0</v>
      </c>
      <c r="K28" s="322">
        <f t="shared" si="15"/>
        <v>0</v>
      </c>
      <c r="L28" s="322">
        <f t="shared" si="15"/>
        <v>0</v>
      </c>
      <c r="M28" s="322">
        <f t="shared" si="15"/>
        <v>0</v>
      </c>
      <c r="N28" s="322">
        <f t="shared" si="15"/>
        <v>0</v>
      </c>
      <c r="O28" s="322">
        <f t="shared" si="15"/>
        <v>0</v>
      </c>
      <c r="P28" s="322">
        <f t="shared" si="15"/>
        <v>0</v>
      </c>
      <c r="Q28" s="322">
        <f t="shared" si="15"/>
        <v>0</v>
      </c>
      <c r="S28" s="42" t="s">
        <v>1007</v>
      </c>
      <c r="T28" s="544"/>
      <c r="U28" s="416"/>
      <c r="V28" s="554">
        <v>3</v>
      </c>
      <c r="W28" s="549">
        <f t="shared" si="12"/>
        <v>0</v>
      </c>
      <c r="X28" s="549">
        <f t="shared" si="13"/>
        <v>0</v>
      </c>
      <c r="Y28" s="553"/>
      <c r="Z28" s="553"/>
      <c r="AA28" s="553"/>
      <c r="AC28" s="416"/>
      <c r="AD28" s="416"/>
    </row>
    <row r="29" spans="1:30" ht="12.75" hidden="1" customHeight="1" outlineLevel="1" x14ac:dyDescent="0.2">
      <c r="A29" s="615"/>
      <c r="D29" s="42" t="s">
        <v>285</v>
      </c>
      <c r="E29" s="320"/>
      <c r="F29" s="319"/>
      <c r="G29" s="319"/>
      <c r="H29" s="319"/>
      <c r="I29" s="322">
        <f>E29</f>
        <v>0</v>
      </c>
      <c r="J29" s="322">
        <f t="shared" ref="J29:Q29" si="16">I29*VLOOKUP(G24,PRate01,2,FALSE)</f>
        <v>0</v>
      </c>
      <c r="K29" s="322">
        <f t="shared" si="16"/>
        <v>0</v>
      </c>
      <c r="L29" s="322">
        <f t="shared" si="16"/>
        <v>0</v>
      </c>
      <c r="M29" s="322">
        <f t="shared" si="16"/>
        <v>0</v>
      </c>
      <c r="N29" s="322">
        <f t="shared" si="16"/>
        <v>0</v>
      </c>
      <c r="O29" s="322">
        <f t="shared" si="16"/>
        <v>0</v>
      </c>
      <c r="P29" s="322">
        <f t="shared" si="16"/>
        <v>0</v>
      </c>
      <c r="Q29" s="322">
        <f t="shared" si="16"/>
        <v>0</v>
      </c>
      <c r="S29" s="42" t="s">
        <v>1008</v>
      </c>
      <c r="T29" s="544"/>
      <c r="U29" s="416"/>
      <c r="V29" s="555">
        <v>4</v>
      </c>
      <c r="W29" s="549">
        <f t="shared" si="12"/>
        <v>0</v>
      </c>
      <c r="X29" s="549">
        <f t="shared" si="13"/>
        <v>0</v>
      </c>
      <c r="Y29" s="553"/>
      <c r="Z29" s="553"/>
      <c r="AA29" s="553"/>
      <c r="AC29" s="416"/>
      <c r="AD29" s="416"/>
    </row>
    <row r="30" spans="1:30" ht="12.75" hidden="1" customHeight="1" outlineLevel="1" x14ac:dyDescent="0.2">
      <c r="A30" s="615"/>
      <c r="D30" s="42" t="s">
        <v>286</v>
      </c>
      <c r="E30" s="320"/>
      <c r="F30" s="319"/>
      <c r="G30" s="319"/>
      <c r="H30" s="319"/>
      <c r="I30" s="319"/>
      <c r="J30" s="322">
        <f>E30</f>
        <v>0</v>
      </c>
      <c r="K30" s="322">
        <f t="shared" ref="K30:Q30" si="17">J30*VLOOKUP(G24,PRate01,2,FALSE)</f>
        <v>0</v>
      </c>
      <c r="L30" s="322">
        <f t="shared" si="17"/>
        <v>0</v>
      </c>
      <c r="M30" s="322">
        <f t="shared" si="17"/>
        <v>0</v>
      </c>
      <c r="N30" s="322">
        <f t="shared" si="17"/>
        <v>0</v>
      </c>
      <c r="O30" s="322">
        <f t="shared" si="17"/>
        <v>0</v>
      </c>
      <c r="P30" s="322">
        <f t="shared" si="17"/>
        <v>0</v>
      </c>
      <c r="Q30" s="322">
        <f t="shared" si="17"/>
        <v>0</v>
      </c>
      <c r="S30" s="42" t="s">
        <v>1009</v>
      </c>
      <c r="T30" s="544"/>
      <c r="U30" s="416"/>
      <c r="V30" s="555">
        <v>5</v>
      </c>
      <c r="W30" s="549">
        <f t="shared" si="12"/>
        <v>0</v>
      </c>
      <c r="X30" s="549">
        <f t="shared" si="13"/>
        <v>0</v>
      </c>
      <c r="Y30" s="553"/>
      <c r="Z30" s="553"/>
      <c r="AA30" s="553"/>
      <c r="AC30" s="416"/>
      <c r="AD30" s="416"/>
    </row>
    <row r="31" spans="1:30" ht="12.75" hidden="1" customHeight="1" outlineLevel="1" x14ac:dyDescent="0.2">
      <c r="A31" s="615"/>
      <c r="D31" s="42" t="s">
        <v>287</v>
      </c>
      <c r="E31" s="320"/>
      <c r="F31" s="319"/>
      <c r="G31" s="319"/>
      <c r="H31" s="319"/>
      <c r="I31" s="319"/>
      <c r="J31" s="319"/>
      <c r="K31" s="322">
        <f>E31</f>
        <v>0</v>
      </c>
      <c r="L31" s="322">
        <f t="shared" ref="L31:Q31" si="18">K31*VLOOKUP(G24,PRate01,2,FALSE)</f>
        <v>0</v>
      </c>
      <c r="M31" s="322">
        <f t="shared" si="18"/>
        <v>0</v>
      </c>
      <c r="N31" s="322">
        <f t="shared" si="18"/>
        <v>0</v>
      </c>
      <c r="O31" s="322">
        <f t="shared" si="18"/>
        <v>0</v>
      </c>
      <c r="P31" s="322">
        <f t="shared" si="18"/>
        <v>0</v>
      </c>
      <c r="Q31" s="322">
        <f t="shared" si="18"/>
        <v>0</v>
      </c>
      <c r="S31" s="42" t="s">
        <v>1010</v>
      </c>
      <c r="T31" s="544"/>
      <c r="U31" s="416"/>
      <c r="V31" s="555">
        <v>6</v>
      </c>
      <c r="W31" s="549">
        <f t="shared" si="12"/>
        <v>0</v>
      </c>
      <c r="X31" s="549">
        <f t="shared" si="13"/>
        <v>0</v>
      </c>
      <c r="Y31" s="553"/>
      <c r="Z31" s="553"/>
      <c r="AA31" s="553"/>
      <c r="AC31" s="416"/>
      <c r="AD31" s="416"/>
    </row>
    <row r="32" spans="1:30" ht="12.75" hidden="1" customHeight="1" outlineLevel="1" x14ac:dyDescent="0.2">
      <c r="A32" s="615"/>
      <c r="D32" s="42" t="s">
        <v>474</v>
      </c>
      <c r="E32" s="320"/>
      <c r="F32" s="319"/>
      <c r="G32" s="319"/>
      <c r="H32" s="319"/>
      <c r="I32" s="319"/>
      <c r="J32" s="319"/>
      <c r="K32" s="319"/>
      <c r="L32" s="322">
        <f>E32</f>
        <v>0</v>
      </c>
      <c r="M32" s="322">
        <f>L32*VLOOKUP(G24,PRate01,2,FALSE)</f>
        <v>0</v>
      </c>
      <c r="N32" s="322">
        <f>M32*VLOOKUP(H24,PRate01,2,FALSE)</f>
        <v>0</v>
      </c>
      <c r="O32" s="322">
        <f>N32*VLOOKUP(I24,PRate01,2,FALSE)</f>
        <v>0</v>
      </c>
      <c r="P32" s="322">
        <f>O32*VLOOKUP(J24,PRate01,2,FALSE)</f>
        <v>0</v>
      </c>
      <c r="Q32" s="322">
        <f>P32*VLOOKUP(K24,PRate01,2,FALSE)</f>
        <v>0</v>
      </c>
      <c r="S32" s="42" t="s">
        <v>1011</v>
      </c>
      <c r="T32" s="544"/>
      <c r="U32" s="416"/>
      <c r="V32" s="555">
        <v>7</v>
      </c>
      <c r="W32" s="549">
        <f t="shared" si="12"/>
        <v>0</v>
      </c>
      <c r="X32" s="549">
        <f t="shared" si="13"/>
        <v>0</v>
      </c>
      <c r="Y32" s="553"/>
      <c r="Z32" s="553"/>
      <c r="AA32" s="553"/>
      <c r="AC32" s="416"/>
      <c r="AD32" s="416"/>
    </row>
    <row r="33" spans="1:30" ht="12.75" hidden="1" customHeight="1" outlineLevel="1" x14ac:dyDescent="0.2">
      <c r="A33" s="615"/>
      <c r="D33" s="42" t="s">
        <v>475</v>
      </c>
      <c r="E33" s="320"/>
      <c r="F33" s="319"/>
      <c r="G33" s="319"/>
      <c r="H33" s="319"/>
      <c r="I33" s="319"/>
      <c r="J33" s="319"/>
      <c r="K33" s="319"/>
      <c r="L33" s="319"/>
      <c r="M33" s="322">
        <f>E33</f>
        <v>0</v>
      </c>
      <c r="N33" s="322">
        <f>M33*VLOOKUP(G24,PRate01,2,FALSE)</f>
        <v>0</v>
      </c>
      <c r="O33" s="322">
        <f>N33*VLOOKUP(H24,PRate01,2,FALSE)</f>
        <v>0</v>
      </c>
      <c r="P33" s="322">
        <f>O33*VLOOKUP(I24,PRate01,2,FALSE)</f>
        <v>0</v>
      </c>
      <c r="Q33" s="322">
        <f>P33*VLOOKUP(J24,PRate01,2,FALSE)</f>
        <v>0</v>
      </c>
      <c r="S33" s="42" t="s">
        <v>1012</v>
      </c>
      <c r="T33" s="544"/>
      <c r="U33" s="416"/>
      <c r="V33" s="555">
        <v>8</v>
      </c>
      <c r="W33" s="549">
        <f t="shared" si="12"/>
        <v>0</v>
      </c>
      <c r="X33" s="549">
        <f t="shared" si="13"/>
        <v>0</v>
      </c>
      <c r="Y33" s="553"/>
      <c r="Z33" s="553"/>
      <c r="AA33" s="553"/>
      <c r="AC33" s="416"/>
      <c r="AD33" s="416"/>
    </row>
    <row r="34" spans="1:30" ht="12.75" hidden="1" customHeight="1" outlineLevel="1" x14ac:dyDescent="0.2">
      <c r="A34" s="615"/>
      <c r="D34" s="42" t="s">
        <v>476</v>
      </c>
      <c r="E34" s="320"/>
      <c r="F34" s="319"/>
      <c r="G34" s="319"/>
      <c r="H34" s="319"/>
      <c r="I34" s="319"/>
      <c r="J34" s="319"/>
      <c r="K34" s="319"/>
      <c r="L34" s="319"/>
      <c r="M34" s="319"/>
      <c r="N34" s="322">
        <f>E34</f>
        <v>0</v>
      </c>
      <c r="O34" s="322">
        <f>N34*VLOOKUP(G24,PRate01,2,FALSE)</f>
        <v>0</v>
      </c>
      <c r="P34" s="322">
        <f>O34*VLOOKUP(H24,PRate01,2,FALSE)</f>
        <v>0</v>
      </c>
      <c r="Q34" s="322">
        <f>P34*VLOOKUP(I24,PRate01,2,FALSE)</f>
        <v>0</v>
      </c>
      <c r="S34" s="42" t="s">
        <v>1013</v>
      </c>
      <c r="T34" s="544"/>
      <c r="U34" s="416"/>
      <c r="V34" s="555">
        <v>9</v>
      </c>
      <c r="W34" s="549">
        <f t="shared" si="12"/>
        <v>0</v>
      </c>
      <c r="X34" s="549">
        <f t="shared" si="13"/>
        <v>0</v>
      </c>
      <c r="Y34" s="553"/>
      <c r="Z34" s="553"/>
      <c r="AA34" s="553"/>
      <c r="AC34" s="416"/>
      <c r="AD34" s="416"/>
    </row>
    <row r="35" spans="1:30" ht="12.75" hidden="1" customHeight="1" outlineLevel="1" x14ac:dyDescent="0.2">
      <c r="A35" s="615"/>
      <c r="D35" s="42" t="s">
        <v>477</v>
      </c>
      <c r="E35" s="320"/>
      <c r="F35" s="319"/>
      <c r="G35" s="319"/>
      <c r="H35" s="319"/>
      <c r="I35" s="319"/>
      <c r="J35" s="319"/>
      <c r="K35" s="319"/>
      <c r="L35" s="319"/>
      <c r="M35" s="319"/>
      <c r="N35" s="319"/>
      <c r="O35" s="550">
        <f>E35</f>
        <v>0</v>
      </c>
      <c r="P35" s="322">
        <f>O35*VLOOKUP(G24,PRate01,2,FALSE)</f>
        <v>0</v>
      </c>
      <c r="Q35" s="322">
        <f>P35*VLOOKUP(H24,PRate01,2,FALSE)</f>
        <v>0</v>
      </c>
      <c r="S35" s="42" t="s">
        <v>1014</v>
      </c>
      <c r="T35" s="544"/>
      <c r="U35" s="416"/>
      <c r="V35" s="555">
        <v>10</v>
      </c>
      <c r="W35" s="549">
        <f t="shared" si="12"/>
        <v>0</v>
      </c>
      <c r="X35" s="549">
        <f t="shared" si="13"/>
        <v>0</v>
      </c>
      <c r="Y35" s="553"/>
      <c r="Z35" s="553"/>
      <c r="AA35" s="553"/>
      <c r="AC35" s="416"/>
      <c r="AD35" s="416"/>
    </row>
    <row r="36" spans="1:30" ht="12.75" hidden="1" customHeight="1" outlineLevel="1" x14ac:dyDescent="0.2">
      <c r="A36" s="615"/>
      <c r="D36" s="42" t="s">
        <v>478</v>
      </c>
      <c r="E36" s="320"/>
      <c r="F36" s="319"/>
      <c r="G36" s="319"/>
      <c r="H36" s="319"/>
      <c r="I36" s="319"/>
      <c r="J36" s="319"/>
      <c r="K36" s="319"/>
      <c r="L36" s="319"/>
      <c r="M36" s="319"/>
      <c r="N36" s="319"/>
      <c r="O36" s="546"/>
      <c r="P36" s="550">
        <f>E36</f>
        <v>0</v>
      </c>
      <c r="Q36" s="322">
        <f>P36*VLOOKUP(G24,PRate01,2,FALSE)</f>
        <v>0</v>
      </c>
      <c r="S36" s="42" t="s">
        <v>1015</v>
      </c>
      <c r="T36" s="544"/>
      <c r="U36" s="416"/>
      <c r="V36" s="555">
        <v>11</v>
      </c>
      <c r="W36" s="549">
        <f t="shared" si="12"/>
        <v>0</v>
      </c>
      <c r="X36" s="549">
        <f t="shared" si="13"/>
        <v>0</v>
      </c>
      <c r="Y36" s="553"/>
      <c r="Z36" s="553"/>
      <c r="AA36" s="553"/>
      <c r="AC36" s="416"/>
      <c r="AD36" s="416"/>
    </row>
    <row r="37" spans="1:30" ht="12.75" hidden="1" customHeight="1" outlineLevel="1" x14ac:dyDescent="0.2">
      <c r="A37" s="615"/>
      <c r="D37" s="42" t="s">
        <v>479</v>
      </c>
      <c r="E37" s="320"/>
      <c r="F37" s="319"/>
      <c r="G37" s="319"/>
      <c r="H37" s="319"/>
      <c r="I37" s="319"/>
      <c r="J37" s="319"/>
      <c r="K37" s="319"/>
      <c r="L37" s="319"/>
      <c r="M37" s="319"/>
      <c r="N37" s="319"/>
      <c r="O37" s="546"/>
      <c r="P37" s="546"/>
      <c r="Q37" s="550">
        <f>E37</f>
        <v>0</v>
      </c>
      <c r="S37" s="416"/>
      <c r="T37" s="416"/>
      <c r="U37" s="416"/>
      <c r="V37" s="555">
        <v>12</v>
      </c>
      <c r="W37" s="556"/>
      <c r="X37" s="549">
        <f t="shared" si="13"/>
        <v>0</v>
      </c>
      <c r="Y37" s="553"/>
      <c r="Z37" s="553"/>
      <c r="AA37" s="553"/>
      <c r="AB37" s="416"/>
      <c r="AC37" s="416"/>
      <c r="AD37" s="416"/>
    </row>
    <row r="38" spans="1:30" ht="12.75" hidden="1" customHeight="1" outlineLevel="1" x14ac:dyDescent="0.2">
      <c r="A38" s="615"/>
      <c r="B38"/>
    </row>
    <row r="39" spans="1:30" ht="12.75" hidden="1" customHeight="1" outlineLevel="1" x14ac:dyDescent="0.2">
      <c r="A39" s="615"/>
      <c r="B39"/>
      <c r="U39" s="416"/>
      <c r="W39" s="416"/>
      <c r="Z39" s="919" t="str">
        <f>IF(AC41&lt;&gt;"",MsgNote &amp; VLOOKUP("PRate",WarningMessages,2),"")</f>
        <v/>
      </c>
      <c r="AA39" s="919"/>
      <c r="AB39" s="919"/>
      <c r="AC39" s="919"/>
      <c r="AD39" s="919"/>
    </row>
    <row r="40" spans="1:30" ht="12.75" hidden="1" customHeight="1" outlineLevel="1" x14ac:dyDescent="0.2">
      <c r="A40" s="615"/>
      <c r="B40"/>
      <c r="L40" s="552"/>
      <c r="M40" s="552"/>
      <c r="N40" s="552"/>
      <c r="O40" s="552"/>
      <c r="P40" s="552"/>
      <c r="Q40" s="552"/>
      <c r="S40" s="416"/>
      <c r="T40" s="416"/>
      <c r="U40" s="416"/>
      <c r="W40" s="416"/>
    </row>
    <row r="41" spans="1:30" ht="12.75" hidden="1" customHeight="1" outlineLevel="1" x14ac:dyDescent="0.2">
      <c r="A41" s="615"/>
      <c r="B41"/>
      <c r="D41" s="318"/>
      <c r="E41"/>
      <c r="F41" s="545">
        <f t="shared" ref="F41:K41" si="19">G41-1</f>
        <v>2015</v>
      </c>
      <c r="G41" s="545">
        <f t="shared" si="19"/>
        <v>2016</v>
      </c>
      <c r="H41" s="545">
        <f t="shared" si="19"/>
        <v>2017</v>
      </c>
      <c r="I41" s="545">
        <f t="shared" si="19"/>
        <v>2018</v>
      </c>
      <c r="J41" s="545">
        <f t="shared" si="19"/>
        <v>2019</v>
      </c>
      <c r="K41" s="545">
        <f t="shared" si="19"/>
        <v>2020</v>
      </c>
      <c r="L41" s="545">
        <f>FirstYear</f>
        <v>2021</v>
      </c>
      <c r="M41" s="545">
        <f>L41+1</f>
        <v>2022</v>
      </c>
      <c r="N41" s="545">
        <f>M41+1</f>
        <v>2023</v>
      </c>
      <c r="O41" s="545">
        <f>N41+1</f>
        <v>2024</v>
      </c>
      <c r="P41" s="545">
        <f>O41+1</f>
        <v>2025</v>
      </c>
      <c r="Q41" s="545">
        <f>P41+1</f>
        <v>2026</v>
      </c>
      <c r="S41" s="921" t="s">
        <v>1301</v>
      </c>
      <c r="T41" s="921"/>
      <c r="U41" s="416"/>
      <c r="W41" s="416"/>
      <c r="Z41" s="918" t="s">
        <v>1304</v>
      </c>
      <c r="AA41" s="918"/>
      <c r="AB41" s="918"/>
      <c r="AC41" s="544"/>
    </row>
    <row r="42" spans="1:30" ht="12.75" hidden="1" customHeight="1" outlineLevel="1" x14ac:dyDescent="0.2">
      <c r="A42" s="615"/>
      <c r="B42"/>
      <c r="C42" s="551">
        <v>12</v>
      </c>
      <c r="D42" s="920" t="s">
        <v>282</v>
      </c>
      <c r="E42" s="882"/>
      <c r="F42" s="550">
        <f>F26*VLOOKUP(C53,PRate01,3,FALSE)</f>
        <v>0</v>
      </c>
      <c r="G42" s="550">
        <f>G26*VLOOKUP(C52,PRate01,3,FALSE)</f>
        <v>0</v>
      </c>
      <c r="H42" s="550">
        <f>H26*VLOOKUP(C51,PRate01,3,FALSE)</f>
        <v>0</v>
      </c>
      <c r="I42" s="550">
        <f>I26*VLOOKUP(C50,PRate01,3,FALSE)</f>
        <v>0</v>
      </c>
      <c r="J42" s="550">
        <f>J26*VLOOKUP(C49,PRate01,3,FALSE)</f>
        <v>0</v>
      </c>
      <c r="K42" s="550">
        <f t="shared" ref="K42:K47" si="20">K26*VLOOKUP(C48,PRate01,3,FALSE)</f>
        <v>0</v>
      </c>
      <c r="L42" s="550">
        <f t="shared" ref="L42:L48" si="21">L26*VLOOKUP(C47,PRate01,3,FALSE)</f>
        <v>0</v>
      </c>
      <c r="M42" s="550">
        <f t="shared" ref="M42:M49" si="22">M26*VLOOKUP(C46,PRate01,3,FALSE)</f>
        <v>0</v>
      </c>
      <c r="N42" s="550">
        <f t="shared" ref="N42:N50" si="23">N26*VLOOKUP(C45,PRate01,3,FALSE)</f>
        <v>0</v>
      </c>
      <c r="O42" s="550">
        <f t="shared" ref="O42:O51" si="24">O26*VLOOKUP(C44,PRate01,3,FALSE)</f>
        <v>0</v>
      </c>
      <c r="P42" s="550">
        <f t="shared" ref="P42:P52" si="25">P26*VLOOKUP(C43,PRate01,3,FALSE)</f>
        <v>0</v>
      </c>
      <c r="Q42" s="550">
        <f t="shared" ref="Q42:Q53" si="26">Q26*VLOOKUP(C42,PRate01,3,FALSE)</f>
        <v>0</v>
      </c>
      <c r="S42" s="547" t="s">
        <v>1005</v>
      </c>
      <c r="T42" s="548"/>
      <c r="U42" s="416"/>
      <c r="X42" s="553"/>
      <c r="Y42" s="553"/>
      <c r="Z42" s="553"/>
      <c r="AA42" s="553"/>
    </row>
    <row r="43" spans="1:30" ht="12.75" hidden="1" customHeight="1" outlineLevel="1" x14ac:dyDescent="0.2">
      <c r="A43" s="615"/>
      <c r="B43"/>
      <c r="C43" s="551">
        <v>11</v>
      </c>
      <c r="D43" s="920" t="s">
        <v>283</v>
      </c>
      <c r="E43" s="882"/>
      <c r="F43" s="319"/>
      <c r="G43" s="550">
        <f>G27*VLOOKUP(C53,PRate01,3,FALSE)</f>
        <v>0</v>
      </c>
      <c r="H43" s="550">
        <f>H27*VLOOKUP(C52,PRate01,3,FALSE)</f>
        <v>0</v>
      </c>
      <c r="I43" s="550">
        <f>I27*VLOOKUP(C51,PRate01,3,FALSE)</f>
        <v>0</v>
      </c>
      <c r="J43" s="550">
        <f>J27*VLOOKUP(C50,PRate01,3,FALSE)</f>
        <v>0</v>
      </c>
      <c r="K43" s="550">
        <f t="shared" si="20"/>
        <v>0</v>
      </c>
      <c r="L43" s="550">
        <f t="shared" si="21"/>
        <v>0</v>
      </c>
      <c r="M43" s="550">
        <f t="shared" si="22"/>
        <v>0</v>
      </c>
      <c r="N43" s="550">
        <f t="shared" si="23"/>
        <v>0</v>
      </c>
      <c r="O43" s="550">
        <f t="shared" si="24"/>
        <v>0</v>
      </c>
      <c r="P43" s="550">
        <f t="shared" si="25"/>
        <v>0</v>
      </c>
      <c r="Q43" s="550">
        <f t="shared" si="26"/>
        <v>0</v>
      </c>
      <c r="S43" s="42" t="s">
        <v>1006</v>
      </c>
      <c r="T43" s="544"/>
      <c r="U43" s="416"/>
      <c r="X43" s="553"/>
      <c r="Y43" s="553"/>
      <c r="Z43" s="42" t="s">
        <v>258</v>
      </c>
      <c r="AA43" s="914"/>
      <c r="AB43" s="914"/>
      <c r="AC43" s="914"/>
      <c r="AD43" s="914"/>
    </row>
    <row r="44" spans="1:30" ht="12.75" hidden="1" customHeight="1" outlineLevel="1" x14ac:dyDescent="0.2">
      <c r="A44" s="615"/>
      <c r="B44"/>
      <c r="C44" s="551">
        <v>10</v>
      </c>
      <c r="D44" s="920" t="s">
        <v>284</v>
      </c>
      <c r="E44" s="882"/>
      <c r="F44" s="319"/>
      <c r="G44" s="319"/>
      <c r="H44" s="550">
        <f>H28*VLOOKUP(C53,PRate01,3,FALSE)</f>
        <v>0</v>
      </c>
      <c r="I44" s="550">
        <f>I28*VLOOKUP(C52,PRate01,3,FALSE)</f>
        <v>0</v>
      </c>
      <c r="J44" s="550">
        <f>J28*VLOOKUP(C51,PRate01,3,FALSE)</f>
        <v>0</v>
      </c>
      <c r="K44" s="550">
        <f t="shared" si="20"/>
        <v>0</v>
      </c>
      <c r="L44" s="550">
        <f t="shared" si="21"/>
        <v>0</v>
      </c>
      <c r="M44" s="550">
        <f t="shared" si="22"/>
        <v>0</v>
      </c>
      <c r="N44" s="550">
        <f t="shared" si="23"/>
        <v>0</v>
      </c>
      <c r="O44" s="550">
        <f t="shared" si="24"/>
        <v>0</v>
      </c>
      <c r="P44" s="550">
        <f t="shared" si="25"/>
        <v>0</v>
      </c>
      <c r="Q44" s="550">
        <f t="shared" si="26"/>
        <v>0</v>
      </c>
      <c r="S44" s="42" t="s">
        <v>1007</v>
      </c>
      <c r="T44" s="544"/>
      <c r="U44" s="416"/>
      <c r="X44" s="553"/>
      <c r="Y44" s="553"/>
      <c r="Z44" s="553"/>
      <c r="AA44" s="553"/>
    </row>
    <row r="45" spans="1:30" ht="12.75" hidden="1" customHeight="1" outlineLevel="1" x14ac:dyDescent="0.2">
      <c r="A45" s="615"/>
      <c r="B45"/>
      <c r="C45" s="551">
        <v>9</v>
      </c>
      <c r="D45" s="920" t="s">
        <v>285</v>
      </c>
      <c r="E45" s="882"/>
      <c r="F45" s="319"/>
      <c r="G45" s="319"/>
      <c r="H45" s="319"/>
      <c r="I45" s="550">
        <f>I29*VLOOKUP(C53,PRate01,3,FALSE)</f>
        <v>0</v>
      </c>
      <c r="J45" s="550">
        <f>J29*VLOOKUP(C52,PRate01,3,FALSE)</f>
        <v>0</v>
      </c>
      <c r="K45" s="550">
        <f t="shared" si="20"/>
        <v>0</v>
      </c>
      <c r="L45" s="550">
        <f t="shared" si="21"/>
        <v>0</v>
      </c>
      <c r="M45" s="550">
        <f t="shared" si="22"/>
        <v>0</v>
      </c>
      <c r="N45" s="550">
        <f t="shared" si="23"/>
        <v>0</v>
      </c>
      <c r="O45" s="550">
        <f t="shared" si="24"/>
        <v>0</v>
      </c>
      <c r="P45" s="550">
        <f t="shared" si="25"/>
        <v>0</v>
      </c>
      <c r="Q45" s="550">
        <f t="shared" si="26"/>
        <v>0</v>
      </c>
      <c r="S45" s="42" t="s">
        <v>1008</v>
      </c>
      <c r="T45" s="544"/>
      <c r="U45" s="416"/>
      <c r="X45" s="553"/>
      <c r="Y45" s="553"/>
      <c r="Z45" s="553"/>
      <c r="AA45" s="553"/>
    </row>
    <row r="46" spans="1:30" ht="12.75" hidden="1" customHeight="1" outlineLevel="1" x14ac:dyDescent="0.2">
      <c r="A46" s="615"/>
      <c r="B46"/>
      <c r="C46" s="551">
        <v>8</v>
      </c>
      <c r="D46" s="920" t="s">
        <v>286</v>
      </c>
      <c r="E46" s="882"/>
      <c r="F46" s="319"/>
      <c r="G46" s="319"/>
      <c r="H46" s="319"/>
      <c r="I46" s="319"/>
      <c r="J46" s="550">
        <f>J30*VLOOKUP(C53,PRate01,3,FALSE)</f>
        <v>0</v>
      </c>
      <c r="K46" s="550">
        <f t="shared" si="20"/>
        <v>0</v>
      </c>
      <c r="L46" s="550">
        <f t="shared" si="21"/>
        <v>0</v>
      </c>
      <c r="M46" s="550">
        <f t="shared" si="22"/>
        <v>0</v>
      </c>
      <c r="N46" s="550">
        <f t="shared" si="23"/>
        <v>0</v>
      </c>
      <c r="O46" s="550">
        <f t="shared" si="24"/>
        <v>0</v>
      </c>
      <c r="P46" s="550">
        <f t="shared" si="25"/>
        <v>0</v>
      </c>
      <c r="Q46" s="550">
        <f t="shared" si="26"/>
        <v>0</v>
      </c>
      <c r="S46" s="42" t="s">
        <v>1009</v>
      </c>
      <c r="T46" s="544"/>
      <c r="U46" s="416"/>
      <c r="X46" s="553"/>
      <c r="Y46" s="553"/>
      <c r="Z46" s="553"/>
      <c r="AA46" s="553"/>
    </row>
    <row r="47" spans="1:30" ht="12.75" hidden="1" customHeight="1" outlineLevel="1" x14ac:dyDescent="0.2">
      <c r="A47" s="615"/>
      <c r="B47"/>
      <c r="C47" s="551">
        <v>7</v>
      </c>
      <c r="D47" s="920" t="s">
        <v>287</v>
      </c>
      <c r="E47" s="882"/>
      <c r="F47" s="319"/>
      <c r="G47" s="319"/>
      <c r="H47" s="319"/>
      <c r="I47" s="319"/>
      <c r="J47" s="319"/>
      <c r="K47" s="550">
        <f t="shared" si="20"/>
        <v>0</v>
      </c>
      <c r="L47" s="550">
        <f t="shared" si="21"/>
        <v>0</v>
      </c>
      <c r="M47" s="550">
        <f t="shared" si="22"/>
        <v>0</v>
      </c>
      <c r="N47" s="550">
        <f t="shared" si="23"/>
        <v>0</v>
      </c>
      <c r="O47" s="550">
        <f t="shared" si="24"/>
        <v>0</v>
      </c>
      <c r="P47" s="550">
        <f t="shared" si="25"/>
        <v>0</v>
      </c>
      <c r="Q47" s="550">
        <f t="shared" si="26"/>
        <v>0</v>
      </c>
      <c r="S47" s="42" t="s">
        <v>1010</v>
      </c>
      <c r="T47" s="544"/>
      <c r="U47" s="416"/>
      <c r="X47" s="553"/>
      <c r="Y47" s="553"/>
      <c r="Z47" s="553"/>
      <c r="AA47" s="553"/>
    </row>
    <row r="48" spans="1:30" ht="12.75" hidden="1" customHeight="1" outlineLevel="1" x14ac:dyDescent="0.2">
      <c r="A48" s="615"/>
      <c r="B48"/>
      <c r="C48" s="551">
        <v>6</v>
      </c>
      <c r="D48" s="920" t="s">
        <v>474</v>
      </c>
      <c r="E48" s="882"/>
      <c r="F48" s="319"/>
      <c r="G48" s="319"/>
      <c r="H48" s="319"/>
      <c r="I48" s="319"/>
      <c r="J48" s="319"/>
      <c r="K48" s="319"/>
      <c r="L48" s="550">
        <f t="shared" si="21"/>
        <v>0</v>
      </c>
      <c r="M48" s="550">
        <f t="shared" si="22"/>
        <v>0</v>
      </c>
      <c r="N48" s="550">
        <f t="shared" si="23"/>
        <v>0</v>
      </c>
      <c r="O48" s="550">
        <f t="shared" si="24"/>
        <v>0</v>
      </c>
      <c r="P48" s="550">
        <f t="shared" si="25"/>
        <v>0</v>
      </c>
      <c r="Q48" s="550">
        <f t="shared" si="26"/>
        <v>0</v>
      </c>
      <c r="S48" s="42" t="s">
        <v>1011</v>
      </c>
      <c r="T48" s="544"/>
      <c r="U48" s="416"/>
      <c r="X48" s="553"/>
      <c r="Y48" s="553"/>
      <c r="Z48" s="553"/>
      <c r="AA48" s="553"/>
    </row>
    <row r="49" spans="1:30" ht="12.75" hidden="1" customHeight="1" outlineLevel="1" x14ac:dyDescent="0.2">
      <c r="A49" s="615"/>
      <c r="B49"/>
      <c r="C49" s="551">
        <v>5</v>
      </c>
      <c r="D49" s="920" t="s">
        <v>475</v>
      </c>
      <c r="E49" s="882"/>
      <c r="F49" s="319"/>
      <c r="G49" s="319"/>
      <c r="H49" s="319"/>
      <c r="I49" s="319"/>
      <c r="J49" s="319"/>
      <c r="K49" s="319"/>
      <c r="L49" s="319"/>
      <c r="M49" s="550">
        <f t="shared" si="22"/>
        <v>0</v>
      </c>
      <c r="N49" s="550">
        <f t="shared" si="23"/>
        <v>0</v>
      </c>
      <c r="O49" s="550">
        <f t="shared" si="24"/>
        <v>0</v>
      </c>
      <c r="P49" s="550">
        <f t="shared" si="25"/>
        <v>0</v>
      </c>
      <c r="Q49" s="550">
        <f t="shared" si="26"/>
        <v>0</v>
      </c>
      <c r="S49" s="42" t="s">
        <v>1012</v>
      </c>
      <c r="T49" s="544"/>
      <c r="U49" s="416"/>
      <c r="X49" s="553"/>
      <c r="Y49" s="553"/>
      <c r="Z49" s="553"/>
      <c r="AA49" s="553"/>
    </row>
    <row r="50" spans="1:30" ht="12.75" hidden="1" customHeight="1" outlineLevel="1" x14ac:dyDescent="0.2">
      <c r="A50" s="615"/>
      <c r="B50"/>
      <c r="C50" s="551">
        <v>4</v>
      </c>
      <c r="D50" s="920" t="s">
        <v>476</v>
      </c>
      <c r="E50" s="882"/>
      <c r="F50" s="319"/>
      <c r="G50" s="319"/>
      <c r="H50" s="319"/>
      <c r="I50" s="319"/>
      <c r="J50" s="319"/>
      <c r="K50" s="319"/>
      <c r="L50" s="319"/>
      <c r="M50" s="319"/>
      <c r="N50" s="550">
        <f t="shared" si="23"/>
        <v>0</v>
      </c>
      <c r="O50" s="550">
        <f t="shared" si="24"/>
        <v>0</v>
      </c>
      <c r="P50" s="550">
        <f t="shared" si="25"/>
        <v>0</v>
      </c>
      <c r="Q50" s="550">
        <f t="shared" si="26"/>
        <v>0</v>
      </c>
      <c r="S50" s="42" t="s">
        <v>1013</v>
      </c>
      <c r="T50" s="544"/>
      <c r="U50" s="416"/>
      <c r="X50" s="553"/>
      <c r="Y50" s="553"/>
      <c r="Z50" s="553"/>
      <c r="AA50" s="553"/>
    </row>
    <row r="51" spans="1:30" ht="12.75" hidden="1" customHeight="1" outlineLevel="1" x14ac:dyDescent="0.2">
      <c r="A51" s="615"/>
      <c r="B51"/>
      <c r="C51" s="551">
        <v>3</v>
      </c>
      <c r="D51" s="920" t="s">
        <v>477</v>
      </c>
      <c r="E51" s="882"/>
      <c r="F51" s="319"/>
      <c r="G51" s="319"/>
      <c r="H51" s="319"/>
      <c r="I51" s="319"/>
      <c r="J51" s="319"/>
      <c r="K51" s="319"/>
      <c r="L51" s="319"/>
      <c r="M51" s="319"/>
      <c r="N51" s="319"/>
      <c r="O51" s="550">
        <f t="shared" si="24"/>
        <v>0</v>
      </c>
      <c r="P51" s="550">
        <f t="shared" si="25"/>
        <v>0</v>
      </c>
      <c r="Q51" s="550">
        <f t="shared" si="26"/>
        <v>0</v>
      </c>
      <c r="S51" s="42" t="s">
        <v>1014</v>
      </c>
      <c r="T51" s="544"/>
      <c r="U51" s="416"/>
      <c r="X51" s="553"/>
      <c r="Y51" s="553"/>
      <c r="Z51" s="553"/>
      <c r="AA51" s="553"/>
    </row>
    <row r="52" spans="1:30" ht="12.75" hidden="1" customHeight="1" outlineLevel="1" x14ac:dyDescent="0.2">
      <c r="A52" s="615"/>
      <c r="C52" s="551">
        <v>2</v>
      </c>
      <c r="D52" s="920" t="s">
        <v>478</v>
      </c>
      <c r="E52" s="882"/>
      <c r="F52" s="319"/>
      <c r="G52" s="319"/>
      <c r="H52" s="319"/>
      <c r="I52" s="319"/>
      <c r="J52" s="319"/>
      <c r="K52" s="319"/>
      <c r="L52" s="319"/>
      <c r="M52" s="319"/>
      <c r="N52" s="319"/>
      <c r="O52" s="546"/>
      <c r="P52" s="550">
        <f t="shared" si="25"/>
        <v>0</v>
      </c>
      <c r="Q52" s="550">
        <f t="shared" si="26"/>
        <v>0</v>
      </c>
      <c r="S52" s="42" t="s">
        <v>1015</v>
      </c>
      <c r="T52" s="544"/>
      <c r="U52" s="416"/>
      <c r="X52" s="553"/>
      <c r="Y52" s="553"/>
      <c r="Z52" s="553"/>
      <c r="AA52" s="553"/>
      <c r="AB52" s="416"/>
      <c r="AC52" s="416"/>
      <c r="AD52" s="416"/>
    </row>
    <row r="53" spans="1:30" ht="12.75" hidden="1" customHeight="1" outlineLevel="1" x14ac:dyDescent="0.2">
      <c r="A53" s="615"/>
      <c r="C53" s="551">
        <v>1</v>
      </c>
      <c r="D53" s="920" t="s">
        <v>479</v>
      </c>
      <c r="E53" s="882"/>
      <c r="F53" s="319"/>
      <c r="G53" s="319"/>
      <c r="H53" s="319"/>
      <c r="I53" s="319"/>
      <c r="J53" s="319"/>
      <c r="K53" s="319"/>
      <c r="L53" s="319"/>
      <c r="M53" s="319"/>
      <c r="N53" s="319"/>
      <c r="O53" s="546"/>
      <c r="P53" s="546"/>
      <c r="Q53" s="550">
        <f t="shared" si="26"/>
        <v>0</v>
      </c>
      <c r="S53" s="42" t="s">
        <v>1035</v>
      </c>
      <c r="T53" s="544"/>
      <c r="U53" s="416"/>
      <c r="W53" s="416"/>
      <c r="AC53" s="416"/>
      <c r="AD53" s="416"/>
    </row>
    <row r="54" spans="1:30" s="416" customFormat="1" ht="12.75" hidden="1" customHeight="1" outlineLevel="1" x14ac:dyDescent="0.2">
      <c r="A54" s="615"/>
      <c r="K54" s="316" t="s">
        <v>73</v>
      </c>
      <c r="L54" s="321">
        <f>IFERROR((SUM(L42:L47)+IF(MATCH($AC$54,Switch,0)=1,L48,0)),0)</f>
        <v>0</v>
      </c>
      <c r="M54" s="321">
        <f>IFERROR((SUM(M42:M48)+IF(MATCH($AC$54,Switch,0)=1,M49,0)),0)</f>
        <v>0</v>
      </c>
      <c r="N54" s="321">
        <f>IFERROR((SUM(N42:N49)+IF(MATCH($AC$54,Switch,0)=1,N50,0)),0)</f>
        <v>0</v>
      </c>
      <c r="O54" s="321">
        <f>IFERROR((SUM(O42:O50)+IF(MATCH($AC$54,Switch,0)=1,O51,0)),0)</f>
        <v>0</v>
      </c>
      <c r="P54" s="321">
        <f>IFERROR((SUM(P42:P51)+IF(MATCH($AC$54,Switch,0)=1,P52,0)),0)</f>
        <v>0</v>
      </c>
      <c r="Q54" s="321">
        <f>IFERROR((SUM(Q42:Q52)+IF(MATCH($AC$54,Switch,0)=1,Q53,0)),0)</f>
        <v>0</v>
      </c>
      <c r="Z54" s="915" t="s">
        <v>1302</v>
      </c>
      <c r="AA54" s="916"/>
      <c r="AB54" s="917"/>
      <c r="AC54" s="743" t="s">
        <v>9</v>
      </c>
    </row>
    <row r="55" spans="1:30" s="416" customFormat="1" ht="12.75" hidden="1" customHeight="1" outlineLevel="1" x14ac:dyDescent="0.2">
      <c r="A55" s="615"/>
    </row>
    <row r="56" spans="1:30" s="416" customFormat="1" ht="12.75" customHeight="1" collapsed="1" x14ac:dyDescent="0.2">
      <c r="A56" s="615"/>
    </row>
    <row r="57" spans="1:30" ht="15.75" x14ac:dyDescent="0.2">
      <c r="A57" s="194"/>
      <c r="B57" s="242">
        <f>IF(G59&lt;&gt;"",1,0)</f>
        <v>0</v>
      </c>
      <c r="C57" s="242">
        <v>2</v>
      </c>
      <c r="D57" s="79" t="str">
        <f>IF(B57=0,MsgNotUsed, CONCATENATE("Persistent ", C57, ": ", G59, " (", F63, "-", Q63, ")"))</f>
        <v>** NOT USED **</v>
      </c>
      <c r="E57" s="127"/>
      <c r="F57" s="127"/>
      <c r="G57" s="127"/>
      <c r="H57" s="127"/>
      <c r="I57" s="127"/>
      <c r="J57" s="175"/>
      <c r="K57" s="127"/>
      <c r="L57" s="127"/>
      <c r="M57" s="127"/>
      <c r="N57" s="260"/>
      <c r="O57" s="260"/>
      <c r="P57" s="260"/>
      <c r="Q57" s="260"/>
      <c r="R57" s="260"/>
      <c r="S57" s="260"/>
      <c r="T57" s="260"/>
      <c r="U57" s="260"/>
      <c r="V57" s="260"/>
      <c r="W57" s="260"/>
      <c r="X57" s="260"/>
      <c r="Y57" s="260"/>
      <c r="Z57" s="260"/>
      <c r="AA57" s="260"/>
      <c r="AB57" s="260"/>
      <c r="AC57" s="260"/>
      <c r="AD57" s="260"/>
    </row>
    <row r="58" spans="1:30" ht="12.75" hidden="1" customHeight="1" outlineLevel="1" x14ac:dyDescent="0.2">
      <c r="C58" s="416"/>
      <c r="D58" s="416"/>
      <c r="F58" s="416"/>
      <c r="G58" s="416"/>
      <c r="H58" s="416"/>
      <c r="I58" s="416"/>
      <c r="J58" s="416"/>
      <c r="K58" s="416"/>
      <c r="L58" s="416"/>
      <c r="M58" s="416"/>
      <c r="N58" s="416"/>
      <c r="O58" s="416"/>
      <c r="P58" s="416"/>
      <c r="Q58" s="416"/>
      <c r="R58" s="416"/>
      <c r="S58" s="416"/>
      <c r="T58" s="416"/>
      <c r="U58" s="416"/>
      <c r="W58" s="416"/>
      <c r="AB58" s="416"/>
      <c r="AC58" s="416"/>
      <c r="AD58" s="416"/>
    </row>
    <row r="59" spans="1:30" ht="12.75" hidden="1" customHeight="1" outlineLevel="1" x14ac:dyDescent="0.2">
      <c r="C59" s="416"/>
      <c r="D59" s="416"/>
      <c r="F59" s="42" t="s">
        <v>480</v>
      </c>
      <c r="G59" s="913"/>
      <c r="H59" s="881"/>
      <c r="I59" s="881"/>
      <c r="J59" s="881"/>
      <c r="K59" s="881"/>
      <c r="L59" s="882"/>
      <c r="M59" s="416"/>
      <c r="N59" s="416"/>
      <c r="O59" s="416"/>
      <c r="P59" s="416"/>
      <c r="Q59" s="416"/>
      <c r="R59" s="416"/>
      <c r="S59" s="416"/>
      <c r="T59" s="416"/>
      <c r="U59" s="416"/>
      <c r="W59" s="416"/>
      <c r="AB59" s="416"/>
      <c r="AC59" s="416"/>
      <c r="AD59" s="416"/>
    </row>
    <row r="60" spans="1:30" ht="12.75" hidden="1" customHeight="1" outlineLevel="1" x14ac:dyDescent="0.2">
      <c r="C60" s="416"/>
      <c r="D60" s="416"/>
      <c r="F60" s="416"/>
      <c r="G60" s="416"/>
      <c r="H60" s="416"/>
      <c r="I60" s="416"/>
      <c r="J60" s="416"/>
      <c r="K60" s="416"/>
      <c r="L60" s="416"/>
      <c r="M60" s="416"/>
      <c r="N60" s="416"/>
      <c r="O60" s="416"/>
      <c r="P60" s="416"/>
      <c r="Q60" s="416"/>
      <c r="R60" s="416"/>
      <c r="S60" s="416"/>
      <c r="T60" s="416"/>
      <c r="U60" s="416"/>
      <c r="W60" s="416"/>
      <c r="AB60" s="416"/>
      <c r="AC60" s="416"/>
      <c r="AD60" s="416"/>
    </row>
    <row r="61" spans="1:30" ht="12.75" hidden="1" customHeight="1" outlineLevel="1" x14ac:dyDescent="0.2">
      <c r="C61" s="416"/>
      <c r="D61" s="416"/>
      <c r="F61" s="42" t="s">
        <v>258</v>
      </c>
      <c r="G61" s="913"/>
      <c r="H61" s="881"/>
      <c r="I61" s="881"/>
      <c r="J61" s="881"/>
      <c r="K61" s="881"/>
      <c r="L61" s="882"/>
      <c r="M61" s="416"/>
      <c r="N61" s="416"/>
      <c r="O61" s="416"/>
      <c r="P61" s="416"/>
      <c r="Q61" s="416"/>
      <c r="R61" s="416"/>
      <c r="S61" s="416"/>
      <c r="T61" s="416"/>
      <c r="U61" s="416"/>
      <c r="W61" s="416"/>
      <c r="Z61" s="919" t="str">
        <f>IF(AC63&lt;&gt;"",MsgNote &amp; VLOOKUP("PRate",WarningMessages,2),"")</f>
        <v/>
      </c>
      <c r="AA61" s="919"/>
      <c r="AB61" s="919"/>
      <c r="AC61" s="919"/>
      <c r="AD61" s="919"/>
    </row>
    <row r="62" spans="1:30" ht="12.75" hidden="1" customHeight="1" outlineLevel="1" x14ac:dyDescent="0.2">
      <c r="C62" s="416"/>
      <c r="D62" s="416"/>
      <c r="F62" s="416"/>
      <c r="G62" s="557">
        <v>1</v>
      </c>
      <c r="H62" s="557">
        <v>2</v>
      </c>
      <c r="I62" s="557">
        <v>3</v>
      </c>
      <c r="J62" s="557">
        <v>4</v>
      </c>
      <c r="K62" s="557">
        <v>5</v>
      </c>
      <c r="L62" s="557">
        <v>6</v>
      </c>
      <c r="M62" s="557">
        <v>7</v>
      </c>
      <c r="N62" s="557">
        <v>8</v>
      </c>
      <c r="O62" s="557">
        <v>9</v>
      </c>
      <c r="P62" s="557">
        <v>10</v>
      </c>
      <c r="Q62" s="557">
        <v>11</v>
      </c>
      <c r="R62" s="416"/>
      <c r="S62" s="416"/>
      <c r="T62" s="416"/>
      <c r="U62" s="416"/>
      <c r="W62" s="416"/>
      <c r="AB62" s="416"/>
      <c r="AC62" s="416"/>
      <c r="AD62" s="416"/>
    </row>
    <row r="63" spans="1:30" ht="12.75" hidden="1" customHeight="1" outlineLevel="1" x14ac:dyDescent="0.2">
      <c r="C63" s="416"/>
      <c r="D63" s="318"/>
      <c r="E63" s="733" t="s">
        <v>1065</v>
      </c>
      <c r="F63" s="733">
        <f t="shared" ref="F63" si="27">G63-1</f>
        <v>2015</v>
      </c>
      <c r="G63" s="733">
        <f t="shared" ref="G63" si="28">H63-1</f>
        <v>2016</v>
      </c>
      <c r="H63" s="733">
        <f t="shared" ref="H63" si="29">I63-1</f>
        <v>2017</v>
      </c>
      <c r="I63" s="733">
        <f t="shared" ref="I63" si="30">J63-1</f>
        <v>2018</v>
      </c>
      <c r="J63" s="733">
        <f t="shared" ref="J63" si="31">K63-1</f>
        <v>2019</v>
      </c>
      <c r="K63" s="733">
        <f t="shared" ref="K63" si="32">L63-1</f>
        <v>2020</v>
      </c>
      <c r="L63" s="733">
        <f>FirstYear</f>
        <v>2021</v>
      </c>
      <c r="M63" s="733">
        <f>L63+1</f>
        <v>2022</v>
      </c>
      <c r="N63" s="733">
        <f>M63+1</f>
        <v>2023</v>
      </c>
      <c r="O63" s="733">
        <f>N63+1</f>
        <v>2024</v>
      </c>
      <c r="P63" s="733">
        <f>O63+1</f>
        <v>2025</v>
      </c>
      <c r="Q63" s="733">
        <f>P63+1</f>
        <v>2026</v>
      </c>
      <c r="R63" s="416"/>
      <c r="S63" s="921" t="s">
        <v>1300</v>
      </c>
      <c r="T63" s="921"/>
      <c r="U63" s="416"/>
      <c r="W63" s="416"/>
      <c r="Z63" s="918" t="s">
        <v>1303</v>
      </c>
      <c r="AA63" s="918"/>
      <c r="AB63" s="918"/>
      <c r="AC63" s="544"/>
      <c r="AD63" s="416"/>
    </row>
    <row r="64" spans="1:30" ht="12.75" hidden="1" customHeight="1" outlineLevel="1" x14ac:dyDescent="0.2">
      <c r="C64" s="416"/>
      <c r="D64" s="42" t="s">
        <v>282</v>
      </c>
      <c r="E64" s="320"/>
      <c r="F64" s="322">
        <f>E64</f>
        <v>0</v>
      </c>
      <c r="G64" s="322">
        <f t="shared" ref="G64" si="33">F64*VLOOKUP(G62,PRate01,2,FALSE)</f>
        <v>0</v>
      </c>
      <c r="H64" s="322">
        <f t="shared" ref="H64" si="34">G64*VLOOKUP(H62,PRate01,2,FALSE)</f>
        <v>0</v>
      </c>
      <c r="I64" s="322">
        <f t="shared" ref="I64" si="35">H64*VLOOKUP(I62,PRate01,2,FALSE)</f>
        <v>0</v>
      </c>
      <c r="J64" s="322">
        <f t="shared" ref="J64" si="36">I64*VLOOKUP(J62,PRate01,2,FALSE)</f>
        <v>0</v>
      </c>
      <c r="K64" s="322">
        <f t="shared" ref="K64" si="37">J64*VLOOKUP(K62,PRate01,2,FALSE)</f>
        <v>0</v>
      </c>
      <c r="L64" s="322">
        <f t="shared" ref="L64" si="38">K64*VLOOKUP(L62,PRate01,2,FALSE)</f>
        <v>0</v>
      </c>
      <c r="M64" s="322">
        <f t="shared" ref="M64" si="39">L64*VLOOKUP(M62,PRate01,2,FALSE)</f>
        <v>0</v>
      </c>
      <c r="N64" s="322">
        <f t="shared" ref="N64" si="40">M64*VLOOKUP(N62,PRate01,2,FALSE)</f>
        <v>0</v>
      </c>
      <c r="O64" s="322">
        <f t="shared" ref="O64" si="41">N64*VLOOKUP(O62,PRate01,2,FALSE)</f>
        <v>0</v>
      </c>
      <c r="P64" s="322">
        <f t="shared" ref="P64" si="42">O64*VLOOKUP(P62,PRate01,2,FALSE)</f>
        <v>0</v>
      </c>
      <c r="Q64" s="322">
        <f t="shared" ref="Q64" si="43">P64*VLOOKUP(Q62,PRate01,2,FALSE)</f>
        <v>0</v>
      </c>
      <c r="R64" s="416"/>
      <c r="S64" s="547" t="s">
        <v>1005</v>
      </c>
      <c r="T64" s="548"/>
      <c r="U64" s="416"/>
      <c r="V64" s="554">
        <v>1</v>
      </c>
      <c r="W64" s="549">
        <f>IF($AC$63&lt;&gt;"",$AC$63,T64)</f>
        <v>0</v>
      </c>
      <c r="X64" s="549">
        <f>IF($AC$79&lt;&gt;"",$AC$79,T80)</f>
        <v>0</v>
      </c>
      <c r="Y64" s="553"/>
      <c r="Z64" s="553"/>
      <c r="AA64" s="553"/>
      <c r="AB64" s="416"/>
      <c r="AC64" s="416"/>
      <c r="AD64" s="416"/>
    </row>
    <row r="65" spans="3:30" s="416" customFormat="1" ht="12.75" hidden="1" customHeight="1" outlineLevel="1" x14ac:dyDescent="0.2">
      <c r="D65" s="42" t="s">
        <v>283</v>
      </c>
      <c r="E65" s="320"/>
      <c r="F65" s="319"/>
      <c r="G65" s="322">
        <f>E65</f>
        <v>0</v>
      </c>
      <c r="H65" s="322">
        <f t="shared" ref="H65" si="44">G65*VLOOKUP(G62,PRate01,2,FALSE)</f>
        <v>0</v>
      </c>
      <c r="I65" s="322">
        <f t="shared" ref="I65" si="45">H65*VLOOKUP(H62,PRate01,2,FALSE)</f>
        <v>0</v>
      </c>
      <c r="J65" s="322">
        <f t="shared" ref="J65" si="46">I65*VLOOKUP(I62,PRate01,2,FALSE)</f>
        <v>0</v>
      </c>
      <c r="K65" s="322">
        <f t="shared" ref="K65" si="47">J65*VLOOKUP(J62,PRate01,2,FALSE)</f>
        <v>0</v>
      </c>
      <c r="L65" s="322">
        <f t="shared" ref="L65" si="48">K65*VLOOKUP(K62,PRate01,2,FALSE)</f>
        <v>0</v>
      </c>
      <c r="M65" s="322">
        <f t="shared" ref="M65" si="49">L65*VLOOKUP(L62,PRate01,2,FALSE)</f>
        <v>0</v>
      </c>
      <c r="N65" s="322">
        <f t="shared" ref="N65" si="50">M65*VLOOKUP(M62,PRate01,2,FALSE)</f>
        <v>0</v>
      </c>
      <c r="O65" s="322">
        <f t="shared" ref="O65" si="51">N65*VLOOKUP(N62,PRate01,2,FALSE)</f>
        <v>0</v>
      </c>
      <c r="P65" s="322">
        <f t="shared" ref="P65" si="52">O65*VLOOKUP(O62,PRate01,2,FALSE)</f>
        <v>0</v>
      </c>
      <c r="Q65" s="322">
        <f t="shared" ref="Q65" si="53">P65*VLOOKUP(P62,PRate01,2,FALSE)</f>
        <v>0</v>
      </c>
      <c r="S65" s="42" t="s">
        <v>1006</v>
      </c>
      <c r="T65" s="544"/>
      <c r="V65" s="554">
        <v>2</v>
      </c>
      <c r="W65" s="549">
        <f t="shared" ref="W65:W74" si="54">IF($AC$63&lt;&gt;"",$AC$63,T65)</f>
        <v>0</v>
      </c>
      <c r="X65" s="549">
        <f t="shared" ref="X65:X75" si="55">IF($AC$79&lt;&gt;"",$AC$79,T81)</f>
        <v>0</v>
      </c>
      <c r="Z65" s="42" t="s">
        <v>258</v>
      </c>
      <c r="AA65" s="914"/>
      <c r="AB65" s="914"/>
      <c r="AC65" s="914"/>
      <c r="AD65" s="914"/>
    </row>
    <row r="66" spans="3:30" s="416" customFormat="1" ht="12.75" hidden="1" customHeight="1" outlineLevel="1" x14ac:dyDescent="0.2">
      <c r="D66" s="42" t="s">
        <v>284</v>
      </c>
      <c r="E66" s="320"/>
      <c r="F66" s="319"/>
      <c r="G66" s="319"/>
      <c r="H66" s="322">
        <f>E66</f>
        <v>0</v>
      </c>
      <c r="I66" s="322">
        <f t="shared" ref="I66" si="56">H66*VLOOKUP(G62,PRate01,2,FALSE)</f>
        <v>0</v>
      </c>
      <c r="J66" s="322">
        <f t="shared" ref="J66" si="57">I66*VLOOKUP(H62,PRate01,2,FALSE)</f>
        <v>0</v>
      </c>
      <c r="K66" s="322">
        <f t="shared" ref="K66" si="58">J66*VLOOKUP(I62,PRate01,2,FALSE)</f>
        <v>0</v>
      </c>
      <c r="L66" s="322">
        <f t="shared" ref="L66" si="59">K66*VLOOKUP(J62,PRate01,2,FALSE)</f>
        <v>0</v>
      </c>
      <c r="M66" s="322">
        <f t="shared" ref="M66" si="60">L66*VLOOKUP(K62,PRate01,2,FALSE)</f>
        <v>0</v>
      </c>
      <c r="N66" s="322">
        <f t="shared" ref="N66" si="61">M66*VLOOKUP(L62,PRate01,2,FALSE)</f>
        <v>0</v>
      </c>
      <c r="O66" s="322">
        <f t="shared" ref="O66" si="62">N66*VLOOKUP(M62,PRate01,2,FALSE)</f>
        <v>0</v>
      </c>
      <c r="P66" s="322">
        <f t="shared" ref="P66" si="63">O66*VLOOKUP(N62,PRate01,2,FALSE)</f>
        <v>0</v>
      </c>
      <c r="Q66" s="322">
        <f t="shared" ref="Q66" si="64">P66*VLOOKUP(O62,PRate01,2,FALSE)</f>
        <v>0</v>
      </c>
      <c r="S66" s="42" t="s">
        <v>1007</v>
      </c>
      <c r="T66" s="544"/>
      <c r="V66" s="554">
        <v>3</v>
      </c>
      <c r="W66" s="549">
        <f t="shared" si="54"/>
        <v>0</v>
      </c>
      <c r="X66" s="549">
        <f t="shared" si="55"/>
        <v>0</v>
      </c>
      <c r="Y66" s="553"/>
      <c r="Z66" s="553"/>
      <c r="AA66" s="553"/>
    </row>
    <row r="67" spans="3:30" s="416" customFormat="1" ht="12.75" hidden="1" customHeight="1" outlineLevel="1" x14ac:dyDescent="0.2">
      <c r="D67" s="42" t="s">
        <v>285</v>
      </c>
      <c r="E67" s="320"/>
      <c r="F67" s="319"/>
      <c r="G67" s="319"/>
      <c r="H67" s="319"/>
      <c r="I67" s="322">
        <f>E67</f>
        <v>0</v>
      </c>
      <c r="J67" s="322">
        <f t="shared" ref="J67" si="65">I67*VLOOKUP(G62,PRate01,2,FALSE)</f>
        <v>0</v>
      </c>
      <c r="K67" s="322">
        <f t="shared" ref="K67" si="66">J67*VLOOKUP(H62,PRate01,2,FALSE)</f>
        <v>0</v>
      </c>
      <c r="L67" s="322">
        <f t="shared" ref="L67" si="67">K67*VLOOKUP(I62,PRate01,2,FALSE)</f>
        <v>0</v>
      </c>
      <c r="M67" s="322">
        <f t="shared" ref="M67" si="68">L67*VLOOKUP(J62,PRate01,2,FALSE)</f>
        <v>0</v>
      </c>
      <c r="N67" s="322">
        <f t="shared" ref="N67" si="69">M67*VLOOKUP(K62,PRate01,2,FALSE)</f>
        <v>0</v>
      </c>
      <c r="O67" s="322">
        <f t="shared" ref="O67" si="70">N67*VLOOKUP(L62,PRate01,2,FALSE)</f>
        <v>0</v>
      </c>
      <c r="P67" s="322">
        <f t="shared" ref="P67" si="71">O67*VLOOKUP(M62,PRate01,2,FALSE)</f>
        <v>0</v>
      </c>
      <c r="Q67" s="322">
        <f t="shared" ref="Q67" si="72">P67*VLOOKUP(N62,PRate01,2,FALSE)</f>
        <v>0</v>
      </c>
      <c r="S67" s="42" t="s">
        <v>1008</v>
      </c>
      <c r="T67" s="544"/>
      <c r="V67" s="555">
        <v>4</v>
      </c>
      <c r="W67" s="549">
        <f t="shared" si="54"/>
        <v>0</v>
      </c>
      <c r="X67" s="549">
        <f t="shared" si="55"/>
        <v>0</v>
      </c>
      <c r="Y67" s="553"/>
      <c r="Z67" s="553"/>
      <c r="AA67" s="553"/>
    </row>
    <row r="68" spans="3:30" ht="12.75" hidden="1" customHeight="1" outlineLevel="1" x14ac:dyDescent="0.2">
      <c r="C68" s="416"/>
      <c r="D68" s="42" t="s">
        <v>286</v>
      </c>
      <c r="E68" s="320"/>
      <c r="F68" s="319"/>
      <c r="G68" s="319"/>
      <c r="H68" s="319"/>
      <c r="I68" s="319"/>
      <c r="J68" s="322">
        <f>E68</f>
        <v>0</v>
      </c>
      <c r="K68" s="322">
        <f t="shared" ref="K68" si="73">J68*VLOOKUP(G62,PRate01,2,FALSE)</f>
        <v>0</v>
      </c>
      <c r="L68" s="322">
        <f t="shared" ref="L68" si="74">K68*VLOOKUP(H62,PRate01,2,FALSE)</f>
        <v>0</v>
      </c>
      <c r="M68" s="322">
        <f t="shared" ref="M68" si="75">L68*VLOOKUP(I62,PRate01,2,FALSE)</f>
        <v>0</v>
      </c>
      <c r="N68" s="322">
        <f t="shared" ref="N68" si="76">M68*VLOOKUP(J62,PRate01,2,FALSE)</f>
        <v>0</v>
      </c>
      <c r="O68" s="322">
        <f t="shared" ref="O68" si="77">N68*VLOOKUP(K62,PRate01,2,FALSE)</f>
        <v>0</v>
      </c>
      <c r="P68" s="322">
        <f t="shared" ref="P68" si="78">O68*VLOOKUP(L62,PRate01,2,FALSE)</f>
        <v>0</v>
      </c>
      <c r="Q68" s="322">
        <f t="shared" ref="Q68" si="79">P68*VLOOKUP(M62,PRate01,2,FALSE)</f>
        <v>0</v>
      </c>
      <c r="R68" s="416"/>
      <c r="S68" s="42" t="s">
        <v>1009</v>
      </c>
      <c r="T68" s="544"/>
      <c r="U68" s="416"/>
      <c r="V68" s="555">
        <v>5</v>
      </c>
      <c r="W68" s="549">
        <f t="shared" si="54"/>
        <v>0</v>
      </c>
      <c r="X68" s="549">
        <f t="shared" si="55"/>
        <v>0</v>
      </c>
      <c r="Y68" s="553"/>
      <c r="Z68" s="553"/>
      <c r="AA68" s="553"/>
      <c r="AB68" s="416"/>
      <c r="AC68" s="416"/>
      <c r="AD68" s="416"/>
    </row>
    <row r="69" spans="3:30" ht="12.75" hidden="1" customHeight="1" outlineLevel="1" x14ac:dyDescent="0.2">
      <c r="C69" s="416"/>
      <c r="D69" s="42" t="s">
        <v>287</v>
      </c>
      <c r="E69" s="320"/>
      <c r="F69" s="319"/>
      <c r="G69" s="319"/>
      <c r="H69" s="319"/>
      <c r="I69" s="319"/>
      <c r="J69" s="319"/>
      <c r="K69" s="322">
        <f>E69</f>
        <v>0</v>
      </c>
      <c r="L69" s="322">
        <f t="shared" ref="L69" si="80">K69*VLOOKUP(G62,PRate01,2,FALSE)</f>
        <v>0</v>
      </c>
      <c r="M69" s="322">
        <f t="shared" ref="M69" si="81">L69*VLOOKUP(H62,PRate01,2,FALSE)</f>
        <v>0</v>
      </c>
      <c r="N69" s="322">
        <f t="shared" ref="N69" si="82">M69*VLOOKUP(I62,PRate01,2,FALSE)</f>
        <v>0</v>
      </c>
      <c r="O69" s="322">
        <f t="shared" ref="O69" si="83">N69*VLOOKUP(J62,PRate01,2,FALSE)</f>
        <v>0</v>
      </c>
      <c r="P69" s="322">
        <f t="shared" ref="P69" si="84">O69*VLOOKUP(K62,PRate01,2,FALSE)</f>
        <v>0</v>
      </c>
      <c r="Q69" s="322">
        <f t="shared" ref="Q69" si="85">P69*VLOOKUP(L62,PRate01,2,FALSE)</f>
        <v>0</v>
      </c>
      <c r="R69" s="416"/>
      <c r="S69" s="42" t="s">
        <v>1010</v>
      </c>
      <c r="T69" s="544"/>
      <c r="U69" s="416"/>
      <c r="V69" s="555">
        <v>6</v>
      </c>
      <c r="W69" s="549">
        <f t="shared" si="54"/>
        <v>0</v>
      </c>
      <c r="X69" s="549">
        <f t="shared" si="55"/>
        <v>0</v>
      </c>
      <c r="Y69" s="553"/>
      <c r="Z69" s="553"/>
      <c r="AA69" s="553"/>
      <c r="AB69" s="416"/>
      <c r="AC69" s="416"/>
      <c r="AD69" s="416"/>
    </row>
    <row r="70" spans="3:30" ht="12.75" hidden="1" customHeight="1" outlineLevel="1" x14ac:dyDescent="0.2">
      <c r="C70" s="416"/>
      <c r="D70" s="42" t="s">
        <v>474</v>
      </c>
      <c r="E70" s="320"/>
      <c r="F70" s="319"/>
      <c r="G70" s="319"/>
      <c r="H70" s="319"/>
      <c r="I70" s="319"/>
      <c r="J70" s="319"/>
      <c r="K70" s="319"/>
      <c r="L70" s="322">
        <f>E70</f>
        <v>0</v>
      </c>
      <c r="M70" s="322">
        <f>L70*VLOOKUP(G62,PRate01,2,FALSE)</f>
        <v>0</v>
      </c>
      <c r="N70" s="322">
        <f>M70*VLOOKUP(H62,PRate01,2,FALSE)</f>
        <v>0</v>
      </c>
      <c r="O70" s="322">
        <f>N70*VLOOKUP(I62,PRate01,2,FALSE)</f>
        <v>0</v>
      </c>
      <c r="P70" s="322">
        <f>O70*VLOOKUP(J62,PRate01,2,FALSE)</f>
        <v>0</v>
      </c>
      <c r="Q70" s="322">
        <f>P70*VLOOKUP(K62,PRate01,2,FALSE)</f>
        <v>0</v>
      </c>
      <c r="R70" s="416"/>
      <c r="S70" s="42" t="s">
        <v>1011</v>
      </c>
      <c r="T70" s="544"/>
      <c r="U70" s="416"/>
      <c r="V70" s="555">
        <v>7</v>
      </c>
      <c r="W70" s="549">
        <f t="shared" si="54"/>
        <v>0</v>
      </c>
      <c r="X70" s="549">
        <f t="shared" si="55"/>
        <v>0</v>
      </c>
      <c r="Y70" s="553"/>
      <c r="Z70" s="553"/>
      <c r="AA70" s="553"/>
      <c r="AB70" s="416"/>
      <c r="AC70" s="416"/>
      <c r="AD70" s="416"/>
    </row>
    <row r="71" spans="3:30" ht="12.75" hidden="1" customHeight="1" outlineLevel="1" x14ac:dyDescent="0.2">
      <c r="C71" s="416"/>
      <c r="D71" s="42" t="s">
        <v>475</v>
      </c>
      <c r="E71" s="320"/>
      <c r="F71" s="319"/>
      <c r="G71" s="319"/>
      <c r="H71" s="319"/>
      <c r="I71" s="319"/>
      <c r="J71" s="319"/>
      <c r="K71" s="319"/>
      <c r="L71" s="319"/>
      <c r="M71" s="322">
        <f>E71</f>
        <v>0</v>
      </c>
      <c r="N71" s="322">
        <f>M71*VLOOKUP(G62,PRate01,2,FALSE)</f>
        <v>0</v>
      </c>
      <c r="O71" s="322">
        <f>N71*VLOOKUP(H62,PRate01,2,FALSE)</f>
        <v>0</v>
      </c>
      <c r="P71" s="322">
        <f>O71*VLOOKUP(I62,PRate01,2,FALSE)</f>
        <v>0</v>
      </c>
      <c r="Q71" s="322">
        <f>P71*VLOOKUP(J62,PRate01,2,FALSE)</f>
        <v>0</v>
      </c>
      <c r="R71" s="416"/>
      <c r="S71" s="42" t="s">
        <v>1012</v>
      </c>
      <c r="T71" s="544"/>
      <c r="U71" s="416"/>
      <c r="V71" s="555">
        <v>8</v>
      </c>
      <c r="W71" s="549">
        <f t="shared" si="54"/>
        <v>0</v>
      </c>
      <c r="X71" s="549">
        <f t="shared" si="55"/>
        <v>0</v>
      </c>
      <c r="Y71" s="553"/>
      <c r="Z71" s="553"/>
      <c r="AA71" s="553"/>
      <c r="AB71" s="416"/>
      <c r="AC71" s="416"/>
      <c r="AD71" s="416"/>
    </row>
    <row r="72" spans="3:30" ht="12.75" hidden="1" customHeight="1" outlineLevel="1" x14ac:dyDescent="0.2">
      <c r="C72" s="416"/>
      <c r="D72" s="42" t="s">
        <v>476</v>
      </c>
      <c r="E72" s="320"/>
      <c r="F72" s="319"/>
      <c r="G72" s="319"/>
      <c r="H72" s="319"/>
      <c r="I72" s="319"/>
      <c r="J72" s="319"/>
      <c r="K72" s="319"/>
      <c r="L72" s="319"/>
      <c r="M72" s="319"/>
      <c r="N72" s="322">
        <f>E72</f>
        <v>0</v>
      </c>
      <c r="O72" s="322">
        <f>N72*VLOOKUP(G62,PRate01,2,FALSE)</f>
        <v>0</v>
      </c>
      <c r="P72" s="322">
        <f>O72*VLOOKUP(H62,PRate01,2,FALSE)</f>
        <v>0</v>
      </c>
      <c r="Q72" s="322">
        <f>P72*VLOOKUP(I62,PRate01,2,FALSE)</f>
        <v>0</v>
      </c>
      <c r="R72" s="416"/>
      <c r="S72" s="42" t="s">
        <v>1013</v>
      </c>
      <c r="T72" s="544"/>
      <c r="U72" s="416"/>
      <c r="V72" s="555">
        <v>9</v>
      </c>
      <c r="W72" s="549">
        <f t="shared" si="54"/>
        <v>0</v>
      </c>
      <c r="X72" s="549">
        <f t="shared" si="55"/>
        <v>0</v>
      </c>
      <c r="Y72" s="553"/>
      <c r="Z72" s="553"/>
      <c r="AA72" s="553"/>
      <c r="AB72" s="416"/>
      <c r="AC72" s="416"/>
      <c r="AD72" s="416"/>
    </row>
    <row r="73" spans="3:30" ht="12.75" hidden="1" customHeight="1" outlineLevel="1" x14ac:dyDescent="0.2">
      <c r="C73" s="416"/>
      <c r="D73" s="42" t="s">
        <v>477</v>
      </c>
      <c r="E73" s="320"/>
      <c r="F73" s="319"/>
      <c r="G73" s="319"/>
      <c r="H73" s="319"/>
      <c r="I73" s="319"/>
      <c r="J73" s="319"/>
      <c r="K73" s="319"/>
      <c r="L73" s="319"/>
      <c r="M73" s="319"/>
      <c r="N73" s="319"/>
      <c r="O73" s="550">
        <f>E73</f>
        <v>0</v>
      </c>
      <c r="P73" s="322">
        <f>O73*VLOOKUP(G62,PRate01,2,FALSE)</f>
        <v>0</v>
      </c>
      <c r="Q73" s="322">
        <f>P73*VLOOKUP(H62,PRate01,2,FALSE)</f>
        <v>0</v>
      </c>
      <c r="R73" s="416"/>
      <c r="S73" s="42" t="s">
        <v>1014</v>
      </c>
      <c r="T73" s="544"/>
      <c r="U73" s="416"/>
      <c r="V73" s="555">
        <v>10</v>
      </c>
      <c r="W73" s="549">
        <f t="shared" si="54"/>
        <v>0</v>
      </c>
      <c r="X73" s="549">
        <f t="shared" si="55"/>
        <v>0</v>
      </c>
      <c r="Y73" s="553"/>
      <c r="Z73" s="553"/>
      <c r="AA73" s="553"/>
      <c r="AB73" s="416"/>
      <c r="AC73" s="416"/>
      <c r="AD73" s="416"/>
    </row>
    <row r="74" spans="3:30" ht="12.75" hidden="1" customHeight="1" outlineLevel="1" x14ac:dyDescent="0.2">
      <c r="C74" s="416"/>
      <c r="D74" s="42" t="s">
        <v>478</v>
      </c>
      <c r="E74" s="320"/>
      <c r="F74" s="319"/>
      <c r="G74" s="319"/>
      <c r="H74" s="319"/>
      <c r="I74" s="319"/>
      <c r="J74" s="319"/>
      <c r="K74" s="319"/>
      <c r="L74" s="319"/>
      <c r="M74" s="319"/>
      <c r="N74" s="319"/>
      <c r="O74" s="546"/>
      <c r="P74" s="550">
        <f>E74</f>
        <v>0</v>
      </c>
      <c r="Q74" s="322">
        <f>P74*VLOOKUP(G62,PRate01,2,FALSE)</f>
        <v>0</v>
      </c>
      <c r="R74" s="416"/>
      <c r="S74" s="42" t="s">
        <v>1015</v>
      </c>
      <c r="T74" s="544"/>
      <c r="U74" s="416"/>
      <c r="V74" s="555">
        <v>11</v>
      </c>
      <c r="W74" s="549">
        <f t="shared" si="54"/>
        <v>0</v>
      </c>
      <c r="X74" s="549">
        <f t="shared" si="55"/>
        <v>0</v>
      </c>
      <c r="Y74" s="553"/>
      <c r="Z74" s="553"/>
      <c r="AA74" s="553"/>
      <c r="AB74" s="416"/>
      <c r="AC74" s="416"/>
      <c r="AD74" s="416"/>
    </row>
    <row r="75" spans="3:30" ht="12.75" hidden="1" customHeight="1" outlineLevel="1" x14ac:dyDescent="0.2">
      <c r="C75" s="416"/>
      <c r="D75" s="42" t="s">
        <v>479</v>
      </c>
      <c r="E75" s="320"/>
      <c r="F75" s="319"/>
      <c r="G75" s="319"/>
      <c r="H75" s="319"/>
      <c r="I75" s="319"/>
      <c r="J75" s="319"/>
      <c r="K75" s="319"/>
      <c r="L75" s="319"/>
      <c r="M75" s="319"/>
      <c r="N75" s="319"/>
      <c r="O75" s="546"/>
      <c r="P75" s="546"/>
      <c r="Q75" s="550">
        <f>E75</f>
        <v>0</v>
      </c>
      <c r="R75" s="416"/>
      <c r="S75" s="416"/>
      <c r="T75" s="416"/>
      <c r="U75" s="416"/>
      <c r="V75" s="555">
        <v>12</v>
      </c>
      <c r="W75" s="556"/>
      <c r="X75" s="549">
        <f t="shared" si="55"/>
        <v>0</v>
      </c>
      <c r="Y75" s="553"/>
      <c r="Z75" s="553"/>
      <c r="AA75" s="553"/>
      <c r="AB75" s="416"/>
      <c r="AC75" s="416"/>
      <c r="AD75" s="416"/>
    </row>
    <row r="76" spans="3:30" ht="12.75" hidden="1" customHeight="1" outlineLevel="1" x14ac:dyDescent="0.2">
      <c r="C76" s="416"/>
      <c r="D76" s="416"/>
      <c r="F76" s="416"/>
      <c r="G76" s="416"/>
      <c r="H76" s="416"/>
      <c r="I76" s="416"/>
      <c r="J76" s="416"/>
      <c r="K76" s="416"/>
      <c r="L76" s="416"/>
      <c r="M76" s="416"/>
      <c r="N76" s="416"/>
      <c r="O76" s="416"/>
      <c r="P76" s="416"/>
      <c r="Q76" s="416"/>
      <c r="R76" s="416"/>
      <c r="S76" s="416"/>
      <c r="T76" s="416"/>
      <c r="U76" s="416"/>
      <c r="W76" s="416"/>
      <c r="AB76" s="416"/>
      <c r="AC76" s="416"/>
      <c r="AD76" s="416"/>
    </row>
    <row r="77" spans="3:30" ht="12.75" hidden="1" customHeight="1" outlineLevel="1" x14ac:dyDescent="0.2">
      <c r="C77" s="416"/>
      <c r="D77" s="416"/>
      <c r="F77" s="416"/>
      <c r="G77" s="416"/>
      <c r="H77" s="416"/>
      <c r="I77" s="416"/>
      <c r="J77" s="416"/>
      <c r="K77" s="416"/>
      <c r="L77" s="416"/>
      <c r="M77" s="416"/>
      <c r="N77" s="416"/>
      <c r="O77" s="416"/>
      <c r="P77" s="416"/>
      <c r="Q77" s="416"/>
      <c r="R77" s="416"/>
      <c r="S77" s="416"/>
      <c r="T77" s="416"/>
      <c r="U77" s="416"/>
      <c r="W77" s="416"/>
      <c r="Z77" s="919" t="str">
        <f>IF(AC79&lt;&gt;"",MsgNote &amp; VLOOKUP("PRate",WarningMessages,2),"")</f>
        <v/>
      </c>
      <c r="AA77" s="919"/>
      <c r="AB77" s="919"/>
      <c r="AC77" s="919"/>
      <c r="AD77" s="919"/>
    </row>
    <row r="78" spans="3:30" ht="12.75" hidden="1" customHeight="1" outlineLevel="1" x14ac:dyDescent="0.2">
      <c r="C78" s="416"/>
      <c r="D78" s="416"/>
      <c r="F78" s="416"/>
      <c r="G78" s="416"/>
      <c r="H78" s="416"/>
      <c r="I78" s="416"/>
      <c r="J78" s="416"/>
      <c r="K78" s="416"/>
      <c r="L78" s="552"/>
      <c r="M78" s="552"/>
      <c r="N78" s="552"/>
      <c r="O78" s="552"/>
      <c r="P78" s="552"/>
      <c r="Q78" s="552"/>
      <c r="R78" s="416"/>
      <c r="S78" s="416"/>
      <c r="T78" s="416"/>
      <c r="U78" s="416"/>
      <c r="W78" s="416"/>
      <c r="AB78" s="416"/>
      <c r="AC78" s="416"/>
      <c r="AD78" s="416"/>
    </row>
    <row r="79" spans="3:30" ht="12.75" hidden="1" customHeight="1" outlineLevel="1" x14ac:dyDescent="0.2">
      <c r="C79" s="416"/>
      <c r="D79" s="318"/>
      <c r="F79" s="733">
        <f t="shared" ref="F79" si="86">G79-1</f>
        <v>2015</v>
      </c>
      <c r="G79" s="733">
        <f t="shared" ref="G79" si="87">H79-1</f>
        <v>2016</v>
      </c>
      <c r="H79" s="733">
        <f t="shared" ref="H79" si="88">I79-1</f>
        <v>2017</v>
      </c>
      <c r="I79" s="733">
        <f t="shared" ref="I79" si="89">J79-1</f>
        <v>2018</v>
      </c>
      <c r="J79" s="733">
        <f t="shared" ref="J79" si="90">K79-1</f>
        <v>2019</v>
      </c>
      <c r="K79" s="733">
        <f t="shared" ref="K79" si="91">L79-1</f>
        <v>2020</v>
      </c>
      <c r="L79" s="733">
        <f>FirstYear</f>
        <v>2021</v>
      </c>
      <c r="M79" s="733">
        <f>L79+1</f>
        <v>2022</v>
      </c>
      <c r="N79" s="733">
        <f>M79+1</f>
        <v>2023</v>
      </c>
      <c r="O79" s="733">
        <f>N79+1</f>
        <v>2024</v>
      </c>
      <c r="P79" s="733">
        <f>O79+1</f>
        <v>2025</v>
      </c>
      <c r="Q79" s="733">
        <f>P79+1</f>
        <v>2026</v>
      </c>
      <c r="R79" s="416"/>
      <c r="S79" s="921" t="s">
        <v>1301</v>
      </c>
      <c r="T79" s="921"/>
      <c r="U79" s="416"/>
      <c r="W79" s="416"/>
      <c r="Z79" s="918" t="s">
        <v>1304</v>
      </c>
      <c r="AA79" s="918"/>
      <c r="AB79" s="918"/>
      <c r="AC79" s="544"/>
      <c r="AD79" s="416"/>
    </row>
    <row r="80" spans="3:30" ht="12.75" hidden="1" customHeight="1" outlineLevel="1" x14ac:dyDescent="0.2">
      <c r="C80" s="551">
        <v>12</v>
      </c>
      <c r="D80" s="920" t="s">
        <v>282</v>
      </c>
      <c r="E80" s="882"/>
      <c r="F80" s="550">
        <f>F64*VLOOKUP(C91,PRate01,3,FALSE)</f>
        <v>0</v>
      </c>
      <c r="G80" s="550">
        <f>G64*VLOOKUP(C90,PRate01,3,FALSE)</f>
        <v>0</v>
      </c>
      <c r="H80" s="550">
        <f>H64*VLOOKUP(C89,PRate01,3,FALSE)</f>
        <v>0</v>
      </c>
      <c r="I80" s="550">
        <f>I64*VLOOKUP(C88,PRate01,3,FALSE)</f>
        <v>0</v>
      </c>
      <c r="J80" s="550">
        <f>J64*VLOOKUP(C87,PRate01,3,FALSE)</f>
        <v>0</v>
      </c>
      <c r="K80" s="550">
        <f t="shared" ref="K80:K85" si="92">K64*VLOOKUP(C86,PRate01,3,FALSE)</f>
        <v>0</v>
      </c>
      <c r="L80" s="550">
        <f t="shared" ref="L80:L86" si="93">L64*VLOOKUP(C85,PRate01,3,FALSE)</f>
        <v>0</v>
      </c>
      <c r="M80" s="550">
        <f t="shared" ref="M80:M87" si="94">M64*VLOOKUP(C84,PRate01,3,FALSE)</f>
        <v>0</v>
      </c>
      <c r="N80" s="550">
        <f t="shared" ref="N80:N88" si="95">N64*VLOOKUP(C83,PRate01,3,FALSE)</f>
        <v>0</v>
      </c>
      <c r="O80" s="550">
        <f t="shared" ref="O80:O89" si="96">O64*VLOOKUP(C82,PRate01,3,FALSE)</f>
        <v>0</v>
      </c>
      <c r="P80" s="550">
        <f t="shared" ref="P80:P90" si="97">P64*VLOOKUP(C81,PRate01,3,FALSE)</f>
        <v>0</v>
      </c>
      <c r="Q80" s="550">
        <f t="shared" ref="Q80:Q91" si="98">Q64*VLOOKUP(C80,PRate01,3,FALSE)</f>
        <v>0</v>
      </c>
      <c r="R80" s="416"/>
      <c r="S80" s="547" t="s">
        <v>1005</v>
      </c>
      <c r="T80" s="548"/>
      <c r="U80" s="416"/>
      <c r="W80" s="416"/>
      <c r="X80" s="553"/>
      <c r="Y80" s="553"/>
      <c r="Z80" s="553"/>
      <c r="AA80" s="553"/>
      <c r="AB80" s="416"/>
      <c r="AC80" s="416"/>
      <c r="AD80" s="416"/>
    </row>
    <row r="81" spans="1:30" ht="12.75" hidden="1" customHeight="1" outlineLevel="1" x14ac:dyDescent="0.2">
      <c r="C81" s="551">
        <v>11</v>
      </c>
      <c r="D81" s="920" t="s">
        <v>283</v>
      </c>
      <c r="E81" s="882"/>
      <c r="F81" s="319"/>
      <c r="G81" s="550">
        <f>G65*VLOOKUP(C91,PRate01,3,FALSE)</f>
        <v>0</v>
      </c>
      <c r="H81" s="550">
        <f>H65*VLOOKUP(C90,PRate01,3,FALSE)</f>
        <v>0</v>
      </c>
      <c r="I81" s="550">
        <f>I65*VLOOKUP(C89,PRate01,3,FALSE)</f>
        <v>0</v>
      </c>
      <c r="J81" s="550">
        <f>J65*VLOOKUP(C88,PRate01,3,FALSE)</f>
        <v>0</v>
      </c>
      <c r="K81" s="550">
        <f t="shared" si="92"/>
        <v>0</v>
      </c>
      <c r="L81" s="550">
        <f t="shared" si="93"/>
        <v>0</v>
      </c>
      <c r="M81" s="550">
        <f t="shared" si="94"/>
        <v>0</v>
      </c>
      <c r="N81" s="550">
        <f t="shared" si="95"/>
        <v>0</v>
      </c>
      <c r="O81" s="550">
        <f t="shared" si="96"/>
        <v>0</v>
      </c>
      <c r="P81" s="550">
        <f t="shared" si="97"/>
        <v>0</v>
      </c>
      <c r="Q81" s="550">
        <f t="shared" si="98"/>
        <v>0</v>
      </c>
      <c r="R81" s="416"/>
      <c r="S81" s="42" t="s">
        <v>1006</v>
      </c>
      <c r="T81" s="544"/>
      <c r="U81" s="416"/>
      <c r="W81" s="416"/>
      <c r="X81" s="553"/>
      <c r="Y81" s="553"/>
      <c r="Z81" s="42" t="s">
        <v>258</v>
      </c>
      <c r="AA81" s="914"/>
      <c r="AB81" s="914"/>
      <c r="AC81" s="914"/>
      <c r="AD81" s="914"/>
    </row>
    <row r="82" spans="1:30" ht="12.75" hidden="1" customHeight="1" outlineLevel="1" x14ac:dyDescent="0.2">
      <c r="C82" s="551">
        <v>10</v>
      </c>
      <c r="D82" s="920" t="s">
        <v>284</v>
      </c>
      <c r="E82" s="882"/>
      <c r="F82" s="319"/>
      <c r="G82" s="319"/>
      <c r="H82" s="550">
        <f>H66*VLOOKUP(C91,PRate01,3,FALSE)</f>
        <v>0</v>
      </c>
      <c r="I82" s="550">
        <f>I66*VLOOKUP(C90,PRate01,3,FALSE)</f>
        <v>0</v>
      </c>
      <c r="J82" s="550">
        <f>J66*VLOOKUP(C89,PRate01,3,FALSE)</f>
        <v>0</v>
      </c>
      <c r="K82" s="550">
        <f t="shared" si="92"/>
        <v>0</v>
      </c>
      <c r="L82" s="550">
        <f t="shared" si="93"/>
        <v>0</v>
      </c>
      <c r="M82" s="550">
        <f t="shared" si="94"/>
        <v>0</v>
      </c>
      <c r="N82" s="550">
        <f t="shared" si="95"/>
        <v>0</v>
      </c>
      <c r="O82" s="550">
        <f t="shared" si="96"/>
        <v>0</v>
      </c>
      <c r="P82" s="550">
        <f t="shared" si="97"/>
        <v>0</v>
      </c>
      <c r="Q82" s="550">
        <f t="shared" si="98"/>
        <v>0</v>
      </c>
      <c r="R82" s="416"/>
      <c r="S82" s="42" t="s">
        <v>1007</v>
      </c>
      <c r="T82" s="544"/>
      <c r="U82" s="416"/>
      <c r="W82" s="416"/>
      <c r="X82" s="553"/>
      <c r="Y82" s="553"/>
      <c r="Z82" s="553"/>
      <c r="AA82" s="553"/>
      <c r="AB82" s="416"/>
      <c r="AC82" s="416"/>
      <c r="AD82" s="416"/>
    </row>
    <row r="83" spans="1:30" s="416" customFormat="1" ht="12.75" hidden="1" customHeight="1" outlineLevel="1" x14ac:dyDescent="0.2">
      <c r="C83" s="551">
        <v>9</v>
      </c>
      <c r="D83" s="920" t="s">
        <v>285</v>
      </c>
      <c r="E83" s="882"/>
      <c r="F83" s="319"/>
      <c r="G83" s="319"/>
      <c r="H83" s="319"/>
      <c r="I83" s="550">
        <f>I67*VLOOKUP(C91,PRate01,3,FALSE)</f>
        <v>0</v>
      </c>
      <c r="J83" s="550">
        <f>J67*VLOOKUP(C90,PRate01,3,FALSE)</f>
        <v>0</v>
      </c>
      <c r="K83" s="550">
        <f t="shared" si="92"/>
        <v>0</v>
      </c>
      <c r="L83" s="550">
        <f t="shared" si="93"/>
        <v>0</v>
      </c>
      <c r="M83" s="550">
        <f t="shared" si="94"/>
        <v>0</v>
      </c>
      <c r="N83" s="550">
        <f t="shared" si="95"/>
        <v>0</v>
      </c>
      <c r="O83" s="550">
        <f t="shared" si="96"/>
        <v>0</v>
      </c>
      <c r="P83" s="550">
        <f t="shared" si="97"/>
        <v>0</v>
      </c>
      <c r="Q83" s="550">
        <f t="shared" si="98"/>
        <v>0</v>
      </c>
      <c r="S83" s="42" t="s">
        <v>1008</v>
      </c>
      <c r="T83" s="544"/>
      <c r="X83" s="553"/>
      <c r="Y83" s="553"/>
      <c r="Z83" s="553"/>
      <c r="AA83" s="553"/>
    </row>
    <row r="84" spans="1:30" s="416" customFormat="1" ht="12.75" hidden="1" customHeight="1" outlineLevel="1" x14ac:dyDescent="0.2">
      <c r="C84" s="551">
        <v>8</v>
      </c>
      <c r="D84" s="920" t="s">
        <v>286</v>
      </c>
      <c r="E84" s="882"/>
      <c r="F84" s="319"/>
      <c r="G84" s="319"/>
      <c r="H84" s="319"/>
      <c r="I84" s="319"/>
      <c r="J84" s="550">
        <f>J68*VLOOKUP(C91,PRate01,3,FALSE)</f>
        <v>0</v>
      </c>
      <c r="K84" s="550">
        <f t="shared" si="92"/>
        <v>0</v>
      </c>
      <c r="L84" s="550">
        <f t="shared" si="93"/>
        <v>0</v>
      </c>
      <c r="M84" s="550">
        <f t="shared" si="94"/>
        <v>0</v>
      </c>
      <c r="N84" s="550">
        <f t="shared" si="95"/>
        <v>0</v>
      </c>
      <c r="O84" s="550">
        <f t="shared" si="96"/>
        <v>0</v>
      </c>
      <c r="P84" s="550">
        <f t="shared" si="97"/>
        <v>0</v>
      </c>
      <c r="Q84" s="550">
        <f t="shared" si="98"/>
        <v>0</v>
      </c>
      <c r="S84" s="42" t="s">
        <v>1009</v>
      </c>
      <c r="T84" s="544"/>
      <c r="X84" s="553"/>
      <c r="Y84" s="553"/>
      <c r="Z84" s="553"/>
      <c r="AA84" s="553"/>
    </row>
    <row r="85" spans="1:30" s="416" customFormat="1" ht="12.75" hidden="1" customHeight="1" outlineLevel="1" x14ac:dyDescent="0.2">
      <c r="C85" s="551">
        <v>7</v>
      </c>
      <c r="D85" s="920" t="s">
        <v>287</v>
      </c>
      <c r="E85" s="882"/>
      <c r="F85" s="319"/>
      <c r="G85" s="319"/>
      <c r="H85" s="319"/>
      <c r="I85" s="319"/>
      <c r="J85" s="319"/>
      <c r="K85" s="550">
        <f t="shared" si="92"/>
        <v>0</v>
      </c>
      <c r="L85" s="550">
        <f t="shared" si="93"/>
        <v>0</v>
      </c>
      <c r="M85" s="550">
        <f t="shared" si="94"/>
        <v>0</v>
      </c>
      <c r="N85" s="550">
        <f t="shared" si="95"/>
        <v>0</v>
      </c>
      <c r="O85" s="550">
        <f t="shared" si="96"/>
        <v>0</v>
      </c>
      <c r="P85" s="550">
        <f t="shared" si="97"/>
        <v>0</v>
      </c>
      <c r="Q85" s="550">
        <f t="shared" si="98"/>
        <v>0</v>
      </c>
      <c r="S85" s="42" t="s">
        <v>1010</v>
      </c>
      <c r="T85" s="544"/>
      <c r="X85" s="553"/>
      <c r="Y85" s="553"/>
      <c r="Z85" s="553"/>
      <c r="AA85" s="553"/>
    </row>
    <row r="86" spans="1:30" s="416" customFormat="1" ht="12.75" hidden="1" customHeight="1" outlineLevel="1" x14ac:dyDescent="0.2">
      <c r="C86" s="551">
        <v>6</v>
      </c>
      <c r="D86" s="920" t="s">
        <v>474</v>
      </c>
      <c r="E86" s="882"/>
      <c r="F86" s="319"/>
      <c r="G86" s="319"/>
      <c r="H86" s="319"/>
      <c r="I86" s="319"/>
      <c r="J86" s="319"/>
      <c r="K86" s="319"/>
      <c r="L86" s="550">
        <f t="shared" si="93"/>
        <v>0</v>
      </c>
      <c r="M86" s="550">
        <f t="shared" si="94"/>
        <v>0</v>
      </c>
      <c r="N86" s="550">
        <f t="shared" si="95"/>
        <v>0</v>
      </c>
      <c r="O86" s="550">
        <f t="shared" si="96"/>
        <v>0</v>
      </c>
      <c r="P86" s="550">
        <f t="shared" si="97"/>
        <v>0</v>
      </c>
      <c r="Q86" s="550">
        <f t="shared" si="98"/>
        <v>0</v>
      </c>
      <c r="S86" s="42" t="s">
        <v>1011</v>
      </c>
      <c r="T86" s="544"/>
      <c r="X86" s="553"/>
      <c r="Y86" s="553"/>
      <c r="Z86" s="553"/>
      <c r="AA86" s="553"/>
    </row>
    <row r="87" spans="1:30" s="416" customFormat="1" ht="12.75" hidden="1" customHeight="1" outlineLevel="1" x14ac:dyDescent="0.2">
      <c r="C87" s="551">
        <v>5</v>
      </c>
      <c r="D87" s="920" t="s">
        <v>475</v>
      </c>
      <c r="E87" s="882"/>
      <c r="F87" s="319"/>
      <c r="G87" s="319"/>
      <c r="H87" s="319"/>
      <c r="I87" s="319"/>
      <c r="J87" s="319"/>
      <c r="K87" s="319"/>
      <c r="L87" s="319"/>
      <c r="M87" s="550">
        <f t="shared" si="94"/>
        <v>0</v>
      </c>
      <c r="N87" s="550">
        <f t="shared" si="95"/>
        <v>0</v>
      </c>
      <c r="O87" s="550">
        <f t="shared" si="96"/>
        <v>0</v>
      </c>
      <c r="P87" s="550">
        <f t="shared" si="97"/>
        <v>0</v>
      </c>
      <c r="Q87" s="550">
        <f t="shared" si="98"/>
        <v>0</v>
      </c>
      <c r="S87" s="42" t="s">
        <v>1012</v>
      </c>
      <c r="T87" s="544"/>
      <c r="X87" s="553"/>
      <c r="Y87" s="553"/>
      <c r="Z87" s="553"/>
      <c r="AA87" s="553"/>
    </row>
    <row r="88" spans="1:30" s="416" customFormat="1" ht="12.75" hidden="1" customHeight="1" outlineLevel="1" x14ac:dyDescent="0.2">
      <c r="C88" s="551">
        <v>4</v>
      </c>
      <c r="D88" s="920" t="s">
        <v>476</v>
      </c>
      <c r="E88" s="882"/>
      <c r="F88" s="319"/>
      <c r="G88" s="319"/>
      <c r="H88" s="319"/>
      <c r="I88" s="319"/>
      <c r="J88" s="319"/>
      <c r="K88" s="319"/>
      <c r="L88" s="319"/>
      <c r="M88" s="319"/>
      <c r="N88" s="550">
        <f t="shared" si="95"/>
        <v>0</v>
      </c>
      <c r="O88" s="550">
        <f t="shared" si="96"/>
        <v>0</v>
      </c>
      <c r="P88" s="550">
        <f t="shared" si="97"/>
        <v>0</v>
      </c>
      <c r="Q88" s="550">
        <f t="shared" si="98"/>
        <v>0</v>
      </c>
      <c r="S88" s="42" t="s">
        <v>1013</v>
      </c>
      <c r="T88" s="544"/>
      <c r="X88" s="553"/>
      <c r="Y88" s="553"/>
      <c r="Z88" s="553"/>
      <c r="AA88" s="553"/>
    </row>
    <row r="89" spans="1:30" s="416" customFormat="1" ht="12.75" hidden="1" customHeight="1" outlineLevel="1" x14ac:dyDescent="0.2">
      <c r="C89" s="551">
        <v>3</v>
      </c>
      <c r="D89" s="920" t="s">
        <v>477</v>
      </c>
      <c r="E89" s="882"/>
      <c r="F89" s="319"/>
      <c r="G89" s="319"/>
      <c r="H89" s="319"/>
      <c r="I89" s="319"/>
      <c r="J89" s="319"/>
      <c r="K89" s="319"/>
      <c r="L89" s="319"/>
      <c r="M89" s="319"/>
      <c r="N89" s="319"/>
      <c r="O89" s="550">
        <f t="shared" si="96"/>
        <v>0</v>
      </c>
      <c r="P89" s="550">
        <f t="shared" si="97"/>
        <v>0</v>
      </c>
      <c r="Q89" s="550">
        <f t="shared" si="98"/>
        <v>0</v>
      </c>
      <c r="S89" s="42" t="s">
        <v>1014</v>
      </c>
      <c r="T89" s="544"/>
      <c r="X89" s="553"/>
      <c r="Y89" s="553"/>
      <c r="Z89" s="553"/>
      <c r="AA89" s="553"/>
    </row>
    <row r="90" spans="1:30" s="416" customFormat="1" ht="12.75" hidden="1" customHeight="1" outlineLevel="1" x14ac:dyDescent="0.2">
      <c r="C90" s="551">
        <v>2</v>
      </c>
      <c r="D90" s="920" t="s">
        <v>478</v>
      </c>
      <c r="E90" s="882"/>
      <c r="F90" s="319"/>
      <c r="G90" s="319"/>
      <c r="H90" s="319"/>
      <c r="I90" s="319"/>
      <c r="J90" s="319"/>
      <c r="K90" s="319"/>
      <c r="L90" s="319"/>
      <c r="M90" s="319"/>
      <c r="N90" s="319"/>
      <c r="O90" s="546"/>
      <c r="P90" s="550">
        <f t="shared" si="97"/>
        <v>0</v>
      </c>
      <c r="Q90" s="550">
        <f t="shared" si="98"/>
        <v>0</v>
      </c>
      <c r="S90" s="42" t="s">
        <v>1015</v>
      </c>
      <c r="T90" s="544"/>
      <c r="X90" s="553"/>
      <c r="Y90" s="553"/>
      <c r="Z90" s="553"/>
      <c r="AA90" s="553"/>
    </row>
    <row r="91" spans="1:30" s="416" customFormat="1" ht="12.75" hidden="1" customHeight="1" outlineLevel="1" x14ac:dyDescent="0.2">
      <c r="C91" s="551">
        <v>1</v>
      </c>
      <c r="D91" s="920" t="s">
        <v>479</v>
      </c>
      <c r="E91" s="882"/>
      <c r="F91" s="319"/>
      <c r="G91" s="319"/>
      <c r="H91" s="319"/>
      <c r="I91" s="319"/>
      <c r="J91" s="319"/>
      <c r="K91" s="319"/>
      <c r="L91" s="319"/>
      <c r="M91" s="319"/>
      <c r="N91" s="319"/>
      <c r="O91" s="546"/>
      <c r="P91" s="546"/>
      <c r="Q91" s="550">
        <f t="shared" si="98"/>
        <v>0</v>
      </c>
      <c r="S91" s="42" t="s">
        <v>1035</v>
      </c>
      <c r="T91" s="544"/>
    </row>
    <row r="92" spans="1:30" s="416" customFormat="1" ht="12.75" hidden="1" customHeight="1" outlineLevel="1" x14ac:dyDescent="0.2">
      <c r="K92" s="736" t="s">
        <v>73</v>
      </c>
      <c r="L92" s="321">
        <f>IFERROR((SUM(L80:L85)+IF(MATCH($AC$54,Switch,0)=1,L86,0)),0)</f>
        <v>0</v>
      </c>
      <c r="M92" s="321">
        <f>IFERROR((SUM(M80:M86)+IF(MATCH($AC$54,Switch,0)=1,M87,0)),0)</f>
        <v>0</v>
      </c>
      <c r="N92" s="321">
        <f>IFERROR((SUM(N80:N87)+IF(MATCH($AC$54,Switch,0)=1,N88,0)),0)</f>
        <v>0</v>
      </c>
      <c r="O92" s="321">
        <f>IFERROR((SUM(O80:O88)+IF(MATCH($AC$54,Switch,0)=1,O89,0)),0)</f>
        <v>0</v>
      </c>
      <c r="P92" s="321">
        <f>IFERROR((SUM(P80:P89)+IF(MATCH($AC$54,Switch,0)=1,P90,0)),0)</f>
        <v>0</v>
      </c>
      <c r="Q92" s="321">
        <f>IFERROR((SUM(Q80:Q90)+IF(MATCH($AC$54,Switch,0)=1,Q91,0)),0)</f>
        <v>0</v>
      </c>
      <c r="Z92" s="915" t="s">
        <v>1302</v>
      </c>
      <c r="AA92" s="916"/>
      <c r="AB92" s="917"/>
      <c r="AC92" s="743" t="s">
        <v>9</v>
      </c>
    </row>
    <row r="93" spans="1:30" s="416" customFormat="1" ht="12.75" hidden="1" customHeight="1" outlineLevel="1" x14ac:dyDescent="0.2"/>
    <row r="94" spans="1:30" s="416" customFormat="1" ht="12.75" customHeight="1" collapsed="1" x14ac:dyDescent="0.2"/>
    <row r="95" spans="1:30" ht="15.75" x14ac:dyDescent="0.2">
      <c r="A95" s="194"/>
      <c r="B95" s="242">
        <f>IF(G97&lt;&gt;"",1,0)</f>
        <v>0</v>
      </c>
      <c r="C95" s="242">
        <v>3</v>
      </c>
      <c r="D95" s="79" t="str">
        <f>IF(B95=0,MsgNotUsed, CONCATENATE("Persistent ", C95, ": ", G97, " (", F101, "-", Q101, ")"))</f>
        <v>** NOT USED **</v>
      </c>
      <c r="E95" s="127"/>
      <c r="F95" s="127"/>
      <c r="G95" s="127"/>
      <c r="H95" s="127"/>
      <c r="I95" s="127"/>
      <c r="J95" s="175"/>
      <c r="K95" s="127"/>
      <c r="L95" s="127"/>
      <c r="M95" s="127"/>
      <c r="N95" s="260"/>
      <c r="O95" s="260"/>
      <c r="P95" s="260"/>
      <c r="Q95" s="260"/>
      <c r="R95" s="260"/>
      <c r="S95" s="260"/>
      <c r="T95" s="260"/>
      <c r="U95" s="260"/>
      <c r="V95" s="260"/>
      <c r="W95" s="260"/>
      <c r="X95" s="260"/>
      <c r="Y95" s="260"/>
      <c r="Z95" s="260"/>
      <c r="AA95" s="260"/>
      <c r="AB95" s="260"/>
      <c r="AC95" s="260"/>
      <c r="AD95" s="260"/>
    </row>
    <row r="96" spans="1:30" ht="12.75" hidden="1" customHeight="1" outlineLevel="1" x14ac:dyDescent="0.2">
      <c r="C96" s="416"/>
      <c r="D96" s="416"/>
      <c r="F96" s="416"/>
      <c r="G96" s="416"/>
      <c r="H96" s="416"/>
      <c r="I96" s="416"/>
      <c r="J96" s="416"/>
      <c r="K96" s="416"/>
      <c r="L96" s="416"/>
      <c r="M96" s="416"/>
      <c r="N96" s="416"/>
      <c r="O96" s="416"/>
      <c r="P96" s="416"/>
      <c r="Q96" s="416"/>
      <c r="R96" s="416"/>
      <c r="S96" s="416"/>
      <c r="T96" s="416"/>
      <c r="U96" s="416"/>
      <c r="W96" s="416"/>
      <c r="AB96" s="416"/>
      <c r="AC96" s="416"/>
      <c r="AD96" s="416"/>
    </row>
    <row r="97" spans="3:30" ht="12.75" hidden="1" customHeight="1" outlineLevel="1" x14ac:dyDescent="0.2">
      <c r="C97" s="416"/>
      <c r="D97" s="416"/>
      <c r="F97" s="42" t="s">
        <v>480</v>
      </c>
      <c r="G97" s="913"/>
      <c r="H97" s="881"/>
      <c r="I97" s="881"/>
      <c r="J97" s="881"/>
      <c r="K97" s="881"/>
      <c r="L97" s="882"/>
      <c r="M97" s="416"/>
      <c r="N97" s="416"/>
      <c r="O97" s="416"/>
      <c r="P97" s="416"/>
      <c r="Q97" s="416"/>
      <c r="R97" s="416"/>
      <c r="S97" s="416"/>
      <c r="T97" s="416"/>
      <c r="U97" s="416"/>
      <c r="W97" s="416"/>
      <c r="AB97" s="416"/>
      <c r="AC97" s="416"/>
      <c r="AD97" s="416"/>
    </row>
    <row r="98" spans="3:30" ht="12.75" hidden="1" customHeight="1" outlineLevel="1" x14ac:dyDescent="0.2">
      <c r="C98" s="416"/>
      <c r="D98" s="416"/>
      <c r="F98" s="416"/>
      <c r="G98" s="416"/>
      <c r="H98" s="416"/>
      <c r="I98" s="416"/>
      <c r="J98" s="416"/>
      <c r="K98" s="416"/>
      <c r="L98" s="416"/>
      <c r="M98" s="416"/>
      <c r="N98" s="416"/>
      <c r="O98" s="416"/>
      <c r="P98" s="416"/>
      <c r="Q98" s="416"/>
      <c r="R98" s="416"/>
      <c r="S98" s="416"/>
      <c r="T98" s="416"/>
      <c r="U98" s="416"/>
      <c r="W98" s="416"/>
      <c r="AB98" s="416"/>
      <c r="AC98" s="416"/>
      <c r="AD98" s="416"/>
    </row>
    <row r="99" spans="3:30" ht="12.75" hidden="1" customHeight="1" outlineLevel="1" x14ac:dyDescent="0.2">
      <c r="C99" s="416"/>
      <c r="D99" s="416"/>
      <c r="F99" s="42" t="s">
        <v>258</v>
      </c>
      <c r="G99" s="913"/>
      <c r="H99" s="881"/>
      <c r="I99" s="881"/>
      <c r="J99" s="881"/>
      <c r="K99" s="881"/>
      <c r="L99" s="882"/>
      <c r="M99" s="416"/>
      <c r="N99" s="416"/>
      <c r="O99" s="416"/>
      <c r="P99" s="416"/>
      <c r="Q99" s="416"/>
      <c r="R99" s="416"/>
      <c r="S99" s="416"/>
      <c r="T99" s="416"/>
      <c r="U99" s="416"/>
      <c r="W99" s="416"/>
      <c r="Z99" s="919" t="str">
        <f>IF(AC101&lt;&gt;"",MsgNote &amp; VLOOKUP("PRate",WarningMessages,2),"")</f>
        <v/>
      </c>
      <c r="AA99" s="919"/>
      <c r="AB99" s="919"/>
      <c r="AC99" s="919"/>
      <c r="AD99" s="919"/>
    </row>
    <row r="100" spans="3:30" ht="12.75" hidden="1" customHeight="1" outlineLevel="1" x14ac:dyDescent="0.2">
      <c r="C100" s="416"/>
      <c r="D100" s="416"/>
      <c r="F100" s="416"/>
      <c r="G100" s="557">
        <v>1</v>
      </c>
      <c r="H100" s="557">
        <v>2</v>
      </c>
      <c r="I100" s="557">
        <v>3</v>
      </c>
      <c r="J100" s="557">
        <v>4</v>
      </c>
      <c r="K100" s="557">
        <v>5</v>
      </c>
      <c r="L100" s="557">
        <v>6</v>
      </c>
      <c r="M100" s="557">
        <v>7</v>
      </c>
      <c r="N100" s="557">
        <v>8</v>
      </c>
      <c r="O100" s="557">
        <v>9</v>
      </c>
      <c r="P100" s="557">
        <v>10</v>
      </c>
      <c r="Q100" s="557">
        <v>11</v>
      </c>
      <c r="R100" s="416"/>
      <c r="S100" s="416"/>
      <c r="T100" s="416"/>
      <c r="U100" s="416"/>
      <c r="W100" s="416"/>
      <c r="AB100" s="416"/>
      <c r="AC100" s="416"/>
      <c r="AD100" s="416"/>
    </row>
    <row r="101" spans="3:30" ht="12.75" hidden="1" customHeight="1" outlineLevel="1" x14ac:dyDescent="0.2">
      <c r="C101" s="416"/>
      <c r="D101" s="318"/>
      <c r="E101" s="733" t="s">
        <v>1065</v>
      </c>
      <c r="F101" s="733">
        <f t="shared" ref="F101" si="99">G101-1</f>
        <v>2015</v>
      </c>
      <c r="G101" s="733">
        <f t="shared" ref="G101" si="100">H101-1</f>
        <v>2016</v>
      </c>
      <c r="H101" s="733">
        <f t="shared" ref="H101" si="101">I101-1</f>
        <v>2017</v>
      </c>
      <c r="I101" s="733">
        <f t="shared" ref="I101" si="102">J101-1</f>
        <v>2018</v>
      </c>
      <c r="J101" s="733">
        <f t="shared" ref="J101" si="103">K101-1</f>
        <v>2019</v>
      </c>
      <c r="K101" s="733">
        <f t="shared" ref="K101" si="104">L101-1</f>
        <v>2020</v>
      </c>
      <c r="L101" s="733">
        <f>FirstYear</f>
        <v>2021</v>
      </c>
      <c r="M101" s="733">
        <f>L101+1</f>
        <v>2022</v>
      </c>
      <c r="N101" s="733">
        <f>M101+1</f>
        <v>2023</v>
      </c>
      <c r="O101" s="733">
        <f>N101+1</f>
        <v>2024</v>
      </c>
      <c r="P101" s="733">
        <f>O101+1</f>
        <v>2025</v>
      </c>
      <c r="Q101" s="733">
        <f>P101+1</f>
        <v>2026</v>
      </c>
      <c r="R101" s="416"/>
      <c r="S101" s="921" t="s">
        <v>1300</v>
      </c>
      <c r="T101" s="921"/>
      <c r="U101" s="416"/>
      <c r="W101" s="416"/>
      <c r="Z101" s="918" t="s">
        <v>1303</v>
      </c>
      <c r="AA101" s="918"/>
      <c r="AB101" s="918"/>
      <c r="AC101" s="544"/>
      <c r="AD101" s="416"/>
    </row>
    <row r="102" spans="3:30" ht="12.75" hidden="1" customHeight="1" outlineLevel="1" x14ac:dyDescent="0.2">
      <c r="C102" s="416"/>
      <c r="D102" s="42" t="s">
        <v>282</v>
      </c>
      <c r="E102" s="320"/>
      <c r="F102" s="322">
        <f>E102</f>
        <v>0</v>
      </c>
      <c r="G102" s="322">
        <f t="shared" ref="G102" si="105">F102*VLOOKUP(G100,PRate01,2,FALSE)</f>
        <v>0</v>
      </c>
      <c r="H102" s="322">
        <f t="shared" ref="H102" si="106">G102*VLOOKUP(H100,PRate01,2,FALSE)</f>
        <v>0</v>
      </c>
      <c r="I102" s="322">
        <f t="shared" ref="I102" si="107">H102*VLOOKUP(I100,PRate01,2,FALSE)</f>
        <v>0</v>
      </c>
      <c r="J102" s="322">
        <f t="shared" ref="J102" si="108">I102*VLOOKUP(J100,PRate01,2,FALSE)</f>
        <v>0</v>
      </c>
      <c r="K102" s="322">
        <f t="shared" ref="K102" si="109">J102*VLOOKUP(K100,PRate01,2,FALSE)</f>
        <v>0</v>
      </c>
      <c r="L102" s="322">
        <f t="shared" ref="L102" si="110">K102*VLOOKUP(L100,PRate01,2,FALSE)</f>
        <v>0</v>
      </c>
      <c r="M102" s="322">
        <f t="shared" ref="M102" si="111">L102*VLOOKUP(M100,PRate01,2,FALSE)</f>
        <v>0</v>
      </c>
      <c r="N102" s="322">
        <f t="shared" ref="N102" si="112">M102*VLOOKUP(N100,PRate01,2,FALSE)</f>
        <v>0</v>
      </c>
      <c r="O102" s="322">
        <f t="shared" ref="O102" si="113">N102*VLOOKUP(O100,PRate01,2,FALSE)</f>
        <v>0</v>
      </c>
      <c r="P102" s="322">
        <f t="shared" ref="P102" si="114">O102*VLOOKUP(P100,PRate01,2,FALSE)</f>
        <v>0</v>
      </c>
      <c r="Q102" s="322">
        <f t="shared" ref="Q102" si="115">P102*VLOOKUP(Q100,PRate01,2,FALSE)</f>
        <v>0</v>
      </c>
      <c r="R102" s="416"/>
      <c r="S102" s="547" t="s">
        <v>1005</v>
      </c>
      <c r="T102" s="548"/>
      <c r="U102" s="416"/>
      <c r="V102" s="554">
        <v>1</v>
      </c>
      <c r="W102" s="549">
        <f>IF($AC$101&lt;&gt;"",$AC$101,T102)</f>
        <v>0</v>
      </c>
      <c r="X102" s="549">
        <f>IF($AC$117&lt;&gt;"",$AC$117,T118)</f>
        <v>0</v>
      </c>
      <c r="Y102" s="553"/>
      <c r="Z102" s="553"/>
      <c r="AA102" s="553"/>
      <c r="AB102" s="416"/>
      <c r="AC102" s="416"/>
      <c r="AD102" s="416"/>
    </row>
    <row r="103" spans="3:30" s="416" customFormat="1" ht="12.75" hidden="1" customHeight="1" outlineLevel="1" x14ac:dyDescent="0.2">
      <c r="D103" s="42" t="s">
        <v>283</v>
      </c>
      <c r="E103" s="320"/>
      <c r="F103" s="319"/>
      <c r="G103" s="322">
        <f>E103</f>
        <v>0</v>
      </c>
      <c r="H103" s="322">
        <f t="shared" ref="H103" si="116">G103*VLOOKUP(G100,PRate01,2,FALSE)</f>
        <v>0</v>
      </c>
      <c r="I103" s="322">
        <f t="shared" ref="I103" si="117">H103*VLOOKUP(H100,PRate01,2,FALSE)</f>
        <v>0</v>
      </c>
      <c r="J103" s="322">
        <f t="shared" ref="J103" si="118">I103*VLOOKUP(I100,PRate01,2,FALSE)</f>
        <v>0</v>
      </c>
      <c r="K103" s="322">
        <f t="shared" ref="K103" si="119">J103*VLOOKUP(J100,PRate01,2,FALSE)</f>
        <v>0</v>
      </c>
      <c r="L103" s="322">
        <f t="shared" ref="L103" si="120">K103*VLOOKUP(K100,PRate01,2,FALSE)</f>
        <v>0</v>
      </c>
      <c r="M103" s="322">
        <f t="shared" ref="M103" si="121">L103*VLOOKUP(L100,PRate01,2,FALSE)</f>
        <v>0</v>
      </c>
      <c r="N103" s="322">
        <f t="shared" ref="N103" si="122">M103*VLOOKUP(M100,PRate01,2,FALSE)</f>
        <v>0</v>
      </c>
      <c r="O103" s="322">
        <f t="shared" ref="O103" si="123">N103*VLOOKUP(N100,PRate01,2,FALSE)</f>
        <v>0</v>
      </c>
      <c r="P103" s="322">
        <f t="shared" ref="P103" si="124">O103*VLOOKUP(O100,PRate01,2,FALSE)</f>
        <v>0</v>
      </c>
      <c r="Q103" s="322">
        <f t="shared" ref="Q103" si="125">P103*VLOOKUP(P100,PRate01,2,FALSE)</f>
        <v>0</v>
      </c>
      <c r="S103" s="42" t="s">
        <v>1006</v>
      </c>
      <c r="T103" s="544"/>
      <c r="V103" s="554">
        <v>2</v>
      </c>
      <c r="W103" s="549">
        <f t="shared" ref="W103:W112" si="126">IF($AC$101&lt;&gt;"",$AC$101,T103)</f>
        <v>0</v>
      </c>
      <c r="X103" s="549">
        <f t="shared" ref="X103:X113" si="127">IF($AC$117&lt;&gt;"",$AC$117,T119)</f>
        <v>0</v>
      </c>
      <c r="Z103" s="42" t="s">
        <v>258</v>
      </c>
      <c r="AA103" s="914"/>
      <c r="AB103" s="914"/>
      <c r="AC103" s="914"/>
      <c r="AD103" s="914"/>
    </row>
    <row r="104" spans="3:30" s="416" customFormat="1" ht="12.75" hidden="1" customHeight="1" outlineLevel="1" x14ac:dyDescent="0.2">
      <c r="D104" s="42" t="s">
        <v>284</v>
      </c>
      <c r="E104" s="320"/>
      <c r="F104" s="319"/>
      <c r="G104" s="319"/>
      <c r="H104" s="322">
        <f>E104</f>
        <v>0</v>
      </c>
      <c r="I104" s="322">
        <f t="shared" ref="I104" si="128">H104*VLOOKUP(G100,PRate01,2,FALSE)</f>
        <v>0</v>
      </c>
      <c r="J104" s="322">
        <f t="shared" ref="J104" si="129">I104*VLOOKUP(H100,PRate01,2,FALSE)</f>
        <v>0</v>
      </c>
      <c r="K104" s="322">
        <f t="shared" ref="K104" si="130">J104*VLOOKUP(I100,PRate01,2,FALSE)</f>
        <v>0</v>
      </c>
      <c r="L104" s="322">
        <f t="shared" ref="L104" si="131">K104*VLOOKUP(J100,PRate01,2,FALSE)</f>
        <v>0</v>
      </c>
      <c r="M104" s="322">
        <f t="shared" ref="M104" si="132">L104*VLOOKUP(K100,PRate01,2,FALSE)</f>
        <v>0</v>
      </c>
      <c r="N104" s="322">
        <f t="shared" ref="N104" si="133">M104*VLOOKUP(L100,PRate01,2,FALSE)</f>
        <v>0</v>
      </c>
      <c r="O104" s="322">
        <f t="shared" ref="O104" si="134">N104*VLOOKUP(M100,PRate01,2,FALSE)</f>
        <v>0</v>
      </c>
      <c r="P104" s="322">
        <f t="shared" ref="P104" si="135">O104*VLOOKUP(N100,PRate01,2,FALSE)</f>
        <v>0</v>
      </c>
      <c r="Q104" s="322">
        <f t="shared" ref="Q104" si="136">P104*VLOOKUP(O100,PRate01,2,FALSE)</f>
        <v>0</v>
      </c>
      <c r="S104" s="42" t="s">
        <v>1007</v>
      </c>
      <c r="T104" s="544"/>
      <c r="V104" s="554">
        <v>3</v>
      </c>
      <c r="W104" s="549">
        <f t="shared" si="126"/>
        <v>0</v>
      </c>
      <c r="X104" s="549">
        <f t="shared" si="127"/>
        <v>0</v>
      </c>
      <c r="Y104" s="553"/>
      <c r="Z104" s="553"/>
      <c r="AA104" s="553"/>
    </row>
    <row r="105" spans="3:30" s="416" customFormat="1" ht="12.75" hidden="1" customHeight="1" outlineLevel="1" x14ac:dyDescent="0.2">
      <c r="D105" s="42" t="s">
        <v>285</v>
      </c>
      <c r="E105" s="320"/>
      <c r="F105" s="319"/>
      <c r="G105" s="319"/>
      <c r="H105" s="319"/>
      <c r="I105" s="322">
        <f>E105</f>
        <v>0</v>
      </c>
      <c r="J105" s="322">
        <f t="shared" ref="J105" si="137">I105*VLOOKUP(G100,PRate01,2,FALSE)</f>
        <v>0</v>
      </c>
      <c r="K105" s="322">
        <f t="shared" ref="K105" si="138">J105*VLOOKUP(H100,PRate01,2,FALSE)</f>
        <v>0</v>
      </c>
      <c r="L105" s="322">
        <f t="shared" ref="L105" si="139">K105*VLOOKUP(I100,PRate01,2,FALSE)</f>
        <v>0</v>
      </c>
      <c r="M105" s="322">
        <f t="shared" ref="M105" si="140">L105*VLOOKUP(J100,PRate01,2,FALSE)</f>
        <v>0</v>
      </c>
      <c r="N105" s="322">
        <f t="shared" ref="N105" si="141">M105*VLOOKUP(K100,PRate01,2,FALSE)</f>
        <v>0</v>
      </c>
      <c r="O105" s="322">
        <f t="shared" ref="O105" si="142">N105*VLOOKUP(L100,PRate01,2,FALSE)</f>
        <v>0</v>
      </c>
      <c r="P105" s="322">
        <f t="shared" ref="P105" si="143">O105*VLOOKUP(M100,PRate01,2,FALSE)</f>
        <v>0</v>
      </c>
      <c r="Q105" s="322">
        <f t="shared" ref="Q105" si="144">P105*VLOOKUP(N100,PRate01,2,FALSE)</f>
        <v>0</v>
      </c>
      <c r="S105" s="42" t="s">
        <v>1008</v>
      </c>
      <c r="T105" s="544"/>
      <c r="V105" s="555">
        <v>4</v>
      </c>
      <c r="W105" s="549">
        <f t="shared" si="126"/>
        <v>0</v>
      </c>
      <c r="X105" s="549">
        <f t="shared" si="127"/>
        <v>0</v>
      </c>
      <c r="Y105" s="553"/>
      <c r="Z105" s="553"/>
      <c r="AA105" s="553"/>
    </row>
    <row r="106" spans="3:30" ht="12.75" hidden="1" customHeight="1" outlineLevel="1" x14ac:dyDescent="0.2">
      <c r="C106" s="416"/>
      <c r="D106" s="42" t="s">
        <v>286</v>
      </c>
      <c r="E106" s="320"/>
      <c r="F106" s="319"/>
      <c r="G106" s="319"/>
      <c r="H106" s="319"/>
      <c r="I106" s="319"/>
      <c r="J106" s="322">
        <f>E106</f>
        <v>0</v>
      </c>
      <c r="K106" s="322">
        <f t="shared" ref="K106" si="145">J106*VLOOKUP(G100,PRate01,2,FALSE)</f>
        <v>0</v>
      </c>
      <c r="L106" s="322">
        <f t="shared" ref="L106" si="146">K106*VLOOKUP(H100,PRate01,2,FALSE)</f>
        <v>0</v>
      </c>
      <c r="M106" s="322">
        <f t="shared" ref="M106" si="147">L106*VLOOKUP(I100,PRate01,2,FALSE)</f>
        <v>0</v>
      </c>
      <c r="N106" s="322">
        <f t="shared" ref="N106" si="148">M106*VLOOKUP(J100,PRate01,2,FALSE)</f>
        <v>0</v>
      </c>
      <c r="O106" s="322">
        <f t="shared" ref="O106" si="149">N106*VLOOKUP(K100,PRate01,2,FALSE)</f>
        <v>0</v>
      </c>
      <c r="P106" s="322">
        <f t="shared" ref="P106" si="150">O106*VLOOKUP(L100,PRate01,2,FALSE)</f>
        <v>0</v>
      </c>
      <c r="Q106" s="322">
        <f t="shared" ref="Q106" si="151">P106*VLOOKUP(M100,PRate01,2,FALSE)</f>
        <v>0</v>
      </c>
      <c r="R106" s="416"/>
      <c r="S106" s="42" t="s">
        <v>1009</v>
      </c>
      <c r="T106" s="544"/>
      <c r="U106" s="416"/>
      <c r="V106" s="555">
        <v>5</v>
      </c>
      <c r="W106" s="549">
        <f t="shared" si="126"/>
        <v>0</v>
      </c>
      <c r="X106" s="549">
        <f t="shared" si="127"/>
        <v>0</v>
      </c>
      <c r="Y106" s="553"/>
      <c r="Z106" s="553"/>
      <c r="AA106" s="553"/>
      <c r="AB106" s="416"/>
      <c r="AC106" s="416"/>
      <c r="AD106" s="416"/>
    </row>
    <row r="107" spans="3:30" ht="12.75" hidden="1" customHeight="1" outlineLevel="1" x14ac:dyDescent="0.2">
      <c r="C107" s="416"/>
      <c r="D107" s="42" t="s">
        <v>287</v>
      </c>
      <c r="E107" s="320"/>
      <c r="F107" s="319"/>
      <c r="G107" s="319"/>
      <c r="H107" s="319"/>
      <c r="I107" s="319"/>
      <c r="J107" s="319"/>
      <c r="K107" s="322">
        <f>E107</f>
        <v>0</v>
      </c>
      <c r="L107" s="322">
        <f t="shared" ref="L107" si="152">K107*VLOOKUP(G100,PRate01,2,FALSE)</f>
        <v>0</v>
      </c>
      <c r="M107" s="322">
        <f t="shared" ref="M107" si="153">L107*VLOOKUP(H100,PRate01,2,FALSE)</f>
        <v>0</v>
      </c>
      <c r="N107" s="322">
        <f t="shared" ref="N107" si="154">M107*VLOOKUP(I100,PRate01,2,FALSE)</f>
        <v>0</v>
      </c>
      <c r="O107" s="322">
        <f t="shared" ref="O107" si="155">N107*VLOOKUP(J100,PRate01,2,FALSE)</f>
        <v>0</v>
      </c>
      <c r="P107" s="322">
        <f t="shared" ref="P107" si="156">O107*VLOOKUP(K100,PRate01,2,FALSE)</f>
        <v>0</v>
      </c>
      <c r="Q107" s="322">
        <f t="shared" ref="Q107" si="157">P107*VLOOKUP(L100,PRate01,2,FALSE)</f>
        <v>0</v>
      </c>
      <c r="R107" s="416"/>
      <c r="S107" s="42" t="s">
        <v>1010</v>
      </c>
      <c r="T107" s="544"/>
      <c r="U107" s="416"/>
      <c r="V107" s="555">
        <v>6</v>
      </c>
      <c r="W107" s="549">
        <f t="shared" si="126"/>
        <v>0</v>
      </c>
      <c r="X107" s="549">
        <f t="shared" si="127"/>
        <v>0</v>
      </c>
      <c r="Y107" s="553"/>
      <c r="Z107" s="553"/>
      <c r="AA107" s="553"/>
      <c r="AB107" s="416"/>
      <c r="AC107" s="416"/>
      <c r="AD107" s="416"/>
    </row>
    <row r="108" spans="3:30" ht="12.75" hidden="1" customHeight="1" outlineLevel="1" x14ac:dyDescent="0.2">
      <c r="C108" s="416"/>
      <c r="D108" s="42" t="s">
        <v>474</v>
      </c>
      <c r="E108" s="320"/>
      <c r="F108" s="319"/>
      <c r="G108" s="319"/>
      <c r="H108" s="319"/>
      <c r="I108" s="319"/>
      <c r="J108" s="319"/>
      <c r="K108" s="319"/>
      <c r="L108" s="322">
        <f>E108</f>
        <v>0</v>
      </c>
      <c r="M108" s="322">
        <f>L108*VLOOKUP(G100,PRate01,2,FALSE)</f>
        <v>0</v>
      </c>
      <c r="N108" s="322">
        <f>M108*VLOOKUP(H100,PRate01,2,FALSE)</f>
        <v>0</v>
      </c>
      <c r="O108" s="322">
        <f>N108*VLOOKUP(I100,PRate01,2,FALSE)</f>
        <v>0</v>
      </c>
      <c r="P108" s="322">
        <f>O108*VLOOKUP(J100,PRate01,2,FALSE)</f>
        <v>0</v>
      </c>
      <c r="Q108" s="322">
        <f>P108*VLOOKUP(K100,PRate01,2,FALSE)</f>
        <v>0</v>
      </c>
      <c r="R108" s="416"/>
      <c r="S108" s="42" t="s">
        <v>1011</v>
      </c>
      <c r="T108" s="544"/>
      <c r="U108" s="416"/>
      <c r="V108" s="555">
        <v>7</v>
      </c>
      <c r="W108" s="549">
        <f t="shared" si="126"/>
        <v>0</v>
      </c>
      <c r="X108" s="549">
        <f t="shared" si="127"/>
        <v>0</v>
      </c>
      <c r="Y108" s="553"/>
      <c r="Z108" s="553"/>
      <c r="AA108" s="553"/>
      <c r="AB108" s="416"/>
      <c r="AC108" s="416"/>
      <c r="AD108" s="416"/>
    </row>
    <row r="109" spans="3:30" ht="12.75" hidden="1" customHeight="1" outlineLevel="1" x14ac:dyDescent="0.2">
      <c r="C109" s="416"/>
      <c r="D109" s="42" t="s">
        <v>475</v>
      </c>
      <c r="E109" s="320"/>
      <c r="F109" s="319"/>
      <c r="G109" s="319"/>
      <c r="H109" s="319"/>
      <c r="I109" s="319"/>
      <c r="J109" s="319"/>
      <c r="K109" s="319"/>
      <c r="L109" s="319"/>
      <c r="M109" s="322">
        <f>E109</f>
        <v>0</v>
      </c>
      <c r="N109" s="322">
        <f>M109*VLOOKUP(G100,PRate01,2,FALSE)</f>
        <v>0</v>
      </c>
      <c r="O109" s="322">
        <f>N109*VLOOKUP(H100,PRate01,2,FALSE)</f>
        <v>0</v>
      </c>
      <c r="P109" s="322">
        <f>O109*VLOOKUP(I100,PRate01,2,FALSE)</f>
        <v>0</v>
      </c>
      <c r="Q109" s="322">
        <f>P109*VLOOKUP(J100,PRate01,2,FALSE)</f>
        <v>0</v>
      </c>
      <c r="R109" s="416"/>
      <c r="S109" s="42" t="s">
        <v>1012</v>
      </c>
      <c r="T109" s="544"/>
      <c r="U109" s="416"/>
      <c r="V109" s="555">
        <v>8</v>
      </c>
      <c r="W109" s="549">
        <f t="shared" si="126"/>
        <v>0</v>
      </c>
      <c r="X109" s="549">
        <f t="shared" si="127"/>
        <v>0</v>
      </c>
      <c r="Y109" s="553"/>
      <c r="Z109" s="553"/>
      <c r="AA109" s="553"/>
      <c r="AB109" s="416"/>
      <c r="AC109" s="416"/>
      <c r="AD109" s="416"/>
    </row>
    <row r="110" spans="3:30" ht="12.75" hidden="1" customHeight="1" outlineLevel="1" x14ac:dyDescent="0.2">
      <c r="C110" s="416"/>
      <c r="D110" s="42" t="s">
        <v>476</v>
      </c>
      <c r="E110" s="320"/>
      <c r="F110" s="319"/>
      <c r="G110" s="319"/>
      <c r="H110" s="319"/>
      <c r="I110" s="319"/>
      <c r="J110" s="319"/>
      <c r="K110" s="319"/>
      <c r="L110" s="319"/>
      <c r="M110" s="319"/>
      <c r="N110" s="322">
        <f>E110</f>
        <v>0</v>
      </c>
      <c r="O110" s="322">
        <f>N110*VLOOKUP(G100,PRate01,2,FALSE)</f>
        <v>0</v>
      </c>
      <c r="P110" s="322">
        <f>O110*VLOOKUP(H100,PRate01,2,FALSE)</f>
        <v>0</v>
      </c>
      <c r="Q110" s="322">
        <f>P110*VLOOKUP(I100,PRate01,2,FALSE)</f>
        <v>0</v>
      </c>
      <c r="R110" s="416"/>
      <c r="S110" s="42" t="s">
        <v>1013</v>
      </c>
      <c r="T110" s="544"/>
      <c r="U110" s="416"/>
      <c r="V110" s="555">
        <v>9</v>
      </c>
      <c r="W110" s="549">
        <f t="shared" si="126"/>
        <v>0</v>
      </c>
      <c r="X110" s="549">
        <f t="shared" si="127"/>
        <v>0</v>
      </c>
      <c r="Y110" s="553"/>
      <c r="Z110" s="553"/>
      <c r="AA110" s="553"/>
      <c r="AB110" s="416"/>
      <c r="AC110" s="416"/>
      <c r="AD110" s="416"/>
    </row>
    <row r="111" spans="3:30" ht="12.75" hidden="1" customHeight="1" outlineLevel="1" x14ac:dyDescent="0.2">
      <c r="C111" s="416"/>
      <c r="D111" s="42" t="s">
        <v>477</v>
      </c>
      <c r="E111" s="320"/>
      <c r="F111" s="319"/>
      <c r="G111" s="319"/>
      <c r="H111" s="319"/>
      <c r="I111" s="319"/>
      <c r="J111" s="319"/>
      <c r="K111" s="319"/>
      <c r="L111" s="319"/>
      <c r="M111" s="319"/>
      <c r="N111" s="319"/>
      <c r="O111" s="550">
        <f>E111</f>
        <v>0</v>
      </c>
      <c r="P111" s="322">
        <f>O111*VLOOKUP(G100,PRate01,2,FALSE)</f>
        <v>0</v>
      </c>
      <c r="Q111" s="322">
        <f>P111*VLOOKUP(H100,PRate01,2,FALSE)</f>
        <v>0</v>
      </c>
      <c r="R111" s="416"/>
      <c r="S111" s="42" t="s">
        <v>1014</v>
      </c>
      <c r="T111" s="544"/>
      <c r="U111" s="416"/>
      <c r="V111" s="555">
        <v>10</v>
      </c>
      <c r="W111" s="549">
        <f t="shared" si="126"/>
        <v>0</v>
      </c>
      <c r="X111" s="549">
        <f t="shared" si="127"/>
        <v>0</v>
      </c>
      <c r="Y111" s="553"/>
      <c r="Z111" s="553"/>
      <c r="AA111" s="553"/>
      <c r="AB111" s="416"/>
      <c r="AC111" s="416"/>
      <c r="AD111" s="416"/>
    </row>
    <row r="112" spans="3:30" ht="12.75" hidden="1" customHeight="1" outlineLevel="1" x14ac:dyDescent="0.2">
      <c r="C112" s="416"/>
      <c r="D112" s="42" t="s">
        <v>478</v>
      </c>
      <c r="E112" s="320"/>
      <c r="F112" s="319"/>
      <c r="G112" s="319"/>
      <c r="H112" s="319"/>
      <c r="I112" s="319"/>
      <c r="J112" s="319"/>
      <c r="K112" s="319"/>
      <c r="L112" s="319"/>
      <c r="M112" s="319"/>
      <c r="N112" s="319"/>
      <c r="O112" s="546"/>
      <c r="P112" s="550">
        <f>E112</f>
        <v>0</v>
      </c>
      <c r="Q112" s="322">
        <f>P112*VLOOKUP(G100,PRate01,2,FALSE)</f>
        <v>0</v>
      </c>
      <c r="R112" s="416"/>
      <c r="S112" s="42" t="s">
        <v>1015</v>
      </c>
      <c r="T112" s="544"/>
      <c r="U112" s="416"/>
      <c r="V112" s="555">
        <v>11</v>
      </c>
      <c r="W112" s="549">
        <f t="shared" si="126"/>
        <v>0</v>
      </c>
      <c r="X112" s="549">
        <f t="shared" si="127"/>
        <v>0</v>
      </c>
      <c r="Y112" s="553"/>
      <c r="Z112" s="553"/>
      <c r="AA112" s="553"/>
      <c r="AB112" s="416"/>
      <c r="AC112" s="416"/>
      <c r="AD112" s="416"/>
    </row>
    <row r="113" spans="3:30" ht="12.75" hidden="1" customHeight="1" outlineLevel="1" x14ac:dyDescent="0.2">
      <c r="C113" s="416"/>
      <c r="D113" s="42" t="s">
        <v>479</v>
      </c>
      <c r="E113" s="320"/>
      <c r="F113" s="319"/>
      <c r="G113" s="319"/>
      <c r="H113" s="319"/>
      <c r="I113" s="319"/>
      <c r="J113" s="319"/>
      <c r="K113" s="319"/>
      <c r="L113" s="319"/>
      <c r="M113" s="319"/>
      <c r="N113" s="319"/>
      <c r="O113" s="546"/>
      <c r="P113" s="546"/>
      <c r="Q113" s="550">
        <f>E113</f>
        <v>0</v>
      </c>
      <c r="R113" s="416"/>
      <c r="S113" s="416"/>
      <c r="T113" s="416"/>
      <c r="U113" s="416"/>
      <c r="V113" s="555">
        <v>12</v>
      </c>
      <c r="W113" s="556"/>
      <c r="X113" s="549">
        <f t="shared" si="127"/>
        <v>0</v>
      </c>
      <c r="Y113" s="553"/>
      <c r="Z113" s="553"/>
      <c r="AA113" s="553"/>
      <c r="AB113" s="416"/>
      <c r="AC113" s="416"/>
      <c r="AD113" s="416"/>
    </row>
    <row r="114" spans="3:30" ht="12.75" hidden="1" customHeight="1" outlineLevel="1" x14ac:dyDescent="0.2">
      <c r="C114" s="416"/>
      <c r="D114" s="416"/>
      <c r="F114" s="416"/>
      <c r="G114" s="416"/>
      <c r="H114" s="416"/>
      <c r="I114" s="416"/>
      <c r="J114" s="416"/>
      <c r="K114" s="416"/>
      <c r="L114" s="416"/>
      <c r="M114" s="416"/>
      <c r="N114" s="416"/>
      <c r="O114" s="416"/>
      <c r="P114" s="416"/>
      <c r="Q114" s="416"/>
      <c r="R114" s="416"/>
      <c r="S114" s="416"/>
      <c r="T114" s="416"/>
      <c r="U114" s="416"/>
      <c r="W114" s="416"/>
      <c r="AB114" s="416"/>
      <c r="AC114" s="416"/>
      <c r="AD114" s="416"/>
    </row>
    <row r="115" spans="3:30" ht="12.75" hidden="1" customHeight="1" outlineLevel="1" x14ac:dyDescent="0.2">
      <c r="C115" s="416"/>
      <c r="D115" s="416"/>
      <c r="F115" s="416"/>
      <c r="G115" s="416"/>
      <c r="H115" s="416"/>
      <c r="I115" s="416"/>
      <c r="J115" s="416"/>
      <c r="K115" s="416"/>
      <c r="L115" s="416"/>
      <c r="M115" s="416"/>
      <c r="N115" s="416"/>
      <c r="O115" s="416"/>
      <c r="P115" s="416"/>
      <c r="Q115" s="416"/>
      <c r="R115" s="416"/>
      <c r="S115" s="416"/>
      <c r="T115" s="416"/>
      <c r="U115" s="416"/>
      <c r="W115" s="416"/>
      <c r="Z115" s="919" t="str">
        <f>IF(AC117&lt;&gt;"",MsgNote &amp; VLOOKUP("PRate",WarningMessages,2),"")</f>
        <v/>
      </c>
      <c r="AA115" s="919"/>
      <c r="AB115" s="919"/>
      <c r="AC115" s="919"/>
      <c r="AD115" s="919"/>
    </row>
    <row r="116" spans="3:30" ht="12.75" hidden="1" customHeight="1" outlineLevel="1" x14ac:dyDescent="0.2">
      <c r="C116" s="416"/>
      <c r="D116" s="416"/>
      <c r="F116" s="416"/>
      <c r="G116" s="416"/>
      <c r="H116" s="416"/>
      <c r="I116" s="416"/>
      <c r="J116" s="416"/>
      <c r="K116" s="416"/>
      <c r="L116" s="552"/>
      <c r="M116" s="552"/>
      <c r="N116" s="552"/>
      <c r="O116" s="552"/>
      <c r="P116" s="552"/>
      <c r="Q116" s="552"/>
      <c r="R116" s="416"/>
      <c r="S116" s="416"/>
      <c r="T116" s="416"/>
      <c r="U116" s="416"/>
      <c r="W116" s="416"/>
      <c r="AB116" s="416"/>
      <c r="AC116" s="416"/>
      <c r="AD116" s="416"/>
    </row>
    <row r="117" spans="3:30" ht="12.75" hidden="1" customHeight="1" outlineLevel="1" x14ac:dyDescent="0.2">
      <c r="C117" s="416"/>
      <c r="D117" s="318"/>
      <c r="F117" s="733">
        <f t="shared" ref="F117" si="158">G117-1</f>
        <v>2015</v>
      </c>
      <c r="G117" s="733">
        <f t="shared" ref="G117" si="159">H117-1</f>
        <v>2016</v>
      </c>
      <c r="H117" s="733">
        <f t="shared" ref="H117" si="160">I117-1</f>
        <v>2017</v>
      </c>
      <c r="I117" s="733">
        <f t="shared" ref="I117" si="161">J117-1</f>
        <v>2018</v>
      </c>
      <c r="J117" s="733">
        <f t="shared" ref="J117" si="162">K117-1</f>
        <v>2019</v>
      </c>
      <c r="K117" s="733">
        <f t="shared" ref="K117" si="163">L117-1</f>
        <v>2020</v>
      </c>
      <c r="L117" s="733">
        <f>FirstYear</f>
        <v>2021</v>
      </c>
      <c r="M117" s="733">
        <f>L117+1</f>
        <v>2022</v>
      </c>
      <c r="N117" s="733">
        <f>M117+1</f>
        <v>2023</v>
      </c>
      <c r="O117" s="733">
        <f>N117+1</f>
        <v>2024</v>
      </c>
      <c r="P117" s="733">
        <f>O117+1</f>
        <v>2025</v>
      </c>
      <c r="Q117" s="733">
        <f>P117+1</f>
        <v>2026</v>
      </c>
      <c r="R117" s="416"/>
      <c r="S117" s="921" t="s">
        <v>1301</v>
      </c>
      <c r="T117" s="921"/>
      <c r="U117" s="416"/>
      <c r="W117" s="416"/>
      <c r="Z117" s="918" t="s">
        <v>1304</v>
      </c>
      <c r="AA117" s="918"/>
      <c r="AB117" s="918"/>
      <c r="AC117" s="544"/>
      <c r="AD117" s="416"/>
    </row>
    <row r="118" spans="3:30" ht="12.75" hidden="1" customHeight="1" outlineLevel="1" x14ac:dyDescent="0.2">
      <c r="C118" s="551">
        <v>12</v>
      </c>
      <c r="D118" s="920" t="s">
        <v>282</v>
      </c>
      <c r="E118" s="882"/>
      <c r="F118" s="550">
        <f>F102*VLOOKUP(C129,PRate01,3,FALSE)</f>
        <v>0</v>
      </c>
      <c r="G118" s="550">
        <f>G102*VLOOKUP(C128,PRate01,3,FALSE)</f>
        <v>0</v>
      </c>
      <c r="H118" s="550">
        <f>H102*VLOOKUP(C127,PRate01,3,FALSE)</f>
        <v>0</v>
      </c>
      <c r="I118" s="550">
        <f>I102*VLOOKUP(C126,PRate01,3,FALSE)</f>
        <v>0</v>
      </c>
      <c r="J118" s="550">
        <f>J102*VLOOKUP(C125,PRate01,3,FALSE)</f>
        <v>0</v>
      </c>
      <c r="K118" s="550">
        <f t="shared" ref="K118:K123" si="164">K102*VLOOKUP(C124,PRate01,3,FALSE)</f>
        <v>0</v>
      </c>
      <c r="L118" s="550">
        <f t="shared" ref="L118:L124" si="165">L102*VLOOKUP(C123,PRate01,3,FALSE)</f>
        <v>0</v>
      </c>
      <c r="M118" s="550">
        <f t="shared" ref="M118:M125" si="166">M102*VLOOKUP(C122,PRate01,3,FALSE)</f>
        <v>0</v>
      </c>
      <c r="N118" s="550">
        <f t="shared" ref="N118:N126" si="167">N102*VLOOKUP(C121,PRate01,3,FALSE)</f>
        <v>0</v>
      </c>
      <c r="O118" s="550">
        <f t="shared" ref="O118:O127" si="168">O102*VLOOKUP(C120,PRate01,3,FALSE)</f>
        <v>0</v>
      </c>
      <c r="P118" s="550">
        <f t="shared" ref="P118:P128" si="169">P102*VLOOKUP(C119,PRate01,3,FALSE)</f>
        <v>0</v>
      </c>
      <c r="Q118" s="550">
        <f t="shared" ref="Q118:Q129" si="170">Q102*VLOOKUP(C118,PRate01,3,FALSE)</f>
        <v>0</v>
      </c>
      <c r="R118" s="416"/>
      <c r="S118" s="547" t="s">
        <v>1005</v>
      </c>
      <c r="T118" s="548"/>
      <c r="U118" s="416"/>
      <c r="W118" s="416"/>
      <c r="X118" s="553"/>
      <c r="Y118" s="553"/>
      <c r="Z118" s="553"/>
      <c r="AA118" s="553"/>
      <c r="AB118" s="416"/>
      <c r="AC118" s="416"/>
      <c r="AD118" s="416"/>
    </row>
    <row r="119" spans="3:30" ht="12.75" hidden="1" customHeight="1" outlineLevel="1" x14ac:dyDescent="0.2">
      <c r="C119" s="551">
        <v>11</v>
      </c>
      <c r="D119" s="920" t="s">
        <v>283</v>
      </c>
      <c r="E119" s="882"/>
      <c r="F119" s="319"/>
      <c r="G119" s="550">
        <f>G103*VLOOKUP(C129,PRate01,3,FALSE)</f>
        <v>0</v>
      </c>
      <c r="H119" s="550">
        <f>H103*VLOOKUP(C128,PRate01,3,FALSE)</f>
        <v>0</v>
      </c>
      <c r="I119" s="550">
        <f>I103*VLOOKUP(C127,PRate01,3,FALSE)</f>
        <v>0</v>
      </c>
      <c r="J119" s="550">
        <f>J103*VLOOKUP(C126,PRate01,3,FALSE)</f>
        <v>0</v>
      </c>
      <c r="K119" s="550">
        <f t="shared" si="164"/>
        <v>0</v>
      </c>
      <c r="L119" s="550">
        <f t="shared" si="165"/>
        <v>0</v>
      </c>
      <c r="M119" s="550">
        <f t="shared" si="166"/>
        <v>0</v>
      </c>
      <c r="N119" s="550">
        <f t="shared" si="167"/>
        <v>0</v>
      </c>
      <c r="O119" s="550">
        <f t="shared" si="168"/>
        <v>0</v>
      </c>
      <c r="P119" s="550">
        <f t="shared" si="169"/>
        <v>0</v>
      </c>
      <c r="Q119" s="550">
        <f t="shared" si="170"/>
        <v>0</v>
      </c>
      <c r="R119" s="416"/>
      <c r="S119" s="42" t="s">
        <v>1006</v>
      </c>
      <c r="T119" s="544"/>
      <c r="U119" s="416"/>
      <c r="W119" s="416"/>
      <c r="X119" s="553"/>
      <c r="Y119" s="553"/>
      <c r="Z119" s="42" t="s">
        <v>258</v>
      </c>
      <c r="AA119" s="914"/>
      <c r="AB119" s="914"/>
      <c r="AC119" s="914"/>
      <c r="AD119" s="914"/>
    </row>
    <row r="120" spans="3:30" ht="12.75" hidden="1" customHeight="1" outlineLevel="1" x14ac:dyDescent="0.2">
      <c r="C120" s="551">
        <v>10</v>
      </c>
      <c r="D120" s="920" t="s">
        <v>284</v>
      </c>
      <c r="E120" s="882"/>
      <c r="F120" s="319"/>
      <c r="G120" s="319"/>
      <c r="H120" s="550">
        <f>H104*VLOOKUP(C129,PRate01,3,FALSE)</f>
        <v>0</v>
      </c>
      <c r="I120" s="550">
        <f>I104*VLOOKUP(C128,PRate01,3,FALSE)</f>
        <v>0</v>
      </c>
      <c r="J120" s="550">
        <f>J104*VLOOKUP(C127,PRate01,3,FALSE)</f>
        <v>0</v>
      </c>
      <c r="K120" s="550">
        <f t="shared" si="164"/>
        <v>0</v>
      </c>
      <c r="L120" s="550">
        <f t="shared" si="165"/>
        <v>0</v>
      </c>
      <c r="M120" s="550">
        <f t="shared" si="166"/>
        <v>0</v>
      </c>
      <c r="N120" s="550">
        <f t="shared" si="167"/>
        <v>0</v>
      </c>
      <c r="O120" s="550">
        <f t="shared" si="168"/>
        <v>0</v>
      </c>
      <c r="P120" s="550">
        <f t="shared" si="169"/>
        <v>0</v>
      </c>
      <c r="Q120" s="550">
        <f t="shared" si="170"/>
        <v>0</v>
      </c>
      <c r="R120" s="416"/>
      <c r="S120" s="42" t="s">
        <v>1007</v>
      </c>
      <c r="T120" s="544"/>
      <c r="U120" s="416"/>
      <c r="W120" s="416"/>
      <c r="X120" s="553"/>
      <c r="Y120" s="553"/>
      <c r="Z120" s="553"/>
      <c r="AA120" s="553"/>
      <c r="AB120" s="416"/>
      <c r="AC120" s="416"/>
      <c r="AD120" s="416"/>
    </row>
    <row r="121" spans="3:30" s="416" customFormat="1" ht="12.75" hidden="1" customHeight="1" outlineLevel="1" x14ac:dyDescent="0.2">
      <c r="C121" s="551">
        <v>9</v>
      </c>
      <c r="D121" s="920" t="s">
        <v>285</v>
      </c>
      <c r="E121" s="882"/>
      <c r="F121" s="319"/>
      <c r="G121" s="319"/>
      <c r="H121" s="319"/>
      <c r="I121" s="550">
        <f>I105*VLOOKUP(C129,PRate01,3,FALSE)</f>
        <v>0</v>
      </c>
      <c r="J121" s="550">
        <f>J105*VLOOKUP(C128,PRate01,3,FALSE)</f>
        <v>0</v>
      </c>
      <c r="K121" s="550">
        <f t="shared" si="164"/>
        <v>0</v>
      </c>
      <c r="L121" s="550">
        <f t="shared" si="165"/>
        <v>0</v>
      </c>
      <c r="M121" s="550">
        <f t="shared" si="166"/>
        <v>0</v>
      </c>
      <c r="N121" s="550">
        <f t="shared" si="167"/>
        <v>0</v>
      </c>
      <c r="O121" s="550">
        <f t="shared" si="168"/>
        <v>0</v>
      </c>
      <c r="P121" s="550">
        <f t="shared" si="169"/>
        <v>0</v>
      </c>
      <c r="Q121" s="550">
        <f t="shared" si="170"/>
        <v>0</v>
      </c>
      <c r="S121" s="42" t="s">
        <v>1008</v>
      </c>
      <c r="T121" s="544"/>
      <c r="X121" s="553"/>
      <c r="Y121" s="553"/>
      <c r="Z121" s="553"/>
      <c r="AA121" s="553"/>
    </row>
    <row r="122" spans="3:30" s="416" customFormat="1" ht="12.75" hidden="1" customHeight="1" outlineLevel="1" x14ac:dyDescent="0.2">
      <c r="C122" s="551">
        <v>8</v>
      </c>
      <c r="D122" s="920" t="s">
        <v>286</v>
      </c>
      <c r="E122" s="882"/>
      <c r="F122" s="319"/>
      <c r="G122" s="319"/>
      <c r="H122" s="319"/>
      <c r="I122" s="319"/>
      <c r="J122" s="550">
        <f>J106*VLOOKUP(C129,PRate01,3,FALSE)</f>
        <v>0</v>
      </c>
      <c r="K122" s="550">
        <f t="shared" si="164"/>
        <v>0</v>
      </c>
      <c r="L122" s="550">
        <f t="shared" si="165"/>
        <v>0</v>
      </c>
      <c r="M122" s="550">
        <f t="shared" si="166"/>
        <v>0</v>
      </c>
      <c r="N122" s="550">
        <f t="shared" si="167"/>
        <v>0</v>
      </c>
      <c r="O122" s="550">
        <f t="shared" si="168"/>
        <v>0</v>
      </c>
      <c r="P122" s="550">
        <f t="shared" si="169"/>
        <v>0</v>
      </c>
      <c r="Q122" s="550">
        <f t="shared" si="170"/>
        <v>0</v>
      </c>
      <c r="S122" s="42" t="s">
        <v>1009</v>
      </c>
      <c r="T122" s="544"/>
      <c r="X122" s="553"/>
      <c r="Y122" s="553"/>
      <c r="Z122" s="553"/>
      <c r="AA122" s="553"/>
    </row>
    <row r="123" spans="3:30" s="416" customFormat="1" ht="12.75" hidden="1" customHeight="1" outlineLevel="1" x14ac:dyDescent="0.2">
      <c r="C123" s="551">
        <v>7</v>
      </c>
      <c r="D123" s="920" t="s">
        <v>287</v>
      </c>
      <c r="E123" s="882"/>
      <c r="F123" s="319"/>
      <c r="G123" s="319"/>
      <c r="H123" s="319"/>
      <c r="I123" s="319"/>
      <c r="J123" s="319"/>
      <c r="K123" s="550">
        <f t="shared" si="164"/>
        <v>0</v>
      </c>
      <c r="L123" s="550">
        <f t="shared" si="165"/>
        <v>0</v>
      </c>
      <c r="M123" s="550">
        <f t="shared" si="166"/>
        <v>0</v>
      </c>
      <c r="N123" s="550">
        <f t="shared" si="167"/>
        <v>0</v>
      </c>
      <c r="O123" s="550">
        <f t="shared" si="168"/>
        <v>0</v>
      </c>
      <c r="P123" s="550">
        <f t="shared" si="169"/>
        <v>0</v>
      </c>
      <c r="Q123" s="550">
        <f t="shared" si="170"/>
        <v>0</v>
      </c>
      <c r="S123" s="42" t="s">
        <v>1010</v>
      </c>
      <c r="T123" s="544"/>
      <c r="X123" s="553"/>
      <c r="Y123" s="553"/>
      <c r="Z123" s="553"/>
      <c r="AA123" s="553"/>
    </row>
    <row r="124" spans="3:30" s="416" customFormat="1" ht="12.75" hidden="1" customHeight="1" outlineLevel="1" x14ac:dyDescent="0.2">
      <c r="C124" s="551">
        <v>6</v>
      </c>
      <c r="D124" s="920" t="s">
        <v>474</v>
      </c>
      <c r="E124" s="882"/>
      <c r="F124" s="319"/>
      <c r="G124" s="319"/>
      <c r="H124" s="319"/>
      <c r="I124" s="319"/>
      <c r="J124" s="319"/>
      <c r="K124" s="319"/>
      <c r="L124" s="550">
        <f t="shared" si="165"/>
        <v>0</v>
      </c>
      <c r="M124" s="550">
        <f t="shared" si="166"/>
        <v>0</v>
      </c>
      <c r="N124" s="550">
        <f t="shared" si="167"/>
        <v>0</v>
      </c>
      <c r="O124" s="550">
        <f t="shared" si="168"/>
        <v>0</v>
      </c>
      <c r="P124" s="550">
        <f t="shared" si="169"/>
        <v>0</v>
      </c>
      <c r="Q124" s="550">
        <f t="shared" si="170"/>
        <v>0</v>
      </c>
      <c r="S124" s="42" t="s">
        <v>1011</v>
      </c>
      <c r="T124" s="544"/>
      <c r="X124" s="553"/>
      <c r="Y124" s="553"/>
      <c r="Z124" s="553"/>
      <c r="AA124" s="553"/>
    </row>
    <row r="125" spans="3:30" s="416" customFormat="1" ht="12.75" hidden="1" customHeight="1" outlineLevel="1" x14ac:dyDescent="0.2">
      <c r="C125" s="551">
        <v>5</v>
      </c>
      <c r="D125" s="920" t="s">
        <v>475</v>
      </c>
      <c r="E125" s="882"/>
      <c r="F125" s="319"/>
      <c r="G125" s="319"/>
      <c r="H125" s="319"/>
      <c r="I125" s="319"/>
      <c r="J125" s="319"/>
      <c r="K125" s="319"/>
      <c r="L125" s="319"/>
      <c r="M125" s="550">
        <f t="shared" si="166"/>
        <v>0</v>
      </c>
      <c r="N125" s="550">
        <f t="shared" si="167"/>
        <v>0</v>
      </c>
      <c r="O125" s="550">
        <f t="shared" si="168"/>
        <v>0</v>
      </c>
      <c r="P125" s="550">
        <f t="shared" si="169"/>
        <v>0</v>
      </c>
      <c r="Q125" s="550">
        <f t="shared" si="170"/>
        <v>0</v>
      </c>
      <c r="S125" s="42" t="s">
        <v>1012</v>
      </c>
      <c r="T125" s="544"/>
      <c r="X125" s="553"/>
      <c r="Y125" s="553"/>
      <c r="Z125" s="553"/>
      <c r="AA125" s="553"/>
    </row>
    <row r="126" spans="3:30" s="416" customFormat="1" ht="12.75" hidden="1" customHeight="1" outlineLevel="1" x14ac:dyDescent="0.2">
      <c r="C126" s="551">
        <v>4</v>
      </c>
      <c r="D126" s="920" t="s">
        <v>476</v>
      </c>
      <c r="E126" s="882"/>
      <c r="F126" s="319"/>
      <c r="G126" s="319"/>
      <c r="H126" s="319"/>
      <c r="I126" s="319"/>
      <c r="J126" s="319"/>
      <c r="K126" s="319"/>
      <c r="L126" s="319"/>
      <c r="M126" s="319"/>
      <c r="N126" s="550">
        <f t="shared" si="167"/>
        <v>0</v>
      </c>
      <c r="O126" s="550">
        <f t="shared" si="168"/>
        <v>0</v>
      </c>
      <c r="P126" s="550">
        <f t="shared" si="169"/>
        <v>0</v>
      </c>
      <c r="Q126" s="550">
        <f t="shared" si="170"/>
        <v>0</v>
      </c>
      <c r="S126" s="42" t="s">
        <v>1013</v>
      </c>
      <c r="T126" s="544"/>
      <c r="X126" s="553"/>
      <c r="Y126" s="553"/>
      <c r="Z126" s="553"/>
      <c r="AA126" s="553"/>
    </row>
    <row r="127" spans="3:30" s="416" customFormat="1" ht="12.75" hidden="1" customHeight="1" outlineLevel="1" x14ac:dyDescent="0.2">
      <c r="C127" s="551">
        <v>3</v>
      </c>
      <c r="D127" s="920" t="s">
        <v>477</v>
      </c>
      <c r="E127" s="882"/>
      <c r="F127" s="319"/>
      <c r="G127" s="319"/>
      <c r="H127" s="319"/>
      <c r="I127" s="319"/>
      <c r="J127" s="319"/>
      <c r="K127" s="319"/>
      <c r="L127" s="319"/>
      <c r="M127" s="319"/>
      <c r="N127" s="319"/>
      <c r="O127" s="550">
        <f t="shared" si="168"/>
        <v>0</v>
      </c>
      <c r="P127" s="550">
        <f t="shared" si="169"/>
        <v>0</v>
      </c>
      <c r="Q127" s="550">
        <f t="shared" si="170"/>
        <v>0</v>
      </c>
      <c r="S127" s="42" t="s">
        <v>1014</v>
      </c>
      <c r="T127" s="544"/>
      <c r="X127" s="553"/>
      <c r="Y127" s="553"/>
      <c r="Z127" s="553"/>
      <c r="AA127" s="553"/>
    </row>
    <row r="128" spans="3:30" s="416" customFormat="1" ht="12.75" hidden="1" customHeight="1" outlineLevel="1" x14ac:dyDescent="0.2">
      <c r="C128" s="551">
        <v>2</v>
      </c>
      <c r="D128" s="920" t="s">
        <v>478</v>
      </c>
      <c r="E128" s="882"/>
      <c r="F128" s="319"/>
      <c r="G128" s="319"/>
      <c r="H128" s="319"/>
      <c r="I128" s="319"/>
      <c r="J128" s="319"/>
      <c r="K128" s="319"/>
      <c r="L128" s="319"/>
      <c r="M128" s="319"/>
      <c r="N128" s="319"/>
      <c r="O128" s="546"/>
      <c r="P128" s="550">
        <f t="shared" si="169"/>
        <v>0</v>
      </c>
      <c r="Q128" s="550">
        <f t="shared" si="170"/>
        <v>0</v>
      </c>
      <c r="S128" s="42" t="s">
        <v>1015</v>
      </c>
      <c r="T128" s="544"/>
      <c r="X128" s="553"/>
      <c r="Y128" s="553"/>
      <c r="Z128" s="553"/>
      <c r="AA128" s="553"/>
    </row>
    <row r="129" spans="1:30" s="416" customFormat="1" ht="12.75" hidden="1" customHeight="1" outlineLevel="1" x14ac:dyDescent="0.2">
      <c r="C129" s="551">
        <v>1</v>
      </c>
      <c r="D129" s="920" t="s">
        <v>479</v>
      </c>
      <c r="E129" s="882"/>
      <c r="F129" s="319"/>
      <c r="G129" s="319"/>
      <c r="H129" s="319"/>
      <c r="I129" s="319"/>
      <c r="J129" s="319"/>
      <c r="K129" s="319"/>
      <c r="L129" s="319"/>
      <c r="M129" s="319"/>
      <c r="N129" s="319"/>
      <c r="O129" s="546"/>
      <c r="P129" s="546"/>
      <c r="Q129" s="550">
        <f t="shared" si="170"/>
        <v>0</v>
      </c>
      <c r="S129" s="42" t="s">
        <v>1035</v>
      </c>
      <c r="T129" s="544"/>
    </row>
    <row r="130" spans="1:30" s="416" customFormat="1" ht="12.75" hidden="1" customHeight="1" outlineLevel="1" x14ac:dyDescent="0.2">
      <c r="K130" s="736" t="s">
        <v>73</v>
      </c>
      <c r="L130" s="321">
        <f>IFERROR((SUM(L118:L123)+IF(MATCH($AC$54,Switch,0)=1,L124,0)),0)</f>
        <v>0</v>
      </c>
      <c r="M130" s="321">
        <f>IFERROR((SUM(M118:M124)+IF(MATCH($AC$54,Switch,0)=1,M125,0)),0)</f>
        <v>0</v>
      </c>
      <c r="N130" s="321">
        <f>IFERROR((SUM(N118:N125)+IF(MATCH($AC$54,Switch,0)=1,N126,0)),0)</f>
        <v>0</v>
      </c>
      <c r="O130" s="321">
        <f>IFERROR((SUM(O118:O126)+IF(MATCH($AC$54,Switch,0)=1,O127,0)),0)</f>
        <v>0</v>
      </c>
      <c r="P130" s="321">
        <f>IFERROR((SUM(P118:P127)+IF(MATCH($AC$54,Switch,0)=1,P128,0)),0)</f>
        <v>0</v>
      </c>
      <c r="Q130" s="321">
        <f>IFERROR((SUM(Q118:Q128)+IF(MATCH($AC$54,Switch,0)=1,Q129,0)),0)</f>
        <v>0</v>
      </c>
      <c r="Z130" s="915" t="s">
        <v>1302</v>
      </c>
      <c r="AA130" s="916"/>
      <c r="AB130" s="917"/>
      <c r="AC130" s="743" t="s">
        <v>9</v>
      </c>
    </row>
    <row r="131" spans="1:30" s="416" customFormat="1" ht="12.75" hidden="1" customHeight="1" outlineLevel="1" x14ac:dyDescent="0.2"/>
    <row r="132" spans="1:30" s="416" customFormat="1" ht="12.75" customHeight="1" collapsed="1" x14ac:dyDescent="0.2"/>
    <row r="133" spans="1:30" ht="15.75" x14ac:dyDescent="0.2">
      <c r="A133" s="194"/>
      <c r="B133" s="242">
        <f>IF(G135&lt;&gt;"",1,0)</f>
        <v>0</v>
      </c>
      <c r="C133" s="242">
        <v>4</v>
      </c>
      <c r="D133" s="79" t="str">
        <f>IF(B133=0,MsgNotUsed, CONCATENATE("Persistent ", C133, ": ", G135, " (", F139, "-", Q139, ")"))</f>
        <v>** NOT USED **</v>
      </c>
      <c r="E133" s="127"/>
      <c r="F133" s="127"/>
      <c r="G133" s="127"/>
      <c r="H133" s="127"/>
      <c r="I133" s="127"/>
      <c r="J133" s="175"/>
      <c r="K133" s="127"/>
      <c r="L133" s="127"/>
      <c r="M133" s="127"/>
      <c r="N133" s="260"/>
      <c r="O133" s="260"/>
      <c r="P133" s="260"/>
      <c r="Q133" s="260"/>
      <c r="R133" s="260"/>
      <c r="S133" s="260"/>
      <c r="T133" s="260"/>
      <c r="U133" s="260"/>
      <c r="V133" s="260"/>
      <c r="W133" s="260"/>
      <c r="X133" s="260"/>
      <c r="Y133" s="260"/>
      <c r="Z133" s="260"/>
      <c r="AA133" s="260"/>
      <c r="AB133" s="260"/>
      <c r="AC133" s="260"/>
      <c r="AD133" s="260"/>
    </row>
    <row r="134" spans="1:30" ht="12.75" hidden="1" customHeight="1" outlineLevel="1" x14ac:dyDescent="0.2">
      <c r="C134" s="416"/>
      <c r="D134" s="416"/>
      <c r="F134" s="416"/>
      <c r="G134" s="416"/>
      <c r="H134" s="416"/>
      <c r="I134" s="416"/>
      <c r="J134" s="416"/>
      <c r="K134" s="416"/>
      <c r="L134" s="416"/>
      <c r="M134" s="416"/>
      <c r="N134" s="416"/>
      <c r="O134" s="416"/>
      <c r="P134" s="416"/>
      <c r="Q134" s="416"/>
      <c r="R134" s="416"/>
      <c r="S134" s="416"/>
      <c r="T134" s="416"/>
      <c r="U134" s="416"/>
      <c r="W134" s="416"/>
      <c r="AB134" s="416"/>
      <c r="AC134" s="416"/>
      <c r="AD134" s="416"/>
    </row>
    <row r="135" spans="1:30" ht="12.75" hidden="1" customHeight="1" outlineLevel="1" x14ac:dyDescent="0.2">
      <c r="C135" s="416"/>
      <c r="D135" s="416"/>
      <c r="F135" s="42" t="s">
        <v>480</v>
      </c>
      <c r="G135" s="913"/>
      <c r="H135" s="881"/>
      <c r="I135" s="881"/>
      <c r="J135" s="881"/>
      <c r="K135" s="881"/>
      <c r="L135" s="882"/>
      <c r="M135" s="416"/>
      <c r="N135" s="416"/>
      <c r="O135" s="416"/>
      <c r="P135" s="416"/>
      <c r="Q135" s="416"/>
      <c r="R135" s="416"/>
      <c r="S135" s="416"/>
      <c r="T135" s="416"/>
      <c r="U135" s="416"/>
      <c r="W135" s="416"/>
      <c r="AB135" s="416"/>
      <c r="AC135" s="416"/>
      <c r="AD135" s="416"/>
    </row>
    <row r="136" spans="1:30" ht="12.75" hidden="1" customHeight="1" outlineLevel="1" x14ac:dyDescent="0.2">
      <c r="C136" s="416"/>
      <c r="D136" s="416"/>
      <c r="F136" s="416"/>
      <c r="G136" s="416"/>
      <c r="H136" s="416"/>
      <c r="I136" s="416"/>
      <c r="J136" s="416"/>
      <c r="K136" s="416"/>
      <c r="L136" s="416"/>
      <c r="M136" s="416"/>
      <c r="N136" s="416"/>
      <c r="O136" s="416"/>
      <c r="P136" s="416"/>
      <c r="Q136" s="416"/>
      <c r="R136" s="416"/>
      <c r="S136" s="416"/>
      <c r="T136" s="416"/>
      <c r="U136" s="416"/>
      <c r="W136" s="416"/>
      <c r="AB136" s="416"/>
      <c r="AC136" s="416"/>
      <c r="AD136" s="416"/>
    </row>
    <row r="137" spans="1:30" ht="12.75" hidden="1" customHeight="1" outlineLevel="1" x14ac:dyDescent="0.2">
      <c r="C137" s="416"/>
      <c r="D137" s="416"/>
      <c r="F137" s="42" t="s">
        <v>258</v>
      </c>
      <c r="G137" s="913"/>
      <c r="H137" s="881"/>
      <c r="I137" s="881"/>
      <c r="J137" s="881"/>
      <c r="K137" s="881"/>
      <c r="L137" s="882"/>
      <c r="M137" s="416"/>
      <c r="N137" s="416"/>
      <c r="O137" s="416"/>
      <c r="P137" s="416"/>
      <c r="Q137" s="416"/>
      <c r="R137" s="416"/>
      <c r="S137" s="416"/>
      <c r="T137" s="416"/>
      <c r="U137" s="416"/>
      <c r="W137" s="416"/>
      <c r="Z137" s="919" t="str">
        <f>IF(AC139&lt;&gt;"",MsgNote &amp; VLOOKUP("PRate",WarningMessages,2),"")</f>
        <v/>
      </c>
      <c r="AA137" s="919"/>
      <c r="AB137" s="919"/>
      <c r="AC137" s="919"/>
      <c r="AD137" s="919"/>
    </row>
    <row r="138" spans="1:30" ht="12.75" hidden="1" customHeight="1" outlineLevel="1" x14ac:dyDescent="0.2">
      <c r="C138" s="416"/>
      <c r="D138" s="416"/>
      <c r="F138" s="416"/>
      <c r="G138" s="557">
        <v>1</v>
      </c>
      <c r="H138" s="557">
        <v>2</v>
      </c>
      <c r="I138" s="557">
        <v>3</v>
      </c>
      <c r="J138" s="557">
        <v>4</v>
      </c>
      <c r="K138" s="557">
        <v>5</v>
      </c>
      <c r="L138" s="557">
        <v>6</v>
      </c>
      <c r="M138" s="557">
        <v>7</v>
      </c>
      <c r="N138" s="557">
        <v>8</v>
      </c>
      <c r="O138" s="557">
        <v>9</v>
      </c>
      <c r="P138" s="557">
        <v>10</v>
      </c>
      <c r="Q138" s="557">
        <v>11</v>
      </c>
      <c r="R138" s="416"/>
      <c r="S138" s="416"/>
      <c r="T138" s="416"/>
      <c r="U138" s="416"/>
      <c r="W138" s="416"/>
      <c r="AB138" s="416"/>
      <c r="AC138" s="416"/>
      <c r="AD138" s="416"/>
    </row>
    <row r="139" spans="1:30" ht="12.75" hidden="1" customHeight="1" outlineLevel="1" x14ac:dyDescent="0.2">
      <c r="C139" s="416"/>
      <c r="D139" s="318"/>
      <c r="E139" s="733" t="s">
        <v>1065</v>
      </c>
      <c r="F139" s="733">
        <f t="shared" ref="F139" si="171">G139-1</f>
        <v>2015</v>
      </c>
      <c r="G139" s="733">
        <f t="shared" ref="G139" si="172">H139-1</f>
        <v>2016</v>
      </c>
      <c r="H139" s="733">
        <f t="shared" ref="H139" si="173">I139-1</f>
        <v>2017</v>
      </c>
      <c r="I139" s="733">
        <f t="shared" ref="I139" si="174">J139-1</f>
        <v>2018</v>
      </c>
      <c r="J139" s="733">
        <f t="shared" ref="J139" si="175">K139-1</f>
        <v>2019</v>
      </c>
      <c r="K139" s="733">
        <f t="shared" ref="K139" si="176">L139-1</f>
        <v>2020</v>
      </c>
      <c r="L139" s="733">
        <f>FirstYear</f>
        <v>2021</v>
      </c>
      <c r="M139" s="733">
        <f>L139+1</f>
        <v>2022</v>
      </c>
      <c r="N139" s="733">
        <f>M139+1</f>
        <v>2023</v>
      </c>
      <c r="O139" s="733">
        <f>N139+1</f>
        <v>2024</v>
      </c>
      <c r="P139" s="733">
        <f>O139+1</f>
        <v>2025</v>
      </c>
      <c r="Q139" s="733">
        <f>P139+1</f>
        <v>2026</v>
      </c>
      <c r="R139" s="416"/>
      <c r="S139" s="921" t="s">
        <v>1300</v>
      </c>
      <c r="T139" s="921"/>
      <c r="U139" s="416"/>
      <c r="W139" s="416"/>
      <c r="Z139" s="918" t="s">
        <v>1303</v>
      </c>
      <c r="AA139" s="918"/>
      <c r="AB139" s="918"/>
      <c r="AC139" s="544"/>
      <c r="AD139" s="416"/>
    </row>
    <row r="140" spans="1:30" ht="12.75" hidden="1" customHeight="1" outlineLevel="1" x14ac:dyDescent="0.2">
      <c r="C140" s="416"/>
      <c r="D140" s="42" t="s">
        <v>282</v>
      </c>
      <c r="E140" s="320"/>
      <c r="F140" s="322">
        <f>E140</f>
        <v>0</v>
      </c>
      <c r="G140" s="322">
        <f t="shared" ref="G140" si="177">F140*VLOOKUP(G138,PRate01,2,FALSE)</f>
        <v>0</v>
      </c>
      <c r="H140" s="322">
        <f t="shared" ref="H140" si="178">G140*VLOOKUP(H138,PRate01,2,FALSE)</f>
        <v>0</v>
      </c>
      <c r="I140" s="322">
        <f t="shared" ref="I140" si="179">H140*VLOOKUP(I138,PRate01,2,FALSE)</f>
        <v>0</v>
      </c>
      <c r="J140" s="322">
        <f t="shared" ref="J140" si="180">I140*VLOOKUP(J138,PRate01,2,FALSE)</f>
        <v>0</v>
      </c>
      <c r="K140" s="322">
        <f t="shared" ref="K140" si="181">J140*VLOOKUP(K138,PRate01,2,FALSE)</f>
        <v>0</v>
      </c>
      <c r="L140" s="322">
        <f t="shared" ref="L140" si="182">K140*VLOOKUP(L138,PRate01,2,FALSE)</f>
        <v>0</v>
      </c>
      <c r="M140" s="322">
        <f t="shared" ref="M140" si="183">L140*VLOOKUP(M138,PRate01,2,FALSE)</f>
        <v>0</v>
      </c>
      <c r="N140" s="322">
        <f t="shared" ref="N140" si="184">M140*VLOOKUP(N138,PRate01,2,FALSE)</f>
        <v>0</v>
      </c>
      <c r="O140" s="322">
        <f t="shared" ref="O140" si="185">N140*VLOOKUP(O138,PRate01,2,FALSE)</f>
        <v>0</v>
      </c>
      <c r="P140" s="322">
        <f t="shared" ref="P140" si="186">O140*VLOOKUP(P138,PRate01,2,FALSE)</f>
        <v>0</v>
      </c>
      <c r="Q140" s="322">
        <f t="shared" ref="Q140" si="187">P140*VLOOKUP(Q138,PRate01,2,FALSE)</f>
        <v>0</v>
      </c>
      <c r="R140" s="416"/>
      <c r="S140" s="547" t="s">
        <v>1005</v>
      </c>
      <c r="T140" s="548"/>
      <c r="U140" s="416"/>
      <c r="V140" s="554">
        <v>1</v>
      </c>
      <c r="W140" s="549">
        <f>IF($AC$139&lt;&gt;"",$AC$139,T140)</f>
        <v>0</v>
      </c>
      <c r="X140" s="549">
        <f>IF($AC$155&lt;&gt;"",$AC$155,T156)</f>
        <v>0</v>
      </c>
      <c r="Y140" s="553"/>
      <c r="Z140" s="553"/>
      <c r="AA140" s="553"/>
      <c r="AB140" s="416"/>
      <c r="AC140" s="416"/>
      <c r="AD140" s="416"/>
    </row>
    <row r="141" spans="1:30" s="416" customFormat="1" ht="12.75" hidden="1" customHeight="1" outlineLevel="1" x14ac:dyDescent="0.2">
      <c r="D141" s="42" t="s">
        <v>283</v>
      </c>
      <c r="E141" s="320"/>
      <c r="F141" s="319"/>
      <c r="G141" s="322">
        <f>E141</f>
        <v>0</v>
      </c>
      <c r="H141" s="322">
        <f t="shared" ref="H141" si="188">G141*VLOOKUP(G138,PRate01,2,FALSE)</f>
        <v>0</v>
      </c>
      <c r="I141" s="322">
        <f t="shared" ref="I141" si="189">H141*VLOOKUP(H138,PRate01,2,FALSE)</f>
        <v>0</v>
      </c>
      <c r="J141" s="322">
        <f t="shared" ref="J141" si="190">I141*VLOOKUP(I138,PRate01,2,FALSE)</f>
        <v>0</v>
      </c>
      <c r="K141" s="322">
        <f t="shared" ref="K141" si="191">J141*VLOOKUP(J138,PRate01,2,FALSE)</f>
        <v>0</v>
      </c>
      <c r="L141" s="322">
        <f t="shared" ref="L141" si="192">K141*VLOOKUP(K138,PRate01,2,FALSE)</f>
        <v>0</v>
      </c>
      <c r="M141" s="322">
        <f t="shared" ref="M141" si="193">L141*VLOOKUP(L138,PRate01,2,FALSE)</f>
        <v>0</v>
      </c>
      <c r="N141" s="322">
        <f t="shared" ref="N141" si="194">M141*VLOOKUP(M138,PRate01,2,FALSE)</f>
        <v>0</v>
      </c>
      <c r="O141" s="322">
        <f t="shared" ref="O141" si="195">N141*VLOOKUP(N138,PRate01,2,FALSE)</f>
        <v>0</v>
      </c>
      <c r="P141" s="322">
        <f t="shared" ref="P141" si="196">O141*VLOOKUP(O138,PRate01,2,FALSE)</f>
        <v>0</v>
      </c>
      <c r="Q141" s="322">
        <f t="shared" ref="Q141" si="197">P141*VLOOKUP(P138,PRate01,2,FALSE)</f>
        <v>0</v>
      </c>
      <c r="S141" s="42" t="s">
        <v>1006</v>
      </c>
      <c r="T141" s="544"/>
      <c r="V141" s="554">
        <v>2</v>
      </c>
      <c r="W141" s="549">
        <f t="shared" ref="W141:W150" si="198">IF($AC$139&lt;&gt;"",$AC$139,T141)</f>
        <v>0</v>
      </c>
      <c r="X141" s="549">
        <f t="shared" ref="X141:X151" si="199">IF($AC$155&lt;&gt;"",$AC$155,T157)</f>
        <v>0</v>
      </c>
      <c r="Z141" s="42" t="s">
        <v>258</v>
      </c>
      <c r="AA141" s="914"/>
      <c r="AB141" s="914"/>
      <c r="AC141" s="914"/>
      <c r="AD141" s="914"/>
    </row>
    <row r="142" spans="1:30" s="416" customFormat="1" ht="12.75" hidden="1" customHeight="1" outlineLevel="1" x14ac:dyDescent="0.2">
      <c r="D142" s="42" t="s">
        <v>284</v>
      </c>
      <c r="E142" s="320"/>
      <c r="F142" s="319"/>
      <c r="G142" s="319"/>
      <c r="H142" s="322">
        <f>E142</f>
        <v>0</v>
      </c>
      <c r="I142" s="322">
        <f t="shared" ref="I142" si="200">H142*VLOOKUP(G138,PRate01,2,FALSE)</f>
        <v>0</v>
      </c>
      <c r="J142" s="322">
        <f t="shared" ref="J142" si="201">I142*VLOOKUP(H138,PRate01,2,FALSE)</f>
        <v>0</v>
      </c>
      <c r="K142" s="322">
        <f t="shared" ref="K142" si="202">J142*VLOOKUP(I138,PRate01,2,FALSE)</f>
        <v>0</v>
      </c>
      <c r="L142" s="322">
        <f t="shared" ref="L142" si="203">K142*VLOOKUP(J138,PRate01,2,FALSE)</f>
        <v>0</v>
      </c>
      <c r="M142" s="322">
        <f t="shared" ref="M142" si="204">L142*VLOOKUP(K138,PRate01,2,FALSE)</f>
        <v>0</v>
      </c>
      <c r="N142" s="322">
        <f t="shared" ref="N142" si="205">M142*VLOOKUP(L138,PRate01,2,FALSE)</f>
        <v>0</v>
      </c>
      <c r="O142" s="322">
        <f t="shared" ref="O142" si="206">N142*VLOOKUP(M138,PRate01,2,FALSE)</f>
        <v>0</v>
      </c>
      <c r="P142" s="322">
        <f t="shared" ref="P142" si="207">O142*VLOOKUP(N138,PRate01,2,FALSE)</f>
        <v>0</v>
      </c>
      <c r="Q142" s="322">
        <f t="shared" ref="Q142" si="208">P142*VLOOKUP(O138,PRate01,2,FALSE)</f>
        <v>0</v>
      </c>
      <c r="S142" s="42" t="s">
        <v>1007</v>
      </c>
      <c r="T142" s="544"/>
      <c r="V142" s="554">
        <v>3</v>
      </c>
      <c r="W142" s="549">
        <f t="shared" si="198"/>
        <v>0</v>
      </c>
      <c r="X142" s="549">
        <f t="shared" si="199"/>
        <v>0</v>
      </c>
      <c r="Y142" s="553"/>
      <c r="Z142" s="553"/>
      <c r="AA142" s="553"/>
    </row>
    <row r="143" spans="1:30" s="416" customFormat="1" ht="12.75" hidden="1" customHeight="1" outlineLevel="1" x14ac:dyDescent="0.2">
      <c r="D143" s="42" t="s">
        <v>285</v>
      </c>
      <c r="E143" s="320"/>
      <c r="F143" s="319"/>
      <c r="G143" s="319"/>
      <c r="H143" s="319"/>
      <c r="I143" s="322">
        <f>E143</f>
        <v>0</v>
      </c>
      <c r="J143" s="322">
        <f t="shared" ref="J143" si="209">I143*VLOOKUP(G138,PRate01,2,FALSE)</f>
        <v>0</v>
      </c>
      <c r="K143" s="322">
        <f t="shared" ref="K143" si="210">J143*VLOOKUP(H138,PRate01,2,FALSE)</f>
        <v>0</v>
      </c>
      <c r="L143" s="322">
        <f t="shared" ref="L143" si="211">K143*VLOOKUP(I138,PRate01,2,FALSE)</f>
        <v>0</v>
      </c>
      <c r="M143" s="322">
        <f t="shared" ref="M143" si="212">L143*VLOOKUP(J138,PRate01,2,FALSE)</f>
        <v>0</v>
      </c>
      <c r="N143" s="322">
        <f t="shared" ref="N143" si="213">M143*VLOOKUP(K138,PRate01,2,FALSE)</f>
        <v>0</v>
      </c>
      <c r="O143" s="322">
        <f t="shared" ref="O143" si="214">N143*VLOOKUP(L138,PRate01,2,FALSE)</f>
        <v>0</v>
      </c>
      <c r="P143" s="322">
        <f t="shared" ref="P143" si="215">O143*VLOOKUP(M138,PRate01,2,FALSE)</f>
        <v>0</v>
      </c>
      <c r="Q143" s="322">
        <f t="shared" ref="Q143" si="216">P143*VLOOKUP(N138,PRate01,2,FALSE)</f>
        <v>0</v>
      </c>
      <c r="S143" s="42" t="s">
        <v>1008</v>
      </c>
      <c r="T143" s="544"/>
      <c r="V143" s="555">
        <v>4</v>
      </c>
      <c r="W143" s="549">
        <f t="shared" si="198"/>
        <v>0</v>
      </c>
      <c r="X143" s="549">
        <f t="shared" si="199"/>
        <v>0</v>
      </c>
      <c r="Y143" s="553"/>
      <c r="Z143" s="553"/>
      <c r="AA143" s="553"/>
    </row>
    <row r="144" spans="1:30" ht="12.75" hidden="1" customHeight="1" outlineLevel="1" x14ac:dyDescent="0.2">
      <c r="C144" s="416"/>
      <c r="D144" s="42" t="s">
        <v>286</v>
      </c>
      <c r="E144" s="320"/>
      <c r="F144" s="319"/>
      <c r="G144" s="319"/>
      <c r="H144" s="319"/>
      <c r="I144" s="319"/>
      <c r="J144" s="322">
        <f>E144</f>
        <v>0</v>
      </c>
      <c r="K144" s="322">
        <f t="shared" ref="K144" si="217">J144*VLOOKUP(G138,PRate01,2,FALSE)</f>
        <v>0</v>
      </c>
      <c r="L144" s="322">
        <f t="shared" ref="L144" si="218">K144*VLOOKUP(H138,PRate01,2,FALSE)</f>
        <v>0</v>
      </c>
      <c r="M144" s="322">
        <f t="shared" ref="M144" si="219">L144*VLOOKUP(I138,PRate01,2,FALSE)</f>
        <v>0</v>
      </c>
      <c r="N144" s="322">
        <f t="shared" ref="N144" si="220">M144*VLOOKUP(J138,PRate01,2,FALSE)</f>
        <v>0</v>
      </c>
      <c r="O144" s="322">
        <f t="shared" ref="O144" si="221">N144*VLOOKUP(K138,PRate01,2,FALSE)</f>
        <v>0</v>
      </c>
      <c r="P144" s="322">
        <f t="shared" ref="P144" si="222">O144*VLOOKUP(L138,PRate01,2,FALSE)</f>
        <v>0</v>
      </c>
      <c r="Q144" s="322">
        <f t="shared" ref="Q144" si="223">P144*VLOOKUP(M138,PRate01,2,FALSE)</f>
        <v>0</v>
      </c>
      <c r="R144" s="416"/>
      <c r="S144" s="42" t="s">
        <v>1009</v>
      </c>
      <c r="T144" s="544"/>
      <c r="U144" s="416"/>
      <c r="V144" s="555">
        <v>5</v>
      </c>
      <c r="W144" s="549">
        <f t="shared" si="198"/>
        <v>0</v>
      </c>
      <c r="X144" s="549">
        <f t="shared" si="199"/>
        <v>0</v>
      </c>
      <c r="Y144" s="553"/>
      <c r="Z144" s="553"/>
      <c r="AA144" s="553"/>
      <c r="AB144" s="416"/>
      <c r="AC144" s="416"/>
      <c r="AD144" s="416"/>
    </row>
    <row r="145" spans="3:30" ht="12.75" hidden="1" customHeight="1" outlineLevel="1" x14ac:dyDescent="0.2">
      <c r="C145" s="416"/>
      <c r="D145" s="42" t="s">
        <v>287</v>
      </c>
      <c r="E145" s="320"/>
      <c r="F145" s="319"/>
      <c r="G145" s="319"/>
      <c r="H145" s="319"/>
      <c r="I145" s="319"/>
      <c r="J145" s="319"/>
      <c r="K145" s="322">
        <f>E145</f>
        <v>0</v>
      </c>
      <c r="L145" s="322">
        <f t="shared" ref="L145" si="224">K145*VLOOKUP(G138,PRate01,2,FALSE)</f>
        <v>0</v>
      </c>
      <c r="M145" s="322">
        <f t="shared" ref="M145" si="225">L145*VLOOKUP(H138,PRate01,2,FALSE)</f>
        <v>0</v>
      </c>
      <c r="N145" s="322">
        <f t="shared" ref="N145" si="226">M145*VLOOKUP(I138,PRate01,2,FALSE)</f>
        <v>0</v>
      </c>
      <c r="O145" s="322">
        <f t="shared" ref="O145" si="227">N145*VLOOKUP(J138,PRate01,2,FALSE)</f>
        <v>0</v>
      </c>
      <c r="P145" s="322">
        <f t="shared" ref="P145" si="228">O145*VLOOKUP(K138,PRate01,2,FALSE)</f>
        <v>0</v>
      </c>
      <c r="Q145" s="322">
        <f t="shared" ref="Q145" si="229">P145*VLOOKUP(L138,PRate01,2,FALSE)</f>
        <v>0</v>
      </c>
      <c r="R145" s="416"/>
      <c r="S145" s="42" t="s">
        <v>1010</v>
      </c>
      <c r="T145" s="544"/>
      <c r="U145" s="416"/>
      <c r="V145" s="555">
        <v>6</v>
      </c>
      <c r="W145" s="549">
        <f t="shared" si="198"/>
        <v>0</v>
      </c>
      <c r="X145" s="549">
        <f t="shared" si="199"/>
        <v>0</v>
      </c>
      <c r="Y145" s="553"/>
      <c r="Z145" s="553"/>
      <c r="AA145" s="553"/>
      <c r="AB145" s="416"/>
      <c r="AC145" s="416"/>
      <c r="AD145" s="416"/>
    </row>
    <row r="146" spans="3:30" ht="12.75" hidden="1" customHeight="1" outlineLevel="1" x14ac:dyDescent="0.2">
      <c r="C146" s="416"/>
      <c r="D146" s="42" t="s">
        <v>474</v>
      </c>
      <c r="E146" s="320"/>
      <c r="F146" s="319"/>
      <c r="G146" s="319"/>
      <c r="H146" s="319"/>
      <c r="I146" s="319"/>
      <c r="J146" s="319"/>
      <c r="K146" s="319"/>
      <c r="L146" s="322">
        <f>E146</f>
        <v>0</v>
      </c>
      <c r="M146" s="322">
        <f>L146*VLOOKUP(G138,PRate01,2,FALSE)</f>
        <v>0</v>
      </c>
      <c r="N146" s="322">
        <f>M146*VLOOKUP(H138,PRate01,2,FALSE)</f>
        <v>0</v>
      </c>
      <c r="O146" s="322">
        <f>N146*VLOOKUP(I138,PRate01,2,FALSE)</f>
        <v>0</v>
      </c>
      <c r="P146" s="322">
        <f>O146*VLOOKUP(J138,PRate01,2,FALSE)</f>
        <v>0</v>
      </c>
      <c r="Q146" s="322">
        <f>P146*VLOOKUP(K138,PRate01,2,FALSE)</f>
        <v>0</v>
      </c>
      <c r="R146" s="416"/>
      <c r="S146" s="42" t="s">
        <v>1011</v>
      </c>
      <c r="T146" s="544"/>
      <c r="U146" s="416"/>
      <c r="V146" s="555">
        <v>7</v>
      </c>
      <c r="W146" s="549">
        <f t="shared" si="198"/>
        <v>0</v>
      </c>
      <c r="X146" s="549">
        <f t="shared" si="199"/>
        <v>0</v>
      </c>
      <c r="Y146" s="553"/>
      <c r="Z146" s="553"/>
      <c r="AA146" s="553"/>
      <c r="AB146" s="416"/>
      <c r="AC146" s="416"/>
      <c r="AD146" s="416"/>
    </row>
    <row r="147" spans="3:30" ht="12.75" hidden="1" customHeight="1" outlineLevel="1" x14ac:dyDescent="0.2">
      <c r="C147" s="416"/>
      <c r="D147" s="42" t="s">
        <v>475</v>
      </c>
      <c r="E147" s="320"/>
      <c r="F147" s="319"/>
      <c r="G147" s="319"/>
      <c r="H147" s="319"/>
      <c r="I147" s="319"/>
      <c r="J147" s="319"/>
      <c r="K147" s="319"/>
      <c r="L147" s="319"/>
      <c r="M147" s="322">
        <f>E147</f>
        <v>0</v>
      </c>
      <c r="N147" s="322">
        <f>M147*VLOOKUP(G138,PRate01,2,FALSE)</f>
        <v>0</v>
      </c>
      <c r="O147" s="322">
        <f>N147*VLOOKUP(H138,PRate01,2,FALSE)</f>
        <v>0</v>
      </c>
      <c r="P147" s="322">
        <f>O147*VLOOKUP(I138,PRate01,2,FALSE)</f>
        <v>0</v>
      </c>
      <c r="Q147" s="322">
        <f>P147*VLOOKUP(J138,PRate01,2,FALSE)</f>
        <v>0</v>
      </c>
      <c r="R147" s="416"/>
      <c r="S147" s="42" t="s">
        <v>1012</v>
      </c>
      <c r="T147" s="544"/>
      <c r="U147" s="416"/>
      <c r="V147" s="555">
        <v>8</v>
      </c>
      <c r="W147" s="549">
        <f t="shared" si="198"/>
        <v>0</v>
      </c>
      <c r="X147" s="549">
        <f t="shared" si="199"/>
        <v>0</v>
      </c>
      <c r="Y147" s="553"/>
      <c r="Z147" s="553"/>
      <c r="AA147" s="553"/>
      <c r="AB147" s="416"/>
      <c r="AC147" s="416"/>
      <c r="AD147" s="416"/>
    </row>
    <row r="148" spans="3:30" ht="12.75" hidden="1" customHeight="1" outlineLevel="1" x14ac:dyDescent="0.2">
      <c r="C148" s="416"/>
      <c r="D148" s="42" t="s">
        <v>476</v>
      </c>
      <c r="E148" s="320"/>
      <c r="F148" s="319"/>
      <c r="G148" s="319"/>
      <c r="H148" s="319"/>
      <c r="I148" s="319"/>
      <c r="J148" s="319"/>
      <c r="K148" s="319"/>
      <c r="L148" s="319"/>
      <c r="M148" s="319"/>
      <c r="N148" s="322">
        <f>E148</f>
        <v>0</v>
      </c>
      <c r="O148" s="322">
        <f>N148*VLOOKUP(G138,PRate01,2,FALSE)</f>
        <v>0</v>
      </c>
      <c r="P148" s="322">
        <f>O148*VLOOKUP(H138,PRate01,2,FALSE)</f>
        <v>0</v>
      </c>
      <c r="Q148" s="322">
        <f>P148*VLOOKUP(I138,PRate01,2,FALSE)</f>
        <v>0</v>
      </c>
      <c r="R148" s="416"/>
      <c r="S148" s="42" t="s">
        <v>1013</v>
      </c>
      <c r="T148" s="544"/>
      <c r="U148" s="416"/>
      <c r="V148" s="555">
        <v>9</v>
      </c>
      <c r="W148" s="549">
        <f t="shared" si="198"/>
        <v>0</v>
      </c>
      <c r="X148" s="549">
        <f t="shared" si="199"/>
        <v>0</v>
      </c>
      <c r="Y148" s="553"/>
      <c r="Z148" s="553"/>
      <c r="AA148" s="553"/>
      <c r="AB148" s="416"/>
      <c r="AC148" s="416"/>
      <c r="AD148" s="416"/>
    </row>
    <row r="149" spans="3:30" ht="12.75" hidden="1" customHeight="1" outlineLevel="1" x14ac:dyDescent="0.2">
      <c r="C149" s="416"/>
      <c r="D149" s="42" t="s">
        <v>477</v>
      </c>
      <c r="E149" s="320"/>
      <c r="F149" s="319"/>
      <c r="G149" s="319"/>
      <c r="H149" s="319"/>
      <c r="I149" s="319"/>
      <c r="J149" s="319"/>
      <c r="K149" s="319"/>
      <c r="L149" s="319"/>
      <c r="M149" s="319"/>
      <c r="N149" s="319"/>
      <c r="O149" s="550">
        <f>E149</f>
        <v>0</v>
      </c>
      <c r="P149" s="322">
        <f>O149*VLOOKUP(G138,PRate01,2,FALSE)</f>
        <v>0</v>
      </c>
      <c r="Q149" s="322">
        <f>P149*VLOOKUP(H138,PRate01,2,FALSE)</f>
        <v>0</v>
      </c>
      <c r="R149" s="416"/>
      <c r="S149" s="42" t="s">
        <v>1014</v>
      </c>
      <c r="T149" s="544"/>
      <c r="U149" s="416"/>
      <c r="V149" s="555">
        <v>10</v>
      </c>
      <c r="W149" s="549">
        <f t="shared" si="198"/>
        <v>0</v>
      </c>
      <c r="X149" s="549">
        <f t="shared" si="199"/>
        <v>0</v>
      </c>
      <c r="Y149" s="553"/>
      <c r="Z149" s="553"/>
      <c r="AA149" s="553"/>
      <c r="AB149" s="416"/>
      <c r="AC149" s="416"/>
      <c r="AD149" s="416"/>
    </row>
    <row r="150" spans="3:30" ht="12.75" hidden="1" customHeight="1" outlineLevel="1" x14ac:dyDescent="0.2">
      <c r="C150" s="416"/>
      <c r="D150" s="42" t="s">
        <v>478</v>
      </c>
      <c r="E150" s="320"/>
      <c r="F150" s="319"/>
      <c r="G150" s="319"/>
      <c r="H150" s="319"/>
      <c r="I150" s="319"/>
      <c r="J150" s="319"/>
      <c r="K150" s="319"/>
      <c r="L150" s="319"/>
      <c r="M150" s="319"/>
      <c r="N150" s="319"/>
      <c r="O150" s="546"/>
      <c r="P150" s="550">
        <f>E150</f>
        <v>0</v>
      </c>
      <c r="Q150" s="322">
        <f>P150*VLOOKUP(G138,PRate01,2,FALSE)</f>
        <v>0</v>
      </c>
      <c r="R150" s="416"/>
      <c r="S150" s="42" t="s">
        <v>1015</v>
      </c>
      <c r="T150" s="544"/>
      <c r="U150" s="416"/>
      <c r="V150" s="555">
        <v>11</v>
      </c>
      <c r="W150" s="549">
        <f t="shared" si="198"/>
        <v>0</v>
      </c>
      <c r="X150" s="549">
        <f t="shared" si="199"/>
        <v>0</v>
      </c>
      <c r="Y150" s="553"/>
      <c r="Z150" s="553"/>
      <c r="AA150" s="553"/>
      <c r="AB150" s="416"/>
      <c r="AC150" s="416"/>
      <c r="AD150" s="416"/>
    </row>
    <row r="151" spans="3:30" ht="12.75" hidden="1" customHeight="1" outlineLevel="1" x14ac:dyDescent="0.2">
      <c r="C151" s="416"/>
      <c r="D151" s="42" t="s">
        <v>479</v>
      </c>
      <c r="E151" s="320"/>
      <c r="F151" s="319"/>
      <c r="G151" s="319"/>
      <c r="H151" s="319"/>
      <c r="I151" s="319"/>
      <c r="J151" s="319"/>
      <c r="K151" s="319"/>
      <c r="L151" s="319"/>
      <c r="M151" s="319"/>
      <c r="N151" s="319"/>
      <c r="O151" s="546"/>
      <c r="P151" s="546"/>
      <c r="Q151" s="550">
        <f>E151</f>
        <v>0</v>
      </c>
      <c r="R151" s="416"/>
      <c r="S151" s="416"/>
      <c r="T151" s="416"/>
      <c r="U151" s="416"/>
      <c r="V151" s="555">
        <v>12</v>
      </c>
      <c r="W151" s="556"/>
      <c r="X151" s="549">
        <f t="shared" si="199"/>
        <v>0</v>
      </c>
      <c r="Y151" s="553"/>
      <c r="Z151" s="553"/>
      <c r="AA151" s="553"/>
      <c r="AB151" s="416"/>
      <c r="AC151" s="416"/>
      <c r="AD151" s="416"/>
    </row>
    <row r="152" spans="3:30" ht="12.75" hidden="1" customHeight="1" outlineLevel="1" x14ac:dyDescent="0.2">
      <c r="C152" s="416"/>
      <c r="D152" s="416"/>
      <c r="F152" s="416"/>
      <c r="G152" s="416"/>
      <c r="H152" s="416"/>
      <c r="I152" s="416"/>
      <c r="J152" s="416"/>
      <c r="K152" s="416"/>
      <c r="L152" s="416"/>
      <c r="M152" s="416"/>
      <c r="N152" s="416"/>
      <c r="O152" s="416"/>
      <c r="P152" s="416"/>
      <c r="Q152" s="416"/>
      <c r="R152" s="416"/>
      <c r="S152" s="416"/>
      <c r="T152" s="416"/>
      <c r="U152" s="416"/>
      <c r="W152" s="416"/>
      <c r="AB152" s="416"/>
      <c r="AC152" s="416"/>
      <c r="AD152" s="416"/>
    </row>
    <row r="153" spans="3:30" ht="12.75" hidden="1" customHeight="1" outlineLevel="1" x14ac:dyDescent="0.2">
      <c r="C153" s="416"/>
      <c r="D153" s="416"/>
      <c r="F153" s="416"/>
      <c r="G153" s="416"/>
      <c r="H153" s="416"/>
      <c r="I153" s="416"/>
      <c r="J153" s="416"/>
      <c r="K153" s="416"/>
      <c r="L153" s="416"/>
      <c r="M153" s="416"/>
      <c r="N153" s="416"/>
      <c r="O153" s="416"/>
      <c r="P153" s="416"/>
      <c r="Q153" s="416"/>
      <c r="R153" s="416"/>
      <c r="S153" s="416"/>
      <c r="T153" s="416"/>
      <c r="U153" s="416"/>
      <c r="W153" s="416"/>
      <c r="Z153" s="919" t="str">
        <f>IF(AC155&lt;&gt;"",MsgNote &amp; VLOOKUP("PRate",WarningMessages,2),"")</f>
        <v/>
      </c>
      <c r="AA153" s="919"/>
      <c r="AB153" s="919"/>
      <c r="AC153" s="919"/>
      <c r="AD153" s="919"/>
    </row>
    <row r="154" spans="3:30" ht="12.75" hidden="1" customHeight="1" outlineLevel="1" x14ac:dyDescent="0.2">
      <c r="C154" s="416"/>
      <c r="D154" s="416"/>
      <c r="F154" s="416"/>
      <c r="G154" s="416"/>
      <c r="H154" s="416"/>
      <c r="I154" s="416"/>
      <c r="J154" s="416"/>
      <c r="K154" s="416"/>
      <c r="L154" s="552"/>
      <c r="M154" s="552"/>
      <c r="N154" s="552"/>
      <c r="O154" s="552"/>
      <c r="P154" s="552"/>
      <c r="Q154" s="552"/>
      <c r="R154" s="416"/>
      <c r="S154" s="416"/>
      <c r="T154" s="416"/>
      <c r="U154" s="416"/>
      <c r="W154" s="416"/>
      <c r="AB154" s="416"/>
      <c r="AC154" s="416"/>
      <c r="AD154" s="416"/>
    </row>
    <row r="155" spans="3:30" ht="12.75" hidden="1" customHeight="1" outlineLevel="1" x14ac:dyDescent="0.2">
      <c r="C155" s="416"/>
      <c r="D155" s="318"/>
      <c r="F155" s="733">
        <f t="shared" ref="F155" si="230">G155-1</f>
        <v>2015</v>
      </c>
      <c r="G155" s="733">
        <f t="shared" ref="G155" si="231">H155-1</f>
        <v>2016</v>
      </c>
      <c r="H155" s="733">
        <f t="shared" ref="H155" si="232">I155-1</f>
        <v>2017</v>
      </c>
      <c r="I155" s="733">
        <f t="shared" ref="I155" si="233">J155-1</f>
        <v>2018</v>
      </c>
      <c r="J155" s="733">
        <f t="shared" ref="J155" si="234">K155-1</f>
        <v>2019</v>
      </c>
      <c r="K155" s="733">
        <f t="shared" ref="K155" si="235">L155-1</f>
        <v>2020</v>
      </c>
      <c r="L155" s="733">
        <f>FirstYear</f>
        <v>2021</v>
      </c>
      <c r="M155" s="733">
        <f>L155+1</f>
        <v>2022</v>
      </c>
      <c r="N155" s="733">
        <f>M155+1</f>
        <v>2023</v>
      </c>
      <c r="O155" s="733">
        <f>N155+1</f>
        <v>2024</v>
      </c>
      <c r="P155" s="733">
        <f>O155+1</f>
        <v>2025</v>
      </c>
      <c r="Q155" s="733">
        <f>P155+1</f>
        <v>2026</v>
      </c>
      <c r="R155" s="416"/>
      <c r="S155" s="921" t="s">
        <v>1301</v>
      </c>
      <c r="T155" s="921"/>
      <c r="U155" s="416"/>
      <c r="W155" s="416"/>
      <c r="Z155" s="918" t="s">
        <v>1304</v>
      </c>
      <c r="AA155" s="918"/>
      <c r="AB155" s="918"/>
      <c r="AC155" s="544"/>
      <c r="AD155" s="416"/>
    </row>
    <row r="156" spans="3:30" ht="12.75" hidden="1" customHeight="1" outlineLevel="1" x14ac:dyDescent="0.2">
      <c r="C156" s="551">
        <v>12</v>
      </c>
      <c r="D156" s="920" t="s">
        <v>282</v>
      </c>
      <c r="E156" s="882"/>
      <c r="F156" s="550">
        <f>F140*VLOOKUP(C167,PRate01,3,FALSE)</f>
        <v>0</v>
      </c>
      <c r="G156" s="550">
        <f>G140*VLOOKUP(C166,PRate01,3,FALSE)</f>
        <v>0</v>
      </c>
      <c r="H156" s="550">
        <f>H140*VLOOKUP(C165,PRate01,3,FALSE)</f>
        <v>0</v>
      </c>
      <c r="I156" s="550">
        <f>I140*VLOOKUP(C164,PRate01,3,FALSE)</f>
        <v>0</v>
      </c>
      <c r="J156" s="550">
        <f>J140*VLOOKUP(C163,PRate01,3,FALSE)</f>
        <v>0</v>
      </c>
      <c r="K156" s="550">
        <f t="shared" ref="K156:K161" si="236">K140*VLOOKUP(C162,PRate01,3,FALSE)</f>
        <v>0</v>
      </c>
      <c r="L156" s="550">
        <f t="shared" ref="L156:L162" si="237">L140*VLOOKUP(C161,PRate01,3,FALSE)</f>
        <v>0</v>
      </c>
      <c r="M156" s="550">
        <f t="shared" ref="M156:M163" si="238">M140*VLOOKUP(C160,PRate01,3,FALSE)</f>
        <v>0</v>
      </c>
      <c r="N156" s="550">
        <f t="shared" ref="N156:N164" si="239">N140*VLOOKUP(C159,PRate01,3,FALSE)</f>
        <v>0</v>
      </c>
      <c r="O156" s="550">
        <f t="shared" ref="O156:O165" si="240">O140*VLOOKUP(C158,PRate01,3,FALSE)</f>
        <v>0</v>
      </c>
      <c r="P156" s="550">
        <f t="shared" ref="P156:P166" si="241">P140*VLOOKUP(C157,PRate01,3,FALSE)</f>
        <v>0</v>
      </c>
      <c r="Q156" s="550">
        <f t="shared" ref="Q156:Q167" si="242">Q140*VLOOKUP(C156,PRate01,3,FALSE)</f>
        <v>0</v>
      </c>
      <c r="R156" s="416"/>
      <c r="S156" s="547" t="s">
        <v>1005</v>
      </c>
      <c r="T156" s="548"/>
      <c r="U156" s="416"/>
      <c r="W156" s="416"/>
      <c r="X156" s="553"/>
      <c r="Y156" s="553"/>
      <c r="Z156" s="553"/>
      <c r="AA156" s="553"/>
      <c r="AB156" s="416"/>
      <c r="AC156" s="416"/>
      <c r="AD156" s="416"/>
    </row>
    <row r="157" spans="3:30" ht="12.75" hidden="1" customHeight="1" outlineLevel="1" x14ac:dyDescent="0.2">
      <c r="C157" s="551">
        <v>11</v>
      </c>
      <c r="D157" s="920" t="s">
        <v>283</v>
      </c>
      <c r="E157" s="882"/>
      <c r="F157" s="319"/>
      <c r="G157" s="550">
        <f>G141*VLOOKUP(C167,PRate01,3,FALSE)</f>
        <v>0</v>
      </c>
      <c r="H157" s="550">
        <f>H141*VLOOKUP(C166,PRate01,3,FALSE)</f>
        <v>0</v>
      </c>
      <c r="I157" s="550">
        <f>I141*VLOOKUP(C165,PRate01,3,FALSE)</f>
        <v>0</v>
      </c>
      <c r="J157" s="550">
        <f>J141*VLOOKUP(C164,PRate01,3,FALSE)</f>
        <v>0</v>
      </c>
      <c r="K157" s="550">
        <f t="shared" si="236"/>
        <v>0</v>
      </c>
      <c r="L157" s="550">
        <f t="shared" si="237"/>
        <v>0</v>
      </c>
      <c r="M157" s="550">
        <f t="shared" si="238"/>
        <v>0</v>
      </c>
      <c r="N157" s="550">
        <f t="shared" si="239"/>
        <v>0</v>
      </c>
      <c r="O157" s="550">
        <f t="shared" si="240"/>
        <v>0</v>
      </c>
      <c r="P157" s="550">
        <f t="shared" si="241"/>
        <v>0</v>
      </c>
      <c r="Q157" s="550">
        <f t="shared" si="242"/>
        <v>0</v>
      </c>
      <c r="R157" s="416"/>
      <c r="S157" s="42" t="s">
        <v>1006</v>
      </c>
      <c r="T157" s="544"/>
      <c r="U157" s="416"/>
      <c r="W157" s="416"/>
      <c r="X157" s="553"/>
      <c r="Y157" s="553"/>
      <c r="Z157" s="42" t="s">
        <v>258</v>
      </c>
      <c r="AA157" s="914"/>
      <c r="AB157" s="914"/>
      <c r="AC157" s="914"/>
      <c r="AD157" s="914"/>
    </row>
    <row r="158" spans="3:30" ht="12.75" hidden="1" customHeight="1" outlineLevel="1" x14ac:dyDescent="0.2">
      <c r="C158" s="551">
        <v>10</v>
      </c>
      <c r="D158" s="920" t="s">
        <v>284</v>
      </c>
      <c r="E158" s="882"/>
      <c r="F158" s="319"/>
      <c r="G158" s="319"/>
      <c r="H158" s="550">
        <f>H142*VLOOKUP(C167,PRate01,3,FALSE)</f>
        <v>0</v>
      </c>
      <c r="I158" s="550">
        <f>I142*VLOOKUP(C166,PRate01,3,FALSE)</f>
        <v>0</v>
      </c>
      <c r="J158" s="550">
        <f>J142*VLOOKUP(C165,PRate01,3,FALSE)</f>
        <v>0</v>
      </c>
      <c r="K158" s="550">
        <f t="shared" si="236"/>
        <v>0</v>
      </c>
      <c r="L158" s="550">
        <f t="shared" si="237"/>
        <v>0</v>
      </c>
      <c r="M158" s="550">
        <f t="shared" si="238"/>
        <v>0</v>
      </c>
      <c r="N158" s="550">
        <f t="shared" si="239"/>
        <v>0</v>
      </c>
      <c r="O158" s="550">
        <f t="shared" si="240"/>
        <v>0</v>
      </c>
      <c r="P158" s="550">
        <f t="shared" si="241"/>
        <v>0</v>
      </c>
      <c r="Q158" s="550">
        <f t="shared" si="242"/>
        <v>0</v>
      </c>
      <c r="R158" s="416"/>
      <c r="S158" s="42" t="s">
        <v>1007</v>
      </c>
      <c r="T158" s="544"/>
      <c r="U158" s="416"/>
      <c r="W158" s="416"/>
      <c r="X158" s="553"/>
      <c r="Y158" s="553"/>
      <c r="Z158" s="553"/>
      <c r="AA158" s="553"/>
      <c r="AB158" s="416"/>
      <c r="AC158" s="416"/>
      <c r="AD158" s="416"/>
    </row>
    <row r="159" spans="3:30" s="416" customFormat="1" ht="12.75" hidden="1" customHeight="1" outlineLevel="1" x14ac:dyDescent="0.2">
      <c r="C159" s="551">
        <v>9</v>
      </c>
      <c r="D159" s="920" t="s">
        <v>285</v>
      </c>
      <c r="E159" s="882"/>
      <c r="F159" s="319"/>
      <c r="G159" s="319"/>
      <c r="H159" s="319"/>
      <c r="I159" s="550">
        <f>I143*VLOOKUP(C167,PRate01,3,FALSE)</f>
        <v>0</v>
      </c>
      <c r="J159" s="550">
        <f>J143*VLOOKUP(C166,PRate01,3,FALSE)</f>
        <v>0</v>
      </c>
      <c r="K159" s="550">
        <f t="shared" si="236"/>
        <v>0</v>
      </c>
      <c r="L159" s="550">
        <f t="shared" si="237"/>
        <v>0</v>
      </c>
      <c r="M159" s="550">
        <f t="shared" si="238"/>
        <v>0</v>
      </c>
      <c r="N159" s="550">
        <f t="shared" si="239"/>
        <v>0</v>
      </c>
      <c r="O159" s="550">
        <f t="shared" si="240"/>
        <v>0</v>
      </c>
      <c r="P159" s="550">
        <f t="shared" si="241"/>
        <v>0</v>
      </c>
      <c r="Q159" s="550">
        <f t="shared" si="242"/>
        <v>0</v>
      </c>
      <c r="S159" s="42" t="s">
        <v>1008</v>
      </c>
      <c r="T159" s="544"/>
      <c r="X159" s="553"/>
      <c r="Y159" s="553"/>
      <c r="Z159" s="553"/>
      <c r="AA159" s="553"/>
    </row>
    <row r="160" spans="3:30" s="416" customFormat="1" ht="12.75" hidden="1" customHeight="1" outlineLevel="1" x14ac:dyDescent="0.2">
      <c r="C160" s="551">
        <v>8</v>
      </c>
      <c r="D160" s="920" t="s">
        <v>286</v>
      </c>
      <c r="E160" s="882"/>
      <c r="F160" s="319"/>
      <c r="G160" s="319"/>
      <c r="H160" s="319"/>
      <c r="I160" s="319"/>
      <c r="J160" s="550">
        <f>J144*VLOOKUP(C167,PRate01,3,FALSE)</f>
        <v>0</v>
      </c>
      <c r="K160" s="550">
        <f t="shared" si="236"/>
        <v>0</v>
      </c>
      <c r="L160" s="550">
        <f t="shared" si="237"/>
        <v>0</v>
      </c>
      <c r="M160" s="550">
        <f t="shared" si="238"/>
        <v>0</v>
      </c>
      <c r="N160" s="550">
        <f t="shared" si="239"/>
        <v>0</v>
      </c>
      <c r="O160" s="550">
        <f t="shared" si="240"/>
        <v>0</v>
      </c>
      <c r="P160" s="550">
        <f t="shared" si="241"/>
        <v>0</v>
      </c>
      <c r="Q160" s="550">
        <f t="shared" si="242"/>
        <v>0</v>
      </c>
      <c r="S160" s="42" t="s">
        <v>1009</v>
      </c>
      <c r="T160" s="544"/>
      <c r="X160" s="553"/>
      <c r="Y160" s="553"/>
      <c r="Z160" s="553"/>
      <c r="AA160" s="553"/>
    </row>
    <row r="161" spans="1:30" s="416" customFormat="1" ht="12.75" hidden="1" customHeight="1" outlineLevel="1" x14ac:dyDescent="0.2">
      <c r="C161" s="551">
        <v>7</v>
      </c>
      <c r="D161" s="920" t="s">
        <v>287</v>
      </c>
      <c r="E161" s="882"/>
      <c r="F161" s="319"/>
      <c r="G161" s="319"/>
      <c r="H161" s="319"/>
      <c r="I161" s="319"/>
      <c r="J161" s="319"/>
      <c r="K161" s="550">
        <f t="shared" si="236"/>
        <v>0</v>
      </c>
      <c r="L161" s="550">
        <f t="shared" si="237"/>
        <v>0</v>
      </c>
      <c r="M161" s="550">
        <f t="shared" si="238"/>
        <v>0</v>
      </c>
      <c r="N161" s="550">
        <f t="shared" si="239"/>
        <v>0</v>
      </c>
      <c r="O161" s="550">
        <f t="shared" si="240"/>
        <v>0</v>
      </c>
      <c r="P161" s="550">
        <f t="shared" si="241"/>
        <v>0</v>
      </c>
      <c r="Q161" s="550">
        <f t="shared" si="242"/>
        <v>0</v>
      </c>
      <c r="S161" s="42" t="s">
        <v>1010</v>
      </c>
      <c r="T161" s="544"/>
      <c r="X161" s="553"/>
      <c r="Y161" s="553"/>
      <c r="Z161" s="553"/>
      <c r="AA161" s="553"/>
    </row>
    <row r="162" spans="1:30" s="416" customFormat="1" ht="12.75" hidden="1" customHeight="1" outlineLevel="1" x14ac:dyDescent="0.2">
      <c r="C162" s="551">
        <v>6</v>
      </c>
      <c r="D162" s="920" t="s">
        <v>474</v>
      </c>
      <c r="E162" s="882"/>
      <c r="F162" s="319"/>
      <c r="G162" s="319"/>
      <c r="H162" s="319"/>
      <c r="I162" s="319"/>
      <c r="J162" s="319"/>
      <c r="K162" s="319"/>
      <c r="L162" s="550">
        <f t="shared" si="237"/>
        <v>0</v>
      </c>
      <c r="M162" s="550">
        <f t="shared" si="238"/>
        <v>0</v>
      </c>
      <c r="N162" s="550">
        <f t="shared" si="239"/>
        <v>0</v>
      </c>
      <c r="O162" s="550">
        <f t="shared" si="240"/>
        <v>0</v>
      </c>
      <c r="P162" s="550">
        <f t="shared" si="241"/>
        <v>0</v>
      </c>
      <c r="Q162" s="550">
        <f t="shared" si="242"/>
        <v>0</v>
      </c>
      <c r="S162" s="42" t="s">
        <v>1011</v>
      </c>
      <c r="T162" s="544"/>
      <c r="X162" s="553"/>
      <c r="Y162" s="553"/>
      <c r="Z162" s="553"/>
      <c r="AA162" s="553"/>
    </row>
    <row r="163" spans="1:30" s="416" customFormat="1" ht="12.75" hidden="1" customHeight="1" outlineLevel="1" x14ac:dyDescent="0.2">
      <c r="C163" s="551">
        <v>5</v>
      </c>
      <c r="D163" s="920" t="s">
        <v>475</v>
      </c>
      <c r="E163" s="882"/>
      <c r="F163" s="319"/>
      <c r="G163" s="319"/>
      <c r="H163" s="319"/>
      <c r="I163" s="319"/>
      <c r="J163" s="319"/>
      <c r="K163" s="319"/>
      <c r="L163" s="319"/>
      <c r="M163" s="550">
        <f t="shared" si="238"/>
        <v>0</v>
      </c>
      <c r="N163" s="550">
        <f t="shared" si="239"/>
        <v>0</v>
      </c>
      <c r="O163" s="550">
        <f t="shared" si="240"/>
        <v>0</v>
      </c>
      <c r="P163" s="550">
        <f t="shared" si="241"/>
        <v>0</v>
      </c>
      <c r="Q163" s="550">
        <f t="shared" si="242"/>
        <v>0</v>
      </c>
      <c r="S163" s="42" t="s">
        <v>1012</v>
      </c>
      <c r="T163" s="544"/>
      <c r="X163" s="553"/>
      <c r="Y163" s="553"/>
      <c r="Z163" s="553"/>
      <c r="AA163" s="553"/>
    </row>
    <row r="164" spans="1:30" s="416" customFormat="1" ht="12.75" hidden="1" customHeight="1" outlineLevel="1" x14ac:dyDescent="0.2">
      <c r="C164" s="551">
        <v>4</v>
      </c>
      <c r="D164" s="920" t="s">
        <v>476</v>
      </c>
      <c r="E164" s="882"/>
      <c r="F164" s="319"/>
      <c r="G164" s="319"/>
      <c r="H164" s="319"/>
      <c r="I164" s="319"/>
      <c r="J164" s="319"/>
      <c r="K164" s="319"/>
      <c r="L164" s="319"/>
      <c r="M164" s="319"/>
      <c r="N164" s="550">
        <f t="shared" si="239"/>
        <v>0</v>
      </c>
      <c r="O164" s="550">
        <f t="shared" si="240"/>
        <v>0</v>
      </c>
      <c r="P164" s="550">
        <f t="shared" si="241"/>
        <v>0</v>
      </c>
      <c r="Q164" s="550">
        <f t="shared" si="242"/>
        <v>0</v>
      </c>
      <c r="S164" s="42" t="s">
        <v>1013</v>
      </c>
      <c r="T164" s="544"/>
      <c r="X164" s="553"/>
      <c r="Y164" s="553"/>
      <c r="Z164" s="553"/>
      <c r="AA164" s="553"/>
    </row>
    <row r="165" spans="1:30" s="416" customFormat="1" ht="12.75" hidden="1" customHeight="1" outlineLevel="1" x14ac:dyDescent="0.2">
      <c r="C165" s="551">
        <v>3</v>
      </c>
      <c r="D165" s="920" t="s">
        <v>477</v>
      </c>
      <c r="E165" s="882"/>
      <c r="F165" s="319"/>
      <c r="G165" s="319"/>
      <c r="H165" s="319"/>
      <c r="I165" s="319"/>
      <c r="J165" s="319"/>
      <c r="K165" s="319"/>
      <c r="L165" s="319"/>
      <c r="M165" s="319"/>
      <c r="N165" s="319"/>
      <c r="O165" s="550">
        <f t="shared" si="240"/>
        <v>0</v>
      </c>
      <c r="P165" s="550">
        <f t="shared" si="241"/>
        <v>0</v>
      </c>
      <c r="Q165" s="550">
        <f t="shared" si="242"/>
        <v>0</v>
      </c>
      <c r="S165" s="42" t="s">
        <v>1014</v>
      </c>
      <c r="T165" s="544"/>
      <c r="X165" s="553"/>
      <c r="Y165" s="553"/>
      <c r="Z165" s="553"/>
      <c r="AA165" s="553"/>
    </row>
    <row r="166" spans="1:30" s="416" customFormat="1" ht="12.75" hidden="1" customHeight="1" outlineLevel="1" x14ac:dyDescent="0.2">
      <c r="C166" s="551">
        <v>2</v>
      </c>
      <c r="D166" s="920" t="s">
        <v>478</v>
      </c>
      <c r="E166" s="882"/>
      <c r="F166" s="319"/>
      <c r="G166" s="319"/>
      <c r="H166" s="319"/>
      <c r="I166" s="319"/>
      <c r="J166" s="319"/>
      <c r="K166" s="319"/>
      <c r="L166" s="319"/>
      <c r="M166" s="319"/>
      <c r="N166" s="319"/>
      <c r="O166" s="546"/>
      <c r="P166" s="550">
        <f t="shared" si="241"/>
        <v>0</v>
      </c>
      <c r="Q166" s="550">
        <f t="shared" si="242"/>
        <v>0</v>
      </c>
      <c r="S166" s="42" t="s">
        <v>1015</v>
      </c>
      <c r="T166" s="544"/>
      <c r="X166" s="553"/>
      <c r="Y166" s="553"/>
      <c r="Z166" s="553"/>
      <c r="AA166" s="553"/>
    </row>
    <row r="167" spans="1:30" s="416" customFormat="1" ht="12.75" hidden="1" customHeight="1" outlineLevel="1" x14ac:dyDescent="0.2">
      <c r="C167" s="551">
        <v>1</v>
      </c>
      <c r="D167" s="920" t="s">
        <v>479</v>
      </c>
      <c r="E167" s="882"/>
      <c r="F167" s="319"/>
      <c r="G167" s="319"/>
      <c r="H167" s="319"/>
      <c r="I167" s="319"/>
      <c r="J167" s="319"/>
      <c r="K167" s="319"/>
      <c r="L167" s="319"/>
      <c r="M167" s="319"/>
      <c r="N167" s="319"/>
      <c r="O167" s="546"/>
      <c r="P167" s="546"/>
      <c r="Q167" s="550">
        <f t="shared" si="242"/>
        <v>0</v>
      </c>
      <c r="S167" s="42" t="s">
        <v>1035</v>
      </c>
      <c r="T167" s="544"/>
    </row>
    <row r="168" spans="1:30" s="416" customFormat="1" ht="12.75" hidden="1" customHeight="1" outlineLevel="1" x14ac:dyDescent="0.2">
      <c r="K168" s="736" t="s">
        <v>73</v>
      </c>
      <c r="L168" s="321">
        <f>IFERROR((SUM(L156:L161)+IF(MATCH($AC$54,Switch,0)=1,L162,0)),0)</f>
        <v>0</v>
      </c>
      <c r="M168" s="321">
        <f>IFERROR((SUM(M156:M162)+IF(MATCH($AC$54,Switch,0)=1,M163,0)),0)</f>
        <v>0</v>
      </c>
      <c r="N168" s="321">
        <f>IFERROR((SUM(N156:N163)+IF(MATCH($AC$54,Switch,0)=1,N164,0)),0)</f>
        <v>0</v>
      </c>
      <c r="O168" s="321">
        <f>IFERROR((SUM(O156:O164)+IF(MATCH($AC$54,Switch,0)=1,O165,0)),0)</f>
        <v>0</v>
      </c>
      <c r="P168" s="321">
        <f>IFERROR((SUM(P156:P165)+IF(MATCH($AC$54,Switch,0)=1,P166,0)),0)</f>
        <v>0</v>
      </c>
      <c r="Q168" s="321">
        <f>IFERROR((SUM(Q156:Q166)+IF(MATCH($AC$54,Switch,0)=1,Q167,0)),0)</f>
        <v>0</v>
      </c>
      <c r="Z168" s="915" t="s">
        <v>1302</v>
      </c>
      <c r="AA168" s="916"/>
      <c r="AB168" s="917"/>
      <c r="AC168" s="743" t="s">
        <v>9</v>
      </c>
    </row>
    <row r="169" spans="1:30" s="416" customFormat="1" ht="12.75" hidden="1" customHeight="1" outlineLevel="1" x14ac:dyDescent="0.2"/>
    <row r="170" spans="1:30" s="416" customFormat="1" ht="12.75" customHeight="1" collapsed="1" x14ac:dyDescent="0.2"/>
    <row r="171" spans="1:30" ht="15.75" x14ac:dyDescent="0.2">
      <c r="A171" s="194"/>
      <c r="B171" s="242">
        <f>IF(G173&lt;&gt;"",1,0)</f>
        <v>0</v>
      </c>
      <c r="C171" s="242">
        <v>5</v>
      </c>
      <c r="D171" s="79" t="str">
        <f>IF(B171=0,MsgNotUsed, CONCATENATE("Persistent ", C171, ": ", G173, " (", F177, "-", Q177, ")"))</f>
        <v>** NOT USED **</v>
      </c>
      <c r="E171" s="127"/>
      <c r="F171" s="127"/>
      <c r="G171" s="127"/>
      <c r="H171" s="127"/>
      <c r="I171" s="127"/>
      <c r="J171" s="175"/>
      <c r="K171" s="127"/>
      <c r="L171" s="127"/>
      <c r="M171" s="127"/>
      <c r="N171" s="260"/>
      <c r="O171" s="260"/>
      <c r="P171" s="260"/>
      <c r="Q171" s="260"/>
      <c r="R171" s="260"/>
      <c r="S171" s="260"/>
      <c r="T171" s="260"/>
      <c r="U171" s="260"/>
      <c r="V171" s="260"/>
      <c r="W171" s="260"/>
      <c r="X171" s="260"/>
      <c r="Y171" s="260"/>
      <c r="Z171" s="260"/>
      <c r="AA171" s="260"/>
      <c r="AB171" s="260"/>
      <c r="AC171" s="260"/>
      <c r="AD171" s="260"/>
    </row>
    <row r="172" spans="1:30" ht="12.75" hidden="1" customHeight="1" outlineLevel="1" x14ac:dyDescent="0.2">
      <c r="C172" s="416"/>
      <c r="D172" s="416"/>
      <c r="F172" s="416"/>
      <c r="G172" s="416"/>
      <c r="H172" s="416"/>
      <c r="I172" s="416"/>
      <c r="J172" s="416"/>
      <c r="K172" s="416"/>
      <c r="L172" s="416"/>
      <c r="M172" s="416"/>
      <c r="N172" s="416"/>
      <c r="O172" s="416"/>
      <c r="P172" s="416"/>
      <c r="Q172" s="416"/>
      <c r="R172" s="416"/>
      <c r="S172" s="416"/>
      <c r="T172" s="416"/>
      <c r="U172" s="416"/>
      <c r="W172" s="416"/>
      <c r="AB172" s="416"/>
      <c r="AC172" s="416"/>
      <c r="AD172" s="416"/>
    </row>
    <row r="173" spans="1:30" ht="12.75" hidden="1" customHeight="1" outlineLevel="1" x14ac:dyDescent="0.2">
      <c r="C173" s="416"/>
      <c r="D173" s="416"/>
      <c r="F173" s="42" t="s">
        <v>480</v>
      </c>
      <c r="G173" s="913"/>
      <c r="H173" s="881"/>
      <c r="I173" s="881"/>
      <c r="J173" s="881"/>
      <c r="K173" s="881"/>
      <c r="L173" s="882"/>
      <c r="M173" s="416"/>
      <c r="N173" s="416"/>
      <c r="O173" s="416"/>
      <c r="P173" s="416"/>
      <c r="Q173" s="416"/>
      <c r="R173" s="416"/>
      <c r="S173" s="416"/>
      <c r="T173" s="416"/>
      <c r="U173" s="416"/>
      <c r="W173" s="416"/>
      <c r="AB173" s="416"/>
      <c r="AC173" s="416"/>
      <c r="AD173" s="416"/>
    </row>
    <row r="174" spans="1:30" ht="12.75" hidden="1" customHeight="1" outlineLevel="1" x14ac:dyDescent="0.2">
      <c r="C174" s="416"/>
      <c r="D174" s="416"/>
      <c r="F174" s="416"/>
      <c r="G174" s="416"/>
      <c r="H174" s="416"/>
      <c r="I174" s="416"/>
      <c r="J174" s="416"/>
      <c r="K174" s="416"/>
      <c r="L174" s="416"/>
      <c r="M174" s="416"/>
      <c r="N174" s="416"/>
      <c r="O174" s="416"/>
      <c r="P174" s="416"/>
      <c r="Q174" s="416"/>
      <c r="R174" s="416"/>
      <c r="S174" s="416"/>
      <c r="T174" s="416"/>
      <c r="U174" s="416"/>
      <c r="W174" s="416"/>
      <c r="AB174" s="416"/>
      <c r="AC174" s="416"/>
      <c r="AD174" s="416"/>
    </row>
    <row r="175" spans="1:30" ht="12.75" hidden="1" customHeight="1" outlineLevel="1" x14ac:dyDescent="0.2">
      <c r="C175" s="416"/>
      <c r="D175" s="416"/>
      <c r="F175" s="42" t="s">
        <v>258</v>
      </c>
      <c r="G175" s="913"/>
      <c r="H175" s="881"/>
      <c r="I175" s="881"/>
      <c r="J175" s="881"/>
      <c r="K175" s="881"/>
      <c r="L175" s="882"/>
      <c r="M175" s="416"/>
      <c r="N175" s="416"/>
      <c r="O175" s="416"/>
      <c r="P175" s="416"/>
      <c r="Q175" s="416"/>
      <c r="R175" s="416"/>
      <c r="S175" s="416"/>
      <c r="T175" s="416"/>
      <c r="U175" s="416"/>
      <c r="W175" s="416"/>
      <c r="Z175" s="919" t="str">
        <f>IF(AC177&lt;&gt;"",MsgNote &amp; VLOOKUP("PRate",WarningMessages,2),"")</f>
        <v/>
      </c>
      <c r="AA175" s="919"/>
      <c r="AB175" s="919"/>
      <c r="AC175" s="919"/>
      <c r="AD175" s="919"/>
    </row>
    <row r="176" spans="1:30" ht="12.75" hidden="1" customHeight="1" outlineLevel="1" x14ac:dyDescent="0.2">
      <c r="C176" s="416"/>
      <c r="D176" s="416"/>
      <c r="F176" s="416"/>
      <c r="G176" s="557">
        <v>1</v>
      </c>
      <c r="H176" s="557">
        <v>2</v>
      </c>
      <c r="I176" s="557">
        <v>3</v>
      </c>
      <c r="J176" s="557">
        <v>4</v>
      </c>
      <c r="K176" s="557">
        <v>5</v>
      </c>
      <c r="L176" s="557">
        <v>6</v>
      </c>
      <c r="M176" s="557">
        <v>7</v>
      </c>
      <c r="N176" s="557">
        <v>8</v>
      </c>
      <c r="O176" s="557">
        <v>9</v>
      </c>
      <c r="P176" s="557">
        <v>10</v>
      </c>
      <c r="Q176" s="557">
        <v>11</v>
      </c>
      <c r="R176" s="416"/>
      <c r="S176" s="416"/>
      <c r="T176" s="416"/>
      <c r="U176" s="416"/>
      <c r="W176" s="416"/>
      <c r="AB176" s="416"/>
      <c r="AC176" s="416"/>
      <c r="AD176" s="416"/>
    </row>
    <row r="177" spans="3:30" ht="12.75" hidden="1" customHeight="1" outlineLevel="1" x14ac:dyDescent="0.2">
      <c r="C177" s="416"/>
      <c r="D177" s="318"/>
      <c r="E177" s="733" t="s">
        <v>1065</v>
      </c>
      <c r="F177" s="733">
        <f t="shared" ref="F177" si="243">G177-1</f>
        <v>2015</v>
      </c>
      <c r="G177" s="733">
        <f t="shared" ref="G177" si="244">H177-1</f>
        <v>2016</v>
      </c>
      <c r="H177" s="733">
        <f t="shared" ref="H177" si="245">I177-1</f>
        <v>2017</v>
      </c>
      <c r="I177" s="733">
        <f t="shared" ref="I177" si="246">J177-1</f>
        <v>2018</v>
      </c>
      <c r="J177" s="733">
        <f t="shared" ref="J177" si="247">K177-1</f>
        <v>2019</v>
      </c>
      <c r="K177" s="733">
        <f t="shared" ref="K177" si="248">L177-1</f>
        <v>2020</v>
      </c>
      <c r="L177" s="733">
        <f>FirstYear</f>
        <v>2021</v>
      </c>
      <c r="M177" s="733">
        <f>L177+1</f>
        <v>2022</v>
      </c>
      <c r="N177" s="733">
        <f>M177+1</f>
        <v>2023</v>
      </c>
      <c r="O177" s="733">
        <f>N177+1</f>
        <v>2024</v>
      </c>
      <c r="P177" s="733">
        <f>O177+1</f>
        <v>2025</v>
      </c>
      <c r="Q177" s="733">
        <f>P177+1</f>
        <v>2026</v>
      </c>
      <c r="R177" s="416"/>
      <c r="S177" s="921" t="s">
        <v>1300</v>
      </c>
      <c r="T177" s="921"/>
      <c r="U177" s="416"/>
      <c r="W177" s="416"/>
      <c r="Z177" s="918" t="s">
        <v>1303</v>
      </c>
      <c r="AA177" s="918"/>
      <c r="AB177" s="918"/>
      <c r="AC177" s="544"/>
      <c r="AD177" s="416"/>
    </row>
    <row r="178" spans="3:30" ht="12.75" hidden="1" customHeight="1" outlineLevel="1" x14ac:dyDescent="0.2">
      <c r="C178" s="416"/>
      <c r="D178" s="42" t="s">
        <v>282</v>
      </c>
      <c r="E178" s="320"/>
      <c r="F178" s="322">
        <f>E178</f>
        <v>0</v>
      </c>
      <c r="G178" s="322">
        <f t="shared" ref="G178" si="249">F178*VLOOKUP(G176,PRate01,2,FALSE)</f>
        <v>0</v>
      </c>
      <c r="H178" s="322">
        <f t="shared" ref="H178" si="250">G178*VLOOKUP(H176,PRate01,2,FALSE)</f>
        <v>0</v>
      </c>
      <c r="I178" s="322">
        <f t="shared" ref="I178" si="251">H178*VLOOKUP(I176,PRate01,2,FALSE)</f>
        <v>0</v>
      </c>
      <c r="J178" s="322">
        <f t="shared" ref="J178" si="252">I178*VLOOKUP(J176,PRate01,2,FALSE)</f>
        <v>0</v>
      </c>
      <c r="K178" s="322">
        <f t="shared" ref="K178" si="253">J178*VLOOKUP(K176,PRate01,2,FALSE)</f>
        <v>0</v>
      </c>
      <c r="L178" s="322">
        <f t="shared" ref="L178" si="254">K178*VLOOKUP(L176,PRate01,2,FALSE)</f>
        <v>0</v>
      </c>
      <c r="M178" s="322">
        <f t="shared" ref="M178" si="255">L178*VLOOKUP(M176,PRate01,2,FALSE)</f>
        <v>0</v>
      </c>
      <c r="N178" s="322">
        <f t="shared" ref="N178" si="256">M178*VLOOKUP(N176,PRate01,2,FALSE)</f>
        <v>0</v>
      </c>
      <c r="O178" s="322">
        <f t="shared" ref="O178" si="257">N178*VLOOKUP(O176,PRate01,2,FALSE)</f>
        <v>0</v>
      </c>
      <c r="P178" s="322">
        <f t="shared" ref="P178" si="258">O178*VLOOKUP(P176,PRate01,2,FALSE)</f>
        <v>0</v>
      </c>
      <c r="Q178" s="322">
        <f t="shared" ref="Q178" si="259">P178*VLOOKUP(Q176,PRate01,2,FALSE)</f>
        <v>0</v>
      </c>
      <c r="R178" s="416"/>
      <c r="S178" s="547" t="s">
        <v>1005</v>
      </c>
      <c r="T178" s="548"/>
      <c r="U178" s="416"/>
      <c r="V178" s="554">
        <v>1</v>
      </c>
      <c r="W178" s="549">
        <f>IF($AC$177&lt;&gt;"",$AC$177,T178)</f>
        <v>0</v>
      </c>
      <c r="X178" s="549">
        <f>IF($AC$193&lt;&gt;"",$AC$193,T194)</f>
        <v>0</v>
      </c>
      <c r="Y178" s="553"/>
      <c r="Z178" s="553"/>
      <c r="AA178" s="553"/>
      <c r="AB178" s="416"/>
      <c r="AC178" s="416"/>
      <c r="AD178" s="416"/>
    </row>
    <row r="179" spans="3:30" s="416" customFormat="1" ht="12.75" hidden="1" customHeight="1" outlineLevel="1" x14ac:dyDescent="0.2">
      <c r="D179" s="42" t="s">
        <v>283</v>
      </c>
      <c r="E179" s="320"/>
      <c r="F179" s="319"/>
      <c r="G179" s="322">
        <f>E179</f>
        <v>0</v>
      </c>
      <c r="H179" s="322">
        <f t="shared" ref="H179" si="260">G179*VLOOKUP(G176,PRate01,2,FALSE)</f>
        <v>0</v>
      </c>
      <c r="I179" s="322">
        <f t="shared" ref="I179" si="261">H179*VLOOKUP(H176,PRate01,2,FALSE)</f>
        <v>0</v>
      </c>
      <c r="J179" s="322">
        <f t="shared" ref="J179" si="262">I179*VLOOKUP(I176,PRate01,2,FALSE)</f>
        <v>0</v>
      </c>
      <c r="K179" s="322">
        <f t="shared" ref="K179" si="263">J179*VLOOKUP(J176,PRate01,2,FALSE)</f>
        <v>0</v>
      </c>
      <c r="L179" s="322">
        <f t="shared" ref="L179" si="264">K179*VLOOKUP(K176,PRate01,2,FALSE)</f>
        <v>0</v>
      </c>
      <c r="M179" s="322">
        <f t="shared" ref="M179" si="265">L179*VLOOKUP(L176,PRate01,2,FALSE)</f>
        <v>0</v>
      </c>
      <c r="N179" s="322">
        <f t="shared" ref="N179" si="266">M179*VLOOKUP(M176,PRate01,2,FALSE)</f>
        <v>0</v>
      </c>
      <c r="O179" s="322">
        <f t="shared" ref="O179" si="267">N179*VLOOKUP(N176,PRate01,2,FALSE)</f>
        <v>0</v>
      </c>
      <c r="P179" s="322">
        <f t="shared" ref="P179" si="268">O179*VLOOKUP(O176,PRate01,2,FALSE)</f>
        <v>0</v>
      </c>
      <c r="Q179" s="322">
        <f t="shared" ref="Q179" si="269">P179*VLOOKUP(P176,PRate01,2,FALSE)</f>
        <v>0</v>
      </c>
      <c r="S179" s="42" t="s">
        <v>1006</v>
      </c>
      <c r="T179" s="544"/>
      <c r="V179" s="554">
        <v>2</v>
      </c>
      <c r="W179" s="549">
        <f t="shared" ref="W179:W188" si="270">IF($AC$177&lt;&gt;"",$AC$177,T179)</f>
        <v>0</v>
      </c>
      <c r="X179" s="549">
        <f t="shared" ref="X179:X189" si="271">IF($AC$193&lt;&gt;"",$AC$193,T195)</f>
        <v>0</v>
      </c>
      <c r="Z179" s="42" t="s">
        <v>258</v>
      </c>
      <c r="AA179" s="914"/>
      <c r="AB179" s="914"/>
      <c r="AC179" s="914"/>
      <c r="AD179" s="914"/>
    </row>
    <row r="180" spans="3:30" s="416" customFormat="1" ht="12.75" hidden="1" customHeight="1" outlineLevel="1" x14ac:dyDescent="0.2">
      <c r="D180" s="42" t="s">
        <v>284</v>
      </c>
      <c r="E180" s="320"/>
      <c r="F180" s="319"/>
      <c r="G180" s="319"/>
      <c r="H180" s="322">
        <f>E180</f>
        <v>0</v>
      </c>
      <c r="I180" s="322">
        <f t="shared" ref="I180" si="272">H180*VLOOKUP(G176,PRate01,2,FALSE)</f>
        <v>0</v>
      </c>
      <c r="J180" s="322">
        <f t="shared" ref="J180" si="273">I180*VLOOKUP(H176,PRate01,2,FALSE)</f>
        <v>0</v>
      </c>
      <c r="K180" s="322">
        <f t="shared" ref="K180" si="274">J180*VLOOKUP(I176,PRate01,2,FALSE)</f>
        <v>0</v>
      </c>
      <c r="L180" s="322">
        <f t="shared" ref="L180" si="275">K180*VLOOKUP(J176,PRate01,2,FALSE)</f>
        <v>0</v>
      </c>
      <c r="M180" s="322">
        <f t="shared" ref="M180" si="276">L180*VLOOKUP(K176,PRate01,2,FALSE)</f>
        <v>0</v>
      </c>
      <c r="N180" s="322">
        <f t="shared" ref="N180" si="277">M180*VLOOKUP(L176,PRate01,2,FALSE)</f>
        <v>0</v>
      </c>
      <c r="O180" s="322">
        <f t="shared" ref="O180" si="278">N180*VLOOKUP(M176,PRate01,2,FALSE)</f>
        <v>0</v>
      </c>
      <c r="P180" s="322">
        <f t="shared" ref="P180" si="279">O180*VLOOKUP(N176,PRate01,2,FALSE)</f>
        <v>0</v>
      </c>
      <c r="Q180" s="322">
        <f t="shared" ref="Q180" si="280">P180*VLOOKUP(O176,PRate01,2,FALSE)</f>
        <v>0</v>
      </c>
      <c r="S180" s="42" t="s">
        <v>1007</v>
      </c>
      <c r="T180" s="544"/>
      <c r="V180" s="554">
        <v>3</v>
      </c>
      <c r="W180" s="549">
        <f t="shared" si="270"/>
        <v>0</v>
      </c>
      <c r="X180" s="549">
        <f t="shared" si="271"/>
        <v>0</v>
      </c>
      <c r="Y180" s="553"/>
      <c r="Z180" s="553"/>
      <c r="AA180" s="553"/>
    </row>
    <row r="181" spans="3:30" s="416" customFormat="1" ht="12.75" hidden="1" customHeight="1" outlineLevel="1" x14ac:dyDescent="0.2">
      <c r="D181" s="42" t="s">
        <v>285</v>
      </c>
      <c r="E181" s="320"/>
      <c r="F181" s="319"/>
      <c r="G181" s="319"/>
      <c r="H181" s="319"/>
      <c r="I181" s="322">
        <f>E181</f>
        <v>0</v>
      </c>
      <c r="J181" s="322">
        <f t="shared" ref="J181" si="281">I181*VLOOKUP(G176,PRate01,2,FALSE)</f>
        <v>0</v>
      </c>
      <c r="K181" s="322">
        <f t="shared" ref="K181" si="282">J181*VLOOKUP(H176,PRate01,2,FALSE)</f>
        <v>0</v>
      </c>
      <c r="L181" s="322">
        <f t="shared" ref="L181" si="283">K181*VLOOKUP(I176,PRate01,2,FALSE)</f>
        <v>0</v>
      </c>
      <c r="M181" s="322">
        <f t="shared" ref="M181" si="284">L181*VLOOKUP(J176,PRate01,2,FALSE)</f>
        <v>0</v>
      </c>
      <c r="N181" s="322">
        <f t="shared" ref="N181" si="285">M181*VLOOKUP(K176,PRate01,2,FALSE)</f>
        <v>0</v>
      </c>
      <c r="O181" s="322">
        <f t="shared" ref="O181" si="286">N181*VLOOKUP(L176,PRate01,2,FALSE)</f>
        <v>0</v>
      </c>
      <c r="P181" s="322">
        <f t="shared" ref="P181" si="287">O181*VLOOKUP(M176,PRate01,2,FALSE)</f>
        <v>0</v>
      </c>
      <c r="Q181" s="322">
        <f t="shared" ref="Q181" si="288">P181*VLOOKUP(N176,PRate01,2,FALSE)</f>
        <v>0</v>
      </c>
      <c r="S181" s="42" t="s">
        <v>1008</v>
      </c>
      <c r="T181" s="544"/>
      <c r="V181" s="555">
        <v>4</v>
      </c>
      <c r="W181" s="549">
        <f t="shared" si="270"/>
        <v>0</v>
      </c>
      <c r="X181" s="549">
        <f t="shared" si="271"/>
        <v>0</v>
      </c>
      <c r="Y181" s="553"/>
      <c r="Z181" s="553"/>
      <c r="AA181" s="553"/>
    </row>
    <row r="182" spans="3:30" ht="12.75" hidden="1" customHeight="1" outlineLevel="1" x14ac:dyDescent="0.2">
      <c r="C182" s="416"/>
      <c r="D182" s="42" t="s">
        <v>286</v>
      </c>
      <c r="E182" s="320"/>
      <c r="F182" s="319"/>
      <c r="G182" s="319"/>
      <c r="H182" s="319"/>
      <c r="I182" s="319"/>
      <c r="J182" s="322">
        <f>E182</f>
        <v>0</v>
      </c>
      <c r="K182" s="322">
        <f t="shared" ref="K182" si="289">J182*VLOOKUP(G176,PRate01,2,FALSE)</f>
        <v>0</v>
      </c>
      <c r="L182" s="322">
        <f t="shared" ref="L182" si="290">K182*VLOOKUP(H176,PRate01,2,FALSE)</f>
        <v>0</v>
      </c>
      <c r="M182" s="322">
        <f t="shared" ref="M182" si="291">L182*VLOOKUP(I176,PRate01,2,FALSE)</f>
        <v>0</v>
      </c>
      <c r="N182" s="322">
        <f t="shared" ref="N182" si="292">M182*VLOOKUP(J176,PRate01,2,FALSE)</f>
        <v>0</v>
      </c>
      <c r="O182" s="322">
        <f t="shared" ref="O182" si="293">N182*VLOOKUP(K176,PRate01,2,FALSE)</f>
        <v>0</v>
      </c>
      <c r="P182" s="322">
        <f t="shared" ref="P182" si="294">O182*VLOOKUP(L176,PRate01,2,FALSE)</f>
        <v>0</v>
      </c>
      <c r="Q182" s="322">
        <f t="shared" ref="Q182" si="295">P182*VLOOKUP(M176,PRate01,2,FALSE)</f>
        <v>0</v>
      </c>
      <c r="R182" s="416"/>
      <c r="S182" s="42" t="s">
        <v>1009</v>
      </c>
      <c r="T182" s="544"/>
      <c r="U182" s="416"/>
      <c r="V182" s="555">
        <v>5</v>
      </c>
      <c r="W182" s="549">
        <f t="shared" si="270"/>
        <v>0</v>
      </c>
      <c r="X182" s="549">
        <f t="shared" si="271"/>
        <v>0</v>
      </c>
      <c r="Y182" s="553"/>
      <c r="Z182" s="553"/>
      <c r="AA182" s="553"/>
      <c r="AB182" s="416"/>
      <c r="AC182" s="416"/>
      <c r="AD182" s="416"/>
    </row>
    <row r="183" spans="3:30" ht="12.75" hidden="1" customHeight="1" outlineLevel="1" x14ac:dyDescent="0.2">
      <c r="C183" s="416"/>
      <c r="D183" s="42" t="s">
        <v>287</v>
      </c>
      <c r="E183" s="320"/>
      <c r="F183" s="319"/>
      <c r="G183" s="319"/>
      <c r="H183" s="319"/>
      <c r="I183" s="319"/>
      <c r="J183" s="319"/>
      <c r="K183" s="322">
        <f>E183</f>
        <v>0</v>
      </c>
      <c r="L183" s="322">
        <f t="shared" ref="L183" si="296">K183*VLOOKUP(G176,PRate01,2,FALSE)</f>
        <v>0</v>
      </c>
      <c r="M183" s="322">
        <f t="shared" ref="M183" si="297">L183*VLOOKUP(H176,PRate01,2,FALSE)</f>
        <v>0</v>
      </c>
      <c r="N183" s="322">
        <f t="shared" ref="N183" si="298">M183*VLOOKUP(I176,PRate01,2,FALSE)</f>
        <v>0</v>
      </c>
      <c r="O183" s="322">
        <f t="shared" ref="O183" si="299">N183*VLOOKUP(J176,PRate01,2,FALSE)</f>
        <v>0</v>
      </c>
      <c r="P183" s="322">
        <f t="shared" ref="P183" si="300">O183*VLOOKUP(K176,PRate01,2,FALSE)</f>
        <v>0</v>
      </c>
      <c r="Q183" s="322">
        <f t="shared" ref="Q183" si="301">P183*VLOOKUP(L176,PRate01,2,FALSE)</f>
        <v>0</v>
      </c>
      <c r="R183" s="416"/>
      <c r="S183" s="42" t="s">
        <v>1010</v>
      </c>
      <c r="T183" s="544"/>
      <c r="U183" s="416"/>
      <c r="V183" s="555">
        <v>6</v>
      </c>
      <c r="W183" s="549">
        <f t="shared" si="270"/>
        <v>0</v>
      </c>
      <c r="X183" s="549">
        <f t="shared" si="271"/>
        <v>0</v>
      </c>
      <c r="Y183" s="553"/>
      <c r="Z183" s="553"/>
      <c r="AA183" s="553"/>
      <c r="AB183" s="416"/>
      <c r="AC183" s="416"/>
      <c r="AD183" s="416"/>
    </row>
    <row r="184" spans="3:30" ht="12.75" hidden="1" customHeight="1" outlineLevel="1" x14ac:dyDescent="0.2">
      <c r="C184" s="416"/>
      <c r="D184" s="42" t="s">
        <v>474</v>
      </c>
      <c r="E184" s="320"/>
      <c r="F184" s="319"/>
      <c r="G184" s="319"/>
      <c r="H184" s="319"/>
      <c r="I184" s="319"/>
      <c r="J184" s="319"/>
      <c r="K184" s="319"/>
      <c r="L184" s="322">
        <f>E184</f>
        <v>0</v>
      </c>
      <c r="M184" s="322">
        <f>L184*VLOOKUP(G176,PRate01,2,FALSE)</f>
        <v>0</v>
      </c>
      <c r="N184" s="322">
        <f>M184*VLOOKUP(H176,PRate01,2,FALSE)</f>
        <v>0</v>
      </c>
      <c r="O184" s="322">
        <f>N184*VLOOKUP(I176,PRate01,2,FALSE)</f>
        <v>0</v>
      </c>
      <c r="P184" s="322">
        <f>O184*VLOOKUP(J176,PRate01,2,FALSE)</f>
        <v>0</v>
      </c>
      <c r="Q184" s="322">
        <f>P184*VLOOKUP(K176,PRate01,2,FALSE)</f>
        <v>0</v>
      </c>
      <c r="R184" s="416"/>
      <c r="S184" s="42" t="s">
        <v>1011</v>
      </c>
      <c r="T184" s="544"/>
      <c r="U184" s="416"/>
      <c r="V184" s="555">
        <v>7</v>
      </c>
      <c r="W184" s="549">
        <f t="shared" si="270"/>
        <v>0</v>
      </c>
      <c r="X184" s="549">
        <f t="shared" si="271"/>
        <v>0</v>
      </c>
      <c r="Y184" s="553"/>
      <c r="Z184" s="553"/>
      <c r="AA184" s="553"/>
      <c r="AB184" s="416"/>
      <c r="AC184" s="416"/>
      <c r="AD184" s="416"/>
    </row>
    <row r="185" spans="3:30" ht="12.75" hidden="1" customHeight="1" outlineLevel="1" x14ac:dyDescent="0.2">
      <c r="C185" s="416"/>
      <c r="D185" s="42" t="s">
        <v>475</v>
      </c>
      <c r="E185" s="320"/>
      <c r="F185" s="319"/>
      <c r="G185" s="319"/>
      <c r="H185" s="319"/>
      <c r="I185" s="319"/>
      <c r="J185" s="319"/>
      <c r="K185" s="319"/>
      <c r="L185" s="319"/>
      <c r="M185" s="322">
        <f>E185</f>
        <v>0</v>
      </c>
      <c r="N185" s="322">
        <f>M185*VLOOKUP(G176,PRate01,2,FALSE)</f>
        <v>0</v>
      </c>
      <c r="O185" s="322">
        <f>N185*VLOOKUP(H176,PRate01,2,FALSE)</f>
        <v>0</v>
      </c>
      <c r="P185" s="322">
        <f>O185*VLOOKUP(I176,PRate01,2,FALSE)</f>
        <v>0</v>
      </c>
      <c r="Q185" s="322">
        <f>P185*VLOOKUP(J176,PRate01,2,FALSE)</f>
        <v>0</v>
      </c>
      <c r="R185" s="416"/>
      <c r="S185" s="42" t="s">
        <v>1012</v>
      </c>
      <c r="T185" s="544"/>
      <c r="U185" s="416"/>
      <c r="V185" s="555">
        <v>8</v>
      </c>
      <c r="W185" s="549">
        <f t="shared" si="270"/>
        <v>0</v>
      </c>
      <c r="X185" s="549">
        <f t="shared" si="271"/>
        <v>0</v>
      </c>
      <c r="Y185" s="553"/>
      <c r="Z185" s="553"/>
      <c r="AA185" s="553"/>
      <c r="AB185" s="416"/>
      <c r="AC185" s="416"/>
      <c r="AD185" s="416"/>
    </row>
    <row r="186" spans="3:30" ht="12.75" hidden="1" customHeight="1" outlineLevel="1" x14ac:dyDescent="0.2">
      <c r="C186" s="416"/>
      <c r="D186" s="42" t="s">
        <v>476</v>
      </c>
      <c r="E186" s="320"/>
      <c r="F186" s="319"/>
      <c r="G186" s="319"/>
      <c r="H186" s="319"/>
      <c r="I186" s="319"/>
      <c r="J186" s="319"/>
      <c r="K186" s="319"/>
      <c r="L186" s="319"/>
      <c r="M186" s="319"/>
      <c r="N186" s="322">
        <f>E186</f>
        <v>0</v>
      </c>
      <c r="O186" s="322">
        <f>N186*VLOOKUP(G176,PRate01,2,FALSE)</f>
        <v>0</v>
      </c>
      <c r="P186" s="322">
        <f>O186*VLOOKUP(H176,PRate01,2,FALSE)</f>
        <v>0</v>
      </c>
      <c r="Q186" s="322">
        <f>P186*VLOOKUP(I176,PRate01,2,FALSE)</f>
        <v>0</v>
      </c>
      <c r="R186" s="416"/>
      <c r="S186" s="42" t="s">
        <v>1013</v>
      </c>
      <c r="T186" s="544"/>
      <c r="U186" s="416"/>
      <c r="V186" s="555">
        <v>9</v>
      </c>
      <c r="W186" s="549">
        <f t="shared" si="270"/>
        <v>0</v>
      </c>
      <c r="X186" s="549">
        <f t="shared" si="271"/>
        <v>0</v>
      </c>
      <c r="Y186" s="553"/>
      <c r="Z186" s="553"/>
      <c r="AA186" s="553"/>
      <c r="AB186" s="416"/>
      <c r="AC186" s="416"/>
      <c r="AD186" s="416"/>
    </row>
    <row r="187" spans="3:30" ht="12.75" hidden="1" customHeight="1" outlineLevel="1" x14ac:dyDescent="0.2">
      <c r="C187" s="416"/>
      <c r="D187" s="42" t="s">
        <v>477</v>
      </c>
      <c r="E187" s="320"/>
      <c r="F187" s="319"/>
      <c r="G187" s="319"/>
      <c r="H187" s="319"/>
      <c r="I187" s="319"/>
      <c r="J187" s="319"/>
      <c r="K187" s="319"/>
      <c r="L187" s="319"/>
      <c r="M187" s="319"/>
      <c r="N187" s="319"/>
      <c r="O187" s="550">
        <f>E187</f>
        <v>0</v>
      </c>
      <c r="P187" s="322">
        <f>O187*VLOOKUP(G176,PRate01,2,FALSE)</f>
        <v>0</v>
      </c>
      <c r="Q187" s="322">
        <f>P187*VLOOKUP(H176,PRate01,2,FALSE)</f>
        <v>0</v>
      </c>
      <c r="R187" s="416"/>
      <c r="S187" s="42" t="s">
        <v>1014</v>
      </c>
      <c r="T187" s="544"/>
      <c r="U187" s="416"/>
      <c r="V187" s="555">
        <v>10</v>
      </c>
      <c r="W187" s="549">
        <f t="shared" si="270"/>
        <v>0</v>
      </c>
      <c r="X187" s="549">
        <f t="shared" si="271"/>
        <v>0</v>
      </c>
      <c r="Y187" s="553"/>
      <c r="Z187" s="553"/>
      <c r="AA187" s="553"/>
      <c r="AB187" s="416"/>
      <c r="AC187" s="416"/>
      <c r="AD187" s="416"/>
    </row>
    <row r="188" spans="3:30" ht="12.75" hidden="1" customHeight="1" outlineLevel="1" x14ac:dyDescent="0.2">
      <c r="C188" s="416"/>
      <c r="D188" s="42" t="s">
        <v>478</v>
      </c>
      <c r="E188" s="320"/>
      <c r="F188" s="319"/>
      <c r="G188" s="319"/>
      <c r="H188" s="319"/>
      <c r="I188" s="319"/>
      <c r="J188" s="319"/>
      <c r="K188" s="319"/>
      <c r="L188" s="319"/>
      <c r="M188" s="319"/>
      <c r="N188" s="319"/>
      <c r="O188" s="546"/>
      <c r="P188" s="550">
        <f>E188</f>
        <v>0</v>
      </c>
      <c r="Q188" s="322">
        <f>P188*VLOOKUP(G176,PRate01,2,FALSE)</f>
        <v>0</v>
      </c>
      <c r="R188" s="416"/>
      <c r="S188" s="42" t="s">
        <v>1015</v>
      </c>
      <c r="T188" s="544"/>
      <c r="U188" s="416"/>
      <c r="V188" s="555">
        <v>11</v>
      </c>
      <c r="W188" s="549">
        <f t="shared" si="270"/>
        <v>0</v>
      </c>
      <c r="X188" s="549">
        <f t="shared" si="271"/>
        <v>0</v>
      </c>
      <c r="Y188" s="553"/>
      <c r="Z188" s="553"/>
      <c r="AA188" s="553"/>
      <c r="AB188" s="416"/>
      <c r="AC188" s="416"/>
      <c r="AD188" s="416"/>
    </row>
    <row r="189" spans="3:30" ht="12.75" hidden="1" customHeight="1" outlineLevel="1" x14ac:dyDescent="0.2">
      <c r="C189" s="416"/>
      <c r="D189" s="42" t="s">
        <v>479</v>
      </c>
      <c r="E189" s="320"/>
      <c r="F189" s="319"/>
      <c r="G189" s="319"/>
      <c r="H189" s="319"/>
      <c r="I189" s="319"/>
      <c r="J189" s="319"/>
      <c r="K189" s="319"/>
      <c r="L189" s="319"/>
      <c r="M189" s="319"/>
      <c r="N189" s="319"/>
      <c r="O189" s="546"/>
      <c r="P189" s="546"/>
      <c r="Q189" s="550">
        <f>E189</f>
        <v>0</v>
      </c>
      <c r="R189" s="416"/>
      <c r="S189" s="416"/>
      <c r="T189" s="416"/>
      <c r="U189" s="416"/>
      <c r="V189" s="555">
        <v>12</v>
      </c>
      <c r="W189" s="556"/>
      <c r="X189" s="549">
        <f t="shared" si="271"/>
        <v>0</v>
      </c>
      <c r="Y189" s="553"/>
      <c r="Z189" s="553"/>
      <c r="AA189" s="553"/>
      <c r="AB189" s="416"/>
      <c r="AC189" s="416"/>
      <c r="AD189" s="416"/>
    </row>
    <row r="190" spans="3:30" ht="12.75" hidden="1" customHeight="1" outlineLevel="1" x14ac:dyDescent="0.2">
      <c r="C190" s="416"/>
      <c r="D190" s="416"/>
      <c r="F190" s="416"/>
      <c r="G190" s="416"/>
      <c r="H190" s="416"/>
      <c r="I190" s="416"/>
      <c r="J190" s="416"/>
      <c r="K190" s="416"/>
      <c r="L190" s="416"/>
      <c r="M190" s="416"/>
      <c r="N190" s="416"/>
      <c r="O190" s="416"/>
      <c r="P190" s="416"/>
      <c r="Q190" s="416"/>
      <c r="R190" s="416"/>
      <c r="S190" s="416"/>
      <c r="T190" s="416"/>
      <c r="U190" s="416"/>
      <c r="W190" s="416"/>
      <c r="AB190" s="416"/>
      <c r="AC190" s="416"/>
      <c r="AD190" s="416"/>
    </row>
    <row r="191" spans="3:30" ht="12.75" hidden="1" customHeight="1" outlineLevel="1" x14ac:dyDescent="0.2">
      <c r="C191" s="416"/>
      <c r="D191" s="416"/>
      <c r="F191" s="416"/>
      <c r="G191" s="416"/>
      <c r="H191" s="416"/>
      <c r="I191" s="416"/>
      <c r="J191" s="416"/>
      <c r="K191" s="416"/>
      <c r="L191" s="416"/>
      <c r="M191" s="416"/>
      <c r="N191" s="416"/>
      <c r="O191" s="416"/>
      <c r="P191" s="416"/>
      <c r="Q191" s="416"/>
      <c r="R191" s="416"/>
      <c r="S191" s="416"/>
      <c r="T191" s="416"/>
      <c r="U191" s="416"/>
      <c r="W191" s="416"/>
      <c r="Z191" s="919" t="str">
        <f>IF(AC193&lt;&gt;"",MsgNote &amp; VLOOKUP("PRate",WarningMessages,2),"")</f>
        <v/>
      </c>
      <c r="AA191" s="919"/>
      <c r="AB191" s="919"/>
      <c r="AC191" s="919"/>
      <c r="AD191" s="919"/>
    </row>
    <row r="192" spans="3:30" ht="12.75" hidden="1" customHeight="1" outlineLevel="1" x14ac:dyDescent="0.2">
      <c r="C192" s="416"/>
      <c r="D192" s="416"/>
      <c r="F192" s="416"/>
      <c r="G192" s="416"/>
      <c r="H192" s="416"/>
      <c r="I192" s="416"/>
      <c r="J192" s="416"/>
      <c r="K192" s="416"/>
      <c r="L192" s="552"/>
      <c r="M192" s="552"/>
      <c r="N192" s="552"/>
      <c r="O192" s="552"/>
      <c r="P192" s="552"/>
      <c r="Q192" s="552"/>
      <c r="R192" s="416"/>
      <c r="S192" s="416"/>
      <c r="T192" s="416"/>
      <c r="U192" s="416"/>
      <c r="W192" s="416"/>
      <c r="AB192" s="416"/>
      <c r="AC192" s="416"/>
      <c r="AD192" s="416"/>
    </row>
    <row r="193" spans="3:30" ht="12.75" hidden="1" customHeight="1" outlineLevel="1" x14ac:dyDescent="0.2">
      <c r="C193" s="416"/>
      <c r="D193" s="318"/>
      <c r="F193" s="733">
        <f t="shared" ref="F193" si="302">G193-1</f>
        <v>2015</v>
      </c>
      <c r="G193" s="733">
        <f t="shared" ref="G193" si="303">H193-1</f>
        <v>2016</v>
      </c>
      <c r="H193" s="733">
        <f t="shared" ref="H193" si="304">I193-1</f>
        <v>2017</v>
      </c>
      <c r="I193" s="733">
        <f t="shared" ref="I193" si="305">J193-1</f>
        <v>2018</v>
      </c>
      <c r="J193" s="733">
        <f t="shared" ref="J193" si="306">K193-1</f>
        <v>2019</v>
      </c>
      <c r="K193" s="733">
        <f t="shared" ref="K193" si="307">L193-1</f>
        <v>2020</v>
      </c>
      <c r="L193" s="733">
        <f>FirstYear</f>
        <v>2021</v>
      </c>
      <c r="M193" s="733">
        <f>L193+1</f>
        <v>2022</v>
      </c>
      <c r="N193" s="733">
        <f>M193+1</f>
        <v>2023</v>
      </c>
      <c r="O193" s="733">
        <f>N193+1</f>
        <v>2024</v>
      </c>
      <c r="P193" s="733">
        <f>O193+1</f>
        <v>2025</v>
      </c>
      <c r="Q193" s="733">
        <f>P193+1</f>
        <v>2026</v>
      </c>
      <c r="R193" s="416"/>
      <c r="S193" s="921" t="s">
        <v>1301</v>
      </c>
      <c r="T193" s="921"/>
      <c r="U193" s="416"/>
      <c r="W193" s="416"/>
      <c r="Z193" s="918" t="s">
        <v>1304</v>
      </c>
      <c r="AA193" s="918"/>
      <c r="AB193" s="918"/>
      <c r="AC193" s="544"/>
      <c r="AD193" s="416"/>
    </row>
    <row r="194" spans="3:30" ht="12.75" hidden="1" customHeight="1" outlineLevel="1" x14ac:dyDescent="0.2">
      <c r="C194" s="551">
        <v>12</v>
      </c>
      <c r="D194" s="920" t="s">
        <v>282</v>
      </c>
      <c r="E194" s="882"/>
      <c r="F194" s="550">
        <f>F178*VLOOKUP(C205,PRate01,3,FALSE)</f>
        <v>0</v>
      </c>
      <c r="G194" s="550">
        <f>G178*VLOOKUP(C204,PRate01,3,FALSE)</f>
        <v>0</v>
      </c>
      <c r="H194" s="550">
        <f>H178*VLOOKUP(C203,PRate01,3,FALSE)</f>
        <v>0</v>
      </c>
      <c r="I194" s="550">
        <f>I178*VLOOKUP(C202,PRate01,3,FALSE)</f>
        <v>0</v>
      </c>
      <c r="J194" s="550">
        <f>J178*VLOOKUP(C201,PRate01,3,FALSE)</f>
        <v>0</v>
      </c>
      <c r="K194" s="550">
        <f t="shared" ref="K194:K199" si="308">K178*VLOOKUP(C200,PRate01,3,FALSE)</f>
        <v>0</v>
      </c>
      <c r="L194" s="550">
        <f t="shared" ref="L194:L200" si="309">L178*VLOOKUP(C199,PRate01,3,FALSE)</f>
        <v>0</v>
      </c>
      <c r="M194" s="550">
        <f t="shared" ref="M194:M201" si="310">M178*VLOOKUP(C198,PRate01,3,FALSE)</f>
        <v>0</v>
      </c>
      <c r="N194" s="550">
        <f t="shared" ref="N194:N202" si="311">N178*VLOOKUP(C197,PRate01,3,FALSE)</f>
        <v>0</v>
      </c>
      <c r="O194" s="550">
        <f t="shared" ref="O194:O203" si="312">O178*VLOOKUP(C196,PRate01,3,FALSE)</f>
        <v>0</v>
      </c>
      <c r="P194" s="550">
        <f t="shared" ref="P194:P204" si="313">P178*VLOOKUP(C195,PRate01,3,FALSE)</f>
        <v>0</v>
      </c>
      <c r="Q194" s="550">
        <f t="shared" ref="Q194:Q205" si="314">Q178*VLOOKUP(C194,PRate01,3,FALSE)</f>
        <v>0</v>
      </c>
      <c r="R194" s="416"/>
      <c r="S194" s="547" t="s">
        <v>1005</v>
      </c>
      <c r="T194" s="548"/>
      <c r="U194" s="416"/>
      <c r="W194" s="416"/>
      <c r="X194" s="553"/>
      <c r="Y194" s="553"/>
      <c r="Z194" s="553"/>
      <c r="AA194" s="553"/>
      <c r="AB194" s="416"/>
      <c r="AC194" s="416"/>
      <c r="AD194" s="416"/>
    </row>
    <row r="195" spans="3:30" ht="12.75" hidden="1" customHeight="1" outlineLevel="1" x14ac:dyDescent="0.2">
      <c r="C195" s="551">
        <v>11</v>
      </c>
      <c r="D195" s="920" t="s">
        <v>283</v>
      </c>
      <c r="E195" s="882"/>
      <c r="F195" s="319"/>
      <c r="G195" s="550">
        <f>G179*VLOOKUP(C205,PRate01,3,FALSE)</f>
        <v>0</v>
      </c>
      <c r="H195" s="550">
        <f>H179*VLOOKUP(C204,PRate01,3,FALSE)</f>
        <v>0</v>
      </c>
      <c r="I195" s="550">
        <f>I179*VLOOKUP(C203,PRate01,3,FALSE)</f>
        <v>0</v>
      </c>
      <c r="J195" s="550">
        <f>J179*VLOOKUP(C202,PRate01,3,FALSE)</f>
        <v>0</v>
      </c>
      <c r="K195" s="550">
        <f t="shared" si="308"/>
        <v>0</v>
      </c>
      <c r="L195" s="550">
        <f t="shared" si="309"/>
        <v>0</v>
      </c>
      <c r="M195" s="550">
        <f t="shared" si="310"/>
        <v>0</v>
      </c>
      <c r="N195" s="550">
        <f t="shared" si="311"/>
        <v>0</v>
      </c>
      <c r="O195" s="550">
        <f t="shared" si="312"/>
        <v>0</v>
      </c>
      <c r="P195" s="550">
        <f t="shared" si="313"/>
        <v>0</v>
      </c>
      <c r="Q195" s="550">
        <f t="shared" si="314"/>
        <v>0</v>
      </c>
      <c r="R195" s="416"/>
      <c r="S195" s="42" t="s">
        <v>1006</v>
      </c>
      <c r="T195" s="544"/>
      <c r="U195" s="416"/>
      <c r="W195" s="416"/>
      <c r="X195" s="553"/>
      <c r="Y195" s="553"/>
      <c r="Z195" s="42" t="s">
        <v>258</v>
      </c>
      <c r="AA195" s="914"/>
      <c r="AB195" s="914"/>
      <c r="AC195" s="914"/>
      <c r="AD195" s="914"/>
    </row>
    <row r="196" spans="3:30" s="416" customFormat="1" ht="12.75" hidden="1" customHeight="1" outlineLevel="1" x14ac:dyDescent="0.2">
      <c r="C196" s="551">
        <v>10</v>
      </c>
      <c r="D196" s="920" t="s">
        <v>284</v>
      </c>
      <c r="E196" s="882"/>
      <c r="F196" s="319"/>
      <c r="G196" s="319"/>
      <c r="H196" s="550">
        <f>H180*VLOOKUP(C205,PRate01,3,FALSE)</f>
        <v>0</v>
      </c>
      <c r="I196" s="550">
        <f>I180*VLOOKUP(C204,PRate01,3,FALSE)</f>
        <v>0</v>
      </c>
      <c r="J196" s="550">
        <f>J180*VLOOKUP(C203,PRate01,3,FALSE)</f>
        <v>0</v>
      </c>
      <c r="K196" s="550">
        <f t="shared" si="308"/>
        <v>0</v>
      </c>
      <c r="L196" s="550">
        <f t="shared" si="309"/>
        <v>0</v>
      </c>
      <c r="M196" s="550">
        <f t="shared" si="310"/>
        <v>0</v>
      </c>
      <c r="N196" s="550">
        <f t="shared" si="311"/>
        <v>0</v>
      </c>
      <c r="O196" s="550">
        <f t="shared" si="312"/>
        <v>0</v>
      </c>
      <c r="P196" s="550">
        <f t="shared" si="313"/>
        <v>0</v>
      </c>
      <c r="Q196" s="550">
        <f t="shared" si="314"/>
        <v>0</v>
      </c>
      <c r="S196" s="42" t="s">
        <v>1007</v>
      </c>
      <c r="T196" s="544"/>
      <c r="X196" s="553"/>
      <c r="Y196" s="553"/>
      <c r="Z196" s="553"/>
      <c r="AA196" s="553"/>
    </row>
    <row r="197" spans="3:30" s="416" customFormat="1" ht="12.75" hidden="1" customHeight="1" outlineLevel="1" x14ac:dyDescent="0.2">
      <c r="C197" s="551">
        <v>9</v>
      </c>
      <c r="D197" s="920" t="s">
        <v>285</v>
      </c>
      <c r="E197" s="882"/>
      <c r="F197" s="319"/>
      <c r="G197" s="319"/>
      <c r="H197" s="319"/>
      <c r="I197" s="550">
        <f>I181*VLOOKUP(C205,PRate01,3,FALSE)</f>
        <v>0</v>
      </c>
      <c r="J197" s="550">
        <f>J181*VLOOKUP(C204,PRate01,3,FALSE)</f>
        <v>0</v>
      </c>
      <c r="K197" s="550">
        <f t="shared" si="308"/>
        <v>0</v>
      </c>
      <c r="L197" s="550">
        <f t="shared" si="309"/>
        <v>0</v>
      </c>
      <c r="M197" s="550">
        <f t="shared" si="310"/>
        <v>0</v>
      </c>
      <c r="N197" s="550">
        <f t="shared" si="311"/>
        <v>0</v>
      </c>
      <c r="O197" s="550">
        <f t="shared" si="312"/>
        <v>0</v>
      </c>
      <c r="P197" s="550">
        <f t="shared" si="313"/>
        <v>0</v>
      </c>
      <c r="Q197" s="550">
        <f t="shared" si="314"/>
        <v>0</v>
      </c>
      <c r="S197" s="42" t="s">
        <v>1008</v>
      </c>
      <c r="T197" s="544"/>
      <c r="X197" s="553"/>
      <c r="Y197" s="553"/>
      <c r="Z197" s="553"/>
      <c r="AA197" s="553"/>
    </row>
    <row r="198" spans="3:30" s="416" customFormat="1" ht="12.75" hidden="1" customHeight="1" outlineLevel="1" x14ac:dyDescent="0.2">
      <c r="C198" s="551">
        <v>8</v>
      </c>
      <c r="D198" s="920" t="s">
        <v>286</v>
      </c>
      <c r="E198" s="882"/>
      <c r="F198" s="319"/>
      <c r="G198" s="319"/>
      <c r="H198" s="319"/>
      <c r="I198" s="319"/>
      <c r="J198" s="550">
        <f>J182*VLOOKUP(C205,PRate01,3,FALSE)</f>
        <v>0</v>
      </c>
      <c r="K198" s="550">
        <f t="shared" si="308"/>
        <v>0</v>
      </c>
      <c r="L198" s="550">
        <f t="shared" si="309"/>
        <v>0</v>
      </c>
      <c r="M198" s="550">
        <f t="shared" si="310"/>
        <v>0</v>
      </c>
      <c r="N198" s="550">
        <f t="shared" si="311"/>
        <v>0</v>
      </c>
      <c r="O198" s="550">
        <f t="shared" si="312"/>
        <v>0</v>
      </c>
      <c r="P198" s="550">
        <f t="shared" si="313"/>
        <v>0</v>
      </c>
      <c r="Q198" s="550">
        <f t="shared" si="314"/>
        <v>0</v>
      </c>
      <c r="S198" s="42" t="s">
        <v>1009</v>
      </c>
      <c r="T198" s="544"/>
      <c r="X198" s="553"/>
      <c r="Y198" s="553"/>
      <c r="Z198" s="553"/>
      <c r="AA198" s="553"/>
    </row>
    <row r="199" spans="3:30" s="416" customFormat="1" ht="12.75" hidden="1" customHeight="1" outlineLevel="1" x14ac:dyDescent="0.2">
      <c r="C199" s="551">
        <v>7</v>
      </c>
      <c r="D199" s="920" t="s">
        <v>287</v>
      </c>
      <c r="E199" s="882"/>
      <c r="F199" s="319"/>
      <c r="G199" s="319"/>
      <c r="H199" s="319"/>
      <c r="I199" s="319"/>
      <c r="J199" s="319"/>
      <c r="K199" s="550">
        <f t="shared" si="308"/>
        <v>0</v>
      </c>
      <c r="L199" s="550">
        <f t="shared" si="309"/>
        <v>0</v>
      </c>
      <c r="M199" s="550">
        <f t="shared" si="310"/>
        <v>0</v>
      </c>
      <c r="N199" s="550">
        <f t="shared" si="311"/>
        <v>0</v>
      </c>
      <c r="O199" s="550">
        <f t="shared" si="312"/>
        <v>0</v>
      </c>
      <c r="P199" s="550">
        <f t="shared" si="313"/>
        <v>0</v>
      </c>
      <c r="Q199" s="550">
        <f t="shared" si="314"/>
        <v>0</v>
      </c>
      <c r="S199" s="42" t="s">
        <v>1010</v>
      </c>
      <c r="T199" s="544"/>
      <c r="X199" s="553"/>
      <c r="Y199" s="553"/>
      <c r="Z199" s="553"/>
      <c r="AA199" s="553"/>
    </row>
    <row r="200" spans="3:30" s="416" customFormat="1" ht="12.75" hidden="1" customHeight="1" outlineLevel="1" x14ac:dyDescent="0.2">
      <c r="C200" s="551">
        <v>6</v>
      </c>
      <c r="D200" s="920" t="s">
        <v>474</v>
      </c>
      <c r="E200" s="882"/>
      <c r="F200" s="319"/>
      <c r="G200" s="319"/>
      <c r="H200" s="319"/>
      <c r="I200" s="319"/>
      <c r="J200" s="319"/>
      <c r="K200" s="319"/>
      <c r="L200" s="550">
        <f t="shared" si="309"/>
        <v>0</v>
      </c>
      <c r="M200" s="550">
        <f t="shared" si="310"/>
        <v>0</v>
      </c>
      <c r="N200" s="550">
        <f t="shared" si="311"/>
        <v>0</v>
      </c>
      <c r="O200" s="550">
        <f t="shared" si="312"/>
        <v>0</v>
      </c>
      <c r="P200" s="550">
        <f t="shared" si="313"/>
        <v>0</v>
      </c>
      <c r="Q200" s="550">
        <f t="shared" si="314"/>
        <v>0</v>
      </c>
      <c r="S200" s="42" t="s">
        <v>1011</v>
      </c>
      <c r="T200" s="544"/>
      <c r="X200" s="553"/>
      <c r="Y200" s="553"/>
      <c r="Z200" s="553"/>
      <c r="AA200" s="553"/>
    </row>
    <row r="201" spans="3:30" s="416" customFormat="1" ht="12.75" hidden="1" customHeight="1" outlineLevel="1" x14ac:dyDescent="0.2">
      <c r="C201" s="551">
        <v>5</v>
      </c>
      <c r="D201" s="920" t="s">
        <v>475</v>
      </c>
      <c r="E201" s="882"/>
      <c r="F201" s="319"/>
      <c r="G201" s="319"/>
      <c r="H201" s="319"/>
      <c r="I201" s="319"/>
      <c r="J201" s="319"/>
      <c r="K201" s="319"/>
      <c r="L201" s="319"/>
      <c r="M201" s="550">
        <f t="shared" si="310"/>
        <v>0</v>
      </c>
      <c r="N201" s="550">
        <f t="shared" si="311"/>
        <v>0</v>
      </c>
      <c r="O201" s="550">
        <f t="shared" si="312"/>
        <v>0</v>
      </c>
      <c r="P201" s="550">
        <f t="shared" si="313"/>
        <v>0</v>
      </c>
      <c r="Q201" s="550">
        <f t="shared" si="314"/>
        <v>0</v>
      </c>
      <c r="S201" s="42" t="s">
        <v>1012</v>
      </c>
      <c r="T201" s="544"/>
      <c r="X201" s="553"/>
      <c r="Y201" s="553"/>
      <c r="Z201" s="553"/>
      <c r="AA201" s="553"/>
    </row>
    <row r="202" spans="3:30" s="416" customFormat="1" ht="12.75" hidden="1" customHeight="1" outlineLevel="1" x14ac:dyDescent="0.2">
      <c r="C202" s="551">
        <v>4</v>
      </c>
      <c r="D202" s="920" t="s">
        <v>476</v>
      </c>
      <c r="E202" s="882"/>
      <c r="F202" s="319"/>
      <c r="G202" s="319"/>
      <c r="H202" s="319"/>
      <c r="I202" s="319"/>
      <c r="J202" s="319"/>
      <c r="K202" s="319"/>
      <c r="L202" s="319"/>
      <c r="M202" s="319"/>
      <c r="N202" s="550">
        <f t="shared" si="311"/>
        <v>0</v>
      </c>
      <c r="O202" s="550">
        <f t="shared" si="312"/>
        <v>0</v>
      </c>
      <c r="P202" s="550">
        <f t="shared" si="313"/>
        <v>0</v>
      </c>
      <c r="Q202" s="550">
        <f t="shared" si="314"/>
        <v>0</v>
      </c>
      <c r="S202" s="42" t="s">
        <v>1013</v>
      </c>
      <c r="T202" s="544"/>
      <c r="X202" s="553"/>
      <c r="Y202" s="553"/>
      <c r="Z202" s="553"/>
      <c r="AA202" s="553"/>
    </row>
    <row r="203" spans="3:30" s="416" customFormat="1" ht="12.75" hidden="1" customHeight="1" outlineLevel="1" x14ac:dyDescent="0.2">
      <c r="C203" s="551">
        <v>3</v>
      </c>
      <c r="D203" s="920" t="s">
        <v>477</v>
      </c>
      <c r="E203" s="882"/>
      <c r="F203" s="319"/>
      <c r="G203" s="319"/>
      <c r="H203" s="319"/>
      <c r="I203" s="319"/>
      <c r="J203" s="319"/>
      <c r="K203" s="319"/>
      <c r="L203" s="319"/>
      <c r="M203" s="319"/>
      <c r="N203" s="319"/>
      <c r="O203" s="550">
        <f t="shared" si="312"/>
        <v>0</v>
      </c>
      <c r="P203" s="550">
        <f t="shared" si="313"/>
        <v>0</v>
      </c>
      <c r="Q203" s="550">
        <f t="shared" si="314"/>
        <v>0</v>
      </c>
      <c r="S203" s="42" t="s">
        <v>1014</v>
      </c>
      <c r="T203" s="544"/>
      <c r="X203" s="553"/>
      <c r="Y203" s="553"/>
      <c r="Z203" s="553"/>
      <c r="AA203" s="553"/>
    </row>
    <row r="204" spans="3:30" s="416" customFormat="1" ht="12.75" hidden="1" customHeight="1" outlineLevel="1" x14ac:dyDescent="0.2">
      <c r="C204" s="551">
        <v>2</v>
      </c>
      <c r="D204" s="920" t="s">
        <v>478</v>
      </c>
      <c r="E204" s="882"/>
      <c r="F204" s="319"/>
      <c r="G204" s="319"/>
      <c r="H204" s="319"/>
      <c r="I204" s="319"/>
      <c r="J204" s="319"/>
      <c r="K204" s="319"/>
      <c r="L204" s="319"/>
      <c r="M204" s="319"/>
      <c r="N204" s="319"/>
      <c r="O204" s="546"/>
      <c r="P204" s="550">
        <f t="shared" si="313"/>
        <v>0</v>
      </c>
      <c r="Q204" s="550">
        <f t="shared" si="314"/>
        <v>0</v>
      </c>
      <c r="S204" s="42" t="s">
        <v>1015</v>
      </c>
      <c r="T204" s="544"/>
      <c r="X204" s="553"/>
      <c r="Y204" s="553"/>
      <c r="Z204" s="553"/>
      <c r="AA204" s="553"/>
    </row>
    <row r="205" spans="3:30" s="416" customFormat="1" ht="12.75" hidden="1" customHeight="1" outlineLevel="1" x14ac:dyDescent="0.2">
      <c r="C205" s="551">
        <v>1</v>
      </c>
      <c r="D205" s="920" t="s">
        <v>479</v>
      </c>
      <c r="E205" s="882"/>
      <c r="F205" s="319"/>
      <c r="G205" s="319"/>
      <c r="H205" s="319"/>
      <c r="I205" s="319"/>
      <c r="J205" s="319"/>
      <c r="K205" s="319"/>
      <c r="L205" s="319"/>
      <c r="M205" s="319"/>
      <c r="N205" s="319"/>
      <c r="O205" s="546"/>
      <c r="P205" s="546"/>
      <c r="Q205" s="550">
        <f t="shared" si="314"/>
        <v>0</v>
      </c>
      <c r="S205" s="42" t="s">
        <v>1035</v>
      </c>
      <c r="T205" s="544"/>
    </row>
    <row r="206" spans="3:30" s="416" customFormat="1" ht="12.75" hidden="1" customHeight="1" outlineLevel="1" x14ac:dyDescent="0.2">
      <c r="K206" s="736" t="s">
        <v>73</v>
      </c>
      <c r="L206" s="321">
        <f>IFERROR((SUM(L194:L199)+IF(MATCH($AC$54,Switch,0)=1,L200,0)),0)</f>
        <v>0</v>
      </c>
      <c r="M206" s="321">
        <f>IFERROR((SUM(M194:M200)+IF(MATCH($AC$54,Switch,0)=1,M201,0)),0)</f>
        <v>0</v>
      </c>
      <c r="N206" s="321">
        <f>IFERROR((SUM(N194:N201)+IF(MATCH($AC$54,Switch,0)=1,N202,0)),0)</f>
        <v>0</v>
      </c>
      <c r="O206" s="321">
        <f>IFERROR((SUM(O194:O202)+IF(MATCH($AC$54,Switch,0)=1,O203,0)),0)</f>
        <v>0</v>
      </c>
      <c r="P206" s="321">
        <f>IFERROR((SUM(P194:P203)+IF(MATCH($AC$54,Switch,0)=1,P204,0)),0)</f>
        <v>0</v>
      </c>
      <c r="Q206" s="321">
        <f>IFERROR((SUM(Q194:Q204)+IF(MATCH($AC$54,Switch,0)=1,Q205,0)),0)</f>
        <v>0</v>
      </c>
      <c r="Z206" s="915" t="s">
        <v>1302</v>
      </c>
      <c r="AA206" s="916"/>
      <c r="AB206" s="917"/>
      <c r="AC206" s="743" t="s">
        <v>9</v>
      </c>
    </row>
    <row r="207" spans="3:30" s="416" customFormat="1" ht="12.75" hidden="1" customHeight="1" outlineLevel="1" x14ac:dyDescent="0.2"/>
    <row r="208" spans="3:30" ht="12.75" customHeight="1" collapsed="1" x14ac:dyDescent="0.2">
      <c r="C208" s="416"/>
      <c r="D208" s="416"/>
      <c r="F208" s="416"/>
      <c r="G208" s="416"/>
      <c r="H208" s="416"/>
      <c r="I208" s="416"/>
      <c r="J208" s="416"/>
      <c r="K208" s="416"/>
      <c r="L208" s="416"/>
      <c r="M208" s="416"/>
      <c r="N208" s="416"/>
      <c r="O208" s="416"/>
      <c r="P208" s="416"/>
      <c r="Q208" s="416"/>
      <c r="R208" s="416"/>
      <c r="S208" s="416"/>
      <c r="T208" s="416"/>
      <c r="U208" s="416"/>
      <c r="W208" s="416"/>
      <c r="AB208" s="416"/>
      <c r="AC208" s="416"/>
      <c r="AD208" s="416"/>
    </row>
    <row r="209" spans="1:30" s="416" customFormat="1" ht="15.75" x14ac:dyDescent="0.2">
      <c r="A209" s="194"/>
      <c r="B209" s="242">
        <f>IF(G211&lt;&gt;"",1,0)</f>
        <v>0</v>
      </c>
      <c r="C209" s="242">
        <v>6</v>
      </c>
      <c r="D209" s="79" t="str">
        <f>IF(B209=0,MsgNotUsed, CONCATENATE("Persistent ", C209, ": ", G211, " (", F215, "-", Q215, ")"))</f>
        <v>** NOT USED **</v>
      </c>
      <c r="E209" s="127"/>
      <c r="F209" s="127"/>
      <c r="G209" s="127"/>
      <c r="H209" s="127"/>
      <c r="I209" s="127"/>
      <c r="J209" s="175"/>
      <c r="K209" s="127"/>
      <c r="L209" s="127"/>
      <c r="M209" s="127"/>
      <c r="N209" s="260"/>
      <c r="O209" s="260"/>
      <c r="P209" s="260"/>
      <c r="Q209" s="260"/>
      <c r="R209" s="260"/>
      <c r="S209" s="260"/>
      <c r="T209" s="260"/>
      <c r="U209" s="260"/>
      <c r="V209" s="260"/>
      <c r="W209" s="260"/>
      <c r="X209" s="260"/>
      <c r="Y209" s="260"/>
      <c r="Z209" s="260"/>
      <c r="AA209" s="260"/>
      <c r="AB209" s="260"/>
      <c r="AC209" s="260"/>
      <c r="AD209" s="260"/>
    </row>
    <row r="210" spans="1:30" s="416" customFormat="1" ht="12.75" hidden="1" customHeight="1" outlineLevel="1" x14ac:dyDescent="0.2"/>
    <row r="211" spans="1:30" s="416" customFormat="1" ht="12.75" hidden="1" customHeight="1" outlineLevel="1" x14ac:dyDescent="0.2">
      <c r="F211" s="42" t="s">
        <v>480</v>
      </c>
      <c r="G211" s="913"/>
      <c r="H211" s="881"/>
      <c r="I211" s="881"/>
      <c r="J211" s="881"/>
      <c r="K211" s="881"/>
      <c r="L211" s="882"/>
    </row>
    <row r="212" spans="1:30" s="416" customFormat="1" ht="12.75" hidden="1" customHeight="1" outlineLevel="1" x14ac:dyDescent="0.2"/>
    <row r="213" spans="1:30" s="416" customFormat="1" ht="12.75" hidden="1" customHeight="1" outlineLevel="1" x14ac:dyDescent="0.2">
      <c r="F213" s="42" t="s">
        <v>258</v>
      </c>
      <c r="G213" s="913"/>
      <c r="H213" s="881"/>
      <c r="I213" s="881"/>
      <c r="J213" s="881"/>
      <c r="K213" s="881"/>
      <c r="L213" s="882"/>
      <c r="Z213" s="919" t="str">
        <f>IF(AC215&lt;&gt;"",MsgNote &amp; VLOOKUP("PRate",WarningMessages,2),"")</f>
        <v/>
      </c>
      <c r="AA213" s="919"/>
      <c r="AB213" s="919"/>
      <c r="AC213" s="919"/>
      <c r="AD213" s="919"/>
    </row>
    <row r="214" spans="1:30" s="416" customFormat="1" ht="12.75" hidden="1" customHeight="1" outlineLevel="1" x14ac:dyDescent="0.2">
      <c r="G214" s="557">
        <v>1</v>
      </c>
      <c r="H214" s="557">
        <v>2</v>
      </c>
      <c r="I214" s="557">
        <v>3</v>
      </c>
      <c r="J214" s="557">
        <v>4</v>
      </c>
      <c r="K214" s="557">
        <v>5</v>
      </c>
      <c r="L214" s="557">
        <v>6</v>
      </c>
      <c r="M214" s="557">
        <v>7</v>
      </c>
      <c r="N214" s="557">
        <v>8</v>
      </c>
      <c r="O214" s="557">
        <v>9</v>
      </c>
      <c r="P214" s="557">
        <v>10</v>
      </c>
      <c r="Q214" s="557">
        <v>11</v>
      </c>
    </row>
    <row r="215" spans="1:30" s="416" customFormat="1" ht="12.75" hidden="1" customHeight="1" outlineLevel="1" x14ac:dyDescent="0.2">
      <c r="D215" s="318"/>
      <c r="E215" s="733" t="s">
        <v>1065</v>
      </c>
      <c r="F215" s="733">
        <f t="shared" ref="F215" si="315">G215-1</f>
        <v>2015</v>
      </c>
      <c r="G215" s="733">
        <f t="shared" ref="G215" si="316">H215-1</f>
        <v>2016</v>
      </c>
      <c r="H215" s="733">
        <f t="shared" ref="H215" si="317">I215-1</f>
        <v>2017</v>
      </c>
      <c r="I215" s="733">
        <f t="shared" ref="I215" si="318">J215-1</f>
        <v>2018</v>
      </c>
      <c r="J215" s="733">
        <f t="shared" ref="J215" si="319">K215-1</f>
        <v>2019</v>
      </c>
      <c r="K215" s="733">
        <f t="shared" ref="K215" si="320">L215-1</f>
        <v>2020</v>
      </c>
      <c r="L215" s="733">
        <f>FirstYear</f>
        <v>2021</v>
      </c>
      <c r="M215" s="733">
        <f>L215+1</f>
        <v>2022</v>
      </c>
      <c r="N215" s="733">
        <f>M215+1</f>
        <v>2023</v>
      </c>
      <c r="O215" s="733">
        <f>N215+1</f>
        <v>2024</v>
      </c>
      <c r="P215" s="733">
        <f>O215+1</f>
        <v>2025</v>
      </c>
      <c r="Q215" s="733">
        <f>P215+1</f>
        <v>2026</v>
      </c>
      <c r="S215" s="921" t="s">
        <v>1300</v>
      </c>
      <c r="T215" s="921"/>
      <c r="Z215" s="918" t="s">
        <v>1303</v>
      </c>
      <c r="AA215" s="918"/>
      <c r="AB215" s="918"/>
      <c r="AC215" s="544"/>
    </row>
    <row r="216" spans="1:30" s="416" customFormat="1" ht="12.75" hidden="1" customHeight="1" outlineLevel="1" x14ac:dyDescent="0.2">
      <c r="D216" s="42" t="s">
        <v>282</v>
      </c>
      <c r="E216" s="320"/>
      <c r="F216" s="322">
        <f>E216</f>
        <v>0</v>
      </c>
      <c r="G216" s="322">
        <f t="shared" ref="G216" si="321">F216*VLOOKUP(G214,PRate01,2,FALSE)</f>
        <v>0</v>
      </c>
      <c r="H216" s="322">
        <f t="shared" ref="H216" si="322">G216*VLOOKUP(H214,PRate01,2,FALSE)</f>
        <v>0</v>
      </c>
      <c r="I216" s="322">
        <f t="shared" ref="I216" si="323">H216*VLOOKUP(I214,PRate01,2,FALSE)</f>
        <v>0</v>
      </c>
      <c r="J216" s="322">
        <f t="shared" ref="J216" si="324">I216*VLOOKUP(J214,PRate01,2,FALSE)</f>
        <v>0</v>
      </c>
      <c r="K216" s="322">
        <f t="shared" ref="K216" si="325">J216*VLOOKUP(K214,PRate01,2,FALSE)</f>
        <v>0</v>
      </c>
      <c r="L216" s="322">
        <f t="shared" ref="L216" si="326">K216*VLOOKUP(L214,PRate01,2,FALSE)</f>
        <v>0</v>
      </c>
      <c r="M216" s="322">
        <f t="shared" ref="M216" si="327">L216*VLOOKUP(M214,PRate01,2,FALSE)</f>
        <v>0</v>
      </c>
      <c r="N216" s="322">
        <f t="shared" ref="N216" si="328">M216*VLOOKUP(N214,PRate01,2,FALSE)</f>
        <v>0</v>
      </c>
      <c r="O216" s="322">
        <f t="shared" ref="O216" si="329">N216*VLOOKUP(O214,PRate01,2,FALSE)</f>
        <v>0</v>
      </c>
      <c r="P216" s="322">
        <f t="shared" ref="P216" si="330">O216*VLOOKUP(P214,PRate01,2,FALSE)</f>
        <v>0</v>
      </c>
      <c r="Q216" s="322">
        <f t="shared" ref="Q216" si="331">P216*VLOOKUP(Q214,PRate01,2,FALSE)</f>
        <v>0</v>
      </c>
      <c r="S216" s="547" t="s">
        <v>1005</v>
      </c>
      <c r="T216" s="548"/>
      <c r="V216" s="554">
        <v>1</v>
      </c>
      <c r="W216" s="549">
        <f>IF($AC$215&lt;&gt;"",$AC$215,T216)</f>
        <v>0</v>
      </c>
      <c r="X216" s="549">
        <f>IF($AC$231&lt;&gt;"",$AC$231,T232)</f>
        <v>0</v>
      </c>
      <c r="Y216" s="553"/>
      <c r="Z216" s="553"/>
      <c r="AA216" s="553"/>
    </row>
    <row r="217" spans="1:30" s="416" customFormat="1" ht="12.75" hidden="1" customHeight="1" outlineLevel="1" x14ac:dyDescent="0.2">
      <c r="D217" s="42" t="s">
        <v>283</v>
      </c>
      <c r="E217" s="320"/>
      <c r="F217" s="319"/>
      <c r="G217" s="322">
        <f>E217</f>
        <v>0</v>
      </c>
      <c r="H217" s="322">
        <f t="shared" ref="H217" si="332">G217*VLOOKUP(G214,PRate01,2,FALSE)</f>
        <v>0</v>
      </c>
      <c r="I217" s="322">
        <f t="shared" ref="I217" si="333">H217*VLOOKUP(H214,PRate01,2,FALSE)</f>
        <v>0</v>
      </c>
      <c r="J217" s="322">
        <f t="shared" ref="J217" si="334">I217*VLOOKUP(I214,PRate01,2,FALSE)</f>
        <v>0</v>
      </c>
      <c r="K217" s="322">
        <f t="shared" ref="K217" si="335">J217*VLOOKUP(J214,PRate01,2,FALSE)</f>
        <v>0</v>
      </c>
      <c r="L217" s="322">
        <f t="shared" ref="L217" si="336">K217*VLOOKUP(K214,PRate01,2,FALSE)</f>
        <v>0</v>
      </c>
      <c r="M217" s="322">
        <f t="shared" ref="M217" si="337">L217*VLOOKUP(L214,PRate01,2,FALSE)</f>
        <v>0</v>
      </c>
      <c r="N217" s="322">
        <f t="shared" ref="N217" si="338">M217*VLOOKUP(M214,PRate01,2,FALSE)</f>
        <v>0</v>
      </c>
      <c r="O217" s="322">
        <f t="shared" ref="O217" si="339">N217*VLOOKUP(N214,PRate01,2,FALSE)</f>
        <v>0</v>
      </c>
      <c r="P217" s="322">
        <f t="shared" ref="P217" si="340">O217*VLOOKUP(O214,PRate01,2,FALSE)</f>
        <v>0</v>
      </c>
      <c r="Q217" s="322">
        <f t="shared" ref="Q217" si="341">P217*VLOOKUP(P214,PRate01,2,FALSE)</f>
        <v>0</v>
      </c>
      <c r="S217" s="42" t="s">
        <v>1006</v>
      </c>
      <c r="T217" s="544"/>
      <c r="V217" s="554">
        <v>2</v>
      </c>
      <c r="W217" s="549">
        <f t="shared" ref="W217:W226" si="342">IF($AC$215&lt;&gt;"",$AC$215,T217)</f>
        <v>0</v>
      </c>
      <c r="X217" s="549">
        <f t="shared" ref="X217:X227" si="343">IF($AC$231&lt;&gt;"",$AC$231,T233)</f>
        <v>0</v>
      </c>
      <c r="Z217" s="42" t="s">
        <v>258</v>
      </c>
      <c r="AA217" s="914"/>
      <c r="AB217" s="914"/>
      <c r="AC217" s="914"/>
      <c r="AD217" s="914"/>
    </row>
    <row r="218" spans="1:30" s="416" customFormat="1" ht="12.75" hidden="1" customHeight="1" outlineLevel="1" x14ac:dyDescent="0.2">
      <c r="D218" s="42" t="s">
        <v>284</v>
      </c>
      <c r="E218" s="320"/>
      <c r="F218" s="319"/>
      <c r="G218" s="319"/>
      <c r="H218" s="322">
        <f>E218</f>
        <v>0</v>
      </c>
      <c r="I218" s="322">
        <f t="shared" ref="I218" si="344">H218*VLOOKUP(G214,PRate01,2,FALSE)</f>
        <v>0</v>
      </c>
      <c r="J218" s="322">
        <f t="shared" ref="J218" si="345">I218*VLOOKUP(H214,PRate01,2,FALSE)</f>
        <v>0</v>
      </c>
      <c r="K218" s="322">
        <f t="shared" ref="K218" si="346">J218*VLOOKUP(I214,PRate01,2,FALSE)</f>
        <v>0</v>
      </c>
      <c r="L218" s="322">
        <f t="shared" ref="L218" si="347">K218*VLOOKUP(J214,PRate01,2,FALSE)</f>
        <v>0</v>
      </c>
      <c r="M218" s="322">
        <f t="shared" ref="M218" si="348">L218*VLOOKUP(K214,PRate01,2,FALSE)</f>
        <v>0</v>
      </c>
      <c r="N218" s="322">
        <f t="shared" ref="N218" si="349">M218*VLOOKUP(L214,PRate01,2,FALSE)</f>
        <v>0</v>
      </c>
      <c r="O218" s="322">
        <f t="shared" ref="O218" si="350">N218*VLOOKUP(M214,PRate01,2,FALSE)</f>
        <v>0</v>
      </c>
      <c r="P218" s="322">
        <f t="shared" ref="P218" si="351">O218*VLOOKUP(N214,PRate01,2,FALSE)</f>
        <v>0</v>
      </c>
      <c r="Q218" s="322">
        <f t="shared" ref="Q218" si="352">P218*VLOOKUP(O214,PRate01,2,FALSE)</f>
        <v>0</v>
      </c>
      <c r="S218" s="42" t="s">
        <v>1007</v>
      </c>
      <c r="T218" s="544"/>
      <c r="V218" s="554">
        <v>3</v>
      </c>
      <c r="W218" s="549">
        <f t="shared" si="342"/>
        <v>0</v>
      </c>
      <c r="X218" s="549">
        <f t="shared" si="343"/>
        <v>0</v>
      </c>
      <c r="Y218" s="553"/>
      <c r="Z218" s="553"/>
      <c r="AA218" s="553"/>
    </row>
    <row r="219" spans="1:30" s="416" customFormat="1" ht="12.75" hidden="1" customHeight="1" outlineLevel="1" x14ac:dyDescent="0.2">
      <c r="D219" s="42" t="s">
        <v>285</v>
      </c>
      <c r="E219" s="320"/>
      <c r="F219" s="319"/>
      <c r="G219" s="319"/>
      <c r="H219" s="319"/>
      <c r="I219" s="322">
        <f>E219</f>
        <v>0</v>
      </c>
      <c r="J219" s="322">
        <f t="shared" ref="J219" si="353">I219*VLOOKUP(G214,PRate01,2,FALSE)</f>
        <v>0</v>
      </c>
      <c r="K219" s="322">
        <f t="shared" ref="K219" si="354">J219*VLOOKUP(H214,PRate01,2,FALSE)</f>
        <v>0</v>
      </c>
      <c r="L219" s="322">
        <f t="shared" ref="L219" si="355">K219*VLOOKUP(I214,PRate01,2,FALSE)</f>
        <v>0</v>
      </c>
      <c r="M219" s="322">
        <f t="shared" ref="M219" si="356">L219*VLOOKUP(J214,PRate01,2,FALSE)</f>
        <v>0</v>
      </c>
      <c r="N219" s="322">
        <f t="shared" ref="N219" si="357">M219*VLOOKUP(K214,PRate01,2,FALSE)</f>
        <v>0</v>
      </c>
      <c r="O219" s="322">
        <f t="shared" ref="O219" si="358">N219*VLOOKUP(L214,PRate01,2,FALSE)</f>
        <v>0</v>
      </c>
      <c r="P219" s="322">
        <f t="shared" ref="P219" si="359">O219*VLOOKUP(M214,PRate01,2,FALSE)</f>
        <v>0</v>
      </c>
      <c r="Q219" s="322">
        <f t="shared" ref="Q219" si="360">P219*VLOOKUP(N214,PRate01,2,FALSE)</f>
        <v>0</v>
      </c>
      <c r="S219" s="42" t="s">
        <v>1008</v>
      </c>
      <c r="T219" s="544"/>
      <c r="V219" s="555">
        <v>4</v>
      </c>
      <c r="W219" s="549">
        <f t="shared" si="342"/>
        <v>0</v>
      </c>
      <c r="X219" s="549">
        <f t="shared" si="343"/>
        <v>0</v>
      </c>
      <c r="Y219" s="553"/>
      <c r="Z219" s="553"/>
      <c r="AA219" s="553"/>
    </row>
    <row r="220" spans="1:30" s="416" customFormat="1" ht="12.75" hidden="1" customHeight="1" outlineLevel="1" x14ac:dyDescent="0.2">
      <c r="D220" s="42" t="s">
        <v>286</v>
      </c>
      <c r="E220" s="320"/>
      <c r="F220" s="319"/>
      <c r="G220" s="319"/>
      <c r="H220" s="319"/>
      <c r="I220" s="319"/>
      <c r="J220" s="322">
        <f>E220</f>
        <v>0</v>
      </c>
      <c r="K220" s="322">
        <f t="shared" ref="K220" si="361">J220*VLOOKUP(G214,PRate01,2,FALSE)</f>
        <v>0</v>
      </c>
      <c r="L220" s="322">
        <f t="shared" ref="L220" si="362">K220*VLOOKUP(H214,PRate01,2,FALSE)</f>
        <v>0</v>
      </c>
      <c r="M220" s="322">
        <f t="shared" ref="M220" si="363">L220*VLOOKUP(I214,PRate01,2,FALSE)</f>
        <v>0</v>
      </c>
      <c r="N220" s="322">
        <f t="shared" ref="N220" si="364">M220*VLOOKUP(J214,PRate01,2,FALSE)</f>
        <v>0</v>
      </c>
      <c r="O220" s="322">
        <f t="shared" ref="O220" si="365">N220*VLOOKUP(K214,PRate01,2,FALSE)</f>
        <v>0</v>
      </c>
      <c r="P220" s="322">
        <f t="shared" ref="P220" si="366">O220*VLOOKUP(L214,PRate01,2,FALSE)</f>
        <v>0</v>
      </c>
      <c r="Q220" s="322">
        <f t="shared" ref="Q220" si="367">P220*VLOOKUP(M214,PRate01,2,FALSE)</f>
        <v>0</v>
      </c>
      <c r="S220" s="42" t="s">
        <v>1009</v>
      </c>
      <c r="T220" s="544"/>
      <c r="V220" s="555">
        <v>5</v>
      </c>
      <c r="W220" s="549">
        <f t="shared" si="342"/>
        <v>0</v>
      </c>
      <c r="X220" s="549">
        <f t="shared" si="343"/>
        <v>0</v>
      </c>
      <c r="Y220" s="553"/>
      <c r="Z220" s="553"/>
      <c r="AA220" s="553"/>
    </row>
    <row r="221" spans="1:30" s="416" customFormat="1" ht="12.75" hidden="1" customHeight="1" outlineLevel="1" x14ac:dyDescent="0.2">
      <c r="D221" s="42" t="s">
        <v>287</v>
      </c>
      <c r="E221" s="320"/>
      <c r="F221" s="319"/>
      <c r="G221" s="319"/>
      <c r="H221" s="319"/>
      <c r="I221" s="319"/>
      <c r="J221" s="319"/>
      <c r="K221" s="322">
        <f>E221</f>
        <v>0</v>
      </c>
      <c r="L221" s="322">
        <f t="shared" ref="L221" si="368">K221*VLOOKUP(G214,PRate01,2,FALSE)</f>
        <v>0</v>
      </c>
      <c r="M221" s="322">
        <f t="shared" ref="M221" si="369">L221*VLOOKUP(H214,PRate01,2,FALSE)</f>
        <v>0</v>
      </c>
      <c r="N221" s="322">
        <f t="shared" ref="N221" si="370">M221*VLOOKUP(I214,PRate01,2,FALSE)</f>
        <v>0</v>
      </c>
      <c r="O221" s="322">
        <f t="shared" ref="O221" si="371">N221*VLOOKUP(J214,PRate01,2,FALSE)</f>
        <v>0</v>
      </c>
      <c r="P221" s="322">
        <f t="shared" ref="P221" si="372">O221*VLOOKUP(K214,PRate01,2,FALSE)</f>
        <v>0</v>
      </c>
      <c r="Q221" s="322">
        <f t="shared" ref="Q221" si="373">P221*VLOOKUP(L214,PRate01,2,FALSE)</f>
        <v>0</v>
      </c>
      <c r="S221" s="42" t="s">
        <v>1010</v>
      </c>
      <c r="T221" s="544"/>
      <c r="V221" s="555">
        <v>6</v>
      </c>
      <c r="W221" s="549">
        <f t="shared" si="342"/>
        <v>0</v>
      </c>
      <c r="X221" s="549">
        <f t="shared" si="343"/>
        <v>0</v>
      </c>
      <c r="Y221" s="553"/>
      <c r="Z221" s="553"/>
      <c r="AA221" s="553"/>
    </row>
    <row r="222" spans="1:30" s="416" customFormat="1" ht="12.75" hidden="1" customHeight="1" outlineLevel="1" x14ac:dyDescent="0.2">
      <c r="D222" s="42" t="s">
        <v>474</v>
      </c>
      <c r="E222" s="320"/>
      <c r="F222" s="319"/>
      <c r="G222" s="319"/>
      <c r="H222" s="319"/>
      <c r="I222" s="319"/>
      <c r="J222" s="319"/>
      <c r="K222" s="319"/>
      <c r="L222" s="322">
        <f>E222</f>
        <v>0</v>
      </c>
      <c r="M222" s="322">
        <f>L222*VLOOKUP(G214,PRate01,2,FALSE)</f>
        <v>0</v>
      </c>
      <c r="N222" s="322">
        <f>M222*VLOOKUP(H214,PRate01,2,FALSE)</f>
        <v>0</v>
      </c>
      <c r="O222" s="322">
        <f>N222*VLOOKUP(I214,PRate01,2,FALSE)</f>
        <v>0</v>
      </c>
      <c r="P222" s="322">
        <f>O222*VLOOKUP(J214,PRate01,2,FALSE)</f>
        <v>0</v>
      </c>
      <c r="Q222" s="322">
        <f>P222*VLOOKUP(K214,PRate01,2,FALSE)</f>
        <v>0</v>
      </c>
      <c r="S222" s="42" t="s">
        <v>1011</v>
      </c>
      <c r="T222" s="544"/>
      <c r="V222" s="555">
        <v>7</v>
      </c>
      <c r="W222" s="549">
        <f t="shared" si="342"/>
        <v>0</v>
      </c>
      <c r="X222" s="549">
        <f t="shared" si="343"/>
        <v>0</v>
      </c>
      <c r="Y222" s="553"/>
      <c r="Z222" s="553"/>
      <c r="AA222" s="553"/>
    </row>
    <row r="223" spans="1:30" s="416" customFormat="1" ht="12.75" hidden="1" customHeight="1" outlineLevel="1" x14ac:dyDescent="0.2">
      <c r="D223" s="42" t="s">
        <v>475</v>
      </c>
      <c r="E223" s="320"/>
      <c r="F223" s="319"/>
      <c r="G223" s="319"/>
      <c r="H223" s="319"/>
      <c r="I223" s="319"/>
      <c r="J223" s="319"/>
      <c r="K223" s="319"/>
      <c r="L223" s="319"/>
      <c r="M223" s="322">
        <f>E223</f>
        <v>0</v>
      </c>
      <c r="N223" s="322">
        <f>M223*VLOOKUP(G214,PRate01,2,FALSE)</f>
        <v>0</v>
      </c>
      <c r="O223" s="322">
        <f>N223*VLOOKUP(H214,PRate01,2,FALSE)</f>
        <v>0</v>
      </c>
      <c r="P223" s="322">
        <f>O223*VLOOKUP(I214,PRate01,2,FALSE)</f>
        <v>0</v>
      </c>
      <c r="Q223" s="322">
        <f>P223*VLOOKUP(J214,PRate01,2,FALSE)</f>
        <v>0</v>
      </c>
      <c r="S223" s="42" t="s">
        <v>1012</v>
      </c>
      <c r="T223" s="544"/>
      <c r="V223" s="555">
        <v>8</v>
      </c>
      <c r="W223" s="549">
        <f t="shared" si="342"/>
        <v>0</v>
      </c>
      <c r="X223" s="549">
        <f t="shared" si="343"/>
        <v>0</v>
      </c>
      <c r="Y223" s="553"/>
      <c r="Z223" s="553"/>
      <c r="AA223" s="553"/>
    </row>
    <row r="224" spans="1:30" s="416" customFormat="1" ht="12.75" hidden="1" customHeight="1" outlineLevel="1" x14ac:dyDescent="0.2">
      <c r="D224" s="42" t="s">
        <v>476</v>
      </c>
      <c r="E224" s="320"/>
      <c r="F224" s="319"/>
      <c r="G224" s="319"/>
      <c r="H224" s="319"/>
      <c r="I224" s="319"/>
      <c r="J224" s="319"/>
      <c r="K224" s="319"/>
      <c r="L224" s="319"/>
      <c r="M224" s="319"/>
      <c r="N224" s="322">
        <f>E224</f>
        <v>0</v>
      </c>
      <c r="O224" s="322">
        <f>N224*VLOOKUP(G214,PRate01,2,FALSE)</f>
        <v>0</v>
      </c>
      <c r="P224" s="322">
        <f>O224*VLOOKUP(H214,PRate01,2,FALSE)</f>
        <v>0</v>
      </c>
      <c r="Q224" s="322">
        <f>P224*VLOOKUP(I214,PRate01,2,FALSE)</f>
        <v>0</v>
      </c>
      <c r="S224" s="42" t="s">
        <v>1013</v>
      </c>
      <c r="T224" s="544"/>
      <c r="V224" s="555">
        <v>9</v>
      </c>
      <c r="W224" s="549">
        <f t="shared" si="342"/>
        <v>0</v>
      </c>
      <c r="X224" s="549">
        <f t="shared" si="343"/>
        <v>0</v>
      </c>
      <c r="Y224" s="553"/>
      <c r="Z224" s="553"/>
      <c r="AA224" s="553"/>
    </row>
    <row r="225" spans="3:30" s="416" customFormat="1" ht="12.75" hidden="1" customHeight="1" outlineLevel="1" x14ac:dyDescent="0.2">
      <c r="D225" s="42" t="s">
        <v>477</v>
      </c>
      <c r="E225" s="320"/>
      <c r="F225" s="319"/>
      <c r="G225" s="319"/>
      <c r="H225" s="319"/>
      <c r="I225" s="319"/>
      <c r="J225" s="319"/>
      <c r="K225" s="319"/>
      <c r="L225" s="319"/>
      <c r="M225" s="319"/>
      <c r="N225" s="319"/>
      <c r="O225" s="550">
        <f>E225</f>
        <v>0</v>
      </c>
      <c r="P225" s="322">
        <f>O225*VLOOKUP(G214,PRate01,2,FALSE)</f>
        <v>0</v>
      </c>
      <c r="Q225" s="322">
        <f>P225*VLOOKUP(H214,PRate01,2,FALSE)</f>
        <v>0</v>
      </c>
      <c r="S225" s="42" t="s">
        <v>1014</v>
      </c>
      <c r="T225" s="544"/>
      <c r="V225" s="555">
        <v>10</v>
      </c>
      <c r="W225" s="549">
        <f t="shared" si="342"/>
        <v>0</v>
      </c>
      <c r="X225" s="549">
        <f t="shared" si="343"/>
        <v>0</v>
      </c>
      <c r="Y225" s="553"/>
      <c r="Z225" s="553"/>
      <c r="AA225" s="553"/>
    </row>
    <row r="226" spans="3:30" s="416" customFormat="1" ht="12.75" hidden="1" customHeight="1" outlineLevel="1" x14ac:dyDescent="0.2">
      <c r="D226" s="42" t="s">
        <v>478</v>
      </c>
      <c r="E226" s="320"/>
      <c r="F226" s="319"/>
      <c r="G226" s="319"/>
      <c r="H226" s="319"/>
      <c r="I226" s="319"/>
      <c r="J226" s="319"/>
      <c r="K226" s="319"/>
      <c r="L226" s="319"/>
      <c r="M226" s="319"/>
      <c r="N226" s="319"/>
      <c r="O226" s="546"/>
      <c r="P226" s="550">
        <f>E226</f>
        <v>0</v>
      </c>
      <c r="Q226" s="322">
        <f>P226*VLOOKUP(G214,PRate01,2,FALSE)</f>
        <v>0</v>
      </c>
      <c r="S226" s="42" t="s">
        <v>1015</v>
      </c>
      <c r="T226" s="544"/>
      <c r="V226" s="555">
        <v>11</v>
      </c>
      <c r="W226" s="549">
        <f t="shared" si="342"/>
        <v>0</v>
      </c>
      <c r="X226" s="549">
        <f t="shared" si="343"/>
        <v>0</v>
      </c>
      <c r="Y226" s="553"/>
      <c r="Z226" s="553"/>
      <c r="AA226" s="553"/>
    </row>
    <row r="227" spans="3:30" s="416" customFormat="1" ht="12.75" hidden="1" customHeight="1" outlineLevel="1" x14ac:dyDescent="0.2">
      <c r="D227" s="42" t="s">
        <v>479</v>
      </c>
      <c r="E227" s="320"/>
      <c r="F227" s="319"/>
      <c r="G227" s="319"/>
      <c r="H227" s="319"/>
      <c r="I227" s="319"/>
      <c r="J227" s="319"/>
      <c r="K227" s="319"/>
      <c r="L227" s="319"/>
      <c r="M227" s="319"/>
      <c r="N227" s="319"/>
      <c r="O227" s="546"/>
      <c r="P227" s="546"/>
      <c r="Q227" s="550">
        <f>E227</f>
        <v>0</v>
      </c>
      <c r="V227" s="555">
        <v>12</v>
      </c>
      <c r="W227" s="556"/>
      <c r="X227" s="549">
        <f t="shared" si="343"/>
        <v>0</v>
      </c>
      <c r="Y227" s="553"/>
      <c r="Z227" s="553"/>
      <c r="AA227" s="553"/>
    </row>
    <row r="228" spans="3:30" s="416" customFormat="1" ht="12.75" hidden="1" customHeight="1" outlineLevel="1" x14ac:dyDescent="0.2"/>
    <row r="229" spans="3:30" s="416" customFormat="1" ht="12.75" hidden="1" customHeight="1" outlineLevel="1" x14ac:dyDescent="0.2">
      <c r="Z229" s="919" t="str">
        <f>IF(AC231&lt;&gt;"",MsgNote &amp; VLOOKUP("PRate",WarningMessages,2),"")</f>
        <v/>
      </c>
      <c r="AA229" s="919"/>
      <c r="AB229" s="919"/>
      <c r="AC229" s="919"/>
      <c r="AD229" s="919"/>
    </row>
    <row r="230" spans="3:30" s="416" customFormat="1" ht="12.75" hidden="1" customHeight="1" outlineLevel="1" x14ac:dyDescent="0.2">
      <c r="L230" s="552"/>
      <c r="M230" s="552"/>
      <c r="N230" s="552"/>
      <c r="O230" s="552"/>
      <c r="P230" s="552"/>
      <c r="Q230" s="552"/>
    </row>
    <row r="231" spans="3:30" s="416" customFormat="1" ht="12.75" hidden="1" customHeight="1" outlineLevel="1" x14ac:dyDescent="0.2">
      <c r="D231" s="318"/>
      <c r="F231" s="733">
        <f t="shared" ref="F231" si="374">G231-1</f>
        <v>2015</v>
      </c>
      <c r="G231" s="733">
        <f t="shared" ref="G231" si="375">H231-1</f>
        <v>2016</v>
      </c>
      <c r="H231" s="733">
        <f t="shared" ref="H231" si="376">I231-1</f>
        <v>2017</v>
      </c>
      <c r="I231" s="733">
        <f t="shared" ref="I231" si="377">J231-1</f>
        <v>2018</v>
      </c>
      <c r="J231" s="733">
        <f t="shared" ref="J231" si="378">K231-1</f>
        <v>2019</v>
      </c>
      <c r="K231" s="733">
        <f t="shared" ref="K231" si="379">L231-1</f>
        <v>2020</v>
      </c>
      <c r="L231" s="733">
        <f>FirstYear</f>
        <v>2021</v>
      </c>
      <c r="M231" s="733">
        <f>L231+1</f>
        <v>2022</v>
      </c>
      <c r="N231" s="733">
        <f>M231+1</f>
        <v>2023</v>
      </c>
      <c r="O231" s="733">
        <f>N231+1</f>
        <v>2024</v>
      </c>
      <c r="P231" s="733">
        <f>O231+1</f>
        <v>2025</v>
      </c>
      <c r="Q231" s="733">
        <f>P231+1</f>
        <v>2026</v>
      </c>
      <c r="S231" s="921" t="s">
        <v>1301</v>
      </c>
      <c r="T231" s="921"/>
      <c r="Z231" s="918" t="s">
        <v>1304</v>
      </c>
      <c r="AA231" s="918"/>
      <c r="AB231" s="918"/>
      <c r="AC231" s="544"/>
    </row>
    <row r="232" spans="3:30" s="416" customFormat="1" ht="12.75" hidden="1" customHeight="1" outlineLevel="1" x14ac:dyDescent="0.2">
      <c r="C232" s="551">
        <v>12</v>
      </c>
      <c r="D232" s="920" t="s">
        <v>282</v>
      </c>
      <c r="E232" s="882"/>
      <c r="F232" s="550">
        <f>F216*VLOOKUP(C243,PRate01,3,FALSE)</f>
        <v>0</v>
      </c>
      <c r="G232" s="550">
        <f>G216*VLOOKUP(C242,PRate01,3,FALSE)</f>
        <v>0</v>
      </c>
      <c r="H232" s="550">
        <f>H216*VLOOKUP(C241,PRate01,3,FALSE)</f>
        <v>0</v>
      </c>
      <c r="I232" s="550">
        <f>I216*VLOOKUP(C240,PRate01,3,FALSE)</f>
        <v>0</v>
      </c>
      <c r="J232" s="550">
        <f>J216*VLOOKUP(C239,PRate01,3,FALSE)</f>
        <v>0</v>
      </c>
      <c r="K232" s="550">
        <f t="shared" ref="K232:K237" si="380">K216*VLOOKUP(C238,PRate01,3,FALSE)</f>
        <v>0</v>
      </c>
      <c r="L232" s="550">
        <f t="shared" ref="L232:L238" si="381">L216*VLOOKUP(C237,PRate01,3,FALSE)</f>
        <v>0</v>
      </c>
      <c r="M232" s="550">
        <f t="shared" ref="M232:M239" si="382">M216*VLOOKUP(C236,PRate01,3,FALSE)</f>
        <v>0</v>
      </c>
      <c r="N232" s="550">
        <f t="shared" ref="N232:N240" si="383">N216*VLOOKUP(C235,PRate01,3,FALSE)</f>
        <v>0</v>
      </c>
      <c r="O232" s="550">
        <f t="shared" ref="O232:O241" si="384">O216*VLOOKUP(C234,PRate01,3,FALSE)</f>
        <v>0</v>
      </c>
      <c r="P232" s="550">
        <f t="shared" ref="P232:P242" si="385">P216*VLOOKUP(C233,PRate01,3,FALSE)</f>
        <v>0</v>
      </c>
      <c r="Q232" s="550">
        <f t="shared" ref="Q232:Q243" si="386">Q216*VLOOKUP(C232,PRate01,3,FALSE)</f>
        <v>0</v>
      </c>
      <c r="S232" s="547" t="s">
        <v>1005</v>
      </c>
      <c r="T232" s="548"/>
      <c r="X232" s="553"/>
      <c r="Y232" s="553"/>
      <c r="Z232" s="553"/>
      <c r="AA232" s="553"/>
    </row>
    <row r="233" spans="3:30" s="416" customFormat="1" ht="12.75" hidden="1" customHeight="1" outlineLevel="1" x14ac:dyDescent="0.2">
      <c r="C233" s="551">
        <v>11</v>
      </c>
      <c r="D233" s="920" t="s">
        <v>283</v>
      </c>
      <c r="E233" s="882"/>
      <c r="F233" s="319"/>
      <c r="G233" s="550">
        <f>G217*VLOOKUP(C243,PRate01,3,FALSE)</f>
        <v>0</v>
      </c>
      <c r="H233" s="550">
        <f>H217*VLOOKUP(C242,PRate01,3,FALSE)</f>
        <v>0</v>
      </c>
      <c r="I233" s="550">
        <f>I217*VLOOKUP(C241,PRate01,3,FALSE)</f>
        <v>0</v>
      </c>
      <c r="J233" s="550">
        <f>J217*VLOOKUP(C240,PRate01,3,FALSE)</f>
        <v>0</v>
      </c>
      <c r="K233" s="550">
        <f t="shared" si="380"/>
        <v>0</v>
      </c>
      <c r="L233" s="550">
        <f t="shared" si="381"/>
        <v>0</v>
      </c>
      <c r="M233" s="550">
        <f t="shared" si="382"/>
        <v>0</v>
      </c>
      <c r="N233" s="550">
        <f t="shared" si="383"/>
        <v>0</v>
      </c>
      <c r="O233" s="550">
        <f t="shared" si="384"/>
        <v>0</v>
      </c>
      <c r="P233" s="550">
        <f t="shared" si="385"/>
        <v>0</v>
      </c>
      <c r="Q233" s="550">
        <f t="shared" si="386"/>
        <v>0</v>
      </c>
      <c r="S233" s="42" t="s">
        <v>1006</v>
      </c>
      <c r="T233" s="544"/>
      <c r="X233" s="553"/>
      <c r="Y233" s="553"/>
      <c r="Z233" s="42" t="s">
        <v>258</v>
      </c>
      <c r="AA233" s="914"/>
      <c r="AB233" s="914"/>
      <c r="AC233" s="914"/>
      <c r="AD233" s="914"/>
    </row>
    <row r="234" spans="3:30" s="416" customFormat="1" ht="12.75" hidden="1" customHeight="1" outlineLevel="1" x14ac:dyDescent="0.2">
      <c r="C234" s="551">
        <v>10</v>
      </c>
      <c r="D234" s="920" t="s">
        <v>284</v>
      </c>
      <c r="E234" s="882"/>
      <c r="F234" s="319"/>
      <c r="G234" s="319"/>
      <c r="H234" s="550">
        <f>H218*VLOOKUP(C243,PRate01,3,FALSE)</f>
        <v>0</v>
      </c>
      <c r="I234" s="550">
        <f>I218*VLOOKUP(C242,PRate01,3,FALSE)</f>
        <v>0</v>
      </c>
      <c r="J234" s="550">
        <f>J218*VLOOKUP(C241,PRate01,3,FALSE)</f>
        <v>0</v>
      </c>
      <c r="K234" s="550">
        <f t="shared" si="380"/>
        <v>0</v>
      </c>
      <c r="L234" s="550">
        <f t="shared" si="381"/>
        <v>0</v>
      </c>
      <c r="M234" s="550">
        <f t="shared" si="382"/>
        <v>0</v>
      </c>
      <c r="N234" s="550">
        <f t="shared" si="383"/>
        <v>0</v>
      </c>
      <c r="O234" s="550">
        <f t="shared" si="384"/>
        <v>0</v>
      </c>
      <c r="P234" s="550">
        <f t="shared" si="385"/>
        <v>0</v>
      </c>
      <c r="Q234" s="550">
        <f t="shared" si="386"/>
        <v>0</v>
      </c>
      <c r="S234" s="42" t="s">
        <v>1007</v>
      </c>
      <c r="T234" s="544"/>
      <c r="X234" s="553"/>
      <c r="Y234" s="553"/>
      <c r="Z234" s="553"/>
      <c r="AA234" s="553"/>
    </row>
    <row r="235" spans="3:30" s="416" customFormat="1" ht="12.75" hidden="1" customHeight="1" outlineLevel="1" x14ac:dyDescent="0.2">
      <c r="C235" s="551">
        <v>9</v>
      </c>
      <c r="D235" s="920" t="s">
        <v>285</v>
      </c>
      <c r="E235" s="882"/>
      <c r="F235" s="319"/>
      <c r="G235" s="319"/>
      <c r="H235" s="319"/>
      <c r="I235" s="550">
        <f>I219*VLOOKUP(C243,PRate01,3,FALSE)</f>
        <v>0</v>
      </c>
      <c r="J235" s="550">
        <f>J219*VLOOKUP(C242,PRate01,3,FALSE)</f>
        <v>0</v>
      </c>
      <c r="K235" s="550">
        <f t="shared" si="380"/>
        <v>0</v>
      </c>
      <c r="L235" s="550">
        <f t="shared" si="381"/>
        <v>0</v>
      </c>
      <c r="M235" s="550">
        <f t="shared" si="382"/>
        <v>0</v>
      </c>
      <c r="N235" s="550">
        <f t="shared" si="383"/>
        <v>0</v>
      </c>
      <c r="O235" s="550">
        <f t="shared" si="384"/>
        <v>0</v>
      </c>
      <c r="P235" s="550">
        <f t="shared" si="385"/>
        <v>0</v>
      </c>
      <c r="Q235" s="550">
        <f t="shared" si="386"/>
        <v>0</v>
      </c>
      <c r="S235" s="42" t="s">
        <v>1008</v>
      </c>
      <c r="T235" s="544"/>
      <c r="X235" s="553"/>
      <c r="Y235" s="553"/>
      <c r="Z235" s="553"/>
      <c r="AA235" s="553"/>
    </row>
    <row r="236" spans="3:30" s="416" customFormat="1" ht="12.75" hidden="1" customHeight="1" outlineLevel="1" x14ac:dyDescent="0.2">
      <c r="C236" s="551">
        <v>8</v>
      </c>
      <c r="D236" s="920" t="s">
        <v>286</v>
      </c>
      <c r="E236" s="882"/>
      <c r="F236" s="319"/>
      <c r="G236" s="319"/>
      <c r="H236" s="319"/>
      <c r="I236" s="319"/>
      <c r="J236" s="550">
        <f>J220*VLOOKUP(C243,PRate01,3,FALSE)</f>
        <v>0</v>
      </c>
      <c r="K236" s="550">
        <f t="shared" si="380"/>
        <v>0</v>
      </c>
      <c r="L236" s="550">
        <f t="shared" si="381"/>
        <v>0</v>
      </c>
      <c r="M236" s="550">
        <f t="shared" si="382"/>
        <v>0</v>
      </c>
      <c r="N236" s="550">
        <f t="shared" si="383"/>
        <v>0</v>
      </c>
      <c r="O236" s="550">
        <f t="shared" si="384"/>
        <v>0</v>
      </c>
      <c r="P236" s="550">
        <f t="shared" si="385"/>
        <v>0</v>
      </c>
      <c r="Q236" s="550">
        <f t="shared" si="386"/>
        <v>0</v>
      </c>
      <c r="S236" s="42" t="s">
        <v>1009</v>
      </c>
      <c r="T236" s="544"/>
      <c r="X236" s="553"/>
      <c r="Y236" s="553"/>
      <c r="Z236" s="553"/>
      <c r="AA236" s="553"/>
    </row>
    <row r="237" spans="3:30" s="416" customFormat="1" ht="12.75" hidden="1" customHeight="1" outlineLevel="1" x14ac:dyDescent="0.2">
      <c r="C237" s="551">
        <v>7</v>
      </c>
      <c r="D237" s="920" t="s">
        <v>287</v>
      </c>
      <c r="E237" s="882"/>
      <c r="F237" s="319"/>
      <c r="G237" s="319"/>
      <c r="H237" s="319"/>
      <c r="I237" s="319"/>
      <c r="J237" s="319"/>
      <c r="K237" s="550">
        <f t="shared" si="380"/>
        <v>0</v>
      </c>
      <c r="L237" s="550">
        <f t="shared" si="381"/>
        <v>0</v>
      </c>
      <c r="M237" s="550">
        <f t="shared" si="382"/>
        <v>0</v>
      </c>
      <c r="N237" s="550">
        <f t="shared" si="383"/>
        <v>0</v>
      </c>
      <c r="O237" s="550">
        <f t="shared" si="384"/>
        <v>0</v>
      </c>
      <c r="P237" s="550">
        <f t="shared" si="385"/>
        <v>0</v>
      </c>
      <c r="Q237" s="550">
        <f t="shared" si="386"/>
        <v>0</v>
      </c>
      <c r="S237" s="42" t="s">
        <v>1010</v>
      </c>
      <c r="T237" s="544"/>
      <c r="X237" s="553"/>
      <c r="Y237" s="553"/>
      <c r="Z237" s="553"/>
      <c r="AA237" s="553"/>
    </row>
    <row r="238" spans="3:30" s="416" customFormat="1" ht="12.75" hidden="1" customHeight="1" outlineLevel="1" x14ac:dyDescent="0.2">
      <c r="C238" s="551">
        <v>6</v>
      </c>
      <c r="D238" s="920" t="s">
        <v>474</v>
      </c>
      <c r="E238" s="882"/>
      <c r="F238" s="319"/>
      <c r="G238" s="319"/>
      <c r="H238" s="319"/>
      <c r="I238" s="319"/>
      <c r="J238" s="319"/>
      <c r="K238" s="319"/>
      <c r="L238" s="550">
        <f t="shared" si="381"/>
        <v>0</v>
      </c>
      <c r="M238" s="550">
        <f t="shared" si="382"/>
        <v>0</v>
      </c>
      <c r="N238" s="550">
        <f t="shared" si="383"/>
        <v>0</v>
      </c>
      <c r="O238" s="550">
        <f t="shared" si="384"/>
        <v>0</v>
      </c>
      <c r="P238" s="550">
        <f t="shared" si="385"/>
        <v>0</v>
      </c>
      <c r="Q238" s="550">
        <f t="shared" si="386"/>
        <v>0</v>
      </c>
      <c r="S238" s="42" t="s">
        <v>1011</v>
      </c>
      <c r="T238" s="544"/>
      <c r="X238" s="553"/>
      <c r="Y238" s="553"/>
      <c r="Z238" s="553"/>
      <c r="AA238" s="553"/>
    </row>
    <row r="239" spans="3:30" s="416" customFormat="1" ht="12.75" hidden="1" customHeight="1" outlineLevel="1" x14ac:dyDescent="0.2">
      <c r="C239" s="551">
        <v>5</v>
      </c>
      <c r="D239" s="920" t="s">
        <v>475</v>
      </c>
      <c r="E239" s="882"/>
      <c r="F239" s="319"/>
      <c r="G239" s="319"/>
      <c r="H239" s="319"/>
      <c r="I239" s="319"/>
      <c r="J239" s="319"/>
      <c r="K239" s="319"/>
      <c r="L239" s="319"/>
      <c r="M239" s="550">
        <f t="shared" si="382"/>
        <v>0</v>
      </c>
      <c r="N239" s="550">
        <f t="shared" si="383"/>
        <v>0</v>
      </c>
      <c r="O239" s="550">
        <f t="shared" si="384"/>
        <v>0</v>
      </c>
      <c r="P239" s="550">
        <f t="shared" si="385"/>
        <v>0</v>
      </c>
      <c r="Q239" s="550">
        <f t="shared" si="386"/>
        <v>0</v>
      </c>
      <c r="S239" s="42" t="s">
        <v>1012</v>
      </c>
      <c r="T239" s="544"/>
      <c r="X239" s="553"/>
      <c r="Y239" s="553"/>
      <c r="Z239" s="553"/>
      <c r="AA239" s="553"/>
    </row>
    <row r="240" spans="3:30" s="416" customFormat="1" ht="12.75" hidden="1" customHeight="1" outlineLevel="1" x14ac:dyDescent="0.2">
      <c r="C240" s="551">
        <v>4</v>
      </c>
      <c r="D240" s="920" t="s">
        <v>476</v>
      </c>
      <c r="E240" s="882"/>
      <c r="F240" s="319"/>
      <c r="G240" s="319"/>
      <c r="H240" s="319"/>
      <c r="I240" s="319"/>
      <c r="J240" s="319"/>
      <c r="K240" s="319"/>
      <c r="L240" s="319"/>
      <c r="M240" s="319"/>
      <c r="N240" s="550">
        <f t="shared" si="383"/>
        <v>0</v>
      </c>
      <c r="O240" s="550">
        <f t="shared" si="384"/>
        <v>0</v>
      </c>
      <c r="P240" s="550">
        <f t="shared" si="385"/>
        <v>0</v>
      </c>
      <c r="Q240" s="550">
        <f t="shared" si="386"/>
        <v>0</v>
      </c>
      <c r="S240" s="42" t="s">
        <v>1013</v>
      </c>
      <c r="T240" s="544"/>
      <c r="X240" s="553"/>
      <c r="Y240" s="553"/>
      <c r="Z240" s="553"/>
      <c r="AA240" s="553"/>
    </row>
    <row r="241" spans="1:30" s="416" customFormat="1" ht="12.75" hidden="1" customHeight="1" outlineLevel="1" x14ac:dyDescent="0.2">
      <c r="C241" s="551">
        <v>3</v>
      </c>
      <c r="D241" s="920" t="s">
        <v>477</v>
      </c>
      <c r="E241" s="882"/>
      <c r="F241" s="319"/>
      <c r="G241" s="319"/>
      <c r="H241" s="319"/>
      <c r="I241" s="319"/>
      <c r="J241" s="319"/>
      <c r="K241" s="319"/>
      <c r="L241" s="319"/>
      <c r="M241" s="319"/>
      <c r="N241" s="319"/>
      <c r="O241" s="550">
        <f t="shared" si="384"/>
        <v>0</v>
      </c>
      <c r="P241" s="550">
        <f t="shared" si="385"/>
        <v>0</v>
      </c>
      <c r="Q241" s="550">
        <f t="shared" si="386"/>
        <v>0</v>
      </c>
      <c r="S241" s="42" t="s">
        <v>1014</v>
      </c>
      <c r="T241" s="544"/>
      <c r="X241" s="553"/>
      <c r="Y241" s="553"/>
      <c r="Z241" s="553"/>
      <c r="AA241" s="553"/>
    </row>
    <row r="242" spans="1:30" s="416" customFormat="1" ht="12.75" hidden="1" customHeight="1" outlineLevel="1" x14ac:dyDescent="0.2">
      <c r="C242" s="551">
        <v>2</v>
      </c>
      <c r="D242" s="920" t="s">
        <v>478</v>
      </c>
      <c r="E242" s="882"/>
      <c r="F242" s="319"/>
      <c r="G242" s="319"/>
      <c r="H242" s="319"/>
      <c r="I242" s="319"/>
      <c r="J242" s="319"/>
      <c r="K242" s="319"/>
      <c r="L242" s="319"/>
      <c r="M242" s="319"/>
      <c r="N242" s="319"/>
      <c r="O242" s="546"/>
      <c r="P242" s="550">
        <f t="shared" si="385"/>
        <v>0</v>
      </c>
      <c r="Q242" s="550">
        <f t="shared" si="386"/>
        <v>0</v>
      </c>
      <c r="S242" s="42" t="s">
        <v>1015</v>
      </c>
      <c r="T242" s="544"/>
      <c r="X242" s="553"/>
      <c r="Y242" s="553"/>
      <c r="Z242" s="553"/>
      <c r="AA242" s="553"/>
    </row>
    <row r="243" spans="1:30" s="416" customFormat="1" ht="12.75" hidden="1" customHeight="1" outlineLevel="1" x14ac:dyDescent="0.2">
      <c r="C243" s="551">
        <v>1</v>
      </c>
      <c r="D243" s="920" t="s">
        <v>479</v>
      </c>
      <c r="E243" s="882"/>
      <c r="F243" s="319"/>
      <c r="G243" s="319"/>
      <c r="H243" s="319"/>
      <c r="I243" s="319"/>
      <c r="J243" s="319"/>
      <c r="K243" s="319"/>
      <c r="L243" s="319"/>
      <c r="M243" s="319"/>
      <c r="N243" s="319"/>
      <c r="O243" s="546"/>
      <c r="P243" s="546"/>
      <c r="Q243" s="550">
        <f t="shared" si="386"/>
        <v>0</v>
      </c>
      <c r="S243" s="42" t="s">
        <v>1035</v>
      </c>
      <c r="T243" s="544"/>
    </row>
    <row r="244" spans="1:30" s="416" customFormat="1" ht="12.75" hidden="1" customHeight="1" outlineLevel="1" x14ac:dyDescent="0.2">
      <c r="K244" s="736" t="s">
        <v>73</v>
      </c>
      <c r="L244" s="321">
        <f>IFERROR((SUM(L232:L237)+IF(MATCH($AC$54,Switch,0)=1,L238,0)),0)</f>
        <v>0</v>
      </c>
      <c r="M244" s="321">
        <f>IFERROR((SUM(M232:M238)+IF(MATCH($AC$54,Switch,0)=1,M239,0)),0)</f>
        <v>0</v>
      </c>
      <c r="N244" s="321">
        <f>IFERROR((SUM(N232:N239)+IF(MATCH($AC$54,Switch,0)=1,N240,0)),0)</f>
        <v>0</v>
      </c>
      <c r="O244" s="321">
        <f>IFERROR((SUM(O232:O240)+IF(MATCH($AC$54,Switch,0)=1,O241,0)),0)</f>
        <v>0</v>
      </c>
      <c r="P244" s="321">
        <f>IFERROR((SUM(P232:P241)+IF(MATCH($AC$54,Switch,0)=1,P242,0)),0)</f>
        <v>0</v>
      </c>
      <c r="Q244" s="321">
        <f>IFERROR((SUM(Q232:Q242)+IF(MATCH($AC$54,Switch,0)=1,Q243,0)),0)</f>
        <v>0</v>
      </c>
      <c r="Z244" s="915" t="s">
        <v>1302</v>
      </c>
      <c r="AA244" s="916"/>
      <c r="AB244" s="917"/>
      <c r="AC244" s="743" t="s">
        <v>9</v>
      </c>
    </row>
    <row r="245" spans="1:30" s="416" customFormat="1" ht="12.75" hidden="1" customHeight="1" outlineLevel="1" x14ac:dyDescent="0.2"/>
    <row r="246" spans="1:30" ht="12.75" customHeight="1" collapsed="1" x14ac:dyDescent="0.2">
      <c r="C246" s="416"/>
      <c r="D246" s="416"/>
      <c r="F246" s="416"/>
      <c r="G246" s="416"/>
      <c r="H246" s="416"/>
      <c r="I246" s="416"/>
      <c r="J246" s="416"/>
      <c r="K246" s="416"/>
      <c r="L246" s="416"/>
      <c r="M246" s="416"/>
      <c r="N246" s="416"/>
      <c r="O246" s="416"/>
      <c r="P246" s="416"/>
      <c r="Q246" s="416"/>
      <c r="R246" s="416"/>
      <c r="S246" s="416"/>
      <c r="T246" s="416"/>
      <c r="U246" s="416"/>
      <c r="W246" s="416"/>
      <c r="AB246" s="416"/>
      <c r="AC246" s="416"/>
      <c r="AD246" s="416"/>
    </row>
    <row r="247" spans="1:30" s="416" customFormat="1" ht="15.75" x14ac:dyDescent="0.2">
      <c r="A247" s="194"/>
      <c r="B247" s="242">
        <f>IF(G249&lt;&gt;"",1,0)</f>
        <v>0</v>
      </c>
      <c r="C247" s="242">
        <v>7</v>
      </c>
      <c r="D247" s="79" t="str">
        <f>IF(B247=0,MsgNotUsed, CONCATENATE("Persistent ", C247, ": ", G249, " (", F253, "-", Q253, ")"))</f>
        <v>** NOT USED **</v>
      </c>
      <c r="E247" s="127"/>
      <c r="F247" s="127"/>
      <c r="G247" s="127"/>
      <c r="H247" s="127"/>
      <c r="I247" s="127"/>
      <c r="J247" s="175"/>
      <c r="K247" s="127"/>
      <c r="L247" s="127"/>
      <c r="M247" s="127"/>
      <c r="N247" s="260"/>
      <c r="O247" s="260"/>
      <c r="P247" s="260"/>
      <c r="Q247" s="260"/>
      <c r="R247" s="260"/>
      <c r="S247" s="260"/>
      <c r="T247" s="260"/>
      <c r="U247" s="260"/>
      <c r="V247" s="260"/>
      <c r="W247" s="260"/>
      <c r="X247" s="260"/>
      <c r="Y247" s="260"/>
      <c r="Z247" s="260"/>
      <c r="AA247" s="260"/>
      <c r="AB247" s="260"/>
      <c r="AC247" s="260"/>
      <c r="AD247" s="260"/>
    </row>
    <row r="248" spans="1:30" s="416" customFormat="1" ht="12.75" hidden="1" customHeight="1" outlineLevel="1" x14ac:dyDescent="0.2"/>
    <row r="249" spans="1:30" s="416" customFormat="1" ht="12.75" hidden="1" customHeight="1" outlineLevel="1" x14ac:dyDescent="0.2">
      <c r="F249" s="42" t="s">
        <v>480</v>
      </c>
      <c r="G249" s="913"/>
      <c r="H249" s="881"/>
      <c r="I249" s="881"/>
      <c r="J249" s="881"/>
      <c r="K249" s="881"/>
      <c r="L249" s="882"/>
    </row>
    <row r="250" spans="1:30" s="416" customFormat="1" ht="12.75" hidden="1" customHeight="1" outlineLevel="1" x14ac:dyDescent="0.2"/>
    <row r="251" spans="1:30" s="416" customFormat="1" ht="12.75" hidden="1" customHeight="1" outlineLevel="1" x14ac:dyDescent="0.2">
      <c r="F251" s="42" t="s">
        <v>258</v>
      </c>
      <c r="G251" s="913"/>
      <c r="H251" s="881"/>
      <c r="I251" s="881"/>
      <c r="J251" s="881"/>
      <c r="K251" s="881"/>
      <c r="L251" s="882"/>
      <c r="Z251" s="919" t="str">
        <f>IF(AC253&lt;&gt;"",MsgNote &amp; VLOOKUP("PRate",WarningMessages,2),"")</f>
        <v/>
      </c>
      <c r="AA251" s="919"/>
      <c r="AB251" s="919"/>
      <c r="AC251" s="919"/>
      <c r="AD251" s="919"/>
    </row>
    <row r="252" spans="1:30" s="416" customFormat="1" ht="12.75" hidden="1" customHeight="1" outlineLevel="1" x14ac:dyDescent="0.2">
      <c r="G252" s="557">
        <v>1</v>
      </c>
      <c r="H252" s="557">
        <v>2</v>
      </c>
      <c r="I252" s="557">
        <v>3</v>
      </c>
      <c r="J252" s="557">
        <v>4</v>
      </c>
      <c r="K252" s="557">
        <v>5</v>
      </c>
      <c r="L252" s="557">
        <v>6</v>
      </c>
      <c r="M252" s="557">
        <v>7</v>
      </c>
      <c r="N252" s="557">
        <v>8</v>
      </c>
      <c r="O252" s="557">
        <v>9</v>
      </c>
      <c r="P252" s="557">
        <v>10</v>
      </c>
      <c r="Q252" s="557">
        <v>11</v>
      </c>
    </row>
    <row r="253" spans="1:30" s="416" customFormat="1" ht="12.75" hidden="1" customHeight="1" outlineLevel="1" x14ac:dyDescent="0.2">
      <c r="D253" s="318"/>
      <c r="E253" s="733" t="s">
        <v>1065</v>
      </c>
      <c r="F253" s="733">
        <f t="shared" ref="F253" si="387">G253-1</f>
        <v>2015</v>
      </c>
      <c r="G253" s="733">
        <f t="shared" ref="G253" si="388">H253-1</f>
        <v>2016</v>
      </c>
      <c r="H253" s="733">
        <f t="shared" ref="H253" si="389">I253-1</f>
        <v>2017</v>
      </c>
      <c r="I253" s="733">
        <f t="shared" ref="I253" si="390">J253-1</f>
        <v>2018</v>
      </c>
      <c r="J253" s="733">
        <f t="shared" ref="J253" si="391">K253-1</f>
        <v>2019</v>
      </c>
      <c r="K253" s="733">
        <f t="shared" ref="K253" si="392">L253-1</f>
        <v>2020</v>
      </c>
      <c r="L253" s="733">
        <f>FirstYear</f>
        <v>2021</v>
      </c>
      <c r="M253" s="733">
        <f>L253+1</f>
        <v>2022</v>
      </c>
      <c r="N253" s="733">
        <f>M253+1</f>
        <v>2023</v>
      </c>
      <c r="O253" s="733">
        <f>N253+1</f>
        <v>2024</v>
      </c>
      <c r="P253" s="733">
        <f>O253+1</f>
        <v>2025</v>
      </c>
      <c r="Q253" s="733">
        <f>P253+1</f>
        <v>2026</v>
      </c>
      <c r="S253" s="921" t="s">
        <v>1300</v>
      </c>
      <c r="T253" s="921"/>
      <c r="Z253" s="918" t="s">
        <v>1303</v>
      </c>
      <c r="AA253" s="918"/>
      <c r="AB253" s="918"/>
      <c r="AC253" s="544"/>
    </row>
    <row r="254" spans="1:30" s="416" customFormat="1" ht="12.75" hidden="1" customHeight="1" outlineLevel="1" x14ac:dyDescent="0.2">
      <c r="D254" s="42" t="s">
        <v>282</v>
      </c>
      <c r="E254" s="320"/>
      <c r="F254" s="322">
        <f>E254</f>
        <v>0</v>
      </c>
      <c r="G254" s="322">
        <f t="shared" ref="G254" si="393">F254*VLOOKUP(G252,PRate01,2,FALSE)</f>
        <v>0</v>
      </c>
      <c r="H254" s="322">
        <f t="shared" ref="H254" si="394">G254*VLOOKUP(H252,PRate01,2,FALSE)</f>
        <v>0</v>
      </c>
      <c r="I254" s="322">
        <f t="shared" ref="I254" si="395">H254*VLOOKUP(I252,PRate01,2,FALSE)</f>
        <v>0</v>
      </c>
      <c r="J254" s="322">
        <f t="shared" ref="J254" si="396">I254*VLOOKUP(J252,PRate01,2,FALSE)</f>
        <v>0</v>
      </c>
      <c r="K254" s="322">
        <f t="shared" ref="K254" si="397">J254*VLOOKUP(K252,PRate01,2,FALSE)</f>
        <v>0</v>
      </c>
      <c r="L254" s="322">
        <f t="shared" ref="L254" si="398">K254*VLOOKUP(L252,PRate01,2,FALSE)</f>
        <v>0</v>
      </c>
      <c r="M254" s="322">
        <f t="shared" ref="M254" si="399">L254*VLOOKUP(M252,PRate01,2,FALSE)</f>
        <v>0</v>
      </c>
      <c r="N254" s="322">
        <f t="shared" ref="N254" si="400">M254*VLOOKUP(N252,PRate01,2,FALSE)</f>
        <v>0</v>
      </c>
      <c r="O254" s="322">
        <f t="shared" ref="O254" si="401">N254*VLOOKUP(O252,PRate01,2,FALSE)</f>
        <v>0</v>
      </c>
      <c r="P254" s="322">
        <f t="shared" ref="P254" si="402">O254*VLOOKUP(P252,PRate01,2,FALSE)</f>
        <v>0</v>
      </c>
      <c r="Q254" s="322">
        <f t="shared" ref="Q254" si="403">P254*VLOOKUP(Q252,PRate01,2,FALSE)</f>
        <v>0</v>
      </c>
      <c r="S254" s="547" t="s">
        <v>1005</v>
      </c>
      <c r="T254" s="548"/>
      <c r="V254" s="554">
        <v>1</v>
      </c>
      <c r="W254" s="549">
        <f>IF($AC$253&lt;&gt;"",$AC$253,T254)</f>
        <v>0</v>
      </c>
      <c r="X254" s="549">
        <f>IF($AC$269&lt;&gt;"",$AC$269,T270)</f>
        <v>0</v>
      </c>
      <c r="Y254" s="553"/>
      <c r="Z254" s="553"/>
      <c r="AA254" s="553"/>
    </row>
    <row r="255" spans="1:30" s="416" customFormat="1" ht="12.75" hidden="1" customHeight="1" outlineLevel="1" x14ac:dyDescent="0.2">
      <c r="D255" s="42" t="s">
        <v>283</v>
      </c>
      <c r="E255" s="320"/>
      <c r="F255" s="319"/>
      <c r="G255" s="322">
        <f>E255</f>
        <v>0</v>
      </c>
      <c r="H255" s="322">
        <f t="shared" ref="H255" si="404">G255*VLOOKUP(G252,PRate01,2,FALSE)</f>
        <v>0</v>
      </c>
      <c r="I255" s="322">
        <f t="shared" ref="I255" si="405">H255*VLOOKUP(H252,PRate01,2,FALSE)</f>
        <v>0</v>
      </c>
      <c r="J255" s="322">
        <f t="shared" ref="J255" si="406">I255*VLOOKUP(I252,PRate01,2,FALSE)</f>
        <v>0</v>
      </c>
      <c r="K255" s="322">
        <f t="shared" ref="K255" si="407">J255*VLOOKUP(J252,PRate01,2,FALSE)</f>
        <v>0</v>
      </c>
      <c r="L255" s="322">
        <f t="shared" ref="L255" si="408">K255*VLOOKUP(K252,PRate01,2,FALSE)</f>
        <v>0</v>
      </c>
      <c r="M255" s="322">
        <f t="shared" ref="M255" si="409">L255*VLOOKUP(L252,PRate01,2,FALSE)</f>
        <v>0</v>
      </c>
      <c r="N255" s="322">
        <f t="shared" ref="N255" si="410">M255*VLOOKUP(M252,PRate01,2,FALSE)</f>
        <v>0</v>
      </c>
      <c r="O255" s="322">
        <f t="shared" ref="O255" si="411">N255*VLOOKUP(N252,PRate01,2,FALSE)</f>
        <v>0</v>
      </c>
      <c r="P255" s="322">
        <f t="shared" ref="P255" si="412">O255*VLOOKUP(O252,PRate01,2,FALSE)</f>
        <v>0</v>
      </c>
      <c r="Q255" s="322">
        <f t="shared" ref="Q255" si="413">P255*VLOOKUP(P252,PRate01,2,FALSE)</f>
        <v>0</v>
      </c>
      <c r="S255" s="42" t="s">
        <v>1006</v>
      </c>
      <c r="T255" s="544"/>
      <c r="V255" s="554">
        <v>2</v>
      </c>
      <c r="W255" s="549">
        <f t="shared" ref="W255:W264" si="414">IF($AC$253&lt;&gt;"",$AC$253,T255)</f>
        <v>0</v>
      </c>
      <c r="X255" s="549">
        <f t="shared" ref="X255:X265" si="415">IF($AC$269&lt;&gt;"",$AC$269,T271)</f>
        <v>0</v>
      </c>
      <c r="Z255" s="42" t="s">
        <v>258</v>
      </c>
      <c r="AA255" s="914"/>
      <c r="AB255" s="914"/>
      <c r="AC255" s="914"/>
      <c r="AD255" s="914"/>
    </row>
    <row r="256" spans="1:30" s="416" customFormat="1" ht="12.75" hidden="1" customHeight="1" outlineLevel="1" x14ac:dyDescent="0.2">
      <c r="D256" s="42" t="s">
        <v>284</v>
      </c>
      <c r="E256" s="320"/>
      <c r="F256" s="319"/>
      <c r="G256" s="319"/>
      <c r="H256" s="322">
        <f>E256</f>
        <v>0</v>
      </c>
      <c r="I256" s="322">
        <f t="shared" ref="I256" si="416">H256*VLOOKUP(G252,PRate01,2,FALSE)</f>
        <v>0</v>
      </c>
      <c r="J256" s="322">
        <f t="shared" ref="J256" si="417">I256*VLOOKUP(H252,PRate01,2,FALSE)</f>
        <v>0</v>
      </c>
      <c r="K256" s="322">
        <f t="shared" ref="K256" si="418">J256*VLOOKUP(I252,PRate01,2,FALSE)</f>
        <v>0</v>
      </c>
      <c r="L256" s="322">
        <f t="shared" ref="L256" si="419">K256*VLOOKUP(J252,PRate01,2,FALSE)</f>
        <v>0</v>
      </c>
      <c r="M256" s="322">
        <f t="shared" ref="M256" si="420">L256*VLOOKUP(K252,PRate01,2,FALSE)</f>
        <v>0</v>
      </c>
      <c r="N256" s="322">
        <f t="shared" ref="N256" si="421">M256*VLOOKUP(L252,PRate01,2,FALSE)</f>
        <v>0</v>
      </c>
      <c r="O256" s="322">
        <f t="shared" ref="O256" si="422">N256*VLOOKUP(M252,PRate01,2,FALSE)</f>
        <v>0</v>
      </c>
      <c r="P256" s="322">
        <f t="shared" ref="P256" si="423">O256*VLOOKUP(N252,PRate01,2,FALSE)</f>
        <v>0</v>
      </c>
      <c r="Q256" s="322">
        <f t="shared" ref="Q256" si="424">P256*VLOOKUP(O252,PRate01,2,FALSE)</f>
        <v>0</v>
      </c>
      <c r="S256" s="42" t="s">
        <v>1007</v>
      </c>
      <c r="T256" s="544"/>
      <c r="V256" s="554">
        <v>3</v>
      </c>
      <c r="W256" s="549">
        <f t="shared" si="414"/>
        <v>0</v>
      </c>
      <c r="X256" s="549">
        <f t="shared" si="415"/>
        <v>0</v>
      </c>
      <c r="Y256" s="553"/>
      <c r="Z256" s="553"/>
      <c r="AA256" s="553"/>
    </row>
    <row r="257" spans="3:30" s="416" customFormat="1" ht="12.75" hidden="1" customHeight="1" outlineLevel="1" x14ac:dyDescent="0.2">
      <c r="D257" s="42" t="s">
        <v>285</v>
      </c>
      <c r="E257" s="320"/>
      <c r="F257" s="319"/>
      <c r="G257" s="319"/>
      <c r="H257" s="319"/>
      <c r="I257" s="322">
        <f>E257</f>
        <v>0</v>
      </c>
      <c r="J257" s="322">
        <f t="shared" ref="J257" si="425">I257*VLOOKUP(G252,PRate01,2,FALSE)</f>
        <v>0</v>
      </c>
      <c r="K257" s="322">
        <f t="shared" ref="K257" si="426">J257*VLOOKUP(H252,PRate01,2,FALSE)</f>
        <v>0</v>
      </c>
      <c r="L257" s="322">
        <f t="shared" ref="L257" si="427">K257*VLOOKUP(I252,PRate01,2,FALSE)</f>
        <v>0</v>
      </c>
      <c r="M257" s="322">
        <f t="shared" ref="M257" si="428">L257*VLOOKUP(J252,PRate01,2,FALSE)</f>
        <v>0</v>
      </c>
      <c r="N257" s="322">
        <f t="shared" ref="N257" si="429">M257*VLOOKUP(K252,PRate01,2,FALSE)</f>
        <v>0</v>
      </c>
      <c r="O257" s="322">
        <f t="shared" ref="O257" si="430">N257*VLOOKUP(L252,PRate01,2,FALSE)</f>
        <v>0</v>
      </c>
      <c r="P257" s="322">
        <f t="shared" ref="P257" si="431">O257*VLOOKUP(M252,PRate01,2,FALSE)</f>
        <v>0</v>
      </c>
      <c r="Q257" s="322">
        <f t="shared" ref="Q257" si="432">P257*VLOOKUP(N252,PRate01,2,FALSE)</f>
        <v>0</v>
      </c>
      <c r="S257" s="42" t="s">
        <v>1008</v>
      </c>
      <c r="T257" s="544"/>
      <c r="V257" s="555">
        <v>4</v>
      </c>
      <c r="W257" s="549">
        <f t="shared" si="414"/>
        <v>0</v>
      </c>
      <c r="X257" s="549">
        <f t="shared" si="415"/>
        <v>0</v>
      </c>
      <c r="Y257" s="553"/>
      <c r="Z257" s="553"/>
      <c r="AA257" s="553"/>
    </row>
    <row r="258" spans="3:30" s="416" customFormat="1" ht="12.75" hidden="1" customHeight="1" outlineLevel="1" x14ac:dyDescent="0.2">
      <c r="D258" s="42" t="s">
        <v>286</v>
      </c>
      <c r="E258" s="320"/>
      <c r="F258" s="319"/>
      <c r="G258" s="319"/>
      <c r="H258" s="319"/>
      <c r="I258" s="319"/>
      <c r="J258" s="322">
        <f>E258</f>
        <v>0</v>
      </c>
      <c r="K258" s="322">
        <f t="shared" ref="K258" si="433">J258*VLOOKUP(G252,PRate01,2,FALSE)</f>
        <v>0</v>
      </c>
      <c r="L258" s="322">
        <f t="shared" ref="L258" si="434">K258*VLOOKUP(H252,PRate01,2,FALSE)</f>
        <v>0</v>
      </c>
      <c r="M258" s="322">
        <f t="shared" ref="M258" si="435">L258*VLOOKUP(I252,PRate01,2,FALSE)</f>
        <v>0</v>
      </c>
      <c r="N258" s="322">
        <f t="shared" ref="N258" si="436">M258*VLOOKUP(J252,PRate01,2,FALSE)</f>
        <v>0</v>
      </c>
      <c r="O258" s="322">
        <f t="shared" ref="O258" si="437">N258*VLOOKUP(K252,PRate01,2,FALSE)</f>
        <v>0</v>
      </c>
      <c r="P258" s="322">
        <f t="shared" ref="P258" si="438">O258*VLOOKUP(L252,PRate01,2,FALSE)</f>
        <v>0</v>
      </c>
      <c r="Q258" s="322">
        <f t="shared" ref="Q258" si="439">P258*VLOOKUP(M252,PRate01,2,FALSE)</f>
        <v>0</v>
      </c>
      <c r="S258" s="42" t="s">
        <v>1009</v>
      </c>
      <c r="T258" s="544"/>
      <c r="V258" s="555">
        <v>5</v>
      </c>
      <c r="W258" s="549">
        <f t="shared" si="414"/>
        <v>0</v>
      </c>
      <c r="X258" s="549">
        <f t="shared" si="415"/>
        <v>0</v>
      </c>
      <c r="Y258" s="553"/>
      <c r="Z258" s="553"/>
      <c r="AA258" s="553"/>
    </row>
    <row r="259" spans="3:30" s="416" customFormat="1" ht="12.75" hidden="1" customHeight="1" outlineLevel="1" x14ac:dyDescent="0.2">
      <c r="D259" s="42" t="s">
        <v>287</v>
      </c>
      <c r="E259" s="320"/>
      <c r="F259" s="319"/>
      <c r="G259" s="319"/>
      <c r="H259" s="319"/>
      <c r="I259" s="319"/>
      <c r="J259" s="319"/>
      <c r="K259" s="322">
        <f>E259</f>
        <v>0</v>
      </c>
      <c r="L259" s="322">
        <f t="shared" ref="L259" si="440">K259*VLOOKUP(G252,PRate01,2,FALSE)</f>
        <v>0</v>
      </c>
      <c r="M259" s="322">
        <f t="shared" ref="M259" si="441">L259*VLOOKUP(H252,PRate01,2,FALSE)</f>
        <v>0</v>
      </c>
      <c r="N259" s="322">
        <f t="shared" ref="N259" si="442">M259*VLOOKUP(I252,PRate01,2,FALSE)</f>
        <v>0</v>
      </c>
      <c r="O259" s="322">
        <f t="shared" ref="O259" si="443">N259*VLOOKUP(J252,PRate01,2,FALSE)</f>
        <v>0</v>
      </c>
      <c r="P259" s="322">
        <f t="shared" ref="P259" si="444">O259*VLOOKUP(K252,PRate01,2,FALSE)</f>
        <v>0</v>
      </c>
      <c r="Q259" s="322">
        <f t="shared" ref="Q259" si="445">P259*VLOOKUP(L252,PRate01,2,FALSE)</f>
        <v>0</v>
      </c>
      <c r="S259" s="42" t="s">
        <v>1010</v>
      </c>
      <c r="T259" s="544"/>
      <c r="V259" s="555">
        <v>6</v>
      </c>
      <c r="W259" s="549">
        <f t="shared" si="414"/>
        <v>0</v>
      </c>
      <c r="X259" s="549">
        <f t="shared" si="415"/>
        <v>0</v>
      </c>
      <c r="Y259" s="553"/>
      <c r="Z259" s="553"/>
      <c r="AA259" s="553"/>
    </row>
    <row r="260" spans="3:30" s="416" customFormat="1" ht="12.75" hidden="1" customHeight="1" outlineLevel="1" x14ac:dyDescent="0.2">
      <c r="D260" s="42" t="s">
        <v>474</v>
      </c>
      <c r="E260" s="320"/>
      <c r="F260" s="319"/>
      <c r="G260" s="319"/>
      <c r="H260" s="319"/>
      <c r="I260" s="319"/>
      <c r="J260" s="319"/>
      <c r="K260" s="319"/>
      <c r="L260" s="322">
        <f>E260</f>
        <v>0</v>
      </c>
      <c r="M260" s="322">
        <f>L260*VLOOKUP(G252,PRate01,2,FALSE)</f>
        <v>0</v>
      </c>
      <c r="N260" s="322">
        <f>M260*VLOOKUP(H252,PRate01,2,FALSE)</f>
        <v>0</v>
      </c>
      <c r="O260" s="322">
        <f>N260*VLOOKUP(I252,PRate01,2,FALSE)</f>
        <v>0</v>
      </c>
      <c r="P260" s="322">
        <f>O260*VLOOKUP(J252,PRate01,2,FALSE)</f>
        <v>0</v>
      </c>
      <c r="Q260" s="322">
        <f>P260*VLOOKUP(K252,PRate01,2,FALSE)</f>
        <v>0</v>
      </c>
      <c r="S260" s="42" t="s">
        <v>1011</v>
      </c>
      <c r="T260" s="544"/>
      <c r="V260" s="555">
        <v>7</v>
      </c>
      <c r="W260" s="549">
        <f t="shared" si="414"/>
        <v>0</v>
      </c>
      <c r="X260" s="549">
        <f t="shared" si="415"/>
        <v>0</v>
      </c>
      <c r="Y260" s="553"/>
      <c r="Z260" s="553"/>
      <c r="AA260" s="553"/>
    </row>
    <row r="261" spans="3:30" s="416" customFormat="1" ht="12.75" hidden="1" customHeight="1" outlineLevel="1" x14ac:dyDescent="0.2">
      <c r="D261" s="42" t="s">
        <v>475</v>
      </c>
      <c r="E261" s="320"/>
      <c r="F261" s="319"/>
      <c r="G261" s="319"/>
      <c r="H261" s="319"/>
      <c r="I261" s="319"/>
      <c r="J261" s="319"/>
      <c r="K261" s="319"/>
      <c r="L261" s="319"/>
      <c r="M261" s="322">
        <f>E261</f>
        <v>0</v>
      </c>
      <c r="N261" s="322">
        <f>M261*VLOOKUP(G252,PRate01,2,FALSE)</f>
        <v>0</v>
      </c>
      <c r="O261" s="322">
        <f>N261*VLOOKUP(H252,PRate01,2,FALSE)</f>
        <v>0</v>
      </c>
      <c r="P261" s="322">
        <f>O261*VLOOKUP(I252,PRate01,2,FALSE)</f>
        <v>0</v>
      </c>
      <c r="Q261" s="322">
        <f>P261*VLOOKUP(J252,PRate01,2,FALSE)</f>
        <v>0</v>
      </c>
      <c r="S261" s="42" t="s">
        <v>1012</v>
      </c>
      <c r="T261" s="544"/>
      <c r="V261" s="555">
        <v>8</v>
      </c>
      <c r="W261" s="549">
        <f t="shared" si="414"/>
        <v>0</v>
      </c>
      <c r="X261" s="549">
        <f t="shared" si="415"/>
        <v>0</v>
      </c>
      <c r="Y261" s="553"/>
      <c r="Z261" s="553"/>
      <c r="AA261" s="553"/>
    </row>
    <row r="262" spans="3:30" s="416" customFormat="1" ht="12.75" hidden="1" customHeight="1" outlineLevel="1" x14ac:dyDescent="0.2">
      <c r="D262" s="42" t="s">
        <v>476</v>
      </c>
      <c r="E262" s="320"/>
      <c r="F262" s="319"/>
      <c r="G262" s="319"/>
      <c r="H262" s="319"/>
      <c r="I262" s="319"/>
      <c r="J262" s="319"/>
      <c r="K262" s="319"/>
      <c r="L262" s="319"/>
      <c r="M262" s="319"/>
      <c r="N262" s="322">
        <f>E262</f>
        <v>0</v>
      </c>
      <c r="O262" s="322">
        <f>N262*VLOOKUP(G252,PRate01,2,FALSE)</f>
        <v>0</v>
      </c>
      <c r="P262" s="322">
        <f>O262*VLOOKUP(H252,PRate01,2,FALSE)</f>
        <v>0</v>
      </c>
      <c r="Q262" s="322">
        <f>P262*VLOOKUP(I252,PRate01,2,FALSE)</f>
        <v>0</v>
      </c>
      <c r="S262" s="42" t="s">
        <v>1013</v>
      </c>
      <c r="T262" s="544"/>
      <c r="V262" s="555">
        <v>9</v>
      </c>
      <c r="W262" s="549">
        <f t="shared" si="414"/>
        <v>0</v>
      </c>
      <c r="X262" s="549">
        <f t="shared" si="415"/>
        <v>0</v>
      </c>
      <c r="Y262" s="553"/>
      <c r="Z262" s="553"/>
      <c r="AA262" s="553"/>
    </row>
    <row r="263" spans="3:30" s="416" customFormat="1" ht="12.75" hidden="1" customHeight="1" outlineLevel="1" x14ac:dyDescent="0.2">
      <c r="D263" s="42" t="s">
        <v>477</v>
      </c>
      <c r="E263" s="320"/>
      <c r="F263" s="319"/>
      <c r="G263" s="319"/>
      <c r="H263" s="319"/>
      <c r="I263" s="319"/>
      <c r="J263" s="319"/>
      <c r="K263" s="319"/>
      <c r="L263" s="319"/>
      <c r="M263" s="319"/>
      <c r="N263" s="319"/>
      <c r="O263" s="550">
        <f>E263</f>
        <v>0</v>
      </c>
      <c r="P263" s="322">
        <f>O263*VLOOKUP(G252,PRate01,2,FALSE)</f>
        <v>0</v>
      </c>
      <c r="Q263" s="322">
        <f>P263*VLOOKUP(H252,PRate01,2,FALSE)</f>
        <v>0</v>
      </c>
      <c r="S263" s="42" t="s">
        <v>1014</v>
      </c>
      <c r="T263" s="544"/>
      <c r="V263" s="555">
        <v>10</v>
      </c>
      <c r="W263" s="549">
        <f t="shared" si="414"/>
        <v>0</v>
      </c>
      <c r="X263" s="549">
        <f t="shared" si="415"/>
        <v>0</v>
      </c>
      <c r="Y263" s="553"/>
      <c r="Z263" s="553"/>
      <c r="AA263" s="553"/>
    </row>
    <row r="264" spans="3:30" s="416" customFormat="1" ht="12.75" hidden="1" customHeight="1" outlineLevel="1" x14ac:dyDescent="0.2">
      <c r="D264" s="42" t="s">
        <v>478</v>
      </c>
      <c r="E264" s="320"/>
      <c r="F264" s="319"/>
      <c r="G264" s="319"/>
      <c r="H264" s="319"/>
      <c r="I264" s="319"/>
      <c r="J264" s="319"/>
      <c r="K264" s="319"/>
      <c r="L264" s="319"/>
      <c r="M264" s="319"/>
      <c r="N264" s="319"/>
      <c r="O264" s="546"/>
      <c r="P264" s="550">
        <f>E264</f>
        <v>0</v>
      </c>
      <c r="Q264" s="322">
        <f>P264*VLOOKUP(G252,PRate01,2,FALSE)</f>
        <v>0</v>
      </c>
      <c r="S264" s="42" t="s">
        <v>1015</v>
      </c>
      <c r="T264" s="544"/>
      <c r="V264" s="555">
        <v>11</v>
      </c>
      <c r="W264" s="549">
        <f t="shared" si="414"/>
        <v>0</v>
      </c>
      <c r="X264" s="549">
        <f t="shared" si="415"/>
        <v>0</v>
      </c>
      <c r="Y264" s="553"/>
      <c r="Z264" s="553"/>
      <c r="AA264" s="553"/>
    </row>
    <row r="265" spans="3:30" s="416" customFormat="1" ht="12.75" hidden="1" customHeight="1" outlineLevel="1" x14ac:dyDescent="0.2">
      <c r="D265" s="42" t="s">
        <v>479</v>
      </c>
      <c r="E265" s="320"/>
      <c r="F265" s="319"/>
      <c r="G265" s="319"/>
      <c r="H265" s="319"/>
      <c r="I265" s="319"/>
      <c r="J265" s="319"/>
      <c r="K265" s="319"/>
      <c r="L265" s="319"/>
      <c r="M265" s="319"/>
      <c r="N265" s="319"/>
      <c r="O265" s="546"/>
      <c r="P265" s="546"/>
      <c r="Q265" s="550">
        <f>E265</f>
        <v>0</v>
      </c>
      <c r="V265" s="555">
        <v>12</v>
      </c>
      <c r="W265" s="556"/>
      <c r="X265" s="549">
        <f t="shared" si="415"/>
        <v>0</v>
      </c>
      <c r="Y265" s="553"/>
      <c r="Z265" s="553"/>
      <c r="AA265" s="553"/>
    </row>
    <row r="266" spans="3:30" s="416" customFormat="1" ht="12.75" hidden="1" customHeight="1" outlineLevel="1" x14ac:dyDescent="0.2"/>
    <row r="267" spans="3:30" s="416" customFormat="1" ht="12.75" hidden="1" customHeight="1" outlineLevel="1" x14ac:dyDescent="0.2">
      <c r="Z267" s="919" t="str">
        <f>IF(AC269&lt;&gt;"",MsgNote &amp; VLOOKUP("PRate",WarningMessages,2),"")</f>
        <v/>
      </c>
      <c r="AA267" s="919"/>
      <c r="AB267" s="919"/>
      <c r="AC267" s="919"/>
      <c r="AD267" s="919"/>
    </row>
    <row r="268" spans="3:30" s="416" customFormat="1" ht="12.75" hidden="1" customHeight="1" outlineLevel="1" x14ac:dyDescent="0.2">
      <c r="L268" s="552"/>
      <c r="M268" s="552"/>
      <c r="N268" s="552"/>
      <c r="O268" s="552"/>
      <c r="P268" s="552"/>
      <c r="Q268" s="552"/>
    </row>
    <row r="269" spans="3:30" s="416" customFormat="1" ht="12.75" hidden="1" customHeight="1" outlineLevel="1" x14ac:dyDescent="0.2">
      <c r="D269" s="318"/>
      <c r="F269" s="733">
        <f t="shared" ref="F269" si="446">G269-1</f>
        <v>2015</v>
      </c>
      <c r="G269" s="733">
        <f t="shared" ref="G269" si="447">H269-1</f>
        <v>2016</v>
      </c>
      <c r="H269" s="733">
        <f t="shared" ref="H269" si="448">I269-1</f>
        <v>2017</v>
      </c>
      <c r="I269" s="733">
        <f t="shared" ref="I269" si="449">J269-1</f>
        <v>2018</v>
      </c>
      <c r="J269" s="733">
        <f t="shared" ref="J269" si="450">K269-1</f>
        <v>2019</v>
      </c>
      <c r="K269" s="733">
        <f t="shared" ref="K269" si="451">L269-1</f>
        <v>2020</v>
      </c>
      <c r="L269" s="733">
        <f>FirstYear</f>
        <v>2021</v>
      </c>
      <c r="M269" s="733">
        <f>L269+1</f>
        <v>2022</v>
      </c>
      <c r="N269" s="733">
        <f>M269+1</f>
        <v>2023</v>
      </c>
      <c r="O269" s="733">
        <f>N269+1</f>
        <v>2024</v>
      </c>
      <c r="P269" s="733">
        <f>O269+1</f>
        <v>2025</v>
      </c>
      <c r="Q269" s="733">
        <f>P269+1</f>
        <v>2026</v>
      </c>
      <c r="S269" s="921" t="s">
        <v>1301</v>
      </c>
      <c r="T269" s="921"/>
      <c r="Z269" s="918" t="s">
        <v>1304</v>
      </c>
      <c r="AA269" s="918"/>
      <c r="AB269" s="918"/>
      <c r="AC269" s="544"/>
    </row>
    <row r="270" spans="3:30" s="416" customFormat="1" ht="12.75" hidden="1" customHeight="1" outlineLevel="1" x14ac:dyDescent="0.2">
      <c r="C270" s="551">
        <v>12</v>
      </c>
      <c r="D270" s="920" t="s">
        <v>282</v>
      </c>
      <c r="E270" s="882"/>
      <c r="F270" s="550">
        <f>F254*VLOOKUP(C281,PRate01,3,FALSE)</f>
        <v>0</v>
      </c>
      <c r="G270" s="550">
        <f>G254*VLOOKUP(C280,PRate01,3,FALSE)</f>
        <v>0</v>
      </c>
      <c r="H270" s="550">
        <f>H254*VLOOKUP(C279,PRate01,3,FALSE)</f>
        <v>0</v>
      </c>
      <c r="I270" s="550">
        <f>I254*VLOOKUP(C278,PRate01,3,FALSE)</f>
        <v>0</v>
      </c>
      <c r="J270" s="550">
        <f>J254*VLOOKUP(C277,PRate01,3,FALSE)</f>
        <v>0</v>
      </c>
      <c r="K270" s="550">
        <f t="shared" ref="K270:K275" si="452">K254*VLOOKUP(C276,PRate01,3,FALSE)</f>
        <v>0</v>
      </c>
      <c r="L270" s="550">
        <f t="shared" ref="L270:L276" si="453">L254*VLOOKUP(C275,PRate01,3,FALSE)</f>
        <v>0</v>
      </c>
      <c r="M270" s="550">
        <f t="shared" ref="M270:M277" si="454">M254*VLOOKUP(C274,PRate01,3,FALSE)</f>
        <v>0</v>
      </c>
      <c r="N270" s="550">
        <f t="shared" ref="N270:N278" si="455">N254*VLOOKUP(C273,PRate01,3,FALSE)</f>
        <v>0</v>
      </c>
      <c r="O270" s="550">
        <f t="shared" ref="O270:O279" si="456">O254*VLOOKUP(C272,PRate01,3,FALSE)</f>
        <v>0</v>
      </c>
      <c r="P270" s="550">
        <f t="shared" ref="P270:P280" si="457">P254*VLOOKUP(C271,PRate01,3,FALSE)</f>
        <v>0</v>
      </c>
      <c r="Q270" s="550">
        <f t="shared" ref="Q270:Q281" si="458">Q254*VLOOKUP(C270,PRate01,3,FALSE)</f>
        <v>0</v>
      </c>
      <c r="S270" s="547" t="s">
        <v>1005</v>
      </c>
      <c r="T270" s="548"/>
      <c r="X270" s="553"/>
      <c r="Y270" s="553"/>
      <c r="Z270" s="553"/>
      <c r="AA270" s="553"/>
    </row>
    <row r="271" spans="3:30" s="416" customFormat="1" ht="12.75" hidden="1" customHeight="1" outlineLevel="1" x14ac:dyDescent="0.2">
      <c r="C271" s="551">
        <v>11</v>
      </c>
      <c r="D271" s="920" t="s">
        <v>283</v>
      </c>
      <c r="E271" s="882"/>
      <c r="F271" s="319"/>
      <c r="G271" s="550">
        <f>G255*VLOOKUP(C281,PRate01,3,FALSE)</f>
        <v>0</v>
      </c>
      <c r="H271" s="550">
        <f>H255*VLOOKUP(C280,PRate01,3,FALSE)</f>
        <v>0</v>
      </c>
      <c r="I271" s="550">
        <f>I255*VLOOKUP(C279,PRate01,3,FALSE)</f>
        <v>0</v>
      </c>
      <c r="J271" s="550">
        <f>J255*VLOOKUP(C278,PRate01,3,FALSE)</f>
        <v>0</v>
      </c>
      <c r="K271" s="550">
        <f t="shared" si="452"/>
        <v>0</v>
      </c>
      <c r="L271" s="550">
        <f t="shared" si="453"/>
        <v>0</v>
      </c>
      <c r="M271" s="550">
        <f t="shared" si="454"/>
        <v>0</v>
      </c>
      <c r="N271" s="550">
        <f t="shared" si="455"/>
        <v>0</v>
      </c>
      <c r="O271" s="550">
        <f t="shared" si="456"/>
        <v>0</v>
      </c>
      <c r="P271" s="550">
        <f t="shared" si="457"/>
        <v>0</v>
      </c>
      <c r="Q271" s="550">
        <f t="shared" si="458"/>
        <v>0</v>
      </c>
      <c r="S271" s="42" t="s">
        <v>1006</v>
      </c>
      <c r="T271" s="544"/>
      <c r="X271" s="553"/>
      <c r="Y271" s="553"/>
      <c r="Z271" s="42" t="s">
        <v>258</v>
      </c>
      <c r="AA271" s="914"/>
      <c r="AB271" s="914"/>
      <c r="AC271" s="914"/>
      <c r="AD271" s="914"/>
    </row>
    <row r="272" spans="3:30" s="416" customFormat="1" ht="12.75" hidden="1" customHeight="1" outlineLevel="1" x14ac:dyDescent="0.2">
      <c r="C272" s="551">
        <v>10</v>
      </c>
      <c r="D272" s="920" t="s">
        <v>284</v>
      </c>
      <c r="E272" s="882"/>
      <c r="F272" s="319"/>
      <c r="G272" s="319"/>
      <c r="H272" s="550">
        <f>H256*VLOOKUP(C281,PRate01,3,FALSE)</f>
        <v>0</v>
      </c>
      <c r="I272" s="550">
        <f>I256*VLOOKUP(C280,PRate01,3,FALSE)</f>
        <v>0</v>
      </c>
      <c r="J272" s="550">
        <f>J256*VLOOKUP(C279,PRate01,3,FALSE)</f>
        <v>0</v>
      </c>
      <c r="K272" s="550">
        <f t="shared" si="452"/>
        <v>0</v>
      </c>
      <c r="L272" s="550">
        <f t="shared" si="453"/>
        <v>0</v>
      </c>
      <c r="M272" s="550">
        <f t="shared" si="454"/>
        <v>0</v>
      </c>
      <c r="N272" s="550">
        <f t="shared" si="455"/>
        <v>0</v>
      </c>
      <c r="O272" s="550">
        <f t="shared" si="456"/>
        <v>0</v>
      </c>
      <c r="P272" s="550">
        <f t="shared" si="457"/>
        <v>0</v>
      </c>
      <c r="Q272" s="550">
        <f t="shared" si="458"/>
        <v>0</v>
      </c>
      <c r="S272" s="42" t="s">
        <v>1007</v>
      </c>
      <c r="T272" s="544"/>
      <c r="X272" s="553"/>
      <c r="Y272" s="553"/>
      <c r="Z272" s="553"/>
      <c r="AA272" s="553"/>
    </row>
    <row r="273" spans="1:30" s="416" customFormat="1" ht="12.75" hidden="1" customHeight="1" outlineLevel="1" x14ac:dyDescent="0.2">
      <c r="C273" s="551">
        <v>9</v>
      </c>
      <c r="D273" s="920" t="s">
        <v>285</v>
      </c>
      <c r="E273" s="882"/>
      <c r="F273" s="319"/>
      <c r="G273" s="319"/>
      <c r="H273" s="319"/>
      <c r="I273" s="550">
        <f>I257*VLOOKUP(C281,PRate01,3,FALSE)</f>
        <v>0</v>
      </c>
      <c r="J273" s="550">
        <f>J257*VLOOKUP(C280,PRate01,3,FALSE)</f>
        <v>0</v>
      </c>
      <c r="K273" s="550">
        <f t="shared" si="452"/>
        <v>0</v>
      </c>
      <c r="L273" s="550">
        <f t="shared" si="453"/>
        <v>0</v>
      </c>
      <c r="M273" s="550">
        <f t="shared" si="454"/>
        <v>0</v>
      </c>
      <c r="N273" s="550">
        <f t="shared" si="455"/>
        <v>0</v>
      </c>
      <c r="O273" s="550">
        <f t="shared" si="456"/>
        <v>0</v>
      </c>
      <c r="P273" s="550">
        <f t="shared" si="457"/>
        <v>0</v>
      </c>
      <c r="Q273" s="550">
        <f t="shared" si="458"/>
        <v>0</v>
      </c>
      <c r="S273" s="42" t="s">
        <v>1008</v>
      </c>
      <c r="T273" s="544"/>
      <c r="X273" s="553"/>
      <c r="Y273" s="553"/>
      <c r="Z273" s="553"/>
      <c r="AA273" s="553"/>
    </row>
    <row r="274" spans="1:30" s="416" customFormat="1" ht="12.75" hidden="1" customHeight="1" outlineLevel="1" x14ac:dyDescent="0.2">
      <c r="C274" s="551">
        <v>8</v>
      </c>
      <c r="D274" s="920" t="s">
        <v>286</v>
      </c>
      <c r="E274" s="882"/>
      <c r="F274" s="319"/>
      <c r="G274" s="319"/>
      <c r="H274" s="319"/>
      <c r="I274" s="319"/>
      <c r="J274" s="550">
        <f>J258*VLOOKUP(C281,PRate01,3,FALSE)</f>
        <v>0</v>
      </c>
      <c r="K274" s="550">
        <f t="shared" si="452"/>
        <v>0</v>
      </c>
      <c r="L274" s="550">
        <f t="shared" si="453"/>
        <v>0</v>
      </c>
      <c r="M274" s="550">
        <f t="shared" si="454"/>
        <v>0</v>
      </c>
      <c r="N274" s="550">
        <f t="shared" si="455"/>
        <v>0</v>
      </c>
      <c r="O274" s="550">
        <f t="shared" si="456"/>
        <v>0</v>
      </c>
      <c r="P274" s="550">
        <f t="shared" si="457"/>
        <v>0</v>
      </c>
      <c r="Q274" s="550">
        <f t="shared" si="458"/>
        <v>0</v>
      </c>
      <c r="S274" s="42" t="s">
        <v>1009</v>
      </c>
      <c r="T274" s="544"/>
      <c r="X274" s="553"/>
      <c r="Y274" s="553"/>
      <c r="Z274" s="553"/>
      <c r="AA274" s="553"/>
    </row>
    <row r="275" spans="1:30" s="416" customFormat="1" ht="12.75" hidden="1" customHeight="1" outlineLevel="1" x14ac:dyDescent="0.2">
      <c r="C275" s="551">
        <v>7</v>
      </c>
      <c r="D275" s="920" t="s">
        <v>287</v>
      </c>
      <c r="E275" s="882"/>
      <c r="F275" s="319"/>
      <c r="G275" s="319"/>
      <c r="H275" s="319"/>
      <c r="I275" s="319"/>
      <c r="J275" s="319"/>
      <c r="K275" s="550">
        <f t="shared" si="452"/>
        <v>0</v>
      </c>
      <c r="L275" s="550">
        <f t="shared" si="453"/>
        <v>0</v>
      </c>
      <c r="M275" s="550">
        <f t="shared" si="454"/>
        <v>0</v>
      </c>
      <c r="N275" s="550">
        <f t="shared" si="455"/>
        <v>0</v>
      </c>
      <c r="O275" s="550">
        <f t="shared" si="456"/>
        <v>0</v>
      </c>
      <c r="P275" s="550">
        <f t="shared" si="457"/>
        <v>0</v>
      </c>
      <c r="Q275" s="550">
        <f t="shared" si="458"/>
        <v>0</v>
      </c>
      <c r="S275" s="42" t="s">
        <v>1010</v>
      </c>
      <c r="T275" s="544"/>
      <c r="X275" s="553"/>
      <c r="Y275" s="553"/>
      <c r="Z275" s="553"/>
      <c r="AA275" s="553"/>
    </row>
    <row r="276" spans="1:30" s="416" customFormat="1" ht="12.75" hidden="1" customHeight="1" outlineLevel="1" x14ac:dyDescent="0.2">
      <c r="C276" s="551">
        <v>6</v>
      </c>
      <c r="D276" s="920" t="s">
        <v>474</v>
      </c>
      <c r="E276" s="882"/>
      <c r="F276" s="319"/>
      <c r="G276" s="319"/>
      <c r="H276" s="319"/>
      <c r="I276" s="319"/>
      <c r="J276" s="319"/>
      <c r="K276" s="319"/>
      <c r="L276" s="550">
        <f t="shared" si="453"/>
        <v>0</v>
      </c>
      <c r="M276" s="550">
        <f t="shared" si="454"/>
        <v>0</v>
      </c>
      <c r="N276" s="550">
        <f t="shared" si="455"/>
        <v>0</v>
      </c>
      <c r="O276" s="550">
        <f t="shared" si="456"/>
        <v>0</v>
      </c>
      <c r="P276" s="550">
        <f t="shared" si="457"/>
        <v>0</v>
      </c>
      <c r="Q276" s="550">
        <f t="shared" si="458"/>
        <v>0</v>
      </c>
      <c r="S276" s="42" t="s">
        <v>1011</v>
      </c>
      <c r="T276" s="544"/>
      <c r="X276" s="553"/>
      <c r="Y276" s="553"/>
      <c r="Z276" s="553"/>
      <c r="AA276" s="553"/>
    </row>
    <row r="277" spans="1:30" s="416" customFormat="1" ht="12.75" hidden="1" customHeight="1" outlineLevel="1" x14ac:dyDescent="0.2">
      <c r="C277" s="551">
        <v>5</v>
      </c>
      <c r="D277" s="920" t="s">
        <v>475</v>
      </c>
      <c r="E277" s="882"/>
      <c r="F277" s="319"/>
      <c r="G277" s="319"/>
      <c r="H277" s="319"/>
      <c r="I277" s="319"/>
      <c r="J277" s="319"/>
      <c r="K277" s="319"/>
      <c r="L277" s="319"/>
      <c r="M277" s="550">
        <f t="shared" si="454"/>
        <v>0</v>
      </c>
      <c r="N277" s="550">
        <f t="shared" si="455"/>
        <v>0</v>
      </c>
      <c r="O277" s="550">
        <f t="shared" si="456"/>
        <v>0</v>
      </c>
      <c r="P277" s="550">
        <f t="shared" si="457"/>
        <v>0</v>
      </c>
      <c r="Q277" s="550">
        <f t="shared" si="458"/>
        <v>0</v>
      </c>
      <c r="S277" s="42" t="s">
        <v>1012</v>
      </c>
      <c r="T277" s="544"/>
      <c r="X277" s="553"/>
      <c r="Y277" s="553"/>
      <c r="Z277" s="553"/>
      <c r="AA277" s="553"/>
    </row>
    <row r="278" spans="1:30" s="416" customFormat="1" ht="12.75" hidden="1" customHeight="1" outlineLevel="1" x14ac:dyDescent="0.2">
      <c r="C278" s="551">
        <v>4</v>
      </c>
      <c r="D278" s="920" t="s">
        <v>476</v>
      </c>
      <c r="E278" s="882"/>
      <c r="F278" s="319"/>
      <c r="G278" s="319"/>
      <c r="H278" s="319"/>
      <c r="I278" s="319"/>
      <c r="J278" s="319"/>
      <c r="K278" s="319"/>
      <c r="L278" s="319"/>
      <c r="M278" s="319"/>
      <c r="N278" s="550">
        <f t="shared" si="455"/>
        <v>0</v>
      </c>
      <c r="O278" s="550">
        <f t="shared" si="456"/>
        <v>0</v>
      </c>
      <c r="P278" s="550">
        <f t="shared" si="457"/>
        <v>0</v>
      </c>
      <c r="Q278" s="550">
        <f t="shared" si="458"/>
        <v>0</v>
      </c>
      <c r="S278" s="42" t="s">
        <v>1013</v>
      </c>
      <c r="T278" s="544"/>
      <c r="X278" s="553"/>
      <c r="Y278" s="553"/>
      <c r="Z278" s="553"/>
      <c r="AA278" s="553"/>
    </row>
    <row r="279" spans="1:30" s="416" customFormat="1" ht="12.75" hidden="1" customHeight="1" outlineLevel="1" x14ac:dyDescent="0.2">
      <c r="C279" s="551">
        <v>3</v>
      </c>
      <c r="D279" s="920" t="s">
        <v>477</v>
      </c>
      <c r="E279" s="882"/>
      <c r="F279" s="319"/>
      <c r="G279" s="319"/>
      <c r="H279" s="319"/>
      <c r="I279" s="319"/>
      <c r="J279" s="319"/>
      <c r="K279" s="319"/>
      <c r="L279" s="319"/>
      <c r="M279" s="319"/>
      <c r="N279" s="319"/>
      <c r="O279" s="550">
        <f t="shared" si="456"/>
        <v>0</v>
      </c>
      <c r="P279" s="550">
        <f t="shared" si="457"/>
        <v>0</v>
      </c>
      <c r="Q279" s="550">
        <f t="shared" si="458"/>
        <v>0</v>
      </c>
      <c r="S279" s="42" t="s">
        <v>1014</v>
      </c>
      <c r="T279" s="544"/>
      <c r="X279" s="553"/>
      <c r="Y279" s="553"/>
      <c r="Z279" s="553"/>
      <c r="AA279" s="553"/>
    </row>
    <row r="280" spans="1:30" s="416" customFormat="1" ht="12.75" hidden="1" customHeight="1" outlineLevel="1" x14ac:dyDescent="0.2">
      <c r="C280" s="551">
        <v>2</v>
      </c>
      <c r="D280" s="920" t="s">
        <v>478</v>
      </c>
      <c r="E280" s="882"/>
      <c r="F280" s="319"/>
      <c r="G280" s="319"/>
      <c r="H280" s="319"/>
      <c r="I280" s="319"/>
      <c r="J280" s="319"/>
      <c r="K280" s="319"/>
      <c r="L280" s="319"/>
      <c r="M280" s="319"/>
      <c r="N280" s="319"/>
      <c r="O280" s="546"/>
      <c r="P280" s="550">
        <f t="shared" si="457"/>
        <v>0</v>
      </c>
      <c r="Q280" s="550">
        <f t="shared" si="458"/>
        <v>0</v>
      </c>
      <c r="S280" s="42" t="s">
        <v>1015</v>
      </c>
      <c r="T280" s="544"/>
      <c r="X280" s="553"/>
      <c r="Y280" s="553"/>
      <c r="Z280" s="553"/>
      <c r="AA280" s="553"/>
    </row>
    <row r="281" spans="1:30" s="416" customFormat="1" ht="12.75" hidden="1" customHeight="1" outlineLevel="1" x14ac:dyDescent="0.2">
      <c r="C281" s="551">
        <v>1</v>
      </c>
      <c r="D281" s="920" t="s">
        <v>479</v>
      </c>
      <c r="E281" s="882"/>
      <c r="F281" s="319"/>
      <c r="G281" s="319"/>
      <c r="H281" s="319"/>
      <c r="I281" s="319"/>
      <c r="J281" s="319"/>
      <c r="K281" s="319"/>
      <c r="L281" s="319"/>
      <c r="M281" s="319"/>
      <c r="N281" s="319"/>
      <c r="O281" s="546"/>
      <c r="P281" s="546"/>
      <c r="Q281" s="550">
        <f t="shared" si="458"/>
        <v>0</v>
      </c>
      <c r="S281" s="42" t="s">
        <v>1035</v>
      </c>
      <c r="T281" s="544"/>
    </row>
    <row r="282" spans="1:30" s="416" customFormat="1" ht="12.75" hidden="1" customHeight="1" outlineLevel="1" x14ac:dyDescent="0.2">
      <c r="K282" s="736" t="s">
        <v>73</v>
      </c>
      <c r="L282" s="321">
        <f>IFERROR((SUM(L270:L275)+IF(MATCH($AC$54,Switch,0)=1,L276,0)),0)</f>
        <v>0</v>
      </c>
      <c r="M282" s="321">
        <f>IFERROR((SUM(M270:M276)+IF(MATCH($AC$54,Switch,0)=1,M277,0)),0)</f>
        <v>0</v>
      </c>
      <c r="N282" s="321">
        <f>IFERROR((SUM(N270:N277)+IF(MATCH($AC$54,Switch,0)=1,N278,0)),0)</f>
        <v>0</v>
      </c>
      <c r="O282" s="321">
        <f>IFERROR((SUM(O270:O278)+IF(MATCH($AC$54,Switch,0)=1,O279,0)),0)</f>
        <v>0</v>
      </c>
      <c r="P282" s="321">
        <f>IFERROR((SUM(P270:P279)+IF(MATCH($AC$54,Switch,0)=1,P280,0)),0)</f>
        <v>0</v>
      </c>
      <c r="Q282" s="321">
        <f>IFERROR((SUM(Q270:Q280)+IF(MATCH($AC$54,Switch,0)=1,Q281,0)),0)</f>
        <v>0</v>
      </c>
      <c r="Z282" s="915" t="s">
        <v>1302</v>
      </c>
      <c r="AA282" s="916"/>
      <c r="AB282" s="917"/>
      <c r="AC282" s="743" t="s">
        <v>9</v>
      </c>
    </row>
    <row r="283" spans="1:30" s="416" customFormat="1" ht="12.75" hidden="1" customHeight="1" outlineLevel="1" x14ac:dyDescent="0.2"/>
    <row r="284" spans="1:30" ht="12.75" customHeight="1" collapsed="1" x14ac:dyDescent="0.2">
      <c r="C284" s="416"/>
      <c r="D284" s="416"/>
      <c r="F284" s="416"/>
      <c r="G284" s="416"/>
      <c r="H284" s="416"/>
      <c r="I284" s="416"/>
      <c r="J284" s="416"/>
      <c r="K284" s="416"/>
      <c r="L284" s="416"/>
      <c r="M284" s="416"/>
      <c r="N284" s="416"/>
      <c r="O284" s="416"/>
      <c r="P284" s="416"/>
      <c r="Q284" s="416"/>
      <c r="R284" s="416"/>
      <c r="S284" s="416"/>
      <c r="T284" s="416"/>
      <c r="U284" s="416"/>
      <c r="W284" s="416"/>
      <c r="AB284" s="416"/>
      <c r="AC284" s="416"/>
      <c r="AD284" s="416"/>
    </row>
    <row r="285" spans="1:30" s="416" customFormat="1" ht="15.75" x14ac:dyDescent="0.2">
      <c r="A285" s="194"/>
      <c r="B285" s="242">
        <f>IF(G287&lt;&gt;"",1,0)</f>
        <v>0</v>
      </c>
      <c r="C285" s="242">
        <v>8</v>
      </c>
      <c r="D285" s="79" t="str">
        <f>IF(B285=0,MsgNotUsed, CONCATENATE("Persistent ", C285, ": ", G287, " (", F291, "-", Q291, ")"))</f>
        <v>** NOT USED **</v>
      </c>
      <c r="E285" s="127"/>
      <c r="F285" s="127"/>
      <c r="G285" s="127"/>
      <c r="H285" s="127"/>
      <c r="I285" s="127"/>
      <c r="J285" s="175"/>
      <c r="K285" s="127"/>
      <c r="L285" s="127"/>
      <c r="M285" s="127"/>
      <c r="N285" s="260"/>
      <c r="O285" s="260"/>
      <c r="P285" s="260"/>
      <c r="Q285" s="260"/>
      <c r="R285" s="260"/>
      <c r="S285" s="260"/>
      <c r="T285" s="260"/>
      <c r="U285" s="260"/>
      <c r="V285" s="260"/>
      <c r="W285" s="260"/>
      <c r="X285" s="260"/>
      <c r="Y285" s="260"/>
      <c r="Z285" s="260"/>
      <c r="AA285" s="260"/>
      <c r="AB285" s="260"/>
      <c r="AC285" s="260"/>
      <c r="AD285" s="260"/>
    </row>
    <row r="286" spans="1:30" s="416" customFormat="1" ht="12.75" hidden="1" customHeight="1" outlineLevel="1" x14ac:dyDescent="0.2"/>
    <row r="287" spans="1:30" s="416" customFormat="1" ht="12.75" hidden="1" customHeight="1" outlineLevel="1" x14ac:dyDescent="0.2">
      <c r="F287" s="42" t="s">
        <v>480</v>
      </c>
      <c r="G287" s="913"/>
      <c r="H287" s="881"/>
      <c r="I287" s="881"/>
      <c r="J287" s="881"/>
      <c r="K287" s="881"/>
      <c r="L287" s="882"/>
    </row>
    <row r="288" spans="1:30" s="416" customFormat="1" ht="12.75" hidden="1" customHeight="1" outlineLevel="1" x14ac:dyDescent="0.2"/>
    <row r="289" spans="4:30" s="416" customFormat="1" ht="12.75" hidden="1" customHeight="1" outlineLevel="1" x14ac:dyDescent="0.2">
      <c r="F289" s="42" t="s">
        <v>258</v>
      </c>
      <c r="G289" s="913"/>
      <c r="H289" s="881"/>
      <c r="I289" s="881"/>
      <c r="J289" s="881"/>
      <c r="K289" s="881"/>
      <c r="L289" s="882"/>
      <c r="Z289" s="919" t="str">
        <f>IF(AC291&lt;&gt;"",MsgNote &amp; VLOOKUP("PRate",WarningMessages,2),"")</f>
        <v/>
      </c>
      <c r="AA289" s="919"/>
      <c r="AB289" s="919"/>
      <c r="AC289" s="919"/>
      <c r="AD289" s="919"/>
    </row>
    <row r="290" spans="4:30" s="416" customFormat="1" ht="12.75" hidden="1" customHeight="1" outlineLevel="1" x14ac:dyDescent="0.2">
      <c r="G290" s="557">
        <v>1</v>
      </c>
      <c r="H290" s="557">
        <v>2</v>
      </c>
      <c r="I290" s="557">
        <v>3</v>
      </c>
      <c r="J290" s="557">
        <v>4</v>
      </c>
      <c r="K290" s="557">
        <v>5</v>
      </c>
      <c r="L290" s="557">
        <v>6</v>
      </c>
      <c r="M290" s="557">
        <v>7</v>
      </c>
      <c r="N290" s="557">
        <v>8</v>
      </c>
      <c r="O290" s="557">
        <v>9</v>
      </c>
      <c r="P290" s="557">
        <v>10</v>
      </c>
      <c r="Q290" s="557">
        <v>11</v>
      </c>
    </row>
    <row r="291" spans="4:30" s="416" customFormat="1" ht="12.75" hidden="1" customHeight="1" outlineLevel="1" x14ac:dyDescent="0.2">
      <c r="D291" s="318"/>
      <c r="E291" s="733" t="s">
        <v>1065</v>
      </c>
      <c r="F291" s="733">
        <f t="shared" ref="F291" si="459">G291-1</f>
        <v>2015</v>
      </c>
      <c r="G291" s="733">
        <f t="shared" ref="G291" si="460">H291-1</f>
        <v>2016</v>
      </c>
      <c r="H291" s="733">
        <f t="shared" ref="H291" si="461">I291-1</f>
        <v>2017</v>
      </c>
      <c r="I291" s="733">
        <f t="shared" ref="I291" si="462">J291-1</f>
        <v>2018</v>
      </c>
      <c r="J291" s="733">
        <f t="shared" ref="J291" si="463">K291-1</f>
        <v>2019</v>
      </c>
      <c r="K291" s="733">
        <f t="shared" ref="K291" si="464">L291-1</f>
        <v>2020</v>
      </c>
      <c r="L291" s="733">
        <f>FirstYear</f>
        <v>2021</v>
      </c>
      <c r="M291" s="733">
        <f>L291+1</f>
        <v>2022</v>
      </c>
      <c r="N291" s="733">
        <f>M291+1</f>
        <v>2023</v>
      </c>
      <c r="O291" s="733">
        <f>N291+1</f>
        <v>2024</v>
      </c>
      <c r="P291" s="733">
        <f>O291+1</f>
        <v>2025</v>
      </c>
      <c r="Q291" s="733">
        <f>P291+1</f>
        <v>2026</v>
      </c>
      <c r="S291" s="921" t="s">
        <v>1300</v>
      </c>
      <c r="T291" s="921"/>
      <c r="Z291" s="918" t="s">
        <v>1303</v>
      </c>
      <c r="AA291" s="918"/>
      <c r="AB291" s="918"/>
      <c r="AC291" s="544"/>
    </row>
    <row r="292" spans="4:30" s="416" customFormat="1" ht="12.75" hidden="1" customHeight="1" outlineLevel="1" x14ac:dyDescent="0.2">
      <c r="D292" s="42" t="s">
        <v>282</v>
      </c>
      <c r="E292" s="320"/>
      <c r="F292" s="322">
        <f>E292</f>
        <v>0</v>
      </c>
      <c r="G292" s="322">
        <f t="shared" ref="G292" si="465">F292*VLOOKUP(G290,PRate01,2,FALSE)</f>
        <v>0</v>
      </c>
      <c r="H292" s="322">
        <f t="shared" ref="H292" si="466">G292*VLOOKUP(H290,PRate01,2,FALSE)</f>
        <v>0</v>
      </c>
      <c r="I292" s="322">
        <f t="shared" ref="I292" si="467">H292*VLOOKUP(I290,PRate01,2,FALSE)</f>
        <v>0</v>
      </c>
      <c r="J292" s="322">
        <f t="shared" ref="J292" si="468">I292*VLOOKUP(J290,PRate01,2,FALSE)</f>
        <v>0</v>
      </c>
      <c r="K292" s="322">
        <f t="shared" ref="K292" si="469">J292*VLOOKUP(K290,PRate01,2,FALSE)</f>
        <v>0</v>
      </c>
      <c r="L292" s="322">
        <f t="shared" ref="L292" si="470">K292*VLOOKUP(L290,PRate01,2,FALSE)</f>
        <v>0</v>
      </c>
      <c r="M292" s="322">
        <f t="shared" ref="M292" si="471">L292*VLOOKUP(M290,PRate01,2,FALSE)</f>
        <v>0</v>
      </c>
      <c r="N292" s="322">
        <f t="shared" ref="N292" si="472">M292*VLOOKUP(N290,PRate01,2,FALSE)</f>
        <v>0</v>
      </c>
      <c r="O292" s="322">
        <f t="shared" ref="O292" si="473">N292*VLOOKUP(O290,PRate01,2,FALSE)</f>
        <v>0</v>
      </c>
      <c r="P292" s="322">
        <f t="shared" ref="P292" si="474">O292*VLOOKUP(P290,PRate01,2,FALSE)</f>
        <v>0</v>
      </c>
      <c r="Q292" s="322">
        <f t="shared" ref="Q292" si="475">P292*VLOOKUP(Q290,PRate01,2,FALSE)</f>
        <v>0</v>
      </c>
      <c r="S292" s="547" t="s">
        <v>1005</v>
      </c>
      <c r="T292" s="548"/>
      <c r="V292" s="554">
        <v>1</v>
      </c>
      <c r="W292" s="549">
        <f>IF($AC$291&lt;&gt;"",$AC$291,T292)</f>
        <v>0</v>
      </c>
      <c r="X292" s="549">
        <f>IF($AC$307&lt;&gt;"",$AC$307,T308)</f>
        <v>0</v>
      </c>
      <c r="Y292" s="553"/>
      <c r="Z292" s="553"/>
      <c r="AA292" s="553"/>
    </row>
    <row r="293" spans="4:30" s="416" customFormat="1" ht="12.75" hidden="1" customHeight="1" outlineLevel="1" x14ac:dyDescent="0.2">
      <c r="D293" s="42" t="s">
        <v>283</v>
      </c>
      <c r="E293" s="320"/>
      <c r="F293" s="319"/>
      <c r="G293" s="322">
        <f>E293</f>
        <v>0</v>
      </c>
      <c r="H293" s="322">
        <f t="shared" ref="H293" si="476">G293*VLOOKUP(G290,PRate01,2,FALSE)</f>
        <v>0</v>
      </c>
      <c r="I293" s="322">
        <f t="shared" ref="I293" si="477">H293*VLOOKUP(H290,PRate01,2,FALSE)</f>
        <v>0</v>
      </c>
      <c r="J293" s="322">
        <f t="shared" ref="J293" si="478">I293*VLOOKUP(I290,PRate01,2,FALSE)</f>
        <v>0</v>
      </c>
      <c r="K293" s="322">
        <f t="shared" ref="K293" si="479">J293*VLOOKUP(J290,PRate01,2,FALSE)</f>
        <v>0</v>
      </c>
      <c r="L293" s="322">
        <f t="shared" ref="L293" si="480">K293*VLOOKUP(K290,PRate01,2,FALSE)</f>
        <v>0</v>
      </c>
      <c r="M293" s="322">
        <f t="shared" ref="M293" si="481">L293*VLOOKUP(L290,PRate01,2,FALSE)</f>
        <v>0</v>
      </c>
      <c r="N293" s="322">
        <f t="shared" ref="N293" si="482">M293*VLOOKUP(M290,PRate01,2,FALSE)</f>
        <v>0</v>
      </c>
      <c r="O293" s="322">
        <f t="shared" ref="O293" si="483">N293*VLOOKUP(N290,PRate01,2,FALSE)</f>
        <v>0</v>
      </c>
      <c r="P293" s="322">
        <f t="shared" ref="P293" si="484">O293*VLOOKUP(O290,PRate01,2,FALSE)</f>
        <v>0</v>
      </c>
      <c r="Q293" s="322">
        <f t="shared" ref="Q293" si="485">P293*VLOOKUP(P290,PRate01,2,FALSE)</f>
        <v>0</v>
      </c>
      <c r="S293" s="42" t="s">
        <v>1006</v>
      </c>
      <c r="T293" s="544"/>
      <c r="V293" s="554">
        <v>2</v>
      </c>
      <c r="W293" s="549">
        <f t="shared" ref="W293:W302" si="486">IF($AC$291&lt;&gt;"",$AC$291,T293)</f>
        <v>0</v>
      </c>
      <c r="X293" s="549">
        <f t="shared" ref="X293:X303" si="487">IF($AC$307&lt;&gt;"",$AC$307,T309)</f>
        <v>0</v>
      </c>
      <c r="Z293" s="42" t="s">
        <v>258</v>
      </c>
      <c r="AA293" s="914"/>
      <c r="AB293" s="914"/>
      <c r="AC293" s="914"/>
      <c r="AD293" s="914"/>
    </row>
    <row r="294" spans="4:30" s="416" customFormat="1" ht="12.75" hidden="1" customHeight="1" outlineLevel="1" x14ac:dyDescent="0.2">
      <c r="D294" s="42" t="s">
        <v>284</v>
      </c>
      <c r="E294" s="320"/>
      <c r="F294" s="319"/>
      <c r="G294" s="319"/>
      <c r="H294" s="322">
        <f>E294</f>
        <v>0</v>
      </c>
      <c r="I294" s="322">
        <f t="shared" ref="I294" si="488">H294*VLOOKUP(G290,PRate01,2,FALSE)</f>
        <v>0</v>
      </c>
      <c r="J294" s="322">
        <f t="shared" ref="J294" si="489">I294*VLOOKUP(H290,PRate01,2,FALSE)</f>
        <v>0</v>
      </c>
      <c r="K294" s="322">
        <f t="shared" ref="K294" si="490">J294*VLOOKUP(I290,PRate01,2,FALSE)</f>
        <v>0</v>
      </c>
      <c r="L294" s="322">
        <f t="shared" ref="L294" si="491">K294*VLOOKUP(J290,PRate01,2,FALSE)</f>
        <v>0</v>
      </c>
      <c r="M294" s="322">
        <f t="shared" ref="M294" si="492">L294*VLOOKUP(K290,PRate01,2,FALSE)</f>
        <v>0</v>
      </c>
      <c r="N294" s="322">
        <f t="shared" ref="N294" si="493">M294*VLOOKUP(L290,PRate01,2,FALSE)</f>
        <v>0</v>
      </c>
      <c r="O294" s="322">
        <f t="shared" ref="O294" si="494">N294*VLOOKUP(M290,PRate01,2,FALSE)</f>
        <v>0</v>
      </c>
      <c r="P294" s="322">
        <f t="shared" ref="P294" si="495">O294*VLOOKUP(N290,PRate01,2,FALSE)</f>
        <v>0</v>
      </c>
      <c r="Q294" s="322">
        <f t="shared" ref="Q294" si="496">P294*VLOOKUP(O290,PRate01,2,FALSE)</f>
        <v>0</v>
      </c>
      <c r="S294" s="42" t="s">
        <v>1007</v>
      </c>
      <c r="T294" s="544"/>
      <c r="V294" s="554">
        <v>3</v>
      </c>
      <c r="W294" s="549">
        <f t="shared" si="486"/>
        <v>0</v>
      </c>
      <c r="X294" s="549">
        <f t="shared" si="487"/>
        <v>0</v>
      </c>
      <c r="Y294" s="553"/>
      <c r="Z294" s="553"/>
      <c r="AA294" s="553"/>
    </row>
    <row r="295" spans="4:30" s="416" customFormat="1" ht="12.75" hidden="1" customHeight="1" outlineLevel="1" x14ac:dyDescent="0.2">
      <c r="D295" s="42" t="s">
        <v>285</v>
      </c>
      <c r="E295" s="320"/>
      <c r="F295" s="319"/>
      <c r="G295" s="319"/>
      <c r="H295" s="319"/>
      <c r="I295" s="322">
        <f>E295</f>
        <v>0</v>
      </c>
      <c r="J295" s="322">
        <f t="shared" ref="J295" si="497">I295*VLOOKUP(G290,PRate01,2,FALSE)</f>
        <v>0</v>
      </c>
      <c r="K295" s="322">
        <f t="shared" ref="K295" si="498">J295*VLOOKUP(H290,PRate01,2,FALSE)</f>
        <v>0</v>
      </c>
      <c r="L295" s="322">
        <f t="shared" ref="L295" si="499">K295*VLOOKUP(I290,PRate01,2,FALSE)</f>
        <v>0</v>
      </c>
      <c r="M295" s="322">
        <f t="shared" ref="M295" si="500">L295*VLOOKUP(J290,PRate01,2,FALSE)</f>
        <v>0</v>
      </c>
      <c r="N295" s="322">
        <f t="shared" ref="N295" si="501">M295*VLOOKUP(K290,PRate01,2,FALSE)</f>
        <v>0</v>
      </c>
      <c r="O295" s="322">
        <f t="shared" ref="O295" si="502">N295*VLOOKUP(L290,PRate01,2,FALSE)</f>
        <v>0</v>
      </c>
      <c r="P295" s="322">
        <f t="shared" ref="P295" si="503">O295*VLOOKUP(M290,PRate01,2,FALSE)</f>
        <v>0</v>
      </c>
      <c r="Q295" s="322">
        <f t="shared" ref="Q295" si="504">P295*VLOOKUP(N290,PRate01,2,FALSE)</f>
        <v>0</v>
      </c>
      <c r="S295" s="42" t="s">
        <v>1008</v>
      </c>
      <c r="T295" s="544"/>
      <c r="V295" s="555">
        <v>4</v>
      </c>
      <c r="W295" s="549">
        <f t="shared" si="486"/>
        <v>0</v>
      </c>
      <c r="X295" s="549">
        <f t="shared" si="487"/>
        <v>0</v>
      </c>
      <c r="Y295" s="553"/>
      <c r="Z295" s="553"/>
      <c r="AA295" s="553"/>
    </row>
    <row r="296" spans="4:30" s="416" customFormat="1" ht="12.75" hidden="1" customHeight="1" outlineLevel="1" x14ac:dyDescent="0.2">
      <c r="D296" s="42" t="s">
        <v>286</v>
      </c>
      <c r="E296" s="320"/>
      <c r="F296" s="319"/>
      <c r="G296" s="319"/>
      <c r="H296" s="319"/>
      <c r="I296" s="319"/>
      <c r="J296" s="322">
        <f>E296</f>
        <v>0</v>
      </c>
      <c r="K296" s="322">
        <f t="shared" ref="K296" si="505">J296*VLOOKUP(G290,PRate01,2,FALSE)</f>
        <v>0</v>
      </c>
      <c r="L296" s="322">
        <f t="shared" ref="L296" si="506">K296*VLOOKUP(H290,PRate01,2,FALSE)</f>
        <v>0</v>
      </c>
      <c r="M296" s="322">
        <f t="shared" ref="M296" si="507">L296*VLOOKUP(I290,PRate01,2,FALSE)</f>
        <v>0</v>
      </c>
      <c r="N296" s="322">
        <f t="shared" ref="N296" si="508">M296*VLOOKUP(J290,PRate01,2,FALSE)</f>
        <v>0</v>
      </c>
      <c r="O296" s="322">
        <f t="shared" ref="O296" si="509">N296*VLOOKUP(K290,PRate01,2,FALSE)</f>
        <v>0</v>
      </c>
      <c r="P296" s="322">
        <f t="shared" ref="P296" si="510">O296*VLOOKUP(L290,PRate01,2,FALSE)</f>
        <v>0</v>
      </c>
      <c r="Q296" s="322">
        <f t="shared" ref="Q296" si="511">P296*VLOOKUP(M290,PRate01,2,FALSE)</f>
        <v>0</v>
      </c>
      <c r="S296" s="42" t="s">
        <v>1009</v>
      </c>
      <c r="T296" s="544"/>
      <c r="V296" s="555">
        <v>5</v>
      </c>
      <c r="W296" s="549">
        <f t="shared" si="486"/>
        <v>0</v>
      </c>
      <c r="X296" s="549">
        <f t="shared" si="487"/>
        <v>0</v>
      </c>
      <c r="Y296" s="553"/>
      <c r="Z296" s="553"/>
      <c r="AA296" s="553"/>
    </row>
    <row r="297" spans="4:30" s="416" customFormat="1" ht="12.75" hidden="1" customHeight="1" outlineLevel="1" x14ac:dyDescent="0.2">
      <c r="D297" s="42" t="s">
        <v>287</v>
      </c>
      <c r="E297" s="320"/>
      <c r="F297" s="319"/>
      <c r="G297" s="319"/>
      <c r="H297" s="319"/>
      <c r="I297" s="319"/>
      <c r="J297" s="319"/>
      <c r="K297" s="322">
        <f>E297</f>
        <v>0</v>
      </c>
      <c r="L297" s="322">
        <f t="shared" ref="L297" si="512">K297*VLOOKUP(G290,PRate01,2,FALSE)</f>
        <v>0</v>
      </c>
      <c r="M297" s="322">
        <f t="shared" ref="M297" si="513">L297*VLOOKUP(H290,PRate01,2,FALSE)</f>
        <v>0</v>
      </c>
      <c r="N297" s="322">
        <f t="shared" ref="N297" si="514">M297*VLOOKUP(I290,PRate01,2,FALSE)</f>
        <v>0</v>
      </c>
      <c r="O297" s="322">
        <f t="shared" ref="O297" si="515">N297*VLOOKUP(J290,PRate01,2,FALSE)</f>
        <v>0</v>
      </c>
      <c r="P297" s="322">
        <f t="shared" ref="P297" si="516">O297*VLOOKUP(K290,PRate01,2,FALSE)</f>
        <v>0</v>
      </c>
      <c r="Q297" s="322">
        <f t="shared" ref="Q297" si="517">P297*VLOOKUP(L290,PRate01,2,FALSE)</f>
        <v>0</v>
      </c>
      <c r="S297" s="42" t="s">
        <v>1010</v>
      </c>
      <c r="T297" s="544"/>
      <c r="V297" s="555">
        <v>6</v>
      </c>
      <c r="W297" s="549">
        <f t="shared" si="486"/>
        <v>0</v>
      </c>
      <c r="X297" s="549">
        <f t="shared" si="487"/>
        <v>0</v>
      </c>
      <c r="Y297" s="553"/>
      <c r="Z297" s="553"/>
      <c r="AA297" s="553"/>
    </row>
    <row r="298" spans="4:30" s="416" customFormat="1" ht="12.75" hidden="1" customHeight="1" outlineLevel="1" x14ac:dyDescent="0.2">
      <c r="D298" s="42" t="s">
        <v>474</v>
      </c>
      <c r="E298" s="320"/>
      <c r="F298" s="319"/>
      <c r="G298" s="319"/>
      <c r="H298" s="319"/>
      <c r="I298" s="319"/>
      <c r="J298" s="319"/>
      <c r="K298" s="319"/>
      <c r="L298" s="322">
        <f>E298</f>
        <v>0</v>
      </c>
      <c r="M298" s="322">
        <f>L298*VLOOKUP(G290,PRate01,2,FALSE)</f>
        <v>0</v>
      </c>
      <c r="N298" s="322">
        <f>M298*VLOOKUP(H290,PRate01,2,FALSE)</f>
        <v>0</v>
      </c>
      <c r="O298" s="322">
        <f>N298*VLOOKUP(I290,PRate01,2,FALSE)</f>
        <v>0</v>
      </c>
      <c r="P298" s="322">
        <f>O298*VLOOKUP(J290,PRate01,2,FALSE)</f>
        <v>0</v>
      </c>
      <c r="Q298" s="322">
        <f>P298*VLOOKUP(K290,PRate01,2,FALSE)</f>
        <v>0</v>
      </c>
      <c r="S298" s="42" t="s">
        <v>1011</v>
      </c>
      <c r="T298" s="544"/>
      <c r="V298" s="555">
        <v>7</v>
      </c>
      <c r="W298" s="549">
        <f t="shared" si="486"/>
        <v>0</v>
      </c>
      <c r="X298" s="549">
        <f t="shared" si="487"/>
        <v>0</v>
      </c>
      <c r="Y298" s="553"/>
      <c r="Z298" s="553"/>
      <c r="AA298" s="553"/>
    </row>
    <row r="299" spans="4:30" s="416" customFormat="1" ht="12.75" hidden="1" customHeight="1" outlineLevel="1" x14ac:dyDescent="0.2">
      <c r="D299" s="42" t="s">
        <v>475</v>
      </c>
      <c r="E299" s="320"/>
      <c r="F299" s="319"/>
      <c r="G299" s="319"/>
      <c r="H299" s="319"/>
      <c r="I299" s="319"/>
      <c r="J299" s="319"/>
      <c r="K299" s="319"/>
      <c r="L299" s="319"/>
      <c r="M299" s="322">
        <f>E299</f>
        <v>0</v>
      </c>
      <c r="N299" s="322">
        <f>M299*VLOOKUP(G290,PRate01,2,FALSE)</f>
        <v>0</v>
      </c>
      <c r="O299" s="322">
        <f>N299*VLOOKUP(H290,PRate01,2,FALSE)</f>
        <v>0</v>
      </c>
      <c r="P299" s="322">
        <f>O299*VLOOKUP(I290,PRate01,2,FALSE)</f>
        <v>0</v>
      </c>
      <c r="Q299" s="322">
        <f>P299*VLOOKUP(J290,PRate01,2,FALSE)</f>
        <v>0</v>
      </c>
      <c r="S299" s="42" t="s">
        <v>1012</v>
      </c>
      <c r="T299" s="544"/>
      <c r="V299" s="555">
        <v>8</v>
      </c>
      <c r="W299" s="549">
        <f t="shared" si="486"/>
        <v>0</v>
      </c>
      <c r="X299" s="549">
        <f t="shared" si="487"/>
        <v>0</v>
      </c>
      <c r="Y299" s="553"/>
      <c r="Z299" s="553"/>
      <c r="AA299" s="553"/>
    </row>
    <row r="300" spans="4:30" s="416" customFormat="1" ht="12.75" hidden="1" customHeight="1" outlineLevel="1" x14ac:dyDescent="0.2">
      <c r="D300" s="42" t="s">
        <v>476</v>
      </c>
      <c r="E300" s="320"/>
      <c r="F300" s="319"/>
      <c r="G300" s="319"/>
      <c r="H300" s="319"/>
      <c r="I300" s="319"/>
      <c r="J300" s="319"/>
      <c r="K300" s="319"/>
      <c r="L300" s="319"/>
      <c r="M300" s="319"/>
      <c r="N300" s="322">
        <f>E300</f>
        <v>0</v>
      </c>
      <c r="O300" s="322">
        <f>N300*VLOOKUP(G290,PRate01,2,FALSE)</f>
        <v>0</v>
      </c>
      <c r="P300" s="322">
        <f>O300*VLOOKUP(H290,PRate01,2,FALSE)</f>
        <v>0</v>
      </c>
      <c r="Q300" s="322">
        <f>P300*VLOOKUP(I290,PRate01,2,FALSE)</f>
        <v>0</v>
      </c>
      <c r="S300" s="42" t="s">
        <v>1013</v>
      </c>
      <c r="T300" s="544"/>
      <c r="V300" s="555">
        <v>9</v>
      </c>
      <c r="W300" s="549">
        <f t="shared" si="486"/>
        <v>0</v>
      </c>
      <c r="X300" s="549">
        <f t="shared" si="487"/>
        <v>0</v>
      </c>
      <c r="Y300" s="553"/>
      <c r="Z300" s="553"/>
      <c r="AA300" s="553"/>
    </row>
    <row r="301" spans="4:30" s="416" customFormat="1" ht="12.75" hidden="1" customHeight="1" outlineLevel="1" x14ac:dyDescent="0.2">
      <c r="D301" s="42" t="s">
        <v>477</v>
      </c>
      <c r="E301" s="320"/>
      <c r="F301" s="319"/>
      <c r="G301" s="319"/>
      <c r="H301" s="319"/>
      <c r="I301" s="319"/>
      <c r="J301" s="319"/>
      <c r="K301" s="319"/>
      <c r="L301" s="319"/>
      <c r="M301" s="319"/>
      <c r="N301" s="319"/>
      <c r="O301" s="550">
        <f>E301</f>
        <v>0</v>
      </c>
      <c r="P301" s="322">
        <f>O301*VLOOKUP(G290,PRate01,2,FALSE)</f>
        <v>0</v>
      </c>
      <c r="Q301" s="322">
        <f>P301*VLOOKUP(H290,PRate01,2,FALSE)</f>
        <v>0</v>
      </c>
      <c r="S301" s="42" t="s">
        <v>1014</v>
      </c>
      <c r="T301" s="544"/>
      <c r="V301" s="555">
        <v>10</v>
      </c>
      <c r="W301" s="549">
        <f t="shared" si="486"/>
        <v>0</v>
      </c>
      <c r="X301" s="549">
        <f t="shared" si="487"/>
        <v>0</v>
      </c>
      <c r="Y301" s="553"/>
      <c r="Z301" s="553"/>
      <c r="AA301" s="553"/>
    </row>
    <row r="302" spans="4:30" s="416" customFormat="1" ht="12.75" hidden="1" customHeight="1" outlineLevel="1" x14ac:dyDescent="0.2">
      <c r="D302" s="42" t="s">
        <v>478</v>
      </c>
      <c r="E302" s="320"/>
      <c r="F302" s="319"/>
      <c r="G302" s="319"/>
      <c r="H302" s="319"/>
      <c r="I302" s="319"/>
      <c r="J302" s="319"/>
      <c r="K302" s="319"/>
      <c r="L302" s="319"/>
      <c r="M302" s="319"/>
      <c r="N302" s="319"/>
      <c r="O302" s="546"/>
      <c r="P302" s="550">
        <f>E302</f>
        <v>0</v>
      </c>
      <c r="Q302" s="322">
        <f>P302*VLOOKUP(G290,PRate01,2,FALSE)</f>
        <v>0</v>
      </c>
      <c r="S302" s="42" t="s">
        <v>1015</v>
      </c>
      <c r="T302" s="544"/>
      <c r="V302" s="555">
        <v>11</v>
      </c>
      <c r="W302" s="549">
        <f t="shared" si="486"/>
        <v>0</v>
      </c>
      <c r="X302" s="549">
        <f t="shared" si="487"/>
        <v>0</v>
      </c>
      <c r="Y302" s="553"/>
      <c r="Z302" s="553"/>
      <c r="AA302" s="553"/>
    </row>
    <row r="303" spans="4:30" s="416" customFormat="1" ht="12.75" hidden="1" customHeight="1" outlineLevel="1" x14ac:dyDescent="0.2">
      <c r="D303" s="42" t="s">
        <v>479</v>
      </c>
      <c r="E303" s="320"/>
      <c r="F303" s="319"/>
      <c r="G303" s="319"/>
      <c r="H303" s="319"/>
      <c r="I303" s="319"/>
      <c r="J303" s="319"/>
      <c r="K303" s="319"/>
      <c r="L303" s="319"/>
      <c r="M303" s="319"/>
      <c r="N303" s="319"/>
      <c r="O303" s="546"/>
      <c r="P303" s="546"/>
      <c r="Q303" s="550">
        <f>E303</f>
        <v>0</v>
      </c>
      <c r="V303" s="555">
        <v>12</v>
      </c>
      <c r="W303" s="556"/>
      <c r="X303" s="549">
        <f t="shared" si="487"/>
        <v>0</v>
      </c>
      <c r="Y303" s="553"/>
      <c r="Z303" s="553"/>
      <c r="AA303" s="553"/>
    </row>
    <row r="304" spans="4:30" s="416" customFormat="1" ht="12.75" hidden="1" customHeight="1" outlineLevel="1" x14ac:dyDescent="0.2"/>
    <row r="305" spans="3:30" s="416" customFormat="1" ht="12.75" hidden="1" customHeight="1" outlineLevel="1" x14ac:dyDescent="0.2">
      <c r="Z305" s="919" t="str">
        <f>IF(AC307&lt;&gt;"",MsgNote &amp; VLOOKUP("PRate",WarningMessages,2),"")</f>
        <v/>
      </c>
      <c r="AA305" s="919"/>
      <c r="AB305" s="919"/>
      <c r="AC305" s="919"/>
      <c r="AD305" s="919"/>
    </row>
    <row r="306" spans="3:30" s="416" customFormat="1" ht="12.75" hidden="1" customHeight="1" outlineLevel="1" x14ac:dyDescent="0.2">
      <c r="L306" s="552"/>
      <c r="M306" s="552"/>
      <c r="N306" s="552"/>
      <c r="O306" s="552"/>
      <c r="P306" s="552"/>
      <c r="Q306" s="552"/>
    </row>
    <row r="307" spans="3:30" s="416" customFormat="1" ht="12.75" hidden="1" customHeight="1" outlineLevel="1" x14ac:dyDescent="0.2">
      <c r="D307" s="318"/>
      <c r="F307" s="733">
        <f t="shared" ref="F307" si="518">G307-1</f>
        <v>2015</v>
      </c>
      <c r="G307" s="733">
        <f t="shared" ref="G307" si="519">H307-1</f>
        <v>2016</v>
      </c>
      <c r="H307" s="733">
        <f t="shared" ref="H307" si="520">I307-1</f>
        <v>2017</v>
      </c>
      <c r="I307" s="733">
        <f t="shared" ref="I307" si="521">J307-1</f>
        <v>2018</v>
      </c>
      <c r="J307" s="733">
        <f t="shared" ref="J307" si="522">K307-1</f>
        <v>2019</v>
      </c>
      <c r="K307" s="733">
        <f t="shared" ref="K307" si="523">L307-1</f>
        <v>2020</v>
      </c>
      <c r="L307" s="733">
        <f>FirstYear</f>
        <v>2021</v>
      </c>
      <c r="M307" s="733">
        <f>L307+1</f>
        <v>2022</v>
      </c>
      <c r="N307" s="733">
        <f>M307+1</f>
        <v>2023</v>
      </c>
      <c r="O307" s="733">
        <f>N307+1</f>
        <v>2024</v>
      </c>
      <c r="P307" s="733">
        <f>O307+1</f>
        <v>2025</v>
      </c>
      <c r="Q307" s="733">
        <f>P307+1</f>
        <v>2026</v>
      </c>
      <c r="S307" s="921" t="s">
        <v>1301</v>
      </c>
      <c r="T307" s="921"/>
      <c r="Z307" s="918" t="s">
        <v>1304</v>
      </c>
      <c r="AA307" s="918"/>
      <c r="AB307" s="918"/>
      <c r="AC307" s="544"/>
    </row>
    <row r="308" spans="3:30" s="416" customFormat="1" ht="12.75" hidden="1" customHeight="1" outlineLevel="1" x14ac:dyDescent="0.2">
      <c r="C308" s="551">
        <v>12</v>
      </c>
      <c r="D308" s="920" t="s">
        <v>282</v>
      </c>
      <c r="E308" s="882"/>
      <c r="F308" s="550">
        <f>F292*VLOOKUP(C319,PRate01,3,FALSE)</f>
        <v>0</v>
      </c>
      <c r="G308" s="550">
        <f>G292*VLOOKUP(C318,PRate01,3,FALSE)</f>
        <v>0</v>
      </c>
      <c r="H308" s="550">
        <f>H292*VLOOKUP(C317,PRate01,3,FALSE)</f>
        <v>0</v>
      </c>
      <c r="I308" s="550">
        <f>I292*VLOOKUP(C316,PRate01,3,FALSE)</f>
        <v>0</v>
      </c>
      <c r="J308" s="550">
        <f>J292*VLOOKUP(C315,PRate01,3,FALSE)</f>
        <v>0</v>
      </c>
      <c r="K308" s="550">
        <f t="shared" ref="K308:K313" si="524">K292*VLOOKUP(C314,PRate01,3,FALSE)</f>
        <v>0</v>
      </c>
      <c r="L308" s="550">
        <f t="shared" ref="L308:L314" si="525">L292*VLOOKUP(C313,PRate01,3,FALSE)</f>
        <v>0</v>
      </c>
      <c r="M308" s="550">
        <f t="shared" ref="M308:M315" si="526">M292*VLOOKUP(C312,PRate01,3,FALSE)</f>
        <v>0</v>
      </c>
      <c r="N308" s="550">
        <f t="shared" ref="N308:N316" si="527">N292*VLOOKUP(C311,PRate01,3,FALSE)</f>
        <v>0</v>
      </c>
      <c r="O308" s="550">
        <f t="shared" ref="O308:O317" si="528">O292*VLOOKUP(C310,PRate01,3,FALSE)</f>
        <v>0</v>
      </c>
      <c r="P308" s="550">
        <f t="shared" ref="P308:P318" si="529">P292*VLOOKUP(C309,PRate01,3,FALSE)</f>
        <v>0</v>
      </c>
      <c r="Q308" s="550">
        <f t="shared" ref="Q308:Q319" si="530">Q292*VLOOKUP(C308,PRate01,3,FALSE)</f>
        <v>0</v>
      </c>
      <c r="S308" s="547" t="s">
        <v>1005</v>
      </c>
      <c r="T308" s="548"/>
      <c r="X308" s="553"/>
      <c r="Y308" s="553"/>
      <c r="Z308" s="553"/>
      <c r="AA308" s="553"/>
    </row>
    <row r="309" spans="3:30" s="416" customFormat="1" ht="12.75" hidden="1" customHeight="1" outlineLevel="1" x14ac:dyDescent="0.2">
      <c r="C309" s="551">
        <v>11</v>
      </c>
      <c r="D309" s="920" t="s">
        <v>283</v>
      </c>
      <c r="E309" s="882"/>
      <c r="F309" s="319"/>
      <c r="G309" s="550">
        <f>G293*VLOOKUP(C319,PRate01,3,FALSE)</f>
        <v>0</v>
      </c>
      <c r="H309" s="550">
        <f>H293*VLOOKUP(C318,PRate01,3,FALSE)</f>
        <v>0</v>
      </c>
      <c r="I309" s="550">
        <f>I293*VLOOKUP(C317,PRate01,3,FALSE)</f>
        <v>0</v>
      </c>
      <c r="J309" s="550">
        <f>J293*VLOOKUP(C316,PRate01,3,FALSE)</f>
        <v>0</v>
      </c>
      <c r="K309" s="550">
        <f t="shared" si="524"/>
        <v>0</v>
      </c>
      <c r="L309" s="550">
        <f t="shared" si="525"/>
        <v>0</v>
      </c>
      <c r="M309" s="550">
        <f t="shared" si="526"/>
        <v>0</v>
      </c>
      <c r="N309" s="550">
        <f t="shared" si="527"/>
        <v>0</v>
      </c>
      <c r="O309" s="550">
        <f t="shared" si="528"/>
        <v>0</v>
      </c>
      <c r="P309" s="550">
        <f t="shared" si="529"/>
        <v>0</v>
      </c>
      <c r="Q309" s="550">
        <f t="shared" si="530"/>
        <v>0</v>
      </c>
      <c r="S309" s="42" t="s">
        <v>1006</v>
      </c>
      <c r="T309" s="544"/>
      <c r="X309" s="553"/>
      <c r="Y309" s="553"/>
      <c r="Z309" s="42" t="s">
        <v>258</v>
      </c>
      <c r="AA309" s="914"/>
      <c r="AB309" s="914"/>
      <c r="AC309" s="914"/>
      <c r="AD309" s="914"/>
    </row>
    <row r="310" spans="3:30" s="416" customFormat="1" ht="12.75" hidden="1" customHeight="1" outlineLevel="1" x14ac:dyDescent="0.2">
      <c r="C310" s="551">
        <v>10</v>
      </c>
      <c r="D310" s="920" t="s">
        <v>284</v>
      </c>
      <c r="E310" s="882"/>
      <c r="F310" s="319"/>
      <c r="G310" s="319"/>
      <c r="H310" s="550">
        <f>H294*VLOOKUP(C319,PRate01,3,FALSE)</f>
        <v>0</v>
      </c>
      <c r="I310" s="550">
        <f>I294*VLOOKUP(C318,PRate01,3,FALSE)</f>
        <v>0</v>
      </c>
      <c r="J310" s="550">
        <f>J294*VLOOKUP(C317,PRate01,3,FALSE)</f>
        <v>0</v>
      </c>
      <c r="K310" s="550">
        <f t="shared" si="524"/>
        <v>0</v>
      </c>
      <c r="L310" s="550">
        <f t="shared" si="525"/>
        <v>0</v>
      </c>
      <c r="M310" s="550">
        <f t="shared" si="526"/>
        <v>0</v>
      </c>
      <c r="N310" s="550">
        <f t="shared" si="527"/>
        <v>0</v>
      </c>
      <c r="O310" s="550">
        <f t="shared" si="528"/>
        <v>0</v>
      </c>
      <c r="P310" s="550">
        <f t="shared" si="529"/>
        <v>0</v>
      </c>
      <c r="Q310" s="550">
        <f t="shared" si="530"/>
        <v>0</v>
      </c>
      <c r="S310" s="42" t="s">
        <v>1007</v>
      </c>
      <c r="T310" s="544"/>
      <c r="X310" s="553"/>
      <c r="Y310" s="553"/>
      <c r="Z310" s="553"/>
      <c r="AA310" s="553"/>
    </row>
    <row r="311" spans="3:30" s="416" customFormat="1" ht="12.75" hidden="1" customHeight="1" outlineLevel="1" x14ac:dyDescent="0.2">
      <c r="C311" s="551">
        <v>9</v>
      </c>
      <c r="D311" s="920" t="s">
        <v>285</v>
      </c>
      <c r="E311" s="882"/>
      <c r="F311" s="319"/>
      <c r="G311" s="319"/>
      <c r="H311" s="319"/>
      <c r="I311" s="550">
        <f>I295*VLOOKUP(C319,PRate01,3,FALSE)</f>
        <v>0</v>
      </c>
      <c r="J311" s="550">
        <f>J295*VLOOKUP(C318,PRate01,3,FALSE)</f>
        <v>0</v>
      </c>
      <c r="K311" s="550">
        <f t="shared" si="524"/>
        <v>0</v>
      </c>
      <c r="L311" s="550">
        <f t="shared" si="525"/>
        <v>0</v>
      </c>
      <c r="M311" s="550">
        <f t="shared" si="526"/>
        <v>0</v>
      </c>
      <c r="N311" s="550">
        <f t="shared" si="527"/>
        <v>0</v>
      </c>
      <c r="O311" s="550">
        <f t="shared" si="528"/>
        <v>0</v>
      </c>
      <c r="P311" s="550">
        <f t="shared" si="529"/>
        <v>0</v>
      </c>
      <c r="Q311" s="550">
        <f t="shared" si="530"/>
        <v>0</v>
      </c>
      <c r="S311" s="42" t="s">
        <v>1008</v>
      </c>
      <c r="T311" s="544"/>
      <c r="X311" s="553"/>
      <c r="Y311" s="553"/>
      <c r="Z311" s="553"/>
      <c r="AA311" s="553"/>
    </row>
    <row r="312" spans="3:30" s="416" customFormat="1" ht="12.75" hidden="1" customHeight="1" outlineLevel="1" x14ac:dyDescent="0.2">
      <c r="C312" s="551">
        <v>8</v>
      </c>
      <c r="D312" s="920" t="s">
        <v>286</v>
      </c>
      <c r="E312" s="882"/>
      <c r="F312" s="319"/>
      <c r="G312" s="319"/>
      <c r="H312" s="319"/>
      <c r="I312" s="319"/>
      <c r="J312" s="550">
        <f>J296*VLOOKUP(C319,PRate01,3,FALSE)</f>
        <v>0</v>
      </c>
      <c r="K312" s="550">
        <f t="shared" si="524"/>
        <v>0</v>
      </c>
      <c r="L312" s="550">
        <f t="shared" si="525"/>
        <v>0</v>
      </c>
      <c r="M312" s="550">
        <f t="shared" si="526"/>
        <v>0</v>
      </c>
      <c r="N312" s="550">
        <f t="shared" si="527"/>
        <v>0</v>
      </c>
      <c r="O312" s="550">
        <f t="shared" si="528"/>
        <v>0</v>
      </c>
      <c r="P312" s="550">
        <f t="shared" si="529"/>
        <v>0</v>
      </c>
      <c r="Q312" s="550">
        <f t="shared" si="530"/>
        <v>0</v>
      </c>
      <c r="S312" s="42" t="s">
        <v>1009</v>
      </c>
      <c r="T312" s="544"/>
      <c r="X312" s="553"/>
      <c r="Y312" s="553"/>
      <c r="Z312" s="553"/>
      <c r="AA312" s="553"/>
    </row>
    <row r="313" spans="3:30" s="416" customFormat="1" ht="12.75" hidden="1" customHeight="1" outlineLevel="1" x14ac:dyDescent="0.2">
      <c r="C313" s="551">
        <v>7</v>
      </c>
      <c r="D313" s="920" t="s">
        <v>287</v>
      </c>
      <c r="E313" s="882"/>
      <c r="F313" s="319"/>
      <c r="G313" s="319"/>
      <c r="H313" s="319"/>
      <c r="I313" s="319"/>
      <c r="J313" s="319"/>
      <c r="K313" s="550">
        <f t="shared" si="524"/>
        <v>0</v>
      </c>
      <c r="L313" s="550">
        <f t="shared" si="525"/>
        <v>0</v>
      </c>
      <c r="M313" s="550">
        <f t="shared" si="526"/>
        <v>0</v>
      </c>
      <c r="N313" s="550">
        <f t="shared" si="527"/>
        <v>0</v>
      </c>
      <c r="O313" s="550">
        <f t="shared" si="528"/>
        <v>0</v>
      </c>
      <c r="P313" s="550">
        <f t="shared" si="529"/>
        <v>0</v>
      </c>
      <c r="Q313" s="550">
        <f t="shared" si="530"/>
        <v>0</v>
      </c>
      <c r="S313" s="42" t="s">
        <v>1010</v>
      </c>
      <c r="T313" s="544"/>
      <c r="X313" s="553"/>
      <c r="Y313" s="553"/>
      <c r="Z313" s="553"/>
      <c r="AA313" s="553"/>
    </row>
    <row r="314" spans="3:30" s="416" customFormat="1" ht="12.75" hidden="1" customHeight="1" outlineLevel="1" x14ac:dyDescent="0.2">
      <c r="C314" s="551">
        <v>6</v>
      </c>
      <c r="D314" s="920" t="s">
        <v>474</v>
      </c>
      <c r="E314" s="882"/>
      <c r="F314" s="319"/>
      <c r="G314" s="319"/>
      <c r="H314" s="319"/>
      <c r="I314" s="319"/>
      <c r="J314" s="319"/>
      <c r="K314" s="319"/>
      <c r="L314" s="550">
        <f t="shared" si="525"/>
        <v>0</v>
      </c>
      <c r="M314" s="550">
        <f t="shared" si="526"/>
        <v>0</v>
      </c>
      <c r="N314" s="550">
        <f t="shared" si="527"/>
        <v>0</v>
      </c>
      <c r="O314" s="550">
        <f t="shared" si="528"/>
        <v>0</v>
      </c>
      <c r="P314" s="550">
        <f t="shared" si="529"/>
        <v>0</v>
      </c>
      <c r="Q314" s="550">
        <f t="shared" si="530"/>
        <v>0</v>
      </c>
      <c r="S314" s="42" t="s">
        <v>1011</v>
      </c>
      <c r="T314" s="544"/>
      <c r="X314" s="553"/>
      <c r="Y314" s="553"/>
      <c r="Z314" s="553"/>
      <c r="AA314" s="553"/>
    </row>
    <row r="315" spans="3:30" s="416" customFormat="1" ht="12.75" hidden="1" customHeight="1" outlineLevel="1" x14ac:dyDescent="0.2">
      <c r="C315" s="551">
        <v>5</v>
      </c>
      <c r="D315" s="920" t="s">
        <v>475</v>
      </c>
      <c r="E315" s="882"/>
      <c r="F315" s="319"/>
      <c r="G315" s="319"/>
      <c r="H315" s="319"/>
      <c r="I315" s="319"/>
      <c r="J315" s="319"/>
      <c r="K315" s="319"/>
      <c r="L315" s="319"/>
      <c r="M315" s="550">
        <f t="shared" si="526"/>
        <v>0</v>
      </c>
      <c r="N315" s="550">
        <f t="shared" si="527"/>
        <v>0</v>
      </c>
      <c r="O315" s="550">
        <f t="shared" si="528"/>
        <v>0</v>
      </c>
      <c r="P315" s="550">
        <f t="shared" si="529"/>
        <v>0</v>
      </c>
      <c r="Q315" s="550">
        <f t="shared" si="530"/>
        <v>0</v>
      </c>
      <c r="S315" s="42" t="s">
        <v>1012</v>
      </c>
      <c r="T315" s="544"/>
      <c r="X315" s="553"/>
      <c r="Y315" s="553"/>
      <c r="Z315" s="553"/>
      <c r="AA315" s="553"/>
    </row>
    <row r="316" spans="3:30" s="416" customFormat="1" ht="12.75" hidden="1" customHeight="1" outlineLevel="1" x14ac:dyDescent="0.2">
      <c r="C316" s="551">
        <v>4</v>
      </c>
      <c r="D316" s="920" t="s">
        <v>476</v>
      </c>
      <c r="E316" s="882"/>
      <c r="F316" s="319"/>
      <c r="G316" s="319"/>
      <c r="H316" s="319"/>
      <c r="I316" s="319"/>
      <c r="J316" s="319"/>
      <c r="K316" s="319"/>
      <c r="L316" s="319"/>
      <c r="M316" s="319"/>
      <c r="N316" s="550">
        <f t="shared" si="527"/>
        <v>0</v>
      </c>
      <c r="O316" s="550">
        <f t="shared" si="528"/>
        <v>0</v>
      </c>
      <c r="P316" s="550">
        <f t="shared" si="529"/>
        <v>0</v>
      </c>
      <c r="Q316" s="550">
        <f t="shared" si="530"/>
        <v>0</v>
      </c>
      <c r="S316" s="42" t="s">
        <v>1013</v>
      </c>
      <c r="T316" s="544"/>
      <c r="X316" s="553"/>
      <c r="Y316" s="553"/>
      <c r="Z316" s="553"/>
      <c r="AA316" s="553"/>
    </row>
    <row r="317" spans="3:30" s="416" customFormat="1" ht="12.75" hidden="1" customHeight="1" outlineLevel="1" x14ac:dyDescent="0.2">
      <c r="C317" s="551">
        <v>3</v>
      </c>
      <c r="D317" s="920" t="s">
        <v>477</v>
      </c>
      <c r="E317" s="882"/>
      <c r="F317" s="319"/>
      <c r="G317" s="319"/>
      <c r="H317" s="319"/>
      <c r="I317" s="319"/>
      <c r="J317" s="319"/>
      <c r="K317" s="319"/>
      <c r="L317" s="319"/>
      <c r="M317" s="319"/>
      <c r="N317" s="319"/>
      <c r="O317" s="550">
        <f t="shared" si="528"/>
        <v>0</v>
      </c>
      <c r="P317" s="550">
        <f t="shared" si="529"/>
        <v>0</v>
      </c>
      <c r="Q317" s="550">
        <f t="shared" si="530"/>
        <v>0</v>
      </c>
      <c r="S317" s="42" t="s">
        <v>1014</v>
      </c>
      <c r="T317" s="544"/>
      <c r="X317" s="553"/>
      <c r="Y317" s="553"/>
      <c r="Z317" s="553"/>
      <c r="AA317" s="553"/>
    </row>
    <row r="318" spans="3:30" s="416" customFormat="1" ht="12.75" hidden="1" customHeight="1" outlineLevel="1" x14ac:dyDescent="0.2">
      <c r="C318" s="551">
        <v>2</v>
      </c>
      <c r="D318" s="920" t="s">
        <v>478</v>
      </c>
      <c r="E318" s="882"/>
      <c r="F318" s="319"/>
      <c r="G318" s="319"/>
      <c r="H318" s="319"/>
      <c r="I318" s="319"/>
      <c r="J318" s="319"/>
      <c r="K318" s="319"/>
      <c r="L318" s="319"/>
      <c r="M318" s="319"/>
      <c r="N318" s="319"/>
      <c r="O318" s="546"/>
      <c r="P318" s="550">
        <f t="shared" si="529"/>
        <v>0</v>
      </c>
      <c r="Q318" s="550">
        <f t="shared" si="530"/>
        <v>0</v>
      </c>
      <c r="S318" s="42" t="s">
        <v>1015</v>
      </c>
      <c r="T318" s="544"/>
      <c r="X318" s="553"/>
      <c r="Y318" s="553"/>
      <c r="Z318" s="553"/>
      <c r="AA318" s="553"/>
    </row>
    <row r="319" spans="3:30" s="416" customFormat="1" ht="12.75" hidden="1" customHeight="1" outlineLevel="1" x14ac:dyDescent="0.2">
      <c r="C319" s="551">
        <v>1</v>
      </c>
      <c r="D319" s="920" t="s">
        <v>479</v>
      </c>
      <c r="E319" s="882"/>
      <c r="F319" s="319"/>
      <c r="G319" s="319"/>
      <c r="H319" s="319"/>
      <c r="I319" s="319"/>
      <c r="J319" s="319"/>
      <c r="K319" s="319"/>
      <c r="L319" s="319"/>
      <c r="M319" s="319"/>
      <c r="N319" s="319"/>
      <c r="O319" s="546"/>
      <c r="P319" s="546"/>
      <c r="Q319" s="550">
        <f t="shared" si="530"/>
        <v>0</v>
      </c>
      <c r="S319" s="42" t="s">
        <v>1035</v>
      </c>
      <c r="T319" s="544"/>
    </row>
    <row r="320" spans="3:30" s="416" customFormat="1" ht="12.75" hidden="1" customHeight="1" outlineLevel="1" x14ac:dyDescent="0.2">
      <c r="K320" s="736" t="s">
        <v>73</v>
      </c>
      <c r="L320" s="321">
        <f>IFERROR((SUM(L308:L313)+IF(MATCH($AC$54,Switch,0)=1,L314,0)),0)</f>
        <v>0</v>
      </c>
      <c r="M320" s="321">
        <f>IFERROR((SUM(M308:M314)+IF(MATCH($AC$54,Switch,0)=1,M315,0)),0)</f>
        <v>0</v>
      </c>
      <c r="N320" s="321">
        <f>IFERROR((SUM(N308:N315)+IF(MATCH($AC$54,Switch,0)=1,N316,0)),0)</f>
        <v>0</v>
      </c>
      <c r="O320" s="321">
        <f>IFERROR((SUM(O308:O316)+IF(MATCH($AC$54,Switch,0)=1,O317,0)),0)</f>
        <v>0</v>
      </c>
      <c r="P320" s="321">
        <f>IFERROR((SUM(P308:P317)+IF(MATCH($AC$54,Switch,0)=1,P318,0)),0)</f>
        <v>0</v>
      </c>
      <c r="Q320" s="321">
        <f>IFERROR((SUM(Q308:Q318)+IF(MATCH($AC$54,Switch,0)=1,Q319,0)),0)</f>
        <v>0</v>
      </c>
      <c r="Z320" s="915" t="s">
        <v>1302</v>
      </c>
      <c r="AA320" s="916"/>
      <c r="AB320" s="917"/>
      <c r="AC320" s="743" t="s">
        <v>9</v>
      </c>
    </row>
    <row r="321" spans="1:30" s="416" customFormat="1" ht="12.75" hidden="1" customHeight="1" outlineLevel="1" x14ac:dyDescent="0.2"/>
    <row r="322" spans="1:30" ht="12.75" customHeight="1" collapsed="1" x14ac:dyDescent="0.2">
      <c r="C322" s="416"/>
      <c r="D322" s="416"/>
      <c r="F322" s="416"/>
      <c r="G322" s="416"/>
      <c r="H322" s="416"/>
      <c r="I322" s="416"/>
      <c r="J322" s="416"/>
      <c r="K322" s="416"/>
      <c r="L322" s="416"/>
      <c r="M322" s="416"/>
      <c r="N322" s="416"/>
      <c r="O322" s="416"/>
      <c r="P322" s="416"/>
      <c r="Q322" s="416"/>
      <c r="R322" s="416"/>
      <c r="S322" s="416"/>
      <c r="T322" s="416"/>
      <c r="U322" s="416"/>
      <c r="W322" s="416"/>
      <c r="AB322" s="416"/>
      <c r="AC322" s="416"/>
      <c r="AD322" s="416"/>
    </row>
    <row r="323" spans="1:30" s="416" customFormat="1" ht="15.75" x14ac:dyDescent="0.2">
      <c r="A323" s="194"/>
      <c r="B323" s="242">
        <f>IF(G325&lt;&gt;"",1,0)</f>
        <v>0</v>
      </c>
      <c r="C323" s="242">
        <v>9</v>
      </c>
      <c r="D323" s="79" t="str">
        <f>IF(B323=0,MsgNotUsed, CONCATENATE("Persistent ", C323, ": ", G325, " (", F329, "-", Q329, ")"))</f>
        <v>** NOT USED **</v>
      </c>
      <c r="E323" s="127"/>
      <c r="F323" s="127"/>
      <c r="G323" s="127"/>
      <c r="H323" s="127"/>
      <c r="I323" s="127"/>
      <c r="J323" s="175"/>
      <c r="K323" s="127"/>
      <c r="L323" s="127"/>
      <c r="M323" s="127"/>
      <c r="N323" s="260"/>
      <c r="O323" s="260"/>
      <c r="P323" s="260"/>
      <c r="Q323" s="260"/>
      <c r="R323" s="260"/>
      <c r="S323" s="260"/>
      <c r="T323" s="260"/>
      <c r="U323" s="260"/>
      <c r="V323" s="260"/>
      <c r="W323" s="260"/>
      <c r="X323" s="260"/>
      <c r="Y323" s="260"/>
      <c r="Z323" s="260"/>
      <c r="AA323" s="260"/>
      <c r="AB323" s="260"/>
      <c r="AC323" s="260"/>
      <c r="AD323" s="260"/>
    </row>
    <row r="324" spans="1:30" s="416" customFormat="1" ht="12.75" hidden="1" customHeight="1" outlineLevel="1" x14ac:dyDescent="0.2"/>
    <row r="325" spans="1:30" s="416" customFormat="1" ht="12.75" hidden="1" customHeight="1" outlineLevel="1" x14ac:dyDescent="0.2">
      <c r="F325" s="42" t="s">
        <v>480</v>
      </c>
      <c r="G325" s="913"/>
      <c r="H325" s="881"/>
      <c r="I325" s="881"/>
      <c r="J325" s="881"/>
      <c r="K325" s="881"/>
      <c r="L325" s="882"/>
    </row>
    <row r="326" spans="1:30" s="416" customFormat="1" ht="12.75" hidden="1" customHeight="1" outlineLevel="1" x14ac:dyDescent="0.2"/>
    <row r="327" spans="1:30" s="416" customFormat="1" ht="12.75" hidden="1" customHeight="1" outlineLevel="1" x14ac:dyDescent="0.2">
      <c r="F327" s="42" t="s">
        <v>258</v>
      </c>
      <c r="G327" s="913"/>
      <c r="H327" s="881"/>
      <c r="I327" s="881"/>
      <c r="J327" s="881"/>
      <c r="K327" s="881"/>
      <c r="L327" s="882"/>
      <c r="Z327" s="919" t="str">
        <f>IF(AC329&lt;&gt;"",MsgNote &amp; VLOOKUP("PRate",WarningMessages,2),"")</f>
        <v/>
      </c>
      <c r="AA327" s="919"/>
      <c r="AB327" s="919"/>
      <c r="AC327" s="919"/>
      <c r="AD327" s="919"/>
    </row>
    <row r="328" spans="1:30" s="416" customFormat="1" ht="12.75" hidden="1" customHeight="1" outlineLevel="1" x14ac:dyDescent="0.2">
      <c r="G328" s="557">
        <v>1</v>
      </c>
      <c r="H328" s="557">
        <v>2</v>
      </c>
      <c r="I328" s="557">
        <v>3</v>
      </c>
      <c r="J328" s="557">
        <v>4</v>
      </c>
      <c r="K328" s="557">
        <v>5</v>
      </c>
      <c r="L328" s="557">
        <v>6</v>
      </c>
      <c r="M328" s="557">
        <v>7</v>
      </c>
      <c r="N328" s="557">
        <v>8</v>
      </c>
      <c r="O328" s="557">
        <v>9</v>
      </c>
      <c r="P328" s="557">
        <v>10</v>
      </c>
      <c r="Q328" s="557">
        <v>11</v>
      </c>
    </row>
    <row r="329" spans="1:30" s="416" customFormat="1" ht="12.75" hidden="1" customHeight="1" outlineLevel="1" x14ac:dyDescent="0.2">
      <c r="D329" s="318"/>
      <c r="E329" s="733" t="s">
        <v>1065</v>
      </c>
      <c r="F329" s="733">
        <f t="shared" ref="F329" si="531">G329-1</f>
        <v>2015</v>
      </c>
      <c r="G329" s="733">
        <f t="shared" ref="G329" si="532">H329-1</f>
        <v>2016</v>
      </c>
      <c r="H329" s="733">
        <f t="shared" ref="H329" si="533">I329-1</f>
        <v>2017</v>
      </c>
      <c r="I329" s="733">
        <f t="shared" ref="I329" si="534">J329-1</f>
        <v>2018</v>
      </c>
      <c r="J329" s="733">
        <f t="shared" ref="J329" si="535">K329-1</f>
        <v>2019</v>
      </c>
      <c r="K329" s="733">
        <f t="shared" ref="K329" si="536">L329-1</f>
        <v>2020</v>
      </c>
      <c r="L329" s="733">
        <f>FirstYear</f>
        <v>2021</v>
      </c>
      <c r="M329" s="733">
        <f>L329+1</f>
        <v>2022</v>
      </c>
      <c r="N329" s="733">
        <f>M329+1</f>
        <v>2023</v>
      </c>
      <c r="O329" s="733">
        <f>N329+1</f>
        <v>2024</v>
      </c>
      <c r="P329" s="733">
        <f>O329+1</f>
        <v>2025</v>
      </c>
      <c r="Q329" s="733">
        <f>P329+1</f>
        <v>2026</v>
      </c>
      <c r="S329" s="921" t="s">
        <v>1300</v>
      </c>
      <c r="T329" s="921"/>
      <c r="Z329" s="918" t="s">
        <v>1303</v>
      </c>
      <c r="AA329" s="918"/>
      <c r="AB329" s="918"/>
      <c r="AC329" s="544"/>
    </row>
    <row r="330" spans="1:30" s="416" customFormat="1" ht="12.75" hidden="1" customHeight="1" outlineLevel="1" x14ac:dyDescent="0.2">
      <c r="D330" s="42" t="s">
        <v>282</v>
      </c>
      <c r="E330" s="320"/>
      <c r="F330" s="322">
        <f>E330</f>
        <v>0</v>
      </c>
      <c r="G330" s="322">
        <f t="shared" ref="G330" si="537">F330*VLOOKUP(G328,PRate01,2,FALSE)</f>
        <v>0</v>
      </c>
      <c r="H330" s="322">
        <f t="shared" ref="H330" si="538">G330*VLOOKUP(H328,PRate01,2,FALSE)</f>
        <v>0</v>
      </c>
      <c r="I330" s="322">
        <f t="shared" ref="I330" si="539">H330*VLOOKUP(I328,PRate01,2,FALSE)</f>
        <v>0</v>
      </c>
      <c r="J330" s="322">
        <f t="shared" ref="J330" si="540">I330*VLOOKUP(J328,PRate01,2,FALSE)</f>
        <v>0</v>
      </c>
      <c r="K330" s="322">
        <f t="shared" ref="K330" si="541">J330*VLOOKUP(K328,PRate01,2,FALSE)</f>
        <v>0</v>
      </c>
      <c r="L330" s="322">
        <f t="shared" ref="L330" si="542">K330*VLOOKUP(L328,PRate01,2,FALSE)</f>
        <v>0</v>
      </c>
      <c r="M330" s="322">
        <f t="shared" ref="M330" si="543">L330*VLOOKUP(M328,PRate01,2,FALSE)</f>
        <v>0</v>
      </c>
      <c r="N330" s="322">
        <f t="shared" ref="N330" si="544">M330*VLOOKUP(N328,PRate01,2,FALSE)</f>
        <v>0</v>
      </c>
      <c r="O330" s="322">
        <f t="shared" ref="O330" si="545">N330*VLOOKUP(O328,PRate01,2,FALSE)</f>
        <v>0</v>
      </c>
      <c r="P330" s="322">
        <f t="shared" ref="P330" si="546">O330*VLOOKUP(P328,PRate01,2,FALSE)</f>
        <v>0</v>
      </c>
      <c r="Q330" s="322">
        <f t="shared" ref="Q330" si="547">P330*VLOOKUP(Q328,PRate01,2,FALSE)</f>
        <v>0</v>
      </c>
      <c r="S330" s="547" t="s">
        <v>1005</v>
      </c>
      <c r="T330" s="548"/>
      <c r="V330" s="554">
        <v>1</v>
      </c>
      <c r="W330" s="549">
        <f>IF($AC$329&lt;&gt;"",$AC$329,T330)</f>
        <v>0</v>
      </c>
      <c r="X330" s="549">
        <f>IF($AC$345&lt;&gt;"",$AC$345,T346)</f>
        <v>0</v>
      </c>
      <c r="Y330" s="553"/>
      <c r="Z330" s="553"/>
      <c r="AA330" s="553"/>
    </row>
    <row r="331" spans="1:30" s="416" customFormat="1" ht="12.75" hidden="1" customHeight="1" outlineLevel="1" x14ac:dyDescent="0.2">
      <c r="D331" s="42" t="s">
        <v>283</v>
      </c>
      <c r="E331" s="320"/>
      <c r="F331" s="319"/>
      <c r="G331" s="322">
        <f>E331</f>
        <v>0</v>
      </c>
      <c r="H331" s="322">
        <f t="shared" ref="H331" si="548">G331*VLOOKUP(G328,PRate01,2,FALSE)</f>
        <v>0</v>
      </c>
      <c r="I331" s="322">
        <f t="shared" ref="I331" si="549">H331*VLOOKUP(H328,PRate01,2,FALSE)</f>
        <v>0</v>
      </c>
      <c r="J331" s="322">
        <f t="shared" ref="J331" si="550">I331*VLOOKUP(I328,PRate01,2,FALSE)</f>
        <v>0</v>
      </c>
      <c r="K331" s="322">
        <f t="shared" ref="K331" si="551">J331*VLOOKUP(J328,PRate01,2,FALSE)</f>
        <v>0</v>
      </c>
      <c r="L331" s="322">
        <f t="shared" ref="L331" si="552">K331*VLOOKUP(K328,PRate01,2,FALSE)</f>
        <v>0</v>
      </c>
      <c r="M331" s="322">
        <f t="shared" ref="M331" si="553">L331*VLOOKUP(L328,PRate01,2,FALSE)</f>
        <v>0</v>
      </c>
      <c r="N331" s="322">
        <f t="shared" ref="N331" si="554">M331*VLOOKUP(M328,PRate01,2,FALSE)</f>
        <v>0</v>
      </c>
      <c r="O331" s="322">
        <f t="shared" ref="O331" si="555">N331*VLOOKUP(N328,PRate01,2,FALSE)</f>
        <v>0</v>
      </c>
      <c r="P331" s="322">
        <f t="shared" ref="P331" si="556">O331*VLOOKUP(O328,PRate01,2,FALSE)</f>
        <v>0</v>
      </c>
      <c r="Q331" s="322">
        <f t="shared" ref="Q331" si="557">P331*VLOOKUP(P328,PRate01,2,FALSE)</f>
        <v>0</v>
      </c>
      <c r="S331" s="42" t="s">
        <v>1006</v>
      </c>
      <c r="T331" s="544"/>
      <c r="V331" s="554">
        <v>2</v>
      </c>
      <c r="W331" s="549">
        <f t="shared" ref="W331:W340" si="558">IF($AC$329&lt;&gt;"",$AC$329,T331)</f>
        <v>0</v>
      </c>
      <c r="X331" s="549">
        <f t="shared" ref="X331:X341" si="559">IF($AC$345&lt;&gt;"",$AC$345,T347)</f>
        <v>0</v>
      </c>
      <c r="Z331" s="42" t="s">
        <v>258</v>
      </c>
      <c r="AA331" s="914"/>
      <c r="AB331" s="914"/>
      <c r="AC331" s="914"/>
      <c r="AD331" s="914"/>
    </row>
    <row r="332" spans="1:30" s="416" customFormat="1" ht="12.75" hidden="1" customHeight="1" outlineLevel="1" x14ac:dyDescent="0.2">
      <c r="D332" s="42" t="s">
        <v>284</v>
      </c>
      <c r="E332" s="320"/>
      <c r="F332" s="319"/>
      <c r="G332" s="319"/>
      <c r="H332" s="322">
        <f>E332</f>
        <v>0</v>
      </c>
      <c r="I332" s="322">
        <f t="shared" ref="I332" si="560">H332*VLOOKUP(G328,PRate01,2,FALSE)</f>
        <v>0</v>
      </c>
      <c r="J332" s="322">
        <f t="shared" ref="J332" si="561">I332*VLOOKUP(H328,PRate01,2,FALSE)</f>
        <v>0</v>
      </c>
      <c r="K332" s="322">
        <f t="shared" ref="K332" si="562">J332*VLOOKUP(I328,PRate01,2,FALSE)</f>
        <v>0</v>
      </c>
      <c r="L332" s="322">
        <f t="shared" ref="L332" si="563">K332*VLOOKUP(J328,PRate01,2,FALSE)</f>
        <v>0</v>
      </c>
      <c r="M332" s="322">
        <f t="shared" ref="M332" si="564">L332*VLOOKUP(K328,PRate01,2,FALSE)</f>
        <v>0</v>
      </c>
      <c r="N332" s="322">
        <f t="shared" ref="N332" si="565">M332*VLOOKUP(L328,PRate01,2,FALSE)</f>
        <v>0</v>
      </c>
      <c r="O332" s="322">
        <f t="shared" ref="O332" si="566">N332*VLOOKUP(M328,PRate01,2,FALSE)</f>
        <v>0</v>
      </c>
      <c r="P332" s="322">
        <f t="shared" ref="P332" si="567">O332*VLOOKUP(N328,PRate01,2,FALSE)</f>
        <v>0</v>
      </c>
      <c r="Q332" s="322">
        <f t="shared" ref="Q332" si="568">P332*VLOOKUP(O328,PRate01,2,FALSE)</f>
        <v>0</v>
      </c>
      <c r="S332" s="42" t="s">
        <v>1007</v>
      </c>
      <c r="T332" s="544"/>
      <c r="V332" s="554">
        <v>3</v>
      </c>
      <c r="W332" s="549">
        <f t="shared" si="558"/>
        <v>0</v>
      </c>
      <c r="X332" s="549">
        <f t="shared" si="559"/>
        <v>0</v>
      </c>
      <c r="Y332" s="553"/>
      <c r="Z332" s="553"/>
      <c r="AA332" s="553"/>
    </row>
    <row r="333" spans="1:30" s="416" customFormat="1" ht="12.75" hidden="1" customHeight="1" outlineLevel="1" x14ac:dyDescent="0.2">
      <c r="D333" s="42" t="s">
        <v>285</v>
      </c>
      <c r="E333" s="320"/>
      <c r="F333" s="319"/>
      <c r="G333" s="319"/>
      <c r="H333" s="319"/>
      <c r="I333" s="322">
        <f>E333</f>
        <v>0</v>
      </c>
      <c r="J333" s="322">
        <f t="shared" ref="J333" si="569">I333*VLOOKUP(G328,PRate01,2,FALSE)</f>
        <v>0</v>
      </c>
      <c r="K333" s="322">
        <f t="shared" ref="K333" si="570">J333*VLOOKUP(H328,PRate01,2,FALSE)</f>
        <v>0</v>
      </c>
      <c r="L333" s="322">
        <f t="shared" ref="L333" si="571">K333*VLOOKUP(I328,PRate01,2,FALSE)</f>
        <v>0</v>
      </c>
      <c r="M333" s="322">
        <f t="shared" ref="M333" si="572">L333*VLOOKUP(J328,PRate01,2,FALSE)</f>
        <v>0</v>
      </c>
      <c r="N333" s="322">
        <f t="shared" ref="N333" si="573">M333*VLOOKUP(K328,PRate01,2,FALSE)</f>
        <v>0</v>
      </c>
      <c r="O333" s="322">
        <f t="shared" ref="O333" si="574">N333*VLOOKUP(L328,PRate01,2,FALSE)</f>
        <v>0</v>
      </c>
      <c r="P333" s="322">
        <f t="shared" ref="P333" si="575">O333*VLOOKUP(M328,PRate01,2,FALSE)</f>
        <v>0</v>
      </c>
      <c r="Q333" s="322">
        <f t="shared" ref="Q333" si="576">P333*VLOOKUP(N328,PRate01,2,FALSE)</f>
        <v>0</v>
      </c>
      <c r="S333" s="42" t="s">
        <v>1008</v>
      </c>
      <c r="T333" s="544"/>
      <c r="V333" s="555">
        <v>4</v>
      </c>
      <c r="W333" s="549">
        <f t="shared" si="558"/>
        <v>0</v>
      </c>
      <c r="X333" s="549">
        <f t="shared" si="559"/>
        <v>0</v>
      </c>
      <c r="Y333" s="553"/>
      <c r="Z333" s="553"/>
      <c r="AA333" s="553"/>
    </row>
    <row r="334" spans="1:30" s="416" customFormat="1" ht="12.75" hidden="1" customHeight="1" outlineLevel="1" x14ac:dyDescent="0.2">
      <c r="D334" s="42" t="s">
        <v>286</v>
      </c>
      <c r="E334" s="320"/>
      <c r="F334" s="319"/>
      <c r="G334" s="319"/>
      <c r="H334" s="319"/>
      <c r="I334" s="319"/>
      <c r="J334" s="322">
        <f>E334</f>
        <v>0</v>
      </c>
      <c r="K334" s="322">
        <f t="shared" ref="K334" si="577">J334*VLOOKUP(G328,PRate01,2,FALSE)</f>
        <v>0</v>
      </c>
      <c r="L334" s="322">
        <f t="shared" ref="L334" si="578">K334*VLOOKUP(H328,PRate01,2,FALSE)</f>
        <v>0</v>
      </c>
      <c r="M334" s="322">
        <f t="shared" ref="M334" si="579">L334*VLOOKUP(I328,PRate01,2,FALSE)</f>
        <v>0</v>
      </c>
      <c r="N334" s="322">
        <f t="shared" ref="N334" si="580">M334*VLOOKUP(J328,PRate01,2,FALSE)</f>
        <v>0</v>
      </c>
      <c r="O334" s="322">
        <f t="shared" ref="O334" si="581">N334*VLOOKUP(K328,PRate01,2,FALSE)</f>
        <v>0</v>
      </c>
      <c r="P334" s="322">
        <f t="shared" ref="P334" si="582">O334*VLOOKUP(L328,PRate01,2,FALSE)</f>
        <v>0</v>
      </c>
      <c r="Q334" s="322">
        <f t="shared" ref="Q334" si="583">P334*VLOOKUP(M328,PRate01,2,FALSE)</f>
        <v>0</v>
      </c>
      <c r="S334" s="42" t="s">
        <v>1009</v>
      </c>
      <c r="T334" s="544"/>
      <c r="V334" s="555">
        <v>5</v>
      </c>
      <c r="W334" s="549">
        <f t="shared" si="558"/>
        <v>0</v>
      </c>
      <c r="X334" s="549">
        <f t="shared" si="559"/>
        <v>0</v>
      </c>
      <c r="Y334" s="553"/>
      <c r="Z334" s="553"/>
      <c r="AA334" s="553"/>
    </row>
    <row r="335" spans="1:30" s="416" customFormat="1" ht="12.75" hidden="1" customHeight="1" outlineLevel="1" x14ac:dyDescent="0.2">
      <c r="D335" s="42" t="s">
        <v>287</v>
      </c>
      <c r="E335" s="320"/>
      <c r="F335" s="319"/>
      <c r="G335" s="319"/>
      <c r="H335" s="319"/>
      <c r="I335" s="319"/>
      <c r="J335" s="319"/>
      <c r="K335" s="322">
        <f>E335</f>
        <v>0</v>
      </c>
      <c r="L335" s="322">
        <f t="shared" ref="L335" si="584">K335*VLOOKUP(G328,PRate01,2,FALSE)</f>
        <v>0</v>
      </c>
      <c r="M335" s="322">
        <f t="shared" ref="M335" si="585">L335*VLOOKUP(H328,PRate01,2,FALSE)</f>
        <v>0</v>
      </c>
      <c r="N335" s="322">
        <f t="shared" ref="N335" si="586">M335*VLOOKUP(I328,PRate01,2,FALSE)</f>
        <v>0</v>
      </c>
      <c r="O335" s="322">
        <f t="shared" ref="O335" si="587">N335*VLOOKUP(J328,PRate01,2,FALSE)</f>
        <v>0</v>
      </c>
      <c r="P335" s="322">
        <f t="shared" ref="P335" si="588">O335*VLOOKUP(K328,PRate01,2,FALSE)</f>
        <v>0</v>
      </c>
      <c r="Q335" s="322">
        <f t="shared" ref="Q335" si="589">P335*VLOOKUP(L328,PRate01,2,FALSE)</f>
        <v>0</v>
      </c>
      <c r="S335" s="42" t="s">
        <v>1010</v>
      </c>
      <c r="T335" s="544"/>
      <c r="V335" s="555">
        <v>6</v>
      </c>
      <c r="W335" s="549">
        <f t="shared" si="558"/>
        <v>0</v>
      </c>
      <c r="X335" s="549">
        <f t="shared" si="559"/>
        <v>0</v>
      </c>
      <c r="Y335" s="553"/>
      <c r="Z335" s="553"/>
      <c r="AA335" s="553"/>
    </row>
    <row r="336" spans="1:30" s="416" customFormat="1" ht="12.75" hidden="1" customHeight="1" outlineLevel="1" x14ac:dyDescent="0.2">
      <c r="D336" s="42" t="s">
        <v>474</v>
      </c>
      <c r="E336" s="320"/>
      <c r="F336" s="319"/>
      <c r="G336" s="319"/>
      <c r="H336" s="319"/>
      <c r="I336" s="319"/>
      <c r="J336" s="319"/>
      <c r="K336" s="319"/>
      <c r="L336" s="322">
        <f>E336</f>
        <v>0</v>
      </c>
      <c r="M336" s="322">
        <f>L336*VLOOKUP(G328,PRate01,2,FALSE)</f>
        <v>0</v>
      </c>
      <c r="N336" s="322">
        <f>M336*VLOOKUP(H328,PRate01,2,FALSE)</f>
        <v>0</v>
      </c>
      <c r="O336" s="322">
        <f>N336*VLOOKUP(I328,PRate01,2,FALSE)</f>
        <v>0</v>
      </c>
      <c r="P336" s="322">
        <f>O336*VLOOKUP(J328,PRate01,2,FALSE)</f>
        <v>0</v>
      </c>
      <c r="Q336" s="322">
        <f>P336*VLOOKUP(K328,PRate01,2,FALSE)</f>
        <v>0</v>
      </c>
      <c r="S336" s="42" t="s">
        <v>1011</v>
      </c>
      <c r="T336" s="544"/>
      <c r="V336" s="555">
        <v>7</v>
      </c>
      <c r="W336" s="549">
        <f t="shared" si="558"/>
        <v>0</v>
      </c>
      <c r="X336" s="549">
        <f t="shared" si="559"/>
        <v>0</v>
      </c>
      <c r="Y336" s="553"/>
      <c r="Z336" s="553"/>
      <c r="AA336" s="553"/>
    </row>
    <row r="337" spans="3:30" s="416" customFormat="1" ht="12.75" hidden="1" customHeight="1" outlineLevel="1" x14ac:dyDescent="0.2">
      <c r="D337" s="42" t="s">
        <v>475</v>
      </c>
      <c r="E337" s="320"/>
      <c r="F337" s="319"/>
      <c r="G337" s="319"/>
      <c r="H337" s="319"/>
      <c r="I337" s="319"/>
      <c r="J337" s="319"/>
      <c r="K337" s="319"/>
      <c r="L337" s="319"/>
      <c r="M337" s="322">
        <f>E337</f>
        <v>0</v>
      </c>
      <c r="N337" s="322">
        <f>M337*VLOOKUP(G328,PRate01,2,FALSE)</f>
        <v>0</v>
      </c>
      <c r="O337" s="322">
        <f>N337*VLOOKUP(H328,PRate01,2,FALSE)</f>
        <v>0</v>
      </c>
      <c r="P337" s="322">
        <f>O337*VLOOKUP(I328,PRate01,2,FALSE)</f>
        <v>0</v>
      </c>
      <c r="Q337" s="322">
        <f>P337*VLOOKUP(J328,PRate01,2,FALSE)</f>
        <v>0</v>
      </c>
      <c r="S337" s="42" t="s">
        <v>1012</v>
      </c>
      <c r="T337" s="544"/>
      <c r="V337" s="555">
        <v>8</v>
      </c>
      <c r="W337" s="549">
        <f t="shared" si="558"/>
        <v>0</v>
      </c>
      <c r="X337" s="549">
        <f t="shared" si="559"/>
        <v>0</v>
      </c>
      <c r="Y337" s="553"/>
      <c r="Z337" s="553"/>
      <c r="AA337" s="553"/>
    </row>
    <row r="338" spans="3:30" s="416" customFormat="1" ht="12.75" hidden="1" customHeight="1" outlineLevel="1" x14ac:dyDescent="0.2">
      <c r="D338" s="42" t="s">
        <v>476</v>
      </c>
      <c r="E338" s="320"/>
      <c r="F338" s="319"/>
      <c r="G338" s="319"/>
      <c r="H338" s="319"/>
      <c r="I338" s="319"/>
      <c r="J338" s="319"/>
      <c r="K338" s="319"/>
      <c r="L338" s="319"/>
      <c r="M338" s="319"/>
      <c r="N338" s="322">
        <f>E338</f>
        <v>0</v>
      </c>
      <c r="O338" s="322">
        <f>N338*VLOOKUP(G328,PRate01,2,FALSE)</f>
        <v>0</v>
      </c>
      <c r="P338" s="322">
        <f>O338*VLOOKUP(H328,PRate01,2,FALSE)</f>
        <v>0</v>
      </c>
      <c r="Q338" s="322">
        <f>P338*VLOOKUP(I328,PRate01,2,FALSE)</f>
        <v>0</v>
      </c>
      <c r="S338" s="42" t="s">
        <v>1013</v>
      </c>
      <c r="T338" s="544"/>
      <c r="V338" s="555">
        <v>9</v>
      </c>
      <c r="W338" s="549">
        <f t="shared" si="558"/>
        <v>0</v>
      </c>
      <c r="X338" s="549">
        <f t="shared" si="559"/>
        <v>0</v>
      </c>
      <c r="Y338" s="553"/>
      <c r="Z338" s="553"/>
      <c r="AA338" s="553"/>
    </row>
    <row r="339" spans="3:30" s="416" customFormat="1" ht="12.75" hidden="1" customHeight="1" outlineLevel="1" x14ac:dyDescent="0.2">
      <c r="D339" s="42" t="s">
        <v>477</v>
      </c>
      <c r="E339" s="320"/>
      <c r="F339" s="319"/>
      <c r="G339" s="319"/>
      <c r="H339" s="319"/>
      <c r="I339" s="319"/>
      <c r="J339" s="319"/>
      <c r="K339" s="319"/>
      <c r="L339" s="319"/>
      <c r="M339" s="319"/>
      <c r="N339" s="319"/>
      <c r="O339" s="550">
        <f>E339</f>
        <v>0</v>
      </c>
      <c r="P339" s="322">
        <f>O339*VLOOKUP(G328,PRate01,2,FALSE)</f>
        <v>0</v>
      </c>
      <c r="Q339" s="322">
        <f>P339*VLOOKUP(H328,PRate01,2,FALSE)</f>
        <v>0</v>
      </c>
      <c r="S339" s="42" t="s">
        <v>1014</v>
      </c>
      <c r="T339" s="544"/>
      <c r="V339" s="555">
        <v>10</v>
      </c>
      <c r="W339" s="549">
        <f t="shared" si="558"/>
        <v>0</v>
      </c>
      <c r="X339" s="549">
        <f t="shared" si="559"/>
        <v>0</v>
      </c>
      <c r="Y339" s="553"/>
      <c r="Z339" s="553"/>
      <c r="AA339" s="553"/>
    </row>
    <row r="340" spans="3:30" s="416" customFormat="1" ht="12.75" hidden="1" customHeight="1" outlineLevel="1" x14ac:dyDescent="0.2">
      <c r="D340" s="42" t="s">
        <v>478</v>
      </c>
      <c r="E340" s="320"/>
      <c r="F340" s="319"/>
      <c r="G340" s="319"/>
      <c r="H340" s="319"/>
      <c r="I340" s="319"/>
      <c r="J340" s="319"/>
      <c r="K340" s="319"/>
      <c r="L340" s="319"/>
      <c r="M340" s="319"/>
      <c r="N340" s="319"/>
      <c r="O340" s="546"/>
      <c r="P340" s="550">
        <f>E340</f>
        <v>0</v>
      </c>
      <c r="Q340" s="322">
        <f>P340*VLOOKUP(G328,PRate01,2,FALSE)</f>
        <v>0</v>
      </c>
      <c r="S340" s="42" t="s">
        <v>1015</v>
      </c>
      <c r="T340" s="544"/>
      <c r="V340" s="555">
        <v>11</v>
      </c>
      <c r="W340" s="549">
        <f t="shared" si="558"/>
        <v>0</v>
      </c>
      <c r="X340" s="549">
        <f t="shared" si="559"/>
        <v>0</v>
      </c>
      <c r="Y340" s="553"/>
      <c r="Z340" s="553"/>
      <c r="AA340" s="553"/>
    </row>
    <row r="341" spans="3:30" s="416" customFormat="1" ht="12.75" hidden="1" customHeight="1" outlineLevel="1" x14ac:dyDescent="0.2">
      <c r="D341" s="42" t="s">
        <v>479</v>
      </c>
      <c r="E341" s="320"/>
      <c r="F341" s="319"/>
      <c r="G341" s="319"/>
      <c r="H341" s="319"/>
      <c r="I341" s="319"/>
      <c r="J341" s="319"/>
      <c r="K341" s="319"/>
      <c r="L341" s="319"/>
      <c r="M341" s="319"/>
      <c r="N341" s="319"/>
      <c r="O341" s="546"/>
      <c r="P341" s="546"/>
      <c r="Q341" s="550">
        <f>E341</f>
        <v>0</v>
      </c>
      <c r="V341" s="555">
        <v>12</v>
      </c>
      <c r="W341" s="556"/>
      <c r="X341" s="549">
        <f t="shared" si="559"/>
        <v>0</v>
      </c>
      <c r="Y341" s="553"/>
      <c r="Z341" s="553"/>
      <c r="AA341" s="553"/>
    </row>
    <row r="342" spans="3:30" s="416" customFormat="1" ht="12.75" hidden="1" customHeight="1" outlineLevel="1" x14ac:dyDescent="0.2"/>
    <row r="343" spans="3:30" s="416" customFormat="1" ht="12.75" hidden="1" customHeight="1" outlineLevel="1" x14ac:dyDescent="0.2">
      <c r="Z343" s="919" t="str">
        <f>IF(AC345&lt;&gt;"",MsgNote &amp; VLOOKUP("PRate",WarningMessages,2),"")</f>
        <v/>
      </c>
      <c r="AA343" s="919"/>
      <c r="AB343" s="919"/>
      <c r="AC343" s="919"/>
      <c r="AD343" s="919"/>
    </row>
    <row r="344" spans="3:30" s="416" customFormat="1" ht="12.75" hidden="1" customHeight="1" outlineLevel="1" x14ac:dyDescent="0.2">
      <c r="L344" s="552"/>
      <c r="M344" s="552"/>
      <c r="N344" s="552"/>
      <c r="O344" s="552"/>
      <c r="P344" s="552"/>
      <c r="Q344" s="552"/>
    </row>
    <row r="345" spans="3:30" s="416" customFormat="1" ht="12.75" hidden="1" customHeight="1" outlineLevel="1" x14ac:dyDescent="0.2">
      <c r="D345" s="318"/>
      <c r="F345" s="733">
        <f t="shared" ref="F345" si="590">G345-1</f>
        <v>2015</v>
      </c>
      <c r="G345" s="733">
        <f t="shared" ref="G345" si="591">H345-1</f>
        <v>2016</v>
      </c>
      <c r="H345" s="733">
        <f t="shared" ref="H345" si="592">I345-1</f>
        <v>2017</v>
      </c>
      <c r="I345" s="733">
        <f t="shared" ref="I345" si="593">J345-1</f>
        <v>2018</v>
      </c>
      <c r="J345" s="733">
        <f t="shared" ref="J345" si="594">K345-1</f>
        <v>2019</v>
      </c>
      <c r="K345" s="733">
        <f t="shared" ref="K345" si="595">L345-1</f>
        <v>2020</v>
      </c>
      <c r="L345" s="733">
        <f>FirstYear</f>
        <v>2021</v>
      </c>
      <c r="M345" s="733">
        <f>L345+1</f>
        <v>2022</v>
      </c>
      <c r="N345" s="733">
        <f>M345+1</f>
        <v>2023</v>
      </c>
      <c r="O345" s="733">
        <f>N345+1</f>
        <v>2024</v>
      </c>
      <c r="P345" s="733">
        <f>O345+1</f>
        <v>2025</v>
      </c>
      <c r="Q345" s="733">
        <f>P345+1</f>
        <v>2026</v>
      </c>
      <c r="S345" s="921" t="s">
        <v>1301</v>
      </c>
      <c r="T345" s="921"/>
      <c r="Z345" s="918" t="s">
        <v>1304</v>
      </c>
      <c r="AA345" s="918"/>
      <c r="AB345" s="918"/>
      <c r="AC345" s="544"/>
    </row>
    <row r="346" spans="3:30" s="416" customFormat="1" ht="12.75" hidden="1" customHeight="1" outlineLevel="1" x14ac:dyDescent="0.2">
      <c r="C346" s="551">
        <v>12</v>
      </c>
      <c r="D346" s="920" t="s">
        <v>282</v>
      </c>
      <c r="E346" s="882"/>
      <c r="F346" s="550">
        <f>F330*VLOOKUP(C357,PRate01,3,FALSE)</f>
        <v>0</v>
      </c>
      <c r="G346" s="550">
        <f>G330*VLOOKUP(C356,PRate01,3,FALSE)</f>
        <v>0</v>
      </c>
      <c r="H346" s="550">
        <f>H330*VLOOKUP(C355,PRate01,3,FALSE)</f>
        <v>0</v>
      </c>
      <c r="I346" s="550">
        <f>I330*VLOOKUP(C354,PRate01,3,FALSE)</f>
        <v>0</v>
      </c>
      <c r="J346" s="550">
        <f>J330*VLOOKUP(C353,PRate01,3,FALSE)</f>
        <v>0</v>
      </c>
      <c r="K346" s="550">
        <f t="shared" ref="K346:K351" si="596">K330*VLOOKUP(C352,PRate01,3,FALSE)</f>
        <v>0</v>
      </c>
      <c r="L346" s="550">
        <f t="shared" ref="L346:L352" si="597">L330*VLOOKUP(C351,PRate01,3,FALSE)</f>
        <v>0</v>
      </c>
      <c r="M346" s="550">
        <f t="shared" ref="M346:M353" si="598">M330*VLOOKUP(C350,PRate01,3,FALSE)</f>
        <v>0</v>
      </c>
      <c r="N346" s="550">
        <f t="shared" ref="N346:N354" si="599">N330*VLOOKUP(C349,PRate01,3,FALSE)</f>
        <v>0</v>
      </c>
      <c r="O346" s="550">
        <f t="shared" ref="O346:O355" si="600">O330*VLOOKUP(C348,PRate01,3,FALSE)</f>
        <v>0</v>
      </c>
      <c r="P346" s="550">
        <f t="shared" ref="P346:P356" si="601">P330*VLOOKUP(C347,PRate01,3,FALSE)</f>
        <v>0</v>
      </c>
      <c r="Q346" s="550">
        <f t="shared" ref="Q346:Q357" si="602">Q330*VLOOKUP(C346,PRate01,3,FALSE)</f>
        <v>0</v>
      </c>
      <c r="S346" s="547" t="s">
        <v>1005</v>
      </c>
      <c r="T346" s="548"/>
      <c r="X346" s="553"/>
      <c r="Y346" s="553"/>
      <c r="Z346" s="553"/>
      <c r="AA346" s="553"/>
    </row>
    <row r="347" spans="3:30" s="416" customFormat="1" ht="12.75" hidden="1" customHeight="1" outlineLevel="1" x14ac:dyDescent="0.2">
      <c r="C347" s="551">
        <v>11</v>
      </c>
      <c r="D347" s="920" t="s">
        <v>283</v>
      </c>
      <c r="E347" s="882"/>
      <c r="F347" s="319"/>
      <c r="G347" s="550">
        <f>G331*VLOOKUP(C357,PRate01,3,FALSE)</f>
        <v>0</v>
      </c>
      <c r="H347" s="550">
        <f>H331*VLOOKUP(C356,PRate01,3,FALSE)</f>
        <v>0</v>
      </c>
      <c r="I347" s="550">
        <f>I331*VLOOKUP(C355,PRate01,3,FALSE)</f>
        <v>0</v>
      </c>
      <c r="J347" s="550">
        <f>J331*VLOOKUP(C354,PRate01,3,FALSE)</f>
        <v>0</v>
      </c>
      <c r="K347" s="550">
        <f t="shared" si="596"/>
        <v>0</v>
      </c>
      <c r="L347" s="550">
        <f t="shared" si="597"/>
        <v>0</v>
      </c>
      <c r="M347" s="550">
        <f t="shared" si="598"/>
        <v>0</v>
      </c>
      <c r="N347" s="550">
        <f t="shared" si="599"/>
        <v>0</v>
      </c>
      <c r="O347" s="550">
        <f t="shared" si="600"/>
        <v>0</v>
      </c>
      <c r="P347" s="550">
        <f t="shared" si="601"/>
        <v>0</v>
      </c>
      <c r="Q347" s="550">
        <f t="shared" si="602"/>
        <v>0</v>
      </c>
      <c r="S347" s="42" t="s">
        <v>1006</v>
      </c>
      <c r="T347" s="544"/>
      <c r="X347" s="553"/>
      <c r="Y347" s="553"/>
      <c r="Z347" s="42" t="s">
        <v>258</v>
      </c>
      <c r="AA347" s="914"/>
      <c r="AB347" s="914"/>
      <c r="AC347" s="914"/>
      <c r="AD347" s="914"/>
    </row>
    <row r="348" spans="3:30" s="416" customFormat="1" ht="12.75" hidden="1" customHeight="1" outlineLevel="1" x14ac:dyDescent="0.2">
      <c r="C348" s="551">
        <v>10</v>
      </c>
      <c r="D348" s="920" t="s">
        <v>284</v>
      </c>
      <c r="E348" s="882"/>
      <c r="F348" s="319"/>
      <c r="G348" s="319"/>
      <c r="H348" s="550">
        <f>H332*VLOOKUP(C357,PRate01,3,FALSE)</f>
        <v>0</v>
      </c>
      <c r="I348" s="550">
        <f>I332*VLOOKUP(C356,PRate01,3,FALSE)</f>
        <v>0</v>
      </c>
      <c r="J348" s="550">
        <f>J332*VLOOKUP(C355,PRate01,3,FALSE)</f>
        <v>0</v>
      </c>
      <c r="K348" s="550">
        <f t="shared" si="596"/>
        <v>0</v>
      </c>
      <c r="L348" s="550">
        <f t="shared" si="597"/>
        <v>0</v>
      </c>
      <c r="M348" s="550">
        <f t="shared" si="598"/>
        <v>0</v>
      </c>
      <c r="N348" s="550">
        <f t="shared" si="599"/>
        <v>0</v>
      </c>
      <c r="O348" s="550">
        <f t="shared" si="600"/>
        <v>0</v>
      </c>
      <c r="P348" s="550">
        <f t="shared" si="601"/>
        <v>0</v>
      </c>
      <c r="Q348" s="550">
        <f t="shared" si="602"/>
        <v>0</v>
      </c>
      <c r="S348" s="42" t="s">
        <v>1007</v>
      </c>
      <c r="T348" s="544"/>
      <c r="X348" s="553"/>
      <c r="Y348" s="553"/>
      <c r="Z348" s="553"/>
      <c r="AA348" s="553"/>
    </row>
    <row r="349" spans="3:30" s="416" customFormat="1" ht="12.75" hidden="1" customHeight="1" outlineLevel="1" x14ac:dyDescent="0.2">
      <c r="C349" s="551">
        <v>9</v>
      </c>
      <c r="D349" s="920" t="s">
        <v>285</v>
      </c>
      <c r="E349" s="882"/>
      <c r="F349" s="319"/>
      <c r="G349" s="319"/>
      <c r="H349" s="319"/>
      <c r="I349" s="550">
        <f>I333*VLOOKUP(C357,PRate01,3,FALSE)</f>
        <v>0</v>
      </c>
      <c r="J349" s="550">
        <f>J333*VLOOKUP(C356,PRate01,3,FALSE)</f>
        <v>0</v>
      </c>
      <c r="K349" s="550">
        <f t="shared" si="596"/>
        <v>0</v>
      </c>
      <c r="L349" s="550">
        <f t="shared" si="597"/>
        <v>0</v>
      </c>
      <c r="M349" s="550">
        <f t="shared" si="598"/>
        <v>0</v>
      </c>
      <c r="N349" s="550">
        <f t="shared" si="599"/>
        <v>0</v>
      </c>
      <c r="O349" s="550">
        <f t="shared" si="600"/>
        <v>0</v>
      </c>
      <c r="P349" s="550">
        <f t="shared" si="601"/>
        <v>0</v>
      </c>
      <c r="Q349" s="550">
        <f t="shared" si="602"/>
        <v>0</v>
      </c>
      <c r="S349" s="42" t="s">
        <v>1008</v>
      </c>
      <c r="T349" s="544"/>
      <c r="X349" s="553"/>
      <c r="Y349" s="553"/>
      <c r="Z349" s="553"/>
      <c r="AA349" s="553"/>
    </row>
    <row r="350" spans="3:30" s="416" customFormat="1" ht="12.75" hidden="1" customHeight="1" outlineLevel="1" x14ac:dyDescent="0.2">
      <c r="C350" s="551">
        <v>8</v>
      </c>
      <c r="D350" s="920" t="s">
        <v>286</v>
      </c>
      <c r="E350" s="882"/>
      <c r="F350" s="319"/>
      <c r="G350" s="319"/>
      <c r="H350" s="319"/>
      <c r="I350" s="319"/>
      <c r="J350" s="550">
        <f>J334*VLOOKUP(C357,PRate01,3,FALSE)</f>
        <v>0</v>
      </c>
      <c r="K350" s="550">
        <f t="shared" si="596"/>
        <v>0</v>
      </c>
      <c r="L350" s="550">
        <f t="shared" si="597"/>
        <v>0</v>
      </c>
      <c r="M350" s="550">
        <f t="shared" si="598"/>
        <v>0</v>
      </c>
      <c r="N350" s="550">
        <f t="shared" si="599"/>
        <v>0</v>
      </c>
      <c r="O350" s="550">
        <f t="shared" si="600"/>
        <v>0</v>
      </c>
      <c r="P350" s="550">
        <f t="shared" si="601"/>
        <v>0</v>
      </c>
      <c r="Q350" s="550">
        <f t="shared" si="602"/>
        <v>0</v>
      </c>
      <c r="S350" s="42" t="s">
        <v>1009</v>
      </c>
      <c r="T350" s="544"/>
      <c r="X350" s="553"/>
      <c r="Y350" s="553"/>
      <c r="Z350" s="553"/>
      <c r="AA350" s="553"/>
    </row>
    <row r="351" spans="3:30" s="416" customFormat="1" ht="12.75" hidden="1" customHeight="1" outlineLevel="1" x14ac:dyDescent="0.2">
      <c r="C351" s="551">
        <v>7</v>
      </c>
      <c r="D351" s="920" t="s">
        <v>287</v>
      </c>
      <c r="E351" s="882"/>
      <c r="F351" s="319"/>
      <c r="G351" s="319"/>
      <c r="H351" s="319"/>
      <c r="I351" s="319"/>
      <c r="J351" s="319"/>
      <c r="K351" s="550">
        <f t="shared" si="596"/>
        <v>0</v>
      </c>
      <c r="L351" s="550">
        <f t="shared" si="597"/>
        <v>0</v>
      </c>
      <c r="M351" s="550">
        <f t="shared" si="598"/>
        <v>0</v>
      </c>
      <c r="N351" s="550">
        <f t="shared" si="599"/>
        <v>0</v>
      </c>
      <c r="O351" s="550">
        <f t="shared" si="600"/>
        <v>0</v>
      </c>
      <c r="P351" s="550">
        <f t="shared" si="601"/>
        <v>0</v>
      </c>
      <c r="Q351" s="550">
        <f t="shared" si="602"/>
        <v>0</v>
      </c>
      <c r="S351" s="42" t="s">
        <v>1010</v>
      </c>
      <c r="T351" s="544"/>
      <c r="X351" s="553"/>
      <c r="Y351" s="553"/>
      <c r="Z351" s="553"/>
      <c r="AA351" s="553"/>
    </row>
    <row r="352" spans="3:30" s="416" customFormat="1" ht="12.75" hidden="1" customHeight="1" outlineLevel="1" x14ac:dyDescent="0.2">
      <c r="C352" s="551">
        <v>6</v>
      </c>
      <c r="D352" s="920" t="s">
        <v>474</v>
      </c>
      <c r="E352" s="882"/>
      <c r="F352" s="319"/>
      <c r="G352" s="319"/>
      <c r="H352" s="319"/>
      <c r="I352" s="319"/>
      <c r="J352" s="319"/>
      <c r="K352" s="319"/>
      <c r="L352" s="550">
        <f t="shared" si="597"/>
        <v>0</v>
      </c>
      <c r="M352" s="550">
        <f t="shared" si="598"/>
        <v>0</v>
      </c>
      <c r="N352" s="550">
        <f t="shared" si="599"/>
        <v>0</v>
      </c>
      <c r="O352" s="550">
        <f t="shared" si="600"/>
        <v>0</v>
      </c>
      <c r="P352" s="550">
        <f t="shared" si="601"/>
        <v>0</v>
      </c>
      <c r="Q352" s="550">
        <f t="shared" si="602"/>
        <v>0</v>
      </c>
      <c r="S352" s="42" t="s">
        <v>1011</v>
      </c>
      <c r="T352" s="544"/>
      <c r="X352" s="553"/>
      <c r="Y352" s="553"/>
      <c r="Z352" s="553"/>
      <c r="AA352" s="553"/>
    </row>
    <row r="353" spans="1:30" s="416" customFormat="1" ht="12.75" hidden="1" customHeight="1" outlineLevel="1" x14ac:dyDescent="0.2">
      <c r="C353" s="551">
        <v>5</v>
      </c>
      <c r="D353" s="920" t="s">
        <v>475</v>
      </c>
      <c r="E353" s="882"/>
      <c r="F353" s="319"/>
      <c r="G353" s="319"/>
      <c r="H353" s="319"/>
      <c r="I353" s="319"/>
      <c r="J353" s="319"/>
      <c r="K353" s="319"/>
      <c r="L353" s="319"/>
      <c r="M353" s="550">
        <f t="shared" si="598"/>
        <v>0</v>
      </c>
      <c r="N353" s="550">
        <f t="shared" si="599"/>
        <v>0</v>
      </c>
      <c r="O353" s="550">
        <f t="shared" si="600"/>
        <v>0</v>
      </c>
      <c r="P353" s="550">
        <f t="shared" si="601"/>
        <v>0</v>
      </c>
      <c r="Q353" s="550">
        <f t="shared" si="602"/>
        <v>0</v>
      </c>
      <c r="S353" s="42" t="s">
        <v>1012</v>
      </c>
      <c r="T353" s="544"/>
      <c r="X353" s="553"/>
      <c r="Y353" s="553"/>
      <c r="Z353" s="553"/>
      <c r="AA353" s="553"/>
    </row>
    <row r="354" spans="1:30" s="416" customFormat="1" ht="12.75" hidden="1" customHeight="1" outlineLevel="1" x14ac:dyDescent="0.2">
      <c r="C354" s="551">
        <v>4</v>
      </c>
      <c r="D354" s="920" t="s">
        <v>476</v>
      </c>
      <c r="E354" s="882"/>
      <c r="F354" s="319"/>
      <c r="G354" s="319"/>
      <c r="H354" s="319"/>
      <c r="I354" s="319"/>
      <c r="J354" s="319"/>
      <c r="K354" s="319"/>
      <c r="L354" s="319"/>
      <c r="M354" s="319"/>
      <c r="N354" s="550">
        <f t="shared" si="599"/>
        <v>0</v>
      </c>
      <c r="O354" s="550">
        <f t="shared" si="600"/>
        <v>0</v>
      </c>
      <c r="P354" s="550">
        <f t="shared" si="601"/>
        <v>0</v>
      </c>
      <c r="Q354" s="550">
        <f t="shared" si="602"/>
        <v>0</v>
      </c>
      <c r="S354" s="42" t="s">
        <v>1013</v>
      </c>
      <c r="T354" s="544"/>
      <c r="X354" s="553"/>
      <c r="Y354" s="553"/>
      <c r="Z354" s="553"/>
      <c r="AA354" s="553"/>
    </row>
    <row r="355" spans="1:30" s="416" customFormat="1" ht="12.75" hidden="1" customHeight="1" outlineLevel="1" x14ac:dyDescent="0.2">
      <c r="C355" s="551">
        <v>3</v>
      </c>
      <c r="D355" s="920" t="s">
        <v>477</v>
      </c>
      <c r="E355" s="882"/>
      <c r="F355" s="319"/>
      <c r="G355" s="319"/>
      <c r="H355" s="319"/>
      <c r="I355" s="319"/>
      <c r="J355" s="319"/>
      <c r="K355" s="319"/>
      <c r="L355" s="319"/>
      <c r="M355" s="319"/>
      <c r="N355" s="319"/>
      <c r="O355" s="550">
        <f t="shared" si="600"/>
        <v>0</v>
      </c>
      <c r="P355" s="550">
        <f t="shared" si="601"/>
        <v>0</v>
      </c>
      <c r="Q355" s="550">
        <f t="shared" si="602"/>
        <v>0</v>
      </c>
      <c r="S355" s="42" t="s">
        <v>1014</v>
      </c>
      <c r="T355" s="544"/>
      <c r="X355" s="553"/>
      <c r="Y355" s="553"/>
      <c r="Z355" s="553"/>
      <c r="AA355" s="553"/>
    </row>
    <row r="356" spans="1:30" s="416" customFormat="1" ht="12.75" hidden="1" customHeight="1" outlineLevel="1" x14ac:dyDescent="0.2">
      <c r="C356" s="551">
        <v>2</v>
      </c>
      <c r="D356" s="920" t="s">
        <v>478</v>
      </c>
      <c r="E356" s="882"/>
      <c r="F356" s="319"/>
      <c r="G356" s="319"/>
      <c r="H356" s="319"/>
      <c r="I356" s="319"/>
      <c r="J356" s="319"/>
      <c r="K356" s="319"/>
      <c r="L356" s="319"/>
      <c r="M356" s="319"/>
      <c r="N356" s="319"/>
      <c r="O356" s="546"/>
      <c r="P356" s="550">
        <f t="shared" si="601"/>
        <v>0</v>
      </c>
      <c r="Q356" s="550">
        <f t="shared" si="602"/>
        <v>0</v>
      </c>
      <c r="S356" s="42" t="s">
        <v>1015</v>
      </c>
      <c r="T356" s="544"/>
      <c r="X356" s="553"/>
      <c r="Y356" s="553"/>
      <c r="Z356" s="553"/>
      <c r="AA356" s="553"/>
    </row>
    <row r="357" spans="1:30" s="416" customFormat="1" ht="12.75" hidden="1" customHeight="1" outlineLevel="1" x14ac:dyDescent="0.2">
      <c r="C357" s="551">
        <v>1</v>
      </c>
      <c r="D357" s="920" t="s">
        <v>479</v>
      </c>
      <c r="E357" s="882"/>
      <c r="F357" s="319"/>
      <c r="G357" s="319"/>
      <c r="H357" s="319"/>
      <c r="I357" s="319"/>
      <c r="J357" s="319"/>
      <c r="K357" s="319"/>
      <c r="L357" s="319"/>
      <c r="M357" s="319"/>
      <c r="N357" s="319"/>
      <c r="O357" s="546"/>
      <c r="P357" s="546"/>
      <c r="Q357" s="550">
        <f t="shared" si="602"/>
        <v>0</v>
      </c>
      <c r="S357" s="42" t="s">
        <v>1035</v>
      </c>
      <c r="T357" s="544"/>
    </row>
    <row r="358" spans="1:30" s="416" customFormat="1" ht="12.75" hidden="1" customHeight="1" outlineLevel="1" x14ac:dyDescent="0.2">
      <c r="K358" s="736" t="s">
        <v>73</v>
      </c>
      <c r="L358" s="321">
        <f>IFERROR((SUM(L346:L351)+IF(MATCH($AC$54,Switch,0)=1,L352,0)),0)</f>
        <v>0</v>
      </c>
      <c r="M358" s="321">
        <f>IFERROR((SUM(M346:M352)+IF(MATCH($AC$54,Switch,0)=1,M353,0)),0)</f>
        <v>0</v>
      </c>
      <c r="N358" s="321">
        <f>IFERROR((SUM(N346:N353)+IF(MATCH($AC$54,Switch,0)=1,N354,0)),0)</f>
        <v>0</v>
      </c>
      <c r="O358" s="321">
        <f>IFERROR((SUM(O346:O354)+IF(MATCH($AC$54,Switch,0)=1,O355,0)),0)</f>
        <v>0</v>
      </c>
      <c r="P358" s="321">
        <f>IFERROR((SUM(P346:P355)+IF(MATCH($AC$54,Switch,0)=1,P356,0)),0)</f>
        <v>0</v>
      </c>
      <c r="Q358" s="321">
        <f>IFERROR((SUM(Q346:Q356)+IF(MATCH($AC$54,Switch,0)=1,Q357,0)),0)</f>
        <v>0</v>
      </c>
      <c r="Z358" s="915" t="s">
        <v>1302</v>
      </c>
      <c r="AA358" s="916"/>
      <c r="AB358" s="917"/>
      <c r="AC358" s="743" t="s">
        <v>9</v>
      </c>
    </row>
    <row r="359" spans="1:30" s="416" customFormat="1" ht="12.75" hidden="1" customHeight="1" outlineLevel="1" x14ac:dyDescent="0.2"/>
    <row r="360" spans="1:30" ht="12.75" customHeight="1" collapsed="1" x14ac:dyDescent="0.2">
      <c r="C360" s="416"/>
      <c r="D360" s="416"/>
      <c r="F360" s="416"/>
      <c r="G360" s="416"/>
      <c r="H360" s="416"/>
      <c r="I360" s="416"/>
      <c r="J360" s="416"/>
      <c r="K360" s="416"/>
      <c r="L360" s="416"/>
      <c r="M360" s="416"/>
      <c r="N360" s="416"/>
      <c r="O360" s="416"/>
      <c r="P360" s="416"/>
      <c r="Q360" s="416"/>
      <c r="R360" s="416"/>
      <c r="S360" s="416"/>
      <c r="T360" s="416"/>
      <c r="U360" s="416"/>
      <c r="W360" s="416"/>
      <c r="AB360" s="416"/>
      <c r="AC360" s="416"/>
      <c r="AD360" s="416"/>
    </row>
    <row r="361" spans="1:30" s="416" customFormat="1" ht="15.75" x14ac:dyDescent="0.2">
      <c r="A361" s="194"/>
      <c r="B361" s="242">
        <f>IF(G363&lt;&gt;"",1,0)</f>
        <v>0</v>
      </c>
      <c r="C361" s="242">
        <v>10</v>
      </c>
      <c r="D361" s="79" t="str">
        <f>IF(B361=0,MsgNotUsed, CONCATENATE("Persistent ", C361, ": ", G363, " (", F367, "-", Q367, ")"))</f>
        <v>** NOT USED **</v>
      </c>
      <c r="E361" s="127"/>
      <c r="F361" s="127"/>
      <c r="G361" s="127"/>
      <c r="H361" s="127"/>
      <c r="I361" s="127"/>
      <c r="J361" s="175"/>
      <c r="K361" s="127"/>
      <c r="L361" s="127"/>
      <c r="M361" s="127"/>
      <c r="N361" s="260"/>
      <c r="O361" s="260"/>
      <c r="P361" s="260"/>
      <c r="Q361" s="260"/>
      <c r="R361" s="260"/>
      <c r="S361" s="260"/>
      <c r="T361" s="260"/>
      <c r="U361" s="260"/>
      <c r="V361" s="260"/>
      <c r="W361" s="260"/>
      <c r="X361" s="260"/>
      <c r="Y361" s="260"/>
      <c r="Z361" s="260"/>
      <c r="AA361" s="260"/>
      <c r="AB361" s="260"/>
      <c r="AC361" s="260"/>
      <c r="AD361" s="260"/>
    </row>
    <row r="362" spans="1:30" s="416" customFormat="1" ht="12.75" hidden="1" customHeight="1" outlineLevel="1" x14ac:dyDescent="0.2"/>
    <row r="363" spans="1:30" s="416" customFormat="1" ht="12.75" hidden="1" customHeight="1" outlineLevel="1" x14ac:dyDescent="0.2">
      <c r="F363" s="42" t="s">
        <v>480</v>
      </c>
      <c r="G363" s="913"/>
      <c r="H363" s="881"/>
      <c r="I363" s="881"/>
      <c r="J363" s="881"/>
      <c r="K363" s="881"/>
      <c r="L363" s="882"/>
    </row>
    <row r="364" spans="1:30" s="416" customFormat="1" ht="12.75" hidden="1" customHeight="1" outlineLevel="1" x14ac:dyDescent="0.2"/>
    <row r="365" spans="1:30" s="416" customFormat="1" ht="12.75" hidden="1" customHeight="1" outlineLevel="1" x14ac:dyDescent="0.2">
      <c r="F365" s="42" t="s">
        <v>258</v>
      </c>
      <c r="G365" s="913"/>
      <c r="H365" s="881"/>
      <c r="I365" s="881"/>
      <c r="J365" s="881"/>
      <c r="K365" s="881"/>
      <c r="L365" s="882"/>
      <c r="Z365" s="919" t="str">
        <f>IF(AC367&lt;&gt;"",MsgNote &amp; VLOOKUP("PRate",WarningMessages,2),"")</f>
        <v/>
      </c>
      <c r="AA365" s="919"/>
      <c r="AB365" s="919"/>
      <c r="AC365" s="919"/>
      <c r="AD365" s="919"/>
    </row>
    <row r="366" spans="1:30" s="416" customFormat="1" ht="12.75" hidden="1" customHeight="1" outlineLevel="1" x14ac:dyDescent="0.2">
      <c r="G366" s="557">
        <v>1</v>
      </c>
      <c r="H366" s="557">
        <v>2</v>
      </c>
      <c r="I366" s="557">
        <v>3</v>
      </c>
      <c r="J366" s="557">
        <v>4</v>
      </c>
      <c r="K366" s="557">
        <v>5</v>
      </c>
      <c r="L366" s="557">
        <v>6</v>
      </c>
      <c r="M366" s="557">
        <v>7</v>
      </c>
      <c r="N366" s="557">
        <v>8</v>
      </c>
      <c r="O366" s="557">
        <v>9</v>
      </c>
      <c r="P366" s="557">
        <v>10</v>
      </c>
      <c r="Q366" s="557">
        <v>11</v>
      </c>
    </row>
    <row r="367" spans="1:30" s="416" customFormat="1" ht="12.75" hidden="1" customHeight="1" outlineLevel="1" x14ac:dyDescent="0.2">
      <c r="D367" s="318"/>
      <c r="E367" s="733" t="s">
        <v>1065</v>
      </c>
      <c r="F367" s="733">
        <f t="shared" ref="F367" si="603">G367-1</f>
        <v>2015</v>
      </c>
      <c r="G367" s="733">
        <f t="shared" ref="G367" si="604">H367-1</f>
        <v>2016</v>
      </c>
      <c r="H367" s="733">
        <f t="shared" ref="H367" si="605">I367-1</f>
        <v>2017</v>
      </c>
      <c r="I367" s="733">
        <f t="shared" ref="I367" si="606">J367-1</f>
        <v>2018</v>
      </c>
      <c r="J367" s="733">
        <f t="shared" ref="J367" si="607">K367-1</f>
        <v>2019</v>
      </c>
      <c r="K367" s="733">
        <f t="shared" ref="K367" si="608">L367-1</f>
        <v>2020</v>
      </c>
      <c r="L367" s="733">
        <f>FirstYear</f>
        <v>2021</v>
      </c>
      <c r="M367" s="733">
        <f>L367+1</f>
        <v>2022</v>
      </c>
      <c r="N367" s="733">
        <f>M367+1</f>
        <v>2023</v>
      </c>
      <c r="O367" s="733">
        <f>N367+1</f>
        <v>2024</v>
      </c>
      <c r="P367" s="733">
        <f>O367+1</f>
        <v>2025</v>
      </c>
      <c r="Q367" s="733">
        <f>P367+1</f>
        <v>2026</v>
      </c>
      <c r="S367" s="921" t="s">
        <v>1300</v>
      </c>
      <c r="T367" s="921"/>
      <c r="Z367" s="918" t="s">
        <v>1303</v>
      </c>
      <c r="AA367" s="918"/>
      <c r="AB367" s="918"/>
      <c r="AC367" s="544"/>
    </row>
    <row r="368" spans="1:30" s="416" customFormat="1" ht="12.75" hidden="1" customHeight="1" outlineLevel="1" x14ac:dyDescent="0.2">
      <c r="D368" s="42" t="s">
        <v>282</v>
      </c>
      <c r="E368" s="320"/>
      <c r="F368" s="322">
        <f>E368</f>
        <v>0</v>
      </c>
      <c r="G368" s="322">
        <f t="shared" ref="G368" si="609">F368*VLOOKUP(G366,PRate01,2,FALSE)</f>
        <v>0</v>
      </c>
      <c r="H368" s="322">
        <f t="shared" ref="H368" si="610">G368*VLOOKUP(H366,PRate01,2,FALSE)</f>
        <v>0</v>
      </c>
      <c r="I368" s="322">
        <f t="shared" ref="I368" si="611">H368*VLOOKUP(I366,PRate01,2,FALSE)</f>
        <v>0</v>
      </c>
      <c r="J368" s="322">
        <f t="shared" ref="J368" si="612">I368*VLOOKUP(J366,PRate01,2,FALSE)</f>
        <v>0</v>
      </c>
      <c r="K368" s="322">
        <f t="shared" ref="K368" si="613">J368*VLOOKUP(K366,PRate01,2,FALSE)</f>
        <v>0</v>
      </c>
      <c r="L368" s="322">
        <f t="shared" ref="L368" si="614">K368*VLOOKUP(L366,PRate01,2,FALSE)</f>
        <v>0</v>
      </c>
      <c r="M368" s="322">
        <f t="shared" ref="M368" si="615">L368*VLOOKUP(M366,PRate01,2,FALSE)</f>
        <v>0</v>
      </c>
      <c r="N368" s="322">
        <f t="shared" ref="N368" si="616">M368*VLOOKUP(N366,PRate01,2,FALSE)</f>
        <v>0</v>
      </c>
      <c r="O368" s="322">
        <f t="shared" ref="O368" si="617">N368*VLOOKUP(O366,PRate01,2,FALSE)</f>
        <v>0</v>
      </c>
      <c r="P368" s="322">
        <f t="shared" ref="P368" si="618">O368*VLOOKUP(P366,PRate01,2,FALSE)</f>
        <v>0</v>
      </c>
      <c r="Q368" s="322">
        <f t="shared" ref="Q368" si="619">P368*VLOOKUP(Q366,PRate01,2,FALSE)</f>
        <v>0</v>
      </c>
      <c r="S368" s="547" t="s">
        <v>1005</v>
      </c>
      <c r="T368" s="548"/>
      <c r="V368" s="554">
        <v>1</v>
      </c>
      <c r="W368" s="549">
        <f>IF($AC$367&lt;&gt;"",$AC$367,T368)</f>
        <v>0</v>
      </c>
      <c r="X368" s="549">
        <f>IF($AC$383&lt;&gt;"",$AC$383,T384)</f>
        <v>0</v>
      </c>
      <c r="Y368" s="553"/>
      <c r="Z368" s="553"/>
      <c r="AA368" s="553"/>
    </row>
    <row r="369" spans="3:30" s="416" customFormat="1" ht="12.75" hidden="1" customHeight="1" outlineLevel="1" x14ac:dyDescent="0.2">
      <c r="D369" s="42" t="s">
        <v>283</v>
      </c>
      <c r="E369" s="320"/>
      <c r="F369" s="319"/>
      <c r="G369" s="322">
        <f>E369</f>
        <v>0</v>
      </c>
      <c r="H369" s="322">
        <f t="shared" ref="H369" si="620">G369*VLOOKUP(G366,PRate01,2,FALSE)</f>
        <v>0</v>
      </c>
      <c r="I369" s="322">
        <f t="shared" ref="I369" si="621">H369*VLOOKUP(H366,PRate01,2,FALSE)</f>
        <v>0</v>
      </c>
      <c r="J369" s="322">
        <f t="shared" ref="J369" si="622">I369*VLOOKUP(I366,PRate01,2,FALSE)</f>
        <v>0</v>
      </c>
      <c r="K369" s="322">
        <f t="shared" ref="K369" si="623">J369*VLOOKUP(J366,PRate01,2,FALSE)</f>
        <v>0</v>
      </c>
      <c r="L369" s="322">
        <f t="shared" ref="L369" si="624">K369*VLOOKUP(K366,PRate01,2,FALSE)</f>
        <v>0</v>
      </c>
      <c r="M369" s="322">
        <f t="shared" ref="M369" si="625">L369*VLOOKUP(L366,PRate01,2,FALSE)</f>
        <v>0</v>
      </c>
      <c r="N369" s="322">
        <f t="shared" ref="N369" si="626">M369*VLOOKUP(M366,PRate01,2,FALSE)</f>
        <v>0</v>
      </c>
      <c r="O369" s="322">
        <f t="shared" ref="O369" si="627">N369*VLOOKUP(N366,PRate01,2,FALSE)</f>
        <v>0</v>
      </c>
      <c r="P369" s="322">
        <f t="shared" ref="P369" si="628">O369*VLOOKUP(O366,PRate01,2,FALSE)</f>
        <v>0</v>
      </c>
      <c r="Q369" s="322">
        <f t="shared" ref="Q369" si="629">P369*VLOOKUP(P366,PRate01,2,FALSE)</f>
        <v>0</v>
      </c>
      <c r="S369" s="42" t="s">
        <v>1006</v>
      </c>
      <c r="T369" s="544"/>
      <c r="V369" s="554">
        <v>2</v>
      </c>
      <c r="W369" s="549">
        <f t="shared" ref="W369:W378" si="630">IF($AC$367&lt;&gt;"",$AC$367,T369)</f>
        <v>0</v>
      </c>
      <c r="X369" s="549">
        <f t="shared" ref="X369:X379" si="631">IF($AC$383&lt;&gt;"",$AC$383,T385)</f>
        <v>0</v>
      </c>
      <c r="Z369" s="42" t="s">
        <v>258</v>
      </c>
      <c r="AA369" s="914"/>
      <c r="AB369" s="914"/>
      <c r="AC369" s="914"/>
      <c r="AD369" s="914"/>
    </row>
    <row r="370" spans="3:30" s="416" customFormat="1" ht="12.75" hidden="1" customHeight="1" outlineLevel="1" x14ac:dyDescent="0.2">
      <c r="D370" s="42" t="s">
        <v>284</v>
      </c>
      <c r="E370" s="320"/>
      <c r="F370" s="319"/>
      <c r="G370" s="319"/>
      <c r="H370" s="322">
        <f>E370</f>
        <v>0</v>
      </c>
      <c r="I370" s="322">
        <f t="shared" ref="I370" si="632">H370*VLOOKUP(G366,PRate01,2,FALSE)</f>
        <v>0</v>
      </c>
      <c r="J370" s="322">
        <f t="shared" ref="J370" si="633">I370*VLOOKUP(H366,PRate01,2,FALSE)</f>
        <v>0</v>
      </c>
      <c r="K370" s="322">
        <f t="shared" ref="K370" si="634">J370*VLOOKUP(I366,PRate01,2,FALSE)</f>
        <v>0</v>
      </c>
      <c r="L370" s="322">
        <f t="shared" ref="L370" si="635">K370*VLOOKUP(J366,PRate01,2,FALSE)</f>
        <v>0</v>
      </c>
      <c r="M370" s="322">
        <f t="shared" ref="M370" si="636">L370*VLOOKUP(K366,PRate01,2,FALSE)</f>
        <v>0</v>
      </c>
      <c r="N370" s="322">
        <f t="shared" ref="N370" si="637">M370*VLOOKUP(L366,PRate01,2,FALSE)</f>
        <v>0</v>
      </c>
      <c r="O370" s="322">
        <f t="shared" ref="O370" si="638">N370*VLOOKUP(M366,PRate01,2,FALSE)</f>
        <v>0</v>
      </c>
      <c r="P370" s="322">
        <f t="shared" ref="P370" si="639">O370*VLOOKUP(N366,PRate01,2,FALSE)</f>
        <v>0</v>
      </c>
      <c r="Q370" s="322">
        <f t="shared" ref="Q370" si="640">P370*VLOOKUP(O366,PRate01,2,FALSE)</f>
        <v>0</v>
      </c>
      <c r="S370" s="42" t="s">
        <v>1007</v>
      </c>
      <c r="T370" s="544"/>
      <c r="V370" s="554">
        <v>3</v>
      </c>
      <c r="W370" s="549">
        <f t="shared" si="630"/>
        <v>0</v>
      </c>
      <c r="X370" s="549">
        <f t="shared" si="631"/>
        <v>0</v>
      </c>
      <c r="Y370" s="553"/>
      <c r="Z370" s="553"/>
      <c r="AA370" s="553"/>
    </row>
    <row r="371" spans="3:30" s="416" customFormat="1" ht="12.75" hidden="1" customHeight="1" outlineLevel="1" x14ac:dyDescent="0.2">
      <c r="D371" s="42" t="s">
        <v>285</v>
      </c>
      <c r="E371" s="320"/>
      <c r="F371" s="319"/>
      <c r="G371" s="319"/>
      <c r="H371" s="319"/>
      <c r="I371" s="322">
        <f>E371</f>
        <v>0</v>
      </c>
      <c r="J371" s="322">
        <f t="shared" ref="J371" si="641">I371*VLOOKUP(G366,PRate01,2,FALSE)</f>
        <v>0</v>
      </c>
      <c r="K371" s="322">
        <f t="shared" ref="K371" si="642">J371*VLOOKUP(H366,PRate01,2,FALSE)</f>
        <v>0</v>
      </c>
      <c r="L371" s="322">
        <f t="shared" ref="L371" si="643">K371*VLOOKUP(I366,PRate01,2,FALSE)</f>
        <v>0</v>
      </c>
      <c r="M371" s="322">
        <f t="shared" ref="M371" si="644">L371*VLOOKUP(J366,PRate01,2,FALSE)</f>
        <v>0</v>
      </c>
      <c r="N371" s="322">
        <f t="shared" ref="N371" si="645">M371*VLOOKUP(K366,PRate01,2,FALSE)</f>
        <v>0</v>
      </c>
      <c r="O371" s="322">
        <f t="shared" ref="O371" si="646">N371*VLOOKUP(L366,PRate01,2,FALSE)</f>
        <v>0</v>
      </c>
      <c r="P371" s="322">
        <f t="shared" ref="P371" si="647">O371*VLOOKUP(M366,PRate01,2,FALSE)</f>
        <v>0</v>
      </c>
      <c r="Q371" s="322">
        <f t="shared" ref="Q371" si="648">P371*VLOOKUP(N366,PRate01,2,FALSE)</f>
        <v>0</v>
      </c>
      <c r="S371" s="42" t="s">
        <v>1008</v>
      </c>
      <c r="T371" s="544"/>
      <c r="V371" s="555">
        <v>4</v>
      </c>
      <c r="W371" s="549">
        <f t="shared" si="630"/>
        <v>0</v>
      </c>
      <c r="X371" s="549">
        <f t="shared" si="631"/>
        <v>0</v>
      </c>
      <c r="Y371" s="553"/>
      <c r="Z371" s="553"/>
      <c r="AA371" s="553"/>
    </row>
    <row r="372" spans="3:30" s="416" customFormat="1" ht="12.75" hidden="1" customHeight="1" outlineLevel="1" x14ac:dyDescent="0.2">
      <c r="D372" s="42" t="s">
        <v>286</v>
      </c>
      <c r="E372" s="320"/>
      <c r="F372" s="319"/>
      <c r="G372" s="319"/>
      <c r="H372" s="319"/>
      <c r="I372" s="319"/>
      <c r="J372" s="322">
        <f>E372</f>
        <v>0</v>
      </c>
      <c r="K372" s="322">
        <f t="shared" ref="K372" si="649">J372*VLOOKUP(G366,PRate01,2,FALSE)</f>
        <v>0</v>
      </c>
      <c r="L372" s="322">
        <f t="shared" ref="L372" si="650">K372*VLOOKUP(H366,PRate01,2,FALSE)</f>
        <v>0</v>
      </c>
      <c r="M372" s="322">
        <f t="shared" ref="M372" si="651">L372*VLOOKUP(I366,PRate01,2,FALSE)</f>
        <v>0</v>
      </c>
      <c r="N372" s="322">
        <f t="shared" ref="N372" si="652">M372*VLOOKUP(J366,PRate01,2,FALSE)</f>
        <v>0</v>
      </c>
      <c r="O372" s="322">
        <f t="shared" ref="O372" si="653">N372*VLOOKUP(K366,PRate01,2,FALSE)</f>
        <v>0</v>
      </c>
      <c r="P372" s="322">
        <f t="shared" ref="P372" si="654">O372*VLOOKUP(L366,PRate01,2,FALSE)</f>
        <v>0</v>
      </c>
      <c r="Q372" s="322">
        <f t="shared" ref="Q372" si="655">P372*VLOOKUP(M366,PRate01,2,FALSE)</f>
        <v>0</v>
      </c>
      <c r="S372" s="42" t="s">
        <v>1009</v>
      </c>
      <c r="T372" s="544"/>
      <c r="V372" s="555">
        <v>5</v>
      </c>
      <c r="W372" s="549">
        <f t="shared" si="630"/>
        <v>0</v>
      </c>
      <c r="X372" s="549">
        <f t="shared" si="631"/>
        <v>0</v>
      </c>
      <c r="Y372" s="553"/>
      <c r="Z372" s="553"/>
      <c r="AA372" s="553"/>
    </row>
    <row r="373" spans="3:30" s="416" customFormat="1" ht="12.75" hidden="1" customHeight="1" outlineLevel="1" x14ac:dyDescent="0.2">
      <c r="D373" s="42" t="s">
        <v>287</v>
      </c>
      <c r="E373" s="320"/>
      <c r="F373" s="319"/>
      <c r="G373" s="319"/>
      <c r="H373" s="319"/>
      <c r="I373" s="319"/>
      <c r="J373" s="319"/>
      <c r="K373" s="322">
        <f>E373</f>
        <v>0</v>
      </c>
      <c r="L373" s="322">
        <f t="shared" ref="L373" si="656">K373*VLOOKUP(G366,PRate01,2,FALSE)</f>
        <v>0</v>
      </c>
      <c r="M373" s="322">
        <f t="shared" ref="M373" si="657">L373*VLOOKUP(H366,PRate01,2,FALSE)</f>
        <v>0</v>
      </c>
      <c r="N373" s="322">
        <f t="shared" ref="N373" si="658">M373*VLOOKUP(I366,PRate01,2,FALSE)</f>
        <v>0</v>
      </c>
      <c r="O373" s="322">
        <f t="shared" ref="O373" si="659">N373*VLOOKUP(J366,PRate01,2,FALSE)</f>
        <v>0</v>
      </c>
      <c r="P373" s="322">
        <f t="shared" ref="P373" si="660">O373*VLOOKUP(K366,PRate01,2,FALSE)</f>
        <v>0</v>
      </c>
      <c r="Q373" s="322">
        <f t="shared" ref="Q373" si="661">P373*VLOOKUP(L366,PRate01,2,FALSE)</f>
        <v>0</v>
      </c>
      <c r="S373" s="42" t="s">
        <v>1010</v>
      </c>
      <c r="T373" s="544"/>
      <c r="V373" s="555">
        <v>6</v>
      </c>
      <c r="W373" s="549">
        <f t="shared" si="630"/>
        <v>0</v>
      </c>
      <c r="X373" s="549">
        <f t="shared" si="631"/>
        <v>0</v>
      </c>
      <c r="Y373" s="553"/>
      <c r="Z373" s="553"/>
      <c r="AA373" s="553"/>
    </row>
    <row r="374" spans="3:30" s="416" customFormat="1" ht="12.75" hidden="1" customHeight="1" outlineLevel="1" x14ac:dyDescent="0.2">
      <c r="D374" s="42" t="s">
        <v>474</v>
      </c>
      <c r="E374" s="320"/>
      <c r="F374" s="319"/>
      <c r="G374" s="319"/>
      <c r="H374" s="319"/>
      <c r="I374" s="319"/>
      <c r="J374" s="319"/>
      <c r="K374" s="319"/>
      <c r="L374" s="322">
        <f>E374</f>
        <v>0</v>
      </c>
      <c r="M374" s="322">
        <f>L374*VLOOKUP(G366,PRate01,2,FALSE)</f>
        <v>0</v>
      </c>
      <c r="N374" s="322">
        <f>M374*VLOOKUP(H366,PRate01,2,FALSE)</f>
        <v>0</v>
      </c>
      <c r="O374" s="322">
        <f>N374*VLOOKUP(I366,PRate01,2,FALSE)</f>
        <v>0</v>
      </c>
      <c r="P374" s="322">
        <f>O374*VLOOKUP(J366,PRate01,2,FALSE)</f>
        <v>0</v>
      </c>
      <c r="Q374" s="322">
        <f>P374*VLOOKUP(K366,PRate01,2,FALSE)</f>
        <v>0</v>
      </c>
      <c r="S374" s="42" t="s">
        <v>1011</v>
      </c>
      <c r="T374" s="544"/>
      <c r="V374" s="555">
        <v>7</v>
      </c>
      <c r="W374" s="549">
        <f t="shared" si="630"/>
        <v>0</v>
      </c>
      <c r="X374" s="549">
        <f t="shared" si="631"/>
        <v>0</v>
      </c>
      <c r="Y374" s="553"/>
      <c r="Z374" s="553"/>
      <c r="AA374" s="553"/>
    </row>
    <row r="375" spans="3:30" s="416" customFormat="1" ht="12.75" hidden="1" customHeight="1" outlineLevel="1" x14ac:dyDescent="0.2">
      <c r="D375" s="42" t="s">
        <v>475</v>
      </c>
      <c r="E375" s="320"/>
      <c r="F375" s="319"/>
      <c r="G375" s="319"/>
      <c r="H375" s="319"/>
      <c r="I375" s="319"/>
      <c r="J375" s="319"/>
      <c r="K375" s="319"/>
      <c r="L375" s="319"/>
      <c r="M375" s="322">
        <f>E375</f>
        <v>0</v>
      </c>
      <c r="N375" s="322">
        <f>M375*VLOOKUP(G366,PRate01,2,FALSE)</f>
        <v>0</v>
      </c>
      <c r="O375" s="322">
        <f>N375*VLOOKUP(H366,PRate01,2,FALSE)</f>
        <v>0</v>
      </c>
      <c r="P375" s="322">
        <f>O375*VLOOKUP(I366,PRate01,2,FALSE)</f>
        <v>0</v>
      </c>
      <c r="Q375" s="322">
        <f>P375*VLOOKUP(J366,PRate01,2,FALSE)</f>
        <v>0</v>
      </c>
      <c r="S375" s="42" t="s">
        <v>1012</v>
      </c>
      <c r="T375" s="544"/>
      <c r="V375" s="555">
        <v>8</v>
      </c>
      <c r="W375" s="549">
        <f t="shared" si="630"/>
        <v>0</v>
      </c>
      <c r="X375" s="549">
        <f t="shared" si="631"/>
        <v>0</v>
      </c>
      <c r="Y375" s="553"/>
      <c r="Z375" s="553"/>
      <c r="AA375" s="553"/>
    </row>
    <row r="376" spans="3:30" s="416" customFormat="1" ht="12.75" hidden="1" customHeight="1" outlineLevel="1" x14ac:dyDescent="0.2">
      <c r="D376" s="42" t="s">
        <v>476</v>
      </c>
      <c r="E376" s="320"/>
      <c r="F376" s="319"/>
      <c r="G376" s="319"/>
      <c r="H376" s="319"/>
      <c r="I376" s="319"/>
      <c r="J376" s="319"/>
      <c r="K376" s="319"/>
      <c r="L376" s="319"/>
      <c r="M376" s="319"/>
      <c r="N376" s="322">
        <f>E376</f>
        <v>0</v>
      </c>
      <c r="O376" s="322">
        <f>N376*VLOOKUP(G366,PRate01,2,FALSE)</f>
        <v>0</v>
      </c>
      <c r="P376" s="322">
        <f>O376*VLOOKUP(H366,PRate01,2,FALSE)</f>
        <v>0</v>
      </c>
      <c r="Q376" s="322">
        <f>P376*VLOOKUP(I366,PRate01,2,FALSE)</f>
        <v>0</v>
      </c>
      <c r="S376" s="42" t="s">
        <v>1013</v>
      </c>
      <c r="T376" s="544"/>
      <c r="V376" s="555">
        <v>9</v>
      </c>
      <c r="W376" s="549">
        <f t="shared" si="630"/>
        <v>0</v>
      </c>
      <c r="X376" s="549">
        <f t="shared" si="631"/>
        <v>0</v>
      </c>
      <c r="Y376" s="553"/>
      <c r="Z376" s="553"/>
      <c r="AA376" s="553"/>
    </row>
    <row r="377" spans="3:30" s="416" customFormat="1" ht="12.75" hidden="1" customHeight="1" outlineLevel="1" x14ac:dyDescent="0.2">
      <c r="D377" s="42" t="s">
        <v>477</v>
      </c>
      <c r="E377" s="320"/>
      <c r="F377" s="319"/>
      <c r="G377" s="319"/>
      <c r="H377" s="319"/>
      <c r="I377" s="319"/>
      <c r="J377" s="319"/>
      <c r="K377" s="319"/>
      <c r="L377" s="319"/>
      <c r="M377" s="319"/>
      <c r="N377" s="319"/>
      <c r="O377" s="550">
        <f>E377</f>
        <v>0</v>
      </c>
      <c r="P377" s="322">
        <f>O377*VLOOKUP(G366,PRate01,2,FALSE)</f>
        <v>0</v>
      </c>
      <c r="Q377" s="322">
        <f>P377*VLOOKUP(H366,PRate01,2,FALSE)</f>
        <v>0</v>
      </c>
      <c r="S377" s="42" t="s">
        <v>1014</v>
      </c>
      <c r="T377" s="544"/>
      <c r="V377" s="555">
        <v>10</v>
      </c>
      <c r="W377" s="549">
        <f t="shared" si="630"/>
        <v>0</v>
      </c>
      <c r="X377" s="549">
        <f t="shared" si="631"/>
        <v>0</v>
      </c>
      <c r="Y377" s="553"/>
      <c r="Z377" s="553"/>
      <c r="AA377" s="553"/>
    </row>
    <row r="378" spans="3:30" s="416" customFormat="1" ht="12.75" hidden="1" customHeight="1" outlineLevel="1" x14ac:dyDescent="0.2">
      <c r="D378" s="42" t="s">
        <v>478</v>
      </c>
      <c r="E378" s="320"/>
      <c r="F378" s="319"/>
      <c r="G378" s="319"/>
      <c r="H378" s="319"/>
      <c r="I378" s="319"/>
      <c r="J378" s="319"/>
      <c r="K378" s="319"/>
      <c r="L378" s="319"/>
      <c r="M378" s="319"/>
      <c r="N378" s="319"/>
      <c r="O378" s="546"/>
      <c r="P378" s="550">
        <f>E378</f>
        <v>0</v>
      </c>
      <c r="Q378" s="322">
        <f>P378*VLOOKUP(G366,PRate01,2,FALSE)</f>
        <v>0</v>
      </c>
      <c r="S378" s="42" t="s">
        <v>1015</v>
      </c>
      <c r="T378" s="544"/>
      <c r="V378" s="555">
        <v>11</v>
      </c>
      <c r="W378" s="549">
        <f t="shared" si="630"/>
        <v>0</v>
      </c>
      <c r="X378" s="549">
        <f t="shared" si="631"/>
        <v>0</v>
      </c>
      <c r="Y378" s="553"/>
      <c r="Z378" s="553"/>
      <c r="AA378" s="553"/>
    </row>
    <row r="379" spans="3:30" s="416" customFormat="1" ht="12.75" hidden="1" customHeight="1" outlineLevel="1" x14ac:dyDescent="0.2">
      <c r="D379" s="42" t="s">
        <v>479</v>
      </c>
      <c r="E379" s="320"/>
      <c r="F379" s="319"/>
      <c r="G379" s="319"/>
      <c r="H379" s="319"/>
      <c r="I379" s="319"/>
      <c r="J379" s="319"/>
      <c r="K379" s="319"/>
      <c r="L379" s="319"/>
      <c r="M379" s="319"/>
      <c r="N379" s="319"/>
      <c r="O379" s="546"/>
      <c r="P379" s="546"/>
      <c r="Q379" s="550">
        <f>E379</f>
        <v>0</v>
      </c>
      <c r="V379" s="555">
        <v>12</v>
      </c>
      <c r="W379" s="556"/>
      <c r="X379" s="549">
        <f t="shared" si="631"/>
        <v>0</v>
      </c>
      <c r="Y379" s="553"/>
      <c r="Z379" s="553"/>
      <c r="AA379" s="553"/>
    </row>
    <row r="380" spans="3:30" s="416" customFormat="1" ht="12.75" hidden="1" customHeight="1" outlineLevel="1" x14ac:dyDescent="0.2"/>
    <row r="381" spans="3:30" s="416" customFormat="1" ht="12.75" hidden="1" customHeight="1" outlineLevel="1" x14ac:dyDescent="0.2">
      <c r="Z381" s="919" t="str">
        <f>IF(AC383&lt;&gt;"",MsgNote &amp; VLOOKUP("PRate",WarningMessages,2),"")</f>
        <v/>
      </c>
      <c r="AA381" s="919"/>
      <c r="AB381" s="919"/>
      <c r="AC381" s="919"/>
      <c r="AD381" s="919"/>
    </row>
    <row r="382" spans="3:30" s="416" customFormat="1" ht="12.75" hidden="1" customHeight="1" outlineLevel="1" x14ac:dyDescent="0.2">
      <c r="L382" s="552"/>
      <c r="M382" s="552"/>
      <c r="N382" s="552"/>
      <c r="O382" s="552"/>
      <c r="P382" s="552"/>
      <c r="Q382" s="552"/>
    </row>
    <row r="383" spans="3:30" s="416" customFormat="1" ht="12.75" hidden="1" customHeight="1" outlineLevel="1" x14ac:dyDescent="0.2">
      <c r="D383" s="318"/>
      <c r="F383" s="733">
        <f t="shared" ref="F383" si="662">G383-1</f>
        <v>2015</v>
      </c>
      <c r="G383" s="733">
        <f t="shared" ref="G383" si="663">H383-1</f>
        <v>2016</v>
      </c>
      <c r="H383" s="733">
        <f t="shared" ref="H383" si="664">I383-1</f>
        <v>2017</v>
      </c>
      <c r="I383" s="733">
        <f t="shared" ref="I383" si="665">J383-1</f>
        <v>2018</v>
      </c>
      <c r="J383" s="733">
        <f t="shared" ref="J383" si="666">K383-1</f>
        <v>2019</v>
      </c>
      <c r="K383" s="733">
        <f t="shared" ref="K383" si="667">L383-1</f>
        <v>2020</v>
      </c>
      <c r="L383" s="733">
        <f>FirstYear</f>
        <v>2021</v>
      </c>
      <c r="M383" s="733">
        <f>L383+1</f>
        <v>2022</v>
      </c>
      <c r="N383" s="733">
        <f>M383+1</f>
        <v>2023</v>
      </c>
      <c r="O383" s="733">
        <f>N383+1</f>
        <v>2024</v>
      </c>
      <c r="P383" s="733">
        <f>O383+1</f>
        <v>2025</v>
      </c>
      <c r="Q383" s="733">
        <f>P383+1</f>
        <v>2026</v>
      </c>
      <c r="S383" s="921" t="s">
        <v>1301</v>
      </c>
      <c r="T383" s="921"/>
      <c r="Z383" s="918" t="s">
        <v>1304</v>
      </c>
      <c r="AA383" s="918"/>
      <c r="AB383" s="918"/>
      <c r="AC383" s="544"/>
    </row>
    <row r="384" spans="3:30" s="416" customFormat="1" ht="12.75" hidden="1" customHeight="1" outlineLevel="1" x14ac:dyDescent="0.2">
      <c r="C384" s="551">
        <v>12</v>
      </c>
      <c r="D384" s="920" t="s">
        <v>282</v>
      </c>
      <c r="E384" s="882"/>
      <c r="F384" s="550">
        <f>F368*VLOOKUP(C395,PRate01,3,FALSE)</f>
        <v>0</v>
      </c>
      <c r="G384" s="550">
        <f>G368*VLOOKUP(C394,PRate01,3,FALSE)</f>
        <v>0</v>
      </c>
      <c r="H384" s="550">
        <f>H368*VLOOKUP(C393,PRate01,3,FALSE)</f>
        <v>0</v>
      </c>
      <c r="I384" s="550">
        <f>I368*VLOOKUP(C392,PRate01,3,FALSE)</f>
        <v>0</v>
      </c>
      <c r="J384" s="550">
        <f>J368*VLOOKUP(C391,PRate01,3,FALSE)</f>
        <v>0</v>
      </c>
      <c r="K384" s="550">
        <f t="shared" ref="K384:K389" si="668">K368*VLOOKUP(C390,PRate01,3,FALSE)</f>
        <v>0</v>
      </c>
      <c r="L384" s="550">
        <f t="shared" ref="L384:L390" si="669">L368*VLOOKUP(C389,PRate01,3,FALSE)</f>
        <v>0</v>
      </c>
      <c r="M384" s="550">
        <f t="shared" ref="M384:M391" si="670">M368*VLOOKUP(C388,PRate01,3,FALSE)</f>
        <v>0</v>
      </c>
      <c r="N384" s="550">
        <f t="shared" ref="N384:N392" si="671">N368*VLOOKUP(C387,PRate01,3,FALSE)</f>
        <v>0</v>
      </c>
      <c r="O384" s="550">
        <f t="shared" ref="O384:O393" si="672">O368*VLOOKUP(C386,PRate01,3,FALSE)</f>
        <v>0</v>
      </c>
      <c r="P384" s="550">
        <f t="shared" ref="P384:P394" si="673">P368*VLOOKUP(C385,PRate01,3,FALSE)</f>
        <v>0</v>
      </c>
      <c r="Q384" s="550">
        <f t="shared" ref="Q384:Q395" si="674">Q368*VLOOKUP(C384,PRate01,3,FALSE)</f>
        <v>0</v>
      </c>
      <c r="S384" s="547" t="s">
        <v>1005</v>
      </c>
      <c r="T384" s="548"/>
      <c r="X384" s="553"/>
      <c r="Y384" s="553"/>
      <c r="Z384" s="553"/>
      <c r="AA384" s="553"/>
    </row>
    <row r="385" spans="3:30" s="416" customFormat="1" ht="12.75" hidden="1" customHeight="1" outlineLevel="1" x14ac:dyDescent="0.2">
      <c r="C385" s="551">
        <v>11</v>
      </c>
      <c r="D385" s="920" t="s">
        <v>283</v>
      </c>
      <c r="E385" s="882"/>
      <c r="F385" s="319"/>
      <c r="G385" s="550">
        <f>G369*VLOOKUP(C395,PRate01,3,FALSE)</f>
        <v>0</v>
      </c>
      <c r="H385" s="550">
        <f>H369*VLOOKUP(C394,PRate01,3,FALSE)</f>
        <v>0</v>
      </c>
      <c r="I385" s="550">
        <f>I369*VLOOKUP(C393,PRate01,3,FALSE)</f>
        <v>0</v>
      </c>
      <c r="J385" s="550">
        <f>J369*VLOOKUP(C392,PRate01,3,FALSE)</f>
        <v>0</v>
      </c>
      <c r="K385" s="550">
        <f t="shared" si="668"/>
        <v>0</v>
      </c>
      <c r="L385" s="550">
        <f t="shared" si="669"/>
        <v>0</v>
      </c>
      <c r="M385" s="550">
        <f t="shared" si="670"/>
        <v>0</v>
      </c>
      <c r="N385" s="550">
        <f t="shared" si="671"/>
        <v>0</v>
      </c>
      <c r="O385" s="550">
        <f t="shared" si="672"/>
        <v>0</v>
      </c>
      <c r="P385" s="550">
        <f t="shared" si="673"/>
        <v>0</v>
      </c>
      <c r="Q385" s="550">
        <f t="shared" si="674"/>
        <v>0</v>
      </c>
      <c r="S385" s="42" t="s">
        <v>1006</v>
      </c>
      <c r="T385" s="544"/>
      <c r="X385" s="553"/>
      <c r="Y385" s="553"/>
      <c r="Z385" s="42" t="s">
        <v>258</v>
      </c>
      <c r="AA385" s="914"/>
      <c r="AB385" s="914"/>
      <c r="AC385" s="914"/>
      <c r="AD385" s="914"/>
    </row>
    <row r="386" spans="3:30" s="416" customFormat="1" ht="12.75" hidden="1" customHeight="1" outlineLevel="1" x14ac:dyDescent="0.2">
      <c r="C386" s="551">
        <v>10</v>
      </c>
      <c r="D386" s="920" t="s">
        <v>284</v>
      </c>
      <c r="E386" s="882"/>
      <c r="F386" s="319"/>
      <c r="G386" s="319"/>
      <c r="H386" s="550">
        <f>H370*VLOOKUP(C395,PRate01,3,FALSE)</f>
        <v>0</v>
      </c>
      <c r="I386" s="550">
        <f>I370*VLOOKUP(C394,PRate01,3,FALSE)</f>
        <v>0</v>
      </c>
      <c r="J386" s="550">
        <f>J370*VLOOKUP(C393,PRate01,3,FALSE)</f>
        <v>0</v>
      </c>
      <c r="K386" s="550">
        <f t="shared" si="668"/>
        <v>0</v>
      </c>
      <c r="L386" s="550">
        <f t="shared" si="669"/>
        <v>0</v>
      </c>
      <c r="M386" s="550">
        <f t="shared" si="670"/>
        <v>0</v>
      </c>
      <c r="N386" s="550">
        <f t="shared" si="671"/>
        <v>0</v>
      </c>
      <c r="O386" s="550">
        <f t="shared" si="672"/>
        <v>0</v>
      </c>
      <c r="P386" s="550">
        <f t="shared" si="673"/>
        <v>0</v>
      </c>
      <c r="Q386" s="550">
        <f t="shared" si="674"/>
        <v>0</v>
      </c>
      <c r="S386" s="42" t="s">
        <v>1007</v>
      </c>
      <c r="T386" s="544"/>
      <c r="X386" s="553"/>
      <c r="Y386" s="553"/>
      <c r="Z386" s="553"/>
      <c r="AA386" s="553"/>
    </row>
    <row r="387" spans="3:30" s="416" customFormat="1" ht="12.75" hidden="1" customHeight="1" outlineLevel="1" x14ac:dyDescent="0.2">
      <c r="C387" s="551">
        <v>9</v>
      </c>
      <c r="D387" s="920" t="s">
        <v>285</v>
      </c>
      <c r="E387" s="882"/>
      <c r="F387" s="319"/>
      <c r="G387" s="319"/>
      <c r="H387" s="319"/>
      <c r="I387" s="550">
        <f>I371*VLOOKUP(C395,PRate01,3,FALSE)</f>
        <v>0</v>
      </c>
      <c r="J387" s="550">
        <f>J371*VLOOKUP(C394,PRate01,3,FALSE)</f>
        <v>0</v>
      </c>
      <c r="K387" s="550">
        <f t="shared" si="668"/>
        <v>0</v>
      </c>
      <c r="L387" s="550">
        <f t="shared" si="669"/>
        <v>0</v>
      </c>
      <c r="M387" s="550">
        <f t="shared" si="670"/>
        <v>0</v>
      </c>
      <c r="N387" s="550">
        <f t="shared" si="671"/>
        <v>0</v>
      </c>
      <c r="O387" s="550">
        <f t="shared" si="672"/>
        <v>0</v>
      </c>
      <c r="P387" s="550">
        <f t="shared" si="673"/>
        <v>0</v>
      </c>
      <c r="Q387" s="550">
        <f t="shared" si="674"/>
        <v>0</v>
      </c>
      <c r="S387" s="42" t="s">
        <v>1008</v>
      </c>
      <c r="T387" s="544"/>
      <c r="X387" s="553"/>
      <c r="Y387" s="553"/>
      <c r="Z387" s="553"/>
      <c r="AA387" s="553"/>
    </row>
    <row r="388" spans="3:30" s="416" customFormat="1" ht="12.75" hidden="1" customHeight="1" outlineLevel="1" x14ac:dyDescent="0.2">
      <c r="C388" s="551">
        <v>8</v>
      </c>
      <c r="D388" s="920" t="s">
        <v>286</v>
      </c>
      <c r="E388" s="882"/>
      <c r="F388" s="319"/>
      <c r="G388" s="319"/>
      <c r="H388" s="319"/>
      <c r="I388" s="319"/>
      <c r="J388" s="550">
        <f>J372*VLOOKUP(C395,PRate01,3,FALSE)</f>
        <v>0</v>
      </c>
      <c r="K388" s="550">
        <f t="shared" si="668"/>
        <v>0</v>
      </c>
      <c r="L388" s="550">
        <f t="shared" si="669"/>
        <v>0</v>
      </c>
      <c r="M388" s="550">
        <f t="shared" si="670"/>
        <v>0</v>
      </c>
      <c r="N388" s="550">
        <f t="shared" si="671"/>
        <v>0</v>
      </c>
      <c r="O388" s="550">
        <f t="shared" si="672"/>
        <v>0</v>
      </c>
      <c r="P388" s="550">
        <f t="shared" si="673"/>
        <v>0</v>
      </c>
      <c r="Q388" s="550">
        <f t="shared" si="674"/>
        <v>0</v>
      </c>
      <c r="S388" s="42" t="s">
        <v>1009</v>
      </c>
      <c r="T388" s="544"/>
      <c r="X388" s="553"/>
      <c r="Y388" s="553"/>
      <c r="Z388" s="553"/>
      <c r="AA388" s="553"/>
    </row>
    <row r="389" spans="3:30" s="416" customFormat="1" ht="12.75" hidden="1" customHeight="1" outlineLevel="1" x14ac:dyDescent="0.2">
      <c r="C389" s="551">
        <v>7</v>
      </c>
      <c r="D389" s="920" t="s">
        <v>287</v>
      </c>
      <c r="E389" s="882"/>
      <c r="F389" s="319"/>
      <c r="G389" s="319"/>
      <c r="H389" s="319"/>
      <c r="I389" s="319"/>
      <c r="J389" s="319"/>
      <c r="K389" s="550">
        <f t="shared" si="668"/>
        <v>0</v>
      </c>
      <c r="L389" s="550">
        <f t="shared" si="669"/>
        <v>0</v>
      </c>
      <c r="M389" s="550">
        <f t="shared" si="670"/>
        <v>0</v>
      </c>
      <c r="N389" s="550">
        <f t="shared" si="671"/>
        <v>0</v>
      </c>
      <c r="O389" s="550">
        <f t="shared" si="672"/>
        <v>0</v>
      </c>
      <c r="P389" s="550">
        <f t="shared" si="673"/>
        <v>0</v>
      </c>
      <c r="Q389" s="550">
        <f t="shared" si="674"/>
        <v>0</v>
      </c>
      <c r="S389" s="42" t="s">
        <v>1010</v>
      </c>
      <c r="T389" s="544"/>
      <c r="X389" s="553"/>
      <c r="Y389" s="553"/>
      <c r="Z389" s="553"/>
      <c r="AA389" s="553"/>
    </row>
    <row r="390" spans="3:30" s="416" customFormat="1" ht="12.75" hidden="1" customHeight="1" outlineLevel="1" x14ac:dyDescent="0.2">
      <c r="C390" s="551">
        <v>6</v>
      </c>
      <c r="D390" s="920" t="s">
        <v>474</v>
      </c>
      <c r="E390" s="882"/>
      <c r="F390" s="319"/>
      <c r="G390" s="319"/>
      <c r="H390" s="319"/>
      <c r="I390" s="319"/>
      <c r="J390" s="319"/>
      <c r="K390" s="319"/>
      <c r="L390" s="550">
        <f t="shared" si="669"/>
        <v>0</v>
      </c>
      <c r="M390" s="550">
        <f t="shared" si="670"/>
        <v>0</v>
      </c>
      <c r="N390" s="550">
        <f t="shared" si="671"/>
        <v>0</v>
      </c>
      <c r="O390" s="550">
        <f t="shared" si="672"/>
        <v>0</v>
      </c>
      <c r="P390" s="550">
        <f t="shared" si="673"/>
        <v>0</v>
      </c>
      <c r="Q390" s="550">
        <f t="shared" si="674"/>
        <v>0</v>
      </c>
      <c r="S390" s="42" t="s">
        <v>1011</v>
      </c>
      <c r="T390" s="544"/>
      <c r="X390" s="553"/>
      <c r="Y390" s="553"/>
      <c r="Z390" s="553"/>
      <c r="AA390" s="553"/>
    </row>
    <row r="391" spans="3:30" s="416" customFormat="1" ht="12.75" hidden="1" customHeight="1" outlineLevel="1" x14ac:dyDescent="0.2">
      <c r="C391" s="551">
        <v>5</v>
      </c>
      <c r="D391" s="920" t="s">
        <v>475</v>
      </c>
      <c r="E391" s="882"/>
      <c r="F391" s="319"/>
      <c r="G391" s="319"/>
      <c r="H391" s="319"/>
      <c r="I391" s="319"/>
      <c r="J391" s="319"/>
      <c r="K391" s="319"/>
      <c r="L391" s="319"/>
      <c r="M391" s="550">
        <f t="shared" si="670"/>
        <v>0</v>
      </c>
      <c r="N391" s="550">
        <f t="shared" si="671"/>
        <v>0</v>
      </c>
      <c r="O391" s="550">
        <f t="shared" si="672"/>
        <v>0</v>
      </c>
      <c r="P391" s="550">
        <f t="shared" si="673"/>
        <v>0</v>
      </c>
      <c r="Q391" s="550">
        <f t="shared" si="674"/>
        <v>0</v>
      </c>
      <c r="S391" s="42" t="s">
        <v>1012</v>
      </c>
      <c r="T391" s="544"/>
      <c r="X391" s="553"/>
      <c r="Y391" s="553"/>
      <c r="Z391" s="553"/>
      <c r="AA391" s="553"/>
    </row>
    <row r="392" spans="3:30" s="416" customFormat="1" ht="12.75" hidden="1" customHeight="1" outlineLevel="1" x14ac:dyDescent="0.2">
      <c r="C392" s="551">
        <v>4</v>
      </c>
      <c r="D392" s="920" t="s">
        <v>476</v>
      </c>
      <c r="E392" s="882"/>
      <c r="F392" s="319"/>
      <c r="G392" s="319"/>
      <c r="H392" s="319"/>
      <c r="I392" s="319"/>
      <c r="J392" s="319"/>
      <c r="K392" s="319"/>
      <c r="L392" s="319"/>
      <c r="M392" s="319"/>
      <c r="N392" s="550">
        <f t="shared" si="671"/>
        <v>0</v>
      </c>
      <c r="O392" s="550">
        <f t="shared" si="672"/>
        <v>0</v>
      </c>
      <c r="P392" s="550">
        <f t="shared" si="673"/>
        <v>0</v>
      </c>
      <c r="Q392" s="550">
        <f t="shared" si="674"/>
        <v>0</v>
      </c>
      <c r="S392" s="42" t="s">
        <v>1013</v>
      </c>
      <c r="T392" s="544"/>
      <c r="X392" s="553"/>
      <c r="Y392" s="553"/>
      <c r="Z392" s="553"/>
      <c r="AA392" s="553"/>
    </row>
    <row r="393" spans="3:30" s="416" customFormat="1" ht="12.75" hidden="1" customHeight="1" outlineLevel="1" x14ac:dyDescent="0.2">
      <c r="C393" s="551">
        <v>3</v>
      </c>
      <c r="D393" s="920" t="s">
        <v>477</v>
      </c>
      <c r="E393" s="882"/>
      <c r="F393" s="319"/>
      <c r="G393" s="319"/>
      <c r="H393" s="319"/>
      <c r="I393" s="319"/>
      <c r="J393" s="319"/>
      <c r="K393" s="319"/>
      <c r="L393" s="319"/>
      <c r="M393" s="319"/>
      <c r="N393" s="319"/>
      <c r="O393" s="550">
        <f t="shared" si="672"/>
        <v>0</v>
      </c>
      <c r="P393" s="550">
        <f t="shared" si="673"/>
        <v>0</v>
      </c>
      <c r="Q393" s="550">
        <f t="shared" si="674"/>
        <v>0</v>
      </c>
      <c r="S393" s="42" t="s">
        <v>1014</v>
      </c>
      <c r="T393" s="544"/>
      <c r="X393" s="553"/>
      <c r="Y393" s="553"/>
      <c r="Z393" s="553"/>
      <c r="AA393" s="553"/>
    </row>
    <row r="394" spans="3:30" s="416" customFormat="1" ht="12.75" hidden="1" customHeight="1" outlineLevel="1" x14ac:dyDescent="0.2">
      <c r="C394" s="551">
        <v>2</v>
      </c>
      <c r="D394" s="920" t="s">
        <v>478</v>
      </c>
      <c r="E394" s="882"/>
      <c r="F394" s="319"/>
      <c r="G394" s="319"/>
      <c r="H394" s="319"/>
      <c r="I394" s="319"/>
      <c r="J394" s="319"/>
      <c r="K394" s="319"/>
      <c r="L394" s="319"/>
      <c r="M394" s="319"/>
      <c r="N394" s="319"/>
      <c r="O394" s="546"/>
      <c r="P394" s="550">
        <f t="shared" si="673"/>
        <v>0</v>
      </c>
      <c r="Q394" s="550">
        <f t="shared" si="674"/>
        <v>0</v>
      </c>
      <c r="S394" s="42" t="s">
        <v>1015</v>
      </c>
      <c r="T394" s="544"/>
      <c r="X394" s="553"/>
      <c r="Y394" s="553"/>
      <c r="Z394" s="553"/>
      <c r="AA394" s="553"/>
    </row>
    <row r="395" spans="3:30" s="416" customFormat="1" ht="12.75" hidden="1" customHeight="1" outlineLevel="1" x14ac:dyDescent="0.2">
      <c r="C395" s="551">
        <v>1</v>
      </c>
      <c r="D395" s="920" t="s">
        <v>479</v>
      </c>
      <c r="E395" s="882"/>
      <c r="F395" s="319"/>
      <c r="G395" s="319"/>
      <c r="H395" s="319"/>
      <c r="I395" s="319"/>
      <c r="J395" s="319"/>
      <c r="K395" s="319"/>
      <c r="L395" s="319"/>
      <c r="M395" s="319"/>
      <c r="N395" s="319"/>
      <c r="O395" s="546"/>
      <c r="P395" s="546"/>
      <c r="Q395" s="550">
        <f t="shared" si="674"/>
        <v>0</v>
      </c>
      <c r="S395" s="42" t="s">
        <v>1035</v>
      </c>
      <c r="T395" s="544"/>
    </row>
    <row r="396" spans="3:30" s="416" customFormat="1" ht="12.75" hidden="1" customHeight="1" outlineLevel="1" x14ac:dyDescent="0.2">
      <c r="K396" s="736" t="s">
        <v>73</v>
      </c>
      <c r="L396" s="321">
        <f>IFERROR((SUM(L384:L389)+IF(MATCH($AC$54,Switch,0)=1,L390,0)),0)</f>
        <v>0</v>
      </c>
      <c r="M396" s="321">
        <f>IFERROR((SUM(M384:M390)+IF(MATCH($AC$54,Switch,0)=1,M391,0)),0)</f>
        <v>0</v>
      </c>
      <c r="N396" s="321">
        <f>IFERROR((SUM(N384:N391)+IF(MATCH($AC$54,Switch,0)=1,N392,0)),0)</f>
        <v>0</v>
      </c>
      <c r="O396" s="321">
        <f>IFERROR((SUM(O384:O392)+IF(MATCH($AC$54,Switch,0)=1,O393,0)),0)</f>
        <v>0</v>
      </c>
      <c r="P396" s="321">
        <f>IFERROR((SUM(P384:P393)+IF(MATCH($AC$54,Switch,0)=1,P394,0)),0)</f>
        <v>0</v>
      </c>
      <c r="Q396" s="321">
        <f>IFERROR((SUM(Q384:Q394)+IF(MATCH($AC$54,Switch,0)=1,Q395,0)),0)</f>
        <v>0</v>
      </c>
      <c r="Z396" s="915" t="s">
        <v>1302</v>
      </c>
      <c r="AA396" s="916"/>
      <c r="AB396" s="917"/>
      <c r="AC396" s="743" t="s">
        <v>9</v>
      </c>
    </row>
    <row r="397" spans="3:30" s="416" customFormat="1" ht="12.75" hidden="1" customHeight="1" outlineLevel="1" x14ac:dyDescent="0.2"/>
    <row r="398" spans="3:30" ht="12.75" customHeight="1" collapsed="1" x14ac:dyDescent="0.2">
      <c r="C398" s="416"/>
      <c r="D398" s="416"/>
      <c r="F398" s="416"/>
      <c r="G398" s="416"/>
      <c r="H398" s="416"/>
      <c r="I398" s="416"/>
      <c r="J398" s="416"/>
      <c r="K398" s="416"/>
      <c r="L398" s="416"/>
      <c r="M398" s="416"/>
      <c r="N398" s="416"/>
      <c r="O398" s="416"/>
      <c r="P398" s="416"/>
      <c r="Q398" s="416"/>
      <c r="R398" s="416"/>
      <c r="S398" s="416"/>
      <c r="T398" s="416"/>
      <c r="U398" s="416"/>
      <c r="W398" s="416"/>
      <c r="AB398" s="416"/>
      <c r="AC398" s="416"/>
      <c r="AD398" s="416"/>
    </row>
  </sheetData>
  <mergeCells count="231">
    <mergeCell ref="G287:L287"/>
    <mergeCell ref="G289:L289"/>
    <mergeCell ref="G325:L325"/>
    <mergeCell ref="G327:L327"/>
    <mergeCell ref="G363:L363"/>
    <mergeCell ref="G365:L365"/>
    <mergeCell ref="S291:T291"/>
    <mergeCell ref="Z305:AD305"/>
    <mergeCell ref="S307:T307"/>
    <mergeCell ref="Z327:AD327"/>
    <mergeCell ref="S329:T329"/>
    <mergeCell ref="Z291:AB291"/>
    <mergeCell ref="AA293:AD293"/>
    <mergeCell ref="Z307:AB307"/>
    <mergeCell ref="AA309:AD309"/>
    <mergeCell ref="S253:T253"/>
    <mergeCell ref="Z267:AD267"/>
    <mergeCell ref="S269:T269"/>
    <mergeCell ref="Z289:AD289"/>
    <mergeCell ref="AA271:AD271"/>
    <mergeCell ref="Z282:AB282"/>
    <mergeCell ref="S383:T383"/>
    <mergeCell ref="Z343:AD343"/>
    <mergeCell ref="S345:T345"/>
    <mergeCell ref="Z365:AD365"/>
    <mergeCell ref="S367:T367"/>
    <mergeCell ref="G211:L211"/>
    <mergeCell ref="G213:L213"/>
    <mergeCell ref="G249:L249"/>
    <mergeCell ref="G251:L251"/>
    <mergeCell ref="S79:T79"/>
    <mergeCell ref="S101:T101"/>
    <mergeCell ref="S193:T193"/>
    <mergeCell ref="G175:L175"/>
    <mergeCell ref="G173:L173"/>
    <mergeCell ref="G137:L137"/>
    <mergeCell ref="S215:T215"/>
    <mergeCell ref="S231:T231"/>
    <mergeCell ref="S155:T155"/>
    <mergeCell ref="S177:T177"/>
    <mergeCell ref="S117:T117"/>
    <mergeCell ref="S139:T139"/>
    <mergeCell ref="AB1:AD1"/>
    <mergeCell ref="G21:L21"/>
    <mergeCell ref="G59:L59"/>
    <mergeCell ref="G97:L97"/>
    <mergeCell ref="G135:L135"/>
    <mergeCell ref="G23:L23"/>
    <mergeCell ref="G61:L61"/>
    <mergeCell ref="G99:L99"/>
    <mergeCell ref="S25:T25"/>
    <mergeCell ref="S41:T41"/>
    <mergeCell ref="Z23:AD23"/>
    <mergeCell ref="Z39:AD39"/>
    <mergeCell ref="Z61:AD61"/>
    <mergeCell ref="Z99:AD99"/>
    <mergeCell ref="Z77:AD77"/>
    <mergeCell ref="AA27:AD27"/>
    <mergeCell ref="AA43:AD43"/>
    <mergeCell ref="Z54:AB54"/>
    <mergeCell ref="Z25:AB25"/>
    <mergeCell ref="S63:T63"/>
    <mergeCell ref="Z41:AB41"/>
    <mergeCell ref="Z63:AB63"/>
    <mergeCell ref="AA65:AD65"/>
    <mergeCell ref="Z79:AB79"/>
    <mergeCell ref="D47:E47"/>
    <mergeCell ref="D48:E48"/>
    <mergeCell ref="D49:E49"/>
    <mergeCell ref="D50:E50"/>
    <mergeCell ref="D51:E51"/>
    <mergeCell ref="D42:E42"/>
    <mergeCell ref="D43:E43"/>
    <mergeCell ref="D44:E44"/>
    <mergeCell ref="D45:E45"/>
    <mergeCell ref="D46:E46"/>
    <mergeCell ref="D83:E83"/>
    <mergeCell ref="D84:E84"/>
    <mergeCell ref="D85:E85"/>
    <mergeCell ref="D86:E86"/>
    <mergeCell ref="D87:E87"/>
    <mergeCell ref="D52:E52"/>
    <mergeCell ref="D53:E53"/>
    <mergeCell ref="D80:E80"/>
    <mergeCell ref="D81:E81"/>
    <mergeCell ref="D82:E82"/>
    <mergeCell ref="D119:E119"/>
    <mergeCell ref="D120:E120"/>
    <mergeCell ref="D121:E121"/>
    <mergeCell ref="D122:E122"/>
    <mergeCell ref="D123:E123"/>
    <mergeCell ref="D88:E88"/>
    <mergeCell ref="D89:E89"/>
    <mergeCell ref="D90:E90"/>
    <mergeCell ref="D91:E91"/>
    <mergeCell ref="D118:E118"/>
    <mergeCell ref="D129:E129"/>
    <mergeCell ref="D156:E156"/>
    <mergeCell ref="D157:E157"/>
    <mergeCell ref="D158:E158"/>
    <mergeCell ref="D159:E159"/>
    <mergeCell ref="D124:E124"/>
    <mergeCell ref="D125:E125"/>
    <mergeCell ref="D126:E126"/>
    <mergeCell ref="D127:E127"/>
    <mergeCell ref="D128:E128"/>
    <mergeCell ref="D165:E165"/>
    <mergeCell ref="D166:E166"/>
    <mergeCell ref="D167:E167"/>
    <mergeCell ref="D194:E194"/>
    <mergeCell ref="D195:E195"/>
    <mergeCell ref="D160:E160"/>
    <mergeCell ref="D161:E161"/>
    <mergeCell ref="D162:E162"/>
    <mergeCell ref="D163:E163"/>
    <mergeCell ref="D164:E164"/>
    <mergeCell ref="D201:E201"/>
    <mergeCell ref="D202:E202"/>
    <mergeCell ref="D203:E203"/>
    <mergeCell ref="D204:E204"/>
    <mergeCell ref="D205:E205"/>
    <mergeCell ref="D196:E196"/>
    <mergeCell ref="D197:E197"/>
    <mergeCell ref="D198:E198"/>
    <mergeCell ref="D199:E199"/>
    <mergeCell ref="D200:E200"/>
    <mergeCell ref="D237:E237"/>
    <mergeCell ref="D238:E238"/>
    <mergeCell ref="D239:E239"/>
    <mergeCell ref="D240:E240"/>
    <mergeCell ref="D241:E241"/>
    <mergeCell ref="D232:E232"/>
    <mergeCell ref="D233:E233"/>
    <mergeCell ref="D234:E234"/>
    <mergeCell ref="D235:E235"/>
    <mergeCell ref="D236:E236"/>
    <mergeCell ref="D273:E273"/>
    <mergeCell ref="D274:E274"/>
    <mergeCell ref="D275:E275"/>
    <mergeCell ref="D276:E276"/>
    <mergeCell ref="D277:E277"/>
    <mergeCell ref="D242:E242"/>
    <mergeCell ref="D243:E243"/>
    <mergeCell ref="D270:E270"/>
    <mergeCell ref="D271:E271"/>
    <mergeCell ref="D272:E272"/>
    <mergeCell ref="D309:E309"/>
    <mergeCell ref="D310:E310"/>
    <mergeCell ref="D311:E311"/>
    <mergeCell ref="D312:E312"/>
    <mergeCell ref="D313:E313"/>
    <mergeCell ref="D278:E278"/>
    <mergeCell ref="D279:E279"/>
    <mergeCell ref="D280:E280"/>
    <mergeCell ref="D281:E281"/>
    <mergeCell ref="D308:E308"/>
    <mergeCell ref="D319:E319"/>
    <mergeCell ref="D346:E346"/>
    <mergeCell ref="D347:E347"/>
    <mergeCell ref="D348:E348"/>
    <mergeCell ref="D349:E349"/>
    <mergeCell ref="D314:E314"/>
    <mergeCell ref="D315:E315"/>
    <mergeCell ref="D316:E316"/>
    <mergeCell ref="D317:E317"/>
    <mergeCell ref="D318:E318"/>
    <mergeCell ref="D355:E355"/>
    <mergeCell ref="D356:E356"/>
    <mergeCell ref="D357:E357"/>
    <mergeCell ref="D384:E384"/>
    <mergeCell ref="D385:E385"/>
    <mergeCell ref="D350:E350"/>
    <mergeCell ref="D351:E351"/>
    <mergeCell ref="D352:E352"/>
    <mergeCell ref="D353:E353"/>
    <mergeCell ref="D354:E354"/>
    <mergeCell ref="D391:E391"/>
    <mergeCell ref="D392:E392"/>
    <mergeCell ref="D393:E393"/>
    <mergeCell ref="D394:E394"/>
    <mergeCell ref="D395:E395"/>
    <mergeCell ref="D386:E386"/>
    <mergeCell ref="D387:E387"/>
    <mergeCell ref="D388:E388"/>
    <mergeCell ref="D389:E389"/>
    <mergeCell ref="D390:E390"/>
    <mergeCell ref="AA81:AD81"/>
    <mergeCell ref="Z92:AB92"/>
    <mergeCell ref="Z101:AB101"/>
    <mergeCell ref="AA103:AD103"/>
    <mergeCell ref="Z117:AB117"/>
    <mergeCell ref="Z115:AD115"/>
    <mergeCell ref="AA179:AD179"/>
    <mergeCell ref="Z193:AB193"/>
    <mergeCell ref="AA195:AD195"/>
    <mergeCell ref="Z175:AD175"/>
    <mergeCell ref="Z191:AD191"/>
    <mergeCell ref="Z137:AD137"/>
    <mergeCell ref="Z153:AD153"/>
    <mergeCell ref="AA119:AD119"/>
    <mergeCell ref="Z130:AB130"/>
    <mergeCell ref="Z139:AB139"/>
    <mergeCell ref="AA141:AD141"/>
    <mergeCell ref="Z155:AB155"/>
    <mergeCell ref="AA157:AD157"/>
    <mergeCell ref="Z168:AB168"/>
    <mergeCell ref="Z177:AB177"/>
    <mergeCell ref="Z206:AB206"/>
    <mergeCell ref="Z215:AB215"/>
    <mergeCell ref="AA217:AD217"/>
    <mergeCell ref="Z231:AB231"/>
    <mergeCell ref="AA233:AD233"/>
    <mergeCell ref="Z244:AB244"/>
    <mergeCell ref="Z253:AB253"/>
    <mergeCell ref="AA255:AD255"/>
    <mergeCell ref="Z269:AB269"/>
    <mergeCell ref="Z213:AD213"/>
    <mergeCell ref="Z229:AD229"/>
    <mergeCell ref="Z251:AD251"/>
    <mergeCell ref="AA385:AD385"/>
    <mergeCell ref="Z396:AB396"/>
    <mergeCell ref="Z320:AB320"/>
    <mergeCell ref="Z329:AB329"/>
    <mergeCell ref="AA331:AD331"/>
    <mergeCell ref="Z345:AB345"/>
    <mergeCell ref="AA347:AD347"/>
    <mergeCell ref="Z358:AB358"/>
    <mergeCell ref="Z367:AB367"/>
    <mergeCell ref="AA369:AD369"/>
    <mergeCell ref="Z383:AB383"/>
    <mergeCell ref="Z381:AD381"/>
  </mergeCells>
  <conditionalFormatting sqref="Z61:AD61">
    <cfRule type="notContainsBlanks" dxfId="19" priority="17">
      <formula>LEN(TRIM(Z61))&gt;0</formula>
    </cfRule>
  </conditionalFormatting>
  <conditionalFormatting sqref="Z115:AD115">
    <cfRule type="notContainsBlanks" dxfId="18" priority="16">
      <formula>LEN(TRIM(Z115))&gt;0</formula>
    </cfRule>
  </conditionalFormatting>
  <conditionalFormatting sqref="Z39:AD39">
    <cfRule type="notContainsBlanks" dxfId="17" priority="33">
      <formula>LEN(TRIM(Z39))&gt;0</formula>
    </cfRule>
  </conditionalFormatting>
  <conditionalFormatting sqref="Z23:AD23">
    <cfRule type="notContainsBlanks" dxfId="16" priority="32">
      <formula>LEN(TRIM(Z23))&gt;0</formula>
    </cfRule>
  </conditionalFormatting>
  <conditionalFormatting sqref="Z77:AD77">
    <cfRule type="notContainsBlanks" dxfId="15" priority="18">
      <formula>LEN(TRIM(Z77))&gt;0</formula>
    </cfRule>
  </conditionalFormatting>
  <conditionalFormatting sqref="Z99:AD99">
    <cfRule type="notContainsBlanks" dxfId="14" priority="15">
      <formula>LEN(TRIM(Z99))&gt;0</formula>
    </cfRule>
  </conditionalFormatting>
  <conditionalFormatting sqref="Z153:AD153">
    <cfRule type="notContainsBlanks" dxfId="13" priority="14">
      <formula>LEN(TRIM(Z153))&gt;0</formula>
    </cfRule>
  </conditionalFormatting>
  <conditionalFormatting sqref="Z137:AD137">
    <cfRule type="notContainsBlanks" dxfId="12" priority="13">
      <formula>LEN(TRIM(Z137))&gt;0</formula>
    </cfRule>
  </conditionalFormatting>
  <conditionalFormatting sqref="Z191:AD191">
    <cfRule type="notContainsBlanks" dxfId="11" priority="12">
      <formula>LEN(TRIM(Z191))&gt;0</formula>
    </cfRule>
  </conditionalFormatting>
  <conditionalFormatting sqref="Z175:AD175">
    <cfRule type="notContainsBlanks" dxfId="10" priority="11">
      <formula>LEN(TRIM(Z175))&gt;0</formula>
    </cfRule>
  </conditionalFormatting>
  <conditionalFormatting sqref="Z229:AD229">
    <cfRule type="notContainsBlanks" dxfId="9" priority="10">
      <formula>LEN(TRIM(Z229))&gt;0</formula>
    </cfRule>
  </conditionalFormatting>
  <conditionalFormatting sqref="Z213:AD213">
    <cfRule type="notContainsBlanks" dxfId="8" priority="9">
      <formula>LEN(TRIM(Z213))&gt;0</formula>
    </cfRule>
  </conditionalFormatting>
  <conditionalFormatting sqref="Z267:AD267">
    <cfRule type="notContainsBlanks" dxfId="7" priority="8">
      <formula>LEN(TRIM(Z267))&gt;0</formula>
    </cfRule>
  </conditionalFormatting>
  <conditionalFormatting sqref="Z251:AD251">
    <cfRule type="notContainsBlanks" dxfId="6" priority="7">
      <formula>LEN(TRIM(Z251))&gt;0</formula>
    </cfRule>
  </conditionalFormatting>
  <conditionalFormatting sqref="Z305:AD305">
    <cfRule type="notContainsBlanks" dxfId="5" priority="6">
      <formula>LEN(TRIM(Z305))&gt;0</formula>
    </cfRule>
  </conditionalFormatting>
  <conditionalFormatting sqref="Z289:AD289">
    <cfRule type="notContainsBlanks" dxfId="4" priority="5">
      <formula>LEN(TRIM(Z289))&gt;0</formula>
    </cfRule>
  </conditionalFormatting>
  <conditionalFormatting sqref="Z343:AD343">
    <cfRule type="notContainsBlanks" dxfId="3" priority="4">
      <formula>LEN(TRIM(Z343))&gt;0</formula>
    </cfRule>
  </conditionalFormatting>
  <conditionalFormatting sqref="Z327:AD327">
    <cfRule type="notContainsBlanks" dxfId="2" priority="3">
      <formula>LEN(TRIM(Z327))&gt;0</formula>
    </cfRule>
  </conditionalFormatting>
  <conditionalFormatting sqref="Z381:AD381">
    <cfRule type="notContainsBlanks" dxfId="1" priority="2">
      <formula>LEN(TRIM(Z381))&gt;0</formula>
    </cfRule>
  </conditionalFormatting>
  <conditionalFormatting sqref="Z365:AD365">
    <cfRule type="notContainsBlanks" dxfId="0" priority="1">
      <formula>LEN(TRIM(Z365))&gt;0</formula>
    </cfRule>
  </conditionalFormatting>
  <dataValidations count="1">
    <dataValidation type="list" allowBlank="1" showInputMessage="1" showErrorMessage="1" sqref="AC54 AC92 AC130 AC168 AC206 AC244 AC282 AC320 AC358 AC396">
      <formula1>Switch</formula1>
    </dataValidation>
  </dataValidation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theme="8"/>
  </sheetPr>
  <dimension ref="A1:O19"/>
  <sheetViews>
    <sheetView showGridLines="0" zoomScaleNormal="100" workbookViewId="0">
      <pane ySplit="3" topLeftCell="A4" activePane="bottomLeft" state="frozen"/>
      <selection pane="bottomLeft"/>
    </sheetView>
  </sheetViews>
  <sheetFormatPr defaultRowHeight="12.75" customHeight="1" x14ac:dyDescent="0.2"/>
  <cols>
    <col min="1" max="1" width="3.7109375" customWidth="1"/>
    <col min="2" max="4" width="30.7109375" customWidth="1"/>
    <col min="5" max="5" width="25.7109375" customWidth="1"/>
    <col min="6" max="6" width="30.7109375" customWidth="1"/>
    <col min="7" max="7" width="20.7109375" customWidth="1"/>
    <col min="8" max="16" width="10.7109375" customWidth="1"/>
  </cols>
  <sheetData>
    <row r="1" spans="1:15" ht="23.25" x14ac:dyDescent="0.2">
      <c r="A1" s="196">
        <f>IF(COUNTA(C10:C15)=0,0,2)</f>
        <v>0</v>
      </c>
      <c r="B1" s="197" t="s">
        <v>25</v>
      </c>
      <c r="C1" s="198"/>
      <c r="D1" s="198"/>
      <c r="E1" s="198"/>
      <c r="F1" s="198"/>
      <c r="G1" s="198"/>
      <c r="H1" s="198"/>
      <c r="I1" s="198"/>
      <c r="J1" s="198"/>
      <c r="K1" s="198"/>
      <c r="L1" s="198"/>
      <c r="M1" s="198"/>
      <c r="N1" s="198"/>
      <c r="O1" s="198"/>
    </row>
    <row r="2" spans="1:15" ht="15.75" x14ac:dyDescent="0.2">
      <c r="A2" s="198"/>
      <c r="B2" s="199" t="str">
        <f>CONCATENATE("Name of medicine: ", MedicineBrand)</f>
        <v xml:space="preserve">Name of medicine: </v>
      </c>
      <c r="C2" s="198"/>
      <c r="D2" s="198"/>
      <c r="E2" s="198"/>
      <c r="F2" s="198"/>
      <c r="G2" s="198"/>
      <c r="H2" s="198"/>
      <c r="I2" s="198"/>
      <c r="J2" s="198"/>
      <c r="K2" s="198"/>
      <c r="L2" s="198"/>
      <c r="M2" s="198"/>
      <c r="N2" s="198"/>
      <c r="O2" s="198"/>
    </row>
    <row r="3" spans="1:15" ht="15.75" x14ac:dyDescent="0.2">
      <c r="A3" s="198"/>
      <c r="B3" s="199" t="str">
        <f>CONCATENATE("Indication: ",Indication)</f>
        <v xml:space="preserve">Indication: </v>
      </c>
      <c r="C3" s="198"/>
      <c r="D3" s="198"/>
      <c r="E3" s="198"/>
      <c r="F3" s="198"/>
      <c r="G3" s="198"/>
      <c r="H3" s="198"/>
      <c r="I3" s="198"/>
      <c r="J3" s="198"/>
      <c r="K3" s="198"/>
      <c r="L3" s="198"/>
      <c r="M3" s="198"/>
      <c r="N3" s="198"/>
      <c r="O3" s="198"/>
    </row>
    <row r="4" spans="1:15" s="420" customFormat="1" x14ac:dyDescent="0.2">
      <c r="A4" s="162"/>
      <c r="B4" s="616"/>
      <c r="C4" s="162"/>
      <c r="D4" s="162"/>
      <c r="E4" s="162"/>
      <c r="F4" s="162"/>
      <c r="G4" s="162"/>
    </row>
    <row r="5" spans="1:15" x14ac:dyDescent="0.2">
      <c r="A5" s="125"/>
      <c r="B5" s="162" t="s">
        <v>78</v>
      </c>
      <c r="C5" s="162"/>
      <c r="D5" s="162"/>
      <c r="E5" s="162"/>
      <c r="F5" s="162"/>
      <c r="G5" s="162"/>
    </row>
    <row r="6" spans="1:15" x14ac:dyDescent="0.2">
      <c r="A6" s="125"/>
      <c r="B6" s="162" t="s">
        <v>261</v>
      </c>
      <c r="C6" s="162"/>
      <c r="D6" s="162"/>
      <c r="E6" s="162"/>
      <c r="F6" s="162"/>
      <c r="G6" s="162"/>
    </row>
    <row r="7" spans="1:15" x14ac:dyDescent="0.2">
      <c r="A7" s="125"/>
      <c r="B7" s="644" t="s">
        <v>79</v>
      </c>
      <c r="C7" s="644"/>
      <c r="D7" s="644"/>
      <c r="E7" s="644"/>
      <c r="F7" s="644"/>
      <c r="G7" s="644"/>
    </row>
    <row r="8" spans="1:15" x14ac:dyDescent="0.2">
      <c r="A8" s="125"/>
      <c r="B8" s="125"/>
      <c r="C8" s="125"/>
      <c r="D8" s="125"/>
      <c r="E8" s="125"/>
      <c r="F8" s="125"/>
      <c r="G8" s="125"/>
    </row>
    <row r="9" spans="1:15" ht="14.25" x14ac:dyDescent="0.2">
      <c r="A9" s="125"/>
      <c r="B9" s="645"/>
      <c r="C9" s="302" t="s">
        <v>31</v>
      </c>
      <c r="D9" s="302" t="s">
        <v>13</v>
      </c>
      <c r="E9" s="302" t="s">
        <v>15</v>
      </c>
      <c r="F9" s="302" t="s">
        <v>14</v>
      </c>
      <c r="G9" s="302" t="s">
        <v>16</v>
      </c>
    </row>
    <row r="10" spans="1:15" x14ac:dyDescent="0.2">
      <c r="A10" s="125"/>
      <c r="B10" s="303" t="s">
        <v>17</v>
      </c>
      <c r="C10" s="200"/>
      <c r="D10" s="201"/>
      <c r="E10" s="157"/>
      <c r="F10" s="201"/>
      <c r="G10" s="277"/>
    </row>
    <row r="11" spans="1:15" x14ac:dyDescent="0.2">
      <c r="A11" s="125"/>
      <c r="B11" s="303" t="s">
        <v>18</v>
      </c>
      <c r="C11" s="200"/>
      <c r="D11" s="201"/>
      <c r="E11" s="157"/>
      <c r="F11" s="201"/>
      <c r="G11" s="201"/>
    </row>
    <row r="12" spans="1:15" x14ac:dyDescent="0.2">
      <c r="A12" s="125"/>
      <c r="B12" s="303" t="s">
        <v>19</v>
      </c>
      <c r="C12" s="200"/>
      <c r="D12" s="201"/>
      <c r="E12" s="157"/>
      <c r="F12" s="201"/>
      <c r="G12" s="201"/>
    </row>
    <row r="13" spans="1:15" x14ac:dyDescent="0.2">
      <c r="A13" s="125"/>
      <c r="B13" s="303" t="s">
        <v>20</v>
      </c>
      <c r="C13" s="200"/>
      <c r="D13" s="201"/>
      <c r="E13" s="157"/>
      <c r="F13" s="201"/>
      <c r="G13" s="201"/>
    </row>
    <row r="14" spans="1:15" x14ac:dyDescent="0.2">
      <c r="A14" s="125"/>
      <c r="B14" s="303" t="s">
        <v>21</v>
      </c>
      <c r="C14" s="200"/>
      <c r="D14" s="201"/>
      <c r="E14" s="157"/>
      <c r="F14" s="201"/>
      <c r="G14" s="201"/>
    </row>
    <row r="15" spans="1:15" x14ac:dyDescent="0.2">
      <c r="A15" s="125"/>
      <c r="B15" s="303" t="s">
        <v>22</v>
      </c>
      <c r="C15" s="200"/>
      <c r="D15" s="201"/>
      <c r="E15" s="157"/>
      <c r="F15" s="201"/>
      <c r="G15" s="201"/>
    </row>
    <row r="16" spans="1:15" ht="12.75" customHeight="1" x14ac:dyDescent="0.2">
      <c r="A16" s="615"/>
      <c r="B16" s="377" t="s">
        <v>622</v>
      </c>
      <c r="C16" s="200"/>
      <c r="D16" s="201"/>
      <c r="E16" s="157"/>
      <c r="F16" s="201"/>
      <c r="G16" s="201"/>
    </row>
    <row r="17" spans="2:7" ht="12.75" customHeight="1" x14ac:dyDescent="0.2">
      <c r="B17" s="377" t="s">
        <v>623</v>
      </c>
      <c r="C17" s="200"/>
      <c r="D17" s="201"/>
      <c r="E17" s="157"/>
      <c r="F17" s="201"/>
      <c r="G17" s="201"/>
    </row>
    <row r="18" spans="2:7" ht="12.75" customHeight="1" x14ac:dyDescent="0.2">
      <c r="B18" s="377" t="s">
        <v>624</v>
      </c>
      <c r="C18" s="200"/>
      <c r="D18" s="201"/>
      <c r="E18" s="157"/>
      <c r="F18" s="201"/>
      <c r="G18" s="201"/>
    </row>
    <row r="19" spans="2:7" ht="12.75" customHeight="1" x14ac:dyDescent="0.2">
      <c r="B19" s="377" t="s">
        <v>625</v>
      </c>
      <c r="C19" s="200"/>
      <c r="D19" s="201"/>
      <c r="E19" s="157"/>
      <c r="F19" s="201"/>
      <c r="G19" s="201"/>
    </row>
  </sheetData>
  <dataValidations count="2">
    <dataValidation allowBlank="1" showErrorMessage="1" sqref="C10:D19 F10:G19"/>
    <dataValidation type="list" allowBlank="1" showErrorMessage="1" sqref="E10:E19">
      <formula1>DataSource</formula1>
    </dataValidation>
  </dataValidations>
  <pageMargins left="0.7" right="0.7" top="0.75" bottom="0.75" header="0.3" footer="0.3"/>
  <pageSetup paperSize="9" orientation="portrait" verticalDpi="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theme="8"/>
  </sheetPr>
  <dimension ref="A1:BF20"/>
  <sheetViews>
    <sheetView showGridLines="0" zoomScaleNormal="100" workbookViewId="0">
      <pane ySplit="3" topLeftCell="A4" activePane="bottomLeft" state="frozen"/>
      <selection pane="bottomLeft"/>
    </sheetView>
  </sheetViews>
  <sheetFormatPr defaultRowHeight="12.75" customHeight="1" x14ac:dyDescent="0.2"/>
  <cols>
    <col min="1" max="1" width="3.7109375" customWidth="1"/>
    <col min="2" max="2" width="30.7109375" customWidth="1"/>
    <col min="3" max="24" width="10.7109375" customWidth="1"/>
    <col min="25" max="53" width="9.140625" customWidth="1"/>
  </cols>
  <sheetData>
    <row r="1" spans="1:58" ht="23.25" x14ac:dyDescent="0.2">
      <c r="A1" s="196"/>
      <c r="B1" s="197" t="s">
        <v>686</v>
      </c>
      <c r="C1" s="196"/>
      <c r="D1" s="196"/>
      <c r="E1" s="196"/>
      <c r="F1" s="196"/>
      <c r="G1" s="196"/>
      <c r="H1" s="196"/>
      <c r="I1" s="196"/>
      <c r="J1" s="196"/>
      <c r="K1" s="196"/>
      <c r="L1" s="196"/>
      <c r="M1" s="196"/>
      <c r="N1" s="196"/>
      <c r="O1" s="196"/>
      <c r="P1" s="196"/>
      <c r="Q1" s="196"/>
      <c r="R1" s="196"/>
      <c r="S1" s="196"/>
      <c r="T1" s="196"/>
      <c r="U1" s="196"/>
      <c r="V1" s="196"/>
      <c r="W1" s="196"/>
    </row>
    <row r="2" spans="1:58" ht="15.75" x14ac:dyDescent="0.2">
      <c r="A2" s="198"/>
      <c r="B2" s="199" t="str">
        <f>CONCATENATE("Name of medicine: ", MedicineBrand)</f>
        <v xml:space="preserve">Name of medicine: </v>
      </c>
      <c r="C2" s="198"/>
      <c r="D2" s="198"/>
      <c r="E2" s="198"/>
      <c r="F2" s="198"/>
      <c r="G2" s="198"/>
      <c r="H2" s="198"/>
      <c r="I2" s="198"/>
      <c r="J2" s="198"/>
      <c r="K2" s="198"/>
      <c r="L2" s="198"/>
      <c r="M2" s="198"/>
      <c r="N2" s="198"/>
      <c r="O2" s="198"/>
      <c r="P2" s="198"/>
      <c r="Q2" s="198"/>
      <c r="R2" s="198"/>
      <c r="S2" s="198"/>
      <c r="T2" s="198"/>
      <c r="U2" s="198"/>
      <c r="V2" s="198"/>
      <c r="W2" s="198"/>
    </row>
    <row r="3" spans="1:58" ht="15.75" x14ac:dyDescent="0.2">
      <c r="A3" s="198"/>
      <c r="B3" s="199" t="str">
        <f>CONCATENATE("Indication: ",Indication)</f>
        <v xml:space="preserve">Indication: </v>
      </c>
      <c r="C3" s="198"/>
      <c r="D3" s="198"/>
      <c r="E3" s="198"/>
      <c r="F3" s="198"/>
      <c r="G3" s="198"/>
      <c r="H3" s="198"/>
      <c r="I3" s="198"/>
      <c r="J3" s="198"/>
      <c r="K3" s="198"/>
      <c r="L3" s="198"/>
      <c r="M3" s="198"/>
      <c r="N3" s="198"/>
      <c r="O3" s="198"/>
      <c r="P3" s="198"/>
      <c r="Q3" s="198"/>
      <c r="R3" s="198"/>
      <c r="S3" s="198"/>
      <c r="T3" s="198"/>
      <c r="U3" s="198"/>
      <c r="V3" s="198"/>
      <c r="W3" s="198"/>
    </row>
    <row r="4" spans="1:58" s="420" customFormat="1" ht="12.75" customHeight="1" x14ac:dyDescent="0.2"/>
    <row r="5" spans="1:58" s="420" customFormat="1" ht="12.75" customHeight="1" x14ac:dyDescent="0.2"/>
    <row r="6" spans="1:58" s="420" customFormat="1" ht="12.75" customHeight="1" x14ac:dyDescent="0.2"/>
    <row r="7" spans="1:58" s="420" customFormat="1" ht="12.75" customHeight="1" x14ac:dyDescent="0.2">
      <c r="BF7" s="493"/>
    </row>
    <row r="8" spans="1:58" s="420" customFormat="1" ht="12.75" customHeight="1" x14ac:dyDescent="0.2">
      <c r="BF8" s="493"/>
    </row>
    <row r="9" spans="1:58" s="420" customFormat="1" ht="12.75" customHeight="1" x14ac:dyDescent="0.2">
      <c r="BF9" s="493"/>
    </row>
    <row r="10" spans="1:58" s="420" customFormat="1" ht="12.75" customHeight="1" x14ac:dyDescent="0.2">
      <c r="BF10" s="493"/>
    </row>
    <row r="11" spans="1:58" s="420" customFormat="1" ht="12.75" customHeight="1" x14ac:dyDescent="0.2">
      <c r="BF11" s="493"/>
    </row>
    <row r="12" spans="1:58" s="420" customFormat="1" ht="12.75" customHeight="1" x14ac:dyDescent="0.2">
      <c r="BF12" s="493"/>
    </row>
    <row r="13" spans="1:58" s="420" customFormat="1" ht="12.75" customHeight="1" x14ac:dyDescent="0.2"/>
    <row r="14" spans="1:58" s="420" customFormat="1" ht="12.75" customHeight="1" x14ac:dyDescent="0.2"/>
    <row r="15" spans="1:58" s="420" customFormat="1" ht="12.75" customHeight="1" x14ac:dyDescent="0.2"/>
    <row r="16" spans="1:58" s="420" customFormat="1" ht="12.75" customHeight="1" x14ac:dyDescent="0.2"/>
    <row r="17" s="420" customFormat="1" ht="12.75" customHeight="1" x14ac:dyDescent="0.2"/>
    <row r="18" s="420" customFormat="1" ht="12.75" customHeight="1" x14ac:dyDescent="0.2"/>
    <row r="19" s="420" customFormat="1" ht="12.75" customHeight="1" x14ac:dyDescent="0.2"/>
    <row r="20" s="420" customFormat="1" ht="12.75" customHeight="1" x14ac:dyDescent="0.2"/>
  </sheetData>
  <pageMargins left="0.7" right="0.7" top="0.75" bottom="0.75" header="0.3" footer="0.3"/>
  <pageSetup paperSize="9" orientation="portrait" verticalDpi="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1">
    <tabColor theme="5"/>
  </sheetPr>
  <dimension ref="A1:BC147"/>
  <sheetViews>
    <sheetView showGridLines="0" zoomScaleNormal="100" workbookViewId="0"/>
  </sheetViews>
  <sheetFormatPr defaultRowHeight="12.75" customHeight="1" x14ac:dyDescent="0.2"/>
  <cols>
    <col min="1" max="1" width="3.7109375" customWidth="1"/>
    <col min="2" max="3" width="32.7109375" customWidth="1"/>
    <col min="4" max="4" width="3.7109375" customWidth="1"/>
    <col min="5" max="5" width="15.7109375" customWidth="1"/>
    <col min="6" max="6" width="10.7109375" customWidth="1"/>
    <col min="7" max="7" width="3.7109375" customWidth="1"/>
    <col min="8" max="8" width="30.7109375" customWidth="1"/>
    <col min="9" max="9" width="3.7109375" customWidth="1"/>
    <col min="10" max="10" width="20.7109375" customWidth="1"/>
    <col min="11" max="11" width="3.7109375" customWidth="1"/>
    <col min="12" max="12" width="25.7109375" customWidth="1"/>
    <col min="13" max="13" width="3.7109375" customWidth="1"/>
    <col min="14" max="14" width="10.7109375" customWidth="1"/>
    <col min="15" max="15" width="3.7109375" customWidth="1"/>
    <col min="16" max="16" width="40.7109375" customWidth="1"/>
    <col min="17" max="18" width="3.7109375" customWidth="1"/>
    <col min="19" max="20" width="15.7109375" customWidth="1"/>
    <col min="21" max="22" width="3.7109375" customWidth="1"/>
    <col min="23" max="23" width="10.7109375" customWidth="1"/>
    <col min="24" max="24" width="25.7109375" customWidth="1"/>
    <col min="25" max="25" width="10.7109375" customWidth="1"/>
    <col min="26" max="26" width="3.7109375" customWidth="1"/>
    <col min="27" max="27" width="15.7109375" customWidth="1"/>
    <col min="28" max="28" width="125.7109375" customWidth="1"/>
    <col min="29" max="29" width="3.7109375" style="416" customWidth="1"/>
    <col min="30" max="30" width="3.7109375" customWidth="1"/>
    <col min="31" max="34" width="40.7109375" customWidth="1"/>
    <col min="35" max="36" width="3.7109375" customWidth="1"/>
    <col min="37" max="43" width="10.7109375" customWidth="1"/>
    <col min="44" max="44" width="10.7109375" style="416" customWidth="1"/>
    <col min="45" max="45" width="3.7109375" customWidth="1"/>
    <col min="46" max="52" width="10.7109375" customWidth="1"/>
    <col min="53" max="53" width="10.7109375" style="416" customWidth="1"/>
    <col min="54" max="55" width="10.7109375" customWidth="1"/>
    <col min="56" max="56" width="3.7109375" customWidth="1"/>
  </cols>
  <sheetData>
    <row r="1" spans="1:55" ht="23.25" x14ac:dyDescent="0.2">
      <c r="A1" s="202"/>
      <c r="B1" s="203" t="s">
        <v>32</v>
      </c>
      <c r="C1" s="202"/>
      <c r="D1" s="202"/>
      <c r="E1" s="202"/>
      <c r="F1" s="202"/>
      <c r="G1" s="202"/>
      <c r="H1" s="202"/>
      <c r="I1" s="202"/>
      <c r="J1" s="202"/>
      <c r="K1" s="202"/>
      <c r="L1" s="202"/>
      <c r="M1" s="202"/>
      <c r="N1" s="202"/>
      <c r="O1" s="202"/>
      <c r="P1" s="202"/>
      <c r="Q1" s="202"/>
      <c r="R1" s="202"/>
      <c r="S1" s="202"/>
      <c r="T1" s="202"/>
      <c r="U1" s="202"/>
      <c r="V1" s="202"/>
      <c r="W1" s="202"/>
      <c r="X1" s="202"/>
      <c r="Y1" s="202"/>
      <c r="Z1" s="202"/>
      <c r="AA1" s="202"/>
      <c r="AB1" s="202"/>
      <c r="AC1" s="202"/>
      <c r="AD1" s="202"/>
      <c r="AE1" s="202"/>
      <c r="AF1" s="202"/>
      <c r="AG1" s="202"/>
      <c r="AH1" s="202"/>
      <c r="AI1" s="202"/>
      <c r="AJ1" s="202"/>
      <c r="AK1" s="202"/>
      <c r="AL1" s="202"/>
      <c r="AM1" s="202"/>
      <c r="AN1" s="202"/>
      <c r="AO1" s="202"/>
      <c r="AP1" s="202"/>
      <c r="AQ1" s="202"/>
      <c r="AR1" s="202"/>
      <c r="AS1" s="202"/>
      <c r="AT1" s="202"/>
      <c r="AU1" s="202"/>
      <c r="AV1" s="202"/>
      <c r="AW1" s="202"/>
      <c r="AX1" s="202"/>
      <c r="AY1" s="202"/>
      <c r="AZ1" s="202"/>
      <c r="BA1" s="202"/>
      <c r="BB1" s="202"/>
      <c r="BC1" s="202"/>
    </row>
    <row r="2" spans="1:55" ht="15.75" x14ac:dyDescent="0.2">
      <c r="A2" s="202"/>
      <c r="B2" s="204" t="s">
        <v>316</v>
      </c>
      <c r="C2" s="205"/>
      <c r="D2" s="202"/>
      <c r="E2" s="202"/>
      <c r="F2" s="202"/>
      <c r="G2" s="202"/>
      <c r="H2" s="391" t="str">
        <f>"Release " &amp; C6</f>
        <v>Release 3</v>
      </c>
      <c r="I2" s="202"/>
      <c r="J2" s="202"/>
      <c r="K2" s="202"/>
      <c r="L2" s="202"/>
      <c r="M2" s="202"/>
      <c r="N2" s="202"/>
      <c r="O2" s="202"/>
      <c r="P2" s="202"/>
      <c r="Q2" s="202"/>
      <c r="R2" s="202"/>
      <c r="S2" s="202"/>
      <c r="T2" s="202"/>
      <c r="U2" s="202"/>
      <c r="V2" s="202"/>
      <c r="W2" s="202"/>
      <c r="X2" s="202"/>
      <c r="Y2" s="202"/>
      <c r="Z2" s="202"/>
      <c r="AA2" s="202"/>
      <c r="AB2" s="202"/>
      <c r="AC2" s="202"/>
      <c r="AD2" s="202"/>
      <c r="AE2" s="202"/>
      <c r="AF2" s="202"/>
      <c r="AG2" s="202"/>
      <c r="AH2" s="202"/>
      <c r="AI2" s="202"/>
      <c r="AJ2" s="202"/>
      <c r="AK2" s="202"/>
      <c r="AL2" s="202"/>
      <c r="AM2" s="202"/>
      <c r="AN2" s="202"/>
      <c r="AO2" s="202"/>
      <c r="AP2" s="202"/>
      <c r="AQ2" s="202"/>
      <c r="AR2" s="202"/>
      <c r="AS2" s="202"/>
      <c r="AT2" s="202"/>
      <c r="AU2" s="202"/>
      <c r="AV2" s="202"/>
      <c r="AW2" s="202"/>
      <c r="AX2" s="202"/>
      <c r="AY2" s="202"/>
      <c r="AZ2" s="202"/>
      <c r="BA2" s="202"/>
      <c r="BB2" s="202"/>
      <c r="BC2" s="202"/>
    </row>
    <row r="3" spans="1:55" ht="15.75" x14ac:dyDescent="0.2">
      <c r="A3" s="202"/>
      <c r="B3" s="204" t="s">
        <v>317</v>
      </c>
      <c r="C3" s="205"/>
      <c r="D3" s="202"/>
      <c r="E3" s="202"/>
      <c r="F3" s="202"/>
      <c r="G3" s="202"/>
      <c r="H3" s="392" t="str">
        <f>"Version "&amp; C7 &amp; " - " &amp; DAY(C8) &amp; "/" &amp; MONTH(C8) &amp; "/" &amp; YEAR(C8)</f>
        <v>Version 10.81 - 1/8/2021</v>
      </c>
      <c r="I3" s="202"/>
      <c r="J3" s="202"/>
      <c r="K3" s="202"/>
      <c r="L3" s="202"/>
      <c r="M3" s="202"/>
      <c r="N3" s="202"/>
      <c r="O3" s="202"/>
      <c r="P3" s="202"/>
      <c r="Q3" s="202"/>
      <c r="R3" s="202"/>
      <c r="S3" s="202"/>
      <c r="T3" s="202"/>
      <c r="U3" s="202"/>
      <c r="V3" s="202"/>
      <c r="W3" s="202"/>
      <c r="X3" s="202"/>
      <c r="Y3" s="202"/>
      <c r="Z3" s="202"/>
      <c r="AA3" s="202"/>
      <c r="AB3" s="202"/>
      <c r="AC3" s="202"/>
      <c r="AD3" s="202"/>
      <c r="AE3" s="202"/>
      <c r="AF3" s="202"/>
      <c r="AG3" s="202"/>
      <c r="AH3" s="202"/>
      <c r="AI3" s="202"/>
      <c r="AJ3" s="202"/>
      <c r="AK3" s="202"/>
      <c r="AL3" s="202"/>
      <c r="AM3" s="202"/>
      <c r="AN3" s="202"/>
      <c r="AO3" s="202"/>
      <c r="AP3" s="202"/>
      <c r="AQ3" s="202"/>
      <c r="AR3" s="202"/>
      <c r="AS3" s="202"/>
      <c r="AT3" s="202"/>
      <c r="AU3" s="202"/>
      <c r="AV3" s="202"/>
      <c r="AW3" s="202"/>
      <c r="AX3" s="202"/>
      <c r="AY3" s="202"/>
      <c r="AZ3" s="202"/>
      <c r="BA3" s="202"/>
      <c r="BB3" s="202"/>
      <c r="BC3" s="202"/>
    </row>
    <row r="4" spans="1:55" x14ac:dyDescent="0.2">
      <c r="A4" s="75"/>
      <c r="B4" s="128"/>
      <c r="C4" s="128"/>
      <c r="D4" s="128"/>
      <c r="E4" s="128"/>
      <c r="F4" s="128"/>
      <c r="G4" s="128"/>
      <c r="H4" s="128"/>
      <c r="I4" s="128"/>
      <c r="J4" s="128"/>
      <c r="K4" s="128"/>
      <c r="L4" s="270"/>
      <c r="M4" s="270"/>
      <c r="N4" s="270"/>
      <c r="O4" s="270"/>
      <c r="P4" s="128"/>
      <c r="Q4" s="128"/>
      <c r="R4" s="270"/>
      <c r="S4" s="128"/>
      <c r="T4" s="128"/>
      <c r="U4" s="128"/>
      <c r="V4" s="128"/>
      <c r="W4" s="128"/>
      <c r="X4" s="128"/>
      <c r="Y4" s="128"/>
      <c r="Z4" s="128"/>
      <c r="AA4" s="128"/>
      <c r="AB4" s="128"/>
      <c r="AC4" s="435"/>
      <c r="AD4" s="128"/>
      <c r="AE4" s="128"/>
      <c r="AF4" s="128"/>
      <c r="AG4" s="128"/>
      <c r="AH4" s="128"/>
      <c r="AI4" s="128"/>
      <c r="AJ4" s="128"/>
      <c r="AK4" s="128"/>
      <c r="AL4" s="128"/>
      <c r="AM4" s="128"/>
      <c r="AN4" s="128"/>
      <c r="AO4" s="128"/>
      <c r="AP4" s="128"/>
      <c r="AQ4" s="128"/>
      <c r="AR4" s="435"/>
      <c r="BA4"/>
    </row>
    <row r="5" spans="1:55" ht="12.75" customHeight="1" x14ac:dyDescent="0.2">
      <c r="A5" s="75"/>
      <c r="B5" s="923" t="s">
        <v>502</v>
      </c>
      <c r="C5" s="926"/>
      <c r="D5" s="128"/>
      <c r="E5" s="923" t="s">
        <v>251</v>
      </c>
      <c r="F5" s="926"/>
      <c r="G5" s="128"/>
      <c r="H5" s="206" t="s">
        <v>128</v>
      </c>
      <c r="I5" s="128"/>
      <c r="J5" s="206" t="s">
        <v>198</v>
      </c>
      <c r="K5" s="128"/>
      <c r="L5" s="924" t="s">
        <v>599</v>
      </c>
      <c r="M5" s="924"/>
      <c r="N5" s="925"/>
      <c r="O5" s="270"/>
      <c r="P5" s="206" t="s">
        <v>281</v>
      </c>
      <c r="Q5" s="128"/>
      <c r="R5" s="924" t="s">
        <v>256</v>
      </c>
      <c r="S5" s="924"/>
      <c r="T5" s="924"/>
      <c r="U5" s="924"/>
      <c r="V5" s="128"/>
      <c r="W5" s="206" t="s">
        <v>249</v>
      </c>
      <c r="X5" s="206" t="s">
        <v>48</v>
      </c>
      <c r="Y5" s="206" t="s">
        <v>250</v>
      </c>
      <c r="Z5" s="128"/>
      <c r="AA5" s="72" t="s">
        <v>152</v>
      </c>
      <c r="AB5" s="275" t="s">
        <v>153</v>
      </c>
      <c r="AC5" s="435"/>
      <c r="AD5" s="128"/>
      <c r="AE5" s="924" t="s">
        <v>346</v>
      </c>
      <c r="AF5" s="924"/>
      <c r="AG5" s="924"/>
      <c r="AH5" s="925"/>
      <c r="AI5" s="128"/>
      <c r="AJ5" s="128"/>
      <c r="AK5" s="128"/>
      <c r="AL5" s="923" t="s">
        <v>346</v>
      </c>
      <c r="AM5" s="923"/>
      <c r="AN5" s="923"/>
      <c r="AO5" s="923"/>
      <c r="AP5" s="923"/>
      <c r="AQ5" s="923"/>
      <c r="AR5"/>
      <c r="AU5" s="927" t="s">
        <v>1251</v>
      </c>
      <c r="AV5" s="928"/>
      <c r="AW5" s="928"/>
      <c r="AX5" s="928"/>
      <c r="AY5" s="929"/>
      <c r="BA5"/>
    </row>
    <row r="6" spans="1:55" x14ac:dyDescent="0.2">
      <c r="A6" s="162"/>
      <c r="B6" s="328" t="s">
        <v>626</v>
      </c>
      <c r="C6" s="275">
        <v>3</v>
      </c>
      <c r="D6" s="128"/>
      <c r="E6" s="275" t="s">
        <v>252</v>
      </c>
      <c r="F6" s="275">
        <v>2</v>
      </c>
      <c r="G6" s="128"/>
      <c r="H6" s="275" t="s">
        <v>129</v>
      </c>
      <c r="I6" s="128"/>
      <c r="J6" s="275" t="s">
        <v>1096</v>
      </c>
      <c r="K6" s="128"/>
      <c r="L6" s="275" t="s">
        <v>94</v>
      </c>
      <c r="M6" s="373" t="s">
        <v>600</v>
      </c>
      <c r="N6" s="370">
        <v>41.3</v>
      </c>
      <c r="O6" s="137"/>
      <c r="P6" s="275" t="s">
        <v>722</v>
      </c>
      <c r="Q6" s="128"/>
      <c r="R6" s="409" t="s">
        <v>289</v>
      </c>
      <c r="S6" s="276" t="s">
        <v>723</v>
      </c>
      <c r="T6" s="276">
        <v>1</v>
      </c>
      <c r="U6" s="411" t="str">
        <f>R6</f>
        <v>I</v>
      </c>
      <c r="V6" s="128"/>
      <c r="W6" s="275" t="s">
        <v>164</v>
      </c>
      <c r="X6" s="275" t="s">
        <v>165</v>
      </c>
      <c r="Y6" s="275">
        <v>0</v>
      </c>
      <c r="Z6" s="128"/>
      <c r="AA6" s="72" t="s">
        <v>154</v>
      </c>
      <c r="AB6" s="275" t="s">
        <v>155</v>
      </c>
      <c r="AC6" s="435"/>
      <c r="AD6" s="128"/>
      <c r="AE6" s="206" t="s">
        <v>272</v>
      </c>
      <c r="AF6" s="206" t="s">
        <v>273</v>
      </c>
      <c r="AG6" s="206" t="s">
        <v>54</v>
      </c>
      <c r="AH6" s="309" t="s">
        <v>381</v>
      </c>
      <c r="AI6" s="128"/>
      <c r="AJ6" s="128"/>
      <c r="AK6" s="128"/>
      <c r="AL6" s="207">
        <f>FirstYear</f>
        <v>2021</v>
      </c>
      <c r="AM6" s="69">
        <f>AL6+1</f>
        <v>2022</v>
      </c>
      <c r="AN6" s="69">
        <f>AM6+1</f>
        <v>2023</v>
      </c>
      <c r="AO6" s="69">
        <f>AN6+1</f>
        <v>2024</v>
      </c>
      <c r="AP6" s="69">
        <f>AO6+1</f>
        <v>2025</v>
      </c>
      <c r="AQ6" s="69">
        <f>AP6+1</f>
        <v>2026</v>
      </c>
      <c r="AR6"/>
      <c r="AU6" s="207" t="s">
        <v>1172</v>
      </c>
      <c r="AV6" s="207" t="s">
        <v>376</v>
      </c>
      <c r="AW6" s="207" t="s">
        <v>1248</v>
      </c>
      <c r="AX6" s="207" t="s">
        <v>1250</v>
      </c>
      <c r="AY6" s="207" t="s">
        <v>1249</v>
      </c>
    </row>
    <row r="7" spans="1:55" x14ac:dyDescent="0.2">
      <c r="A7" s="162"/>
      <c r="B7" s="328" t="s">
        <v>627</v>
      </c>
      <c r="C7" s="513">
        <v>10.81</v>
      </c>
      <c r="D7" s="128"/>
      <c r="E7" s="275" t="s">
        <v>253</v>
      </c>
      <c r="F7" s="275">
        <v>0</v>
      </c>
      <c r="G7" s="128"/>
      <c r="H7" s="275" t="s">
        <v>130</v>
      </c>
      <c r="I7" s="128"/>
      <c r="J7" s="275" t="s">
        <v>83</v>
      </c>
      <c r="K7" s="128"/>
      <c r="L7" s="275" t="s">
        <v>95</v>
      </c>
      <c r="M7" s="373" t="s">
        <v>601</v>
      </c>
      <c r="N7" s="370">
        <v>6.6</v>
      </c>
      <c r="O7" s="137"/>
      <c r="P7" s="275" t="s">
        <v>280</v>
      </c>
      <c r="Q7" s="128"/>
      <c r="R7" s="410" t="s">
        <v>142</v>
      </c>
      <c r="S7" s="275" t="s">
        <v>61</v>
      </c>
      <c r="T7" s="275">
        <v>2</v>
      </c>
      <c r="U7" s="411" t="str">
        <f>R7</f>
        <v>C</v>
      </c>
      <c r="V7" s="128"/>
      <c r="W7" s="275" t="s">
        <v>166</v>
      </c>
      <c r="X7" s="275" t="s">
        <v>167</v>
      </c>
      <c r="Y7" s="275">
        <v>1</v>
      </c>
      <c r="Z7" s="128"/>
      <c r="AA7" s="72" t="s">
        <v>157</v>
      </c>
      <c r="AB7" s="275" t="s">
        <v>158</v>
      </c>
      <c r="AC7" s="435"/>
      <c r="AD7" s="208">
        <v>1</v>
      </c>
      <c r="AE7" s="88" t="str">
        <f>'8. ABS population'!D19</f>
        <v>** NOT USED **</v>
      </c>
      <c r="AF7" s="88" t="str">
        <f>'9. AIHW population'!D19</f>
        <v>** NOT USED **</v>
      </c>
      <c r="AG7" s="88" t="str">
        <f>'10. Registry population'!D19</f>
        <v>** NOT USED **</v>
      </c>
      <c r="AH7" s="308" t="str">
        <f>'11. Persistent population'!D19</f>
        <v>** NOT USED **</v>
      </c>
      <c r="AI7" s="128" t="s">
        <v>419</v>
      </c>
      <c r="AJ7" s="128"/>
      <c r="AK7" s="72" t="s">
        <v>327</v>
      </c>
      <c r="AL7" s="533">
        <f>'8. ABS population'!E8</f>
        <v>0</v>
      </c>
      <c r="AM7" s="533">
        <f>'8. ABS population'!F8</f>
        <v>0</v>
      </c>
      <c r="AN7" s="533">
        <f>'8. ABS population'!G8</f>
        <v>0</v>
      </c>
      <c r="AO7" s="533">
        <f>'8. ABS population'!H8</f>
        <v>0</v>
      </c>
      <c r="AP7" s="533">
        <f>'8. ABS population'!I8</f>
        <v>0</v>
      </c>
      <c r="AQ7" s="533">
        <f>'8. ABS population'!J8</f>
        <v>0</v>
      </c>
      <c r="AR7"/>
      <c r="AT7" s="72" t="s">
        <v>1288</v>
      </c>
      <c r="AU7" s="724" t="str">
        <f t="shared" ref="AU7:AU46" si="0">IFERROR(IF(AY7&lt;999999,AY7,""),"")</f>
        <v/>
      </c>
      <c r="AV7" s="723">
        <f>IF('7. Net changes - MBS'!D63&lt;&gt;"",'7. Net changes - MBS'!D63,999999)</f>
        <v>999999</v>
      </c>
      <c r="AW7" s="723">
        <f>LOOKUP(2,1/(COUNTIF($AW$6:AW6,MBSItemsAll)=0),MBSItemsAll)</f>
        <v>999999</v>
      </c>
      <c r="AX7" s="723">
        <f>COUNTIF($AW$7:$AW$46, "&lt;" &amp; AW7)+COUNTIF($AW$7:AW7,AW7)</f>
        <v>1</v>
      </c>
      <c r="AY7" s="723">
        <f>INDEX($AW$7:$AW$46,MATCH(ROWS($AY$7:AY7),$AX$7:$AX$46,0))</f>
        <v>999999</v>
      </c>
    </row>
    <row r="8" spans="1:55" x14ac:dyDescent="0.2">
      <c r="A8" s="162"/>
      <c r="B8" s="328" t="s">
        <v>628</v>
      </c>
      <c r="C8" s="326">
        <v>44409</v>
      </c>
      <c r="D8" s="128"/>
      <c r="E8" s="128"/>
      <c r="F8" s="128"/>
      <c r="G8" s="128"/>
      <c r="H8" s="275" t="s">
        <v>131</v>
      </c>
      <c r="I8" s="128"/>
      <c r="J8" s="275" t="s">
        <v>84</v>
      </c>
      <c r="K8" s="128"/>
      <c r="L8" s="275" t="s">
        <v>96</v>
      </c>
      <c r="M8" s="373" t="s">
        <v>602</v>
      </c>
      <c r="N8" s="371">
        <f>N7</f>
        <v>6.6</v>
      </c>
      <c r="O8" s="137"/>
      <c r="P8" s="128"/>
      <c r="Q8" s="128"/>
      <c r="R8" s="410" t="s">
        <v>290</v>
      </c>
      <c r="S8" s="275" t="s">
        <v>376</v>
      </c>
      <c r="T8" s="275">
        <v>3</v>
      </c>
      <c r="U8" s="411" t="str">
        <f>R8</f>
        <v>IC</v>
      </c>
      <c r="V8" s="128"/>
      <c r="W8" s="275" t="s">
        <v>168</v>
      </c>
      <c r="X8" s="275" t="s">
        <v>890</v>
      </c>
      <c r="Y8" s="275">
        <v>0</v>
      </c>
      <c r="Z8" s="128"/>
      <c r="AA8" s="209"/>
      <c r="AB8" s="210"/>
      <c r="AC8" s="435"/>
      <c r="AD8" s="208">
        <v>2</v>
      </c>
      <c r="AE8" s="88" t="str">
        <f>'8. ABS population'!D37</f>
        <v>** NOT USED **</v>
      </c>
      <c r="AF8" s="88" t="str">
        <f>'9. AIHW population'!D36</f>
        <v>** NOT USED **</v>
      </c>
      <c r="AG8" s="88" t="str">
        <f>'10. Registry population'!D36</f>
        <v>** NOT USED **</v>
      </c>
      <c r="AH8" s="308" t="str">
        <f>'11. Persistent population'!D57</f>
        <v>** NOT USED **</v>
      </c>
      <c r="AI8" s="128" t="s">
        <v>419</v>
      </c>
      <c r="AJ8" s="128"/>
      <c r="AK8" s="72" t="s">
        <v>328</v>
      </c>
      <c r="AL8" s="533">
        <f>'8. ABS population'!E9</f>
        <v>0</v>
      </c>
      <c r="AM8" s="533">
        <f>'8. ABS population'!F9</f>
        <v>0</v>
      </c>
      <c r="AN8" s="533">
        <f>'8. ABS population'!G9</f>
        <v>0</v>
      </c>
      <c r="AO8" s="533">
        <f>'8. ABS population'!H9</f>
        <v>0</v>
      </c>
      <c r="AP8" s="533">
        <f>'8. ABS population'!I9</f>
        <v>0</v>
      </c>
      <c r="AQ8" s="533">
        <f>'8. ABS population'!J9</f>
        <v>0</v>
      </c>
      <c r="AR8"/>
      <c r="AT8" s="72" t="s">
        <v>1289</v>
      </c>
      <c r="AU8" s="724" t="str">
        <f t="shared" si="0"/>
        <v/>
      </c>
      <c r="AV8" s="723">
        <f>IF('7. Net changes - MBS'!D64&lt;&gt;"",'7. Net changes - MBS'!D64,999999)</f>
        <v>999999</v>
      </c>
      <c r="AW8" s="723" t="e">
        <f>LOOKUP(2,1/(COUNTIF($AW$6:AW7,MBSItemsAll)=0),MBSItemsAll)</f>
        <v>#N/A</v>
      </c>
      <c r="AX8" s="731">
        <f>COUNTIF($AW$7:$AW$46, "&lt;" &amp; AW8)+COUNTIF($AW$7:AW8,AW8)</f>
        <v>40</v>
      </c>
      <c r="AY8" s="731" t="e">
        <f>INDEX($AW$7:$AW$46,MATCH(ROWS($AY$7:AY8),$AX$7:$AX$46,0))</f>
        <v>#N/A</v>
      </c>
    </row>
    <row r="9" spans="1:55" x14ac:dyDescent="0.2">
      <c r="A9" s="162"/>
      <c r="B9" s="270"/>
      <c r="C9" s="270"/>
      <c r="D9" s="128"/>
      <c r="E9" s="128"/>
      <c r="F9" s="128"/>
      <c r="G9" s="128"/>
      <c r="H9" s="275" t="s">
        <v>132</v>
      </c>
      <c r="I9" s="128"/>
      <c r="J9" s="275" t="s">
        <v>85</v>
      </c>
      <c r="K9" s="128"/>
      <c r="L9" s="275" t="s">
        <v>97</v>
      </c>
      <c r="M9" s="373" t="s">
        <v>603</v>
      </c>
      <c r="N9" s="370">
        <v>0</v>
      </c>
      <c r="O9" s="137"/>
      <c r="P9" s="128"/>
      <c r="Q9" s="128"/>
      <c r="R9" s="410" t="s">
        <v>289</v>
      </c>
      <c r="S9" s="275" t="s">
        <v>59</v>
      </c>
      <c r="T9" s="275">
        <v>1</v>
      </c>
      <c r="U9" s="411" t="s">
        <v>289</v>
      </c>
      <c r="V9" s="128"/>
      <c r="W9" s="275" t="s">
        <v>163</v>
      </c>
      <c r="X9" s="275" t="s">
        <v>889</v>
      </c>
      <c r="Y9" s="275">
        <v>0</v>
      </c>
      <c r="Z9" s="128"/>
      <c r="AA9" s="72" t="s">
        <v>160</v>
      </c>
      <c r="AB9" s="275" t="s">
        <v>377</v>
      </c>
      <c r="AC9" s="435"/>
      <c r="AD9" s="208">
        <v>3</v>
      </c>
      <c r="AE9" s="88" t="str">
        <f>'8. ABS population'!D55</f>
        <v>** NOT USED **</v>
      </c>
      <c r="AF9" s="88" t="str">
        <f>'9. AIHW population'!D53</f>
        <v>** NOT USED **</v>
      </c>
      <c r="AG9" s="88" t="str">
        <f>'10. Registry population'!D53</f>
        <v>** NOT USED **</v>
      </c>
      <c r="AH9" s="308" t="str">
        <f>'11. Persistent population'!D95</f>
        <v>** NOT USED **</v>
      </c>
      <c r="AI9" s="128" t="s">
        <v>419</v>
      </c>
      <c r="AJ9" s="128"/>
      <c r="AK9" s="72" t="s">
        <v>329</v>
      </c>
      <c r="AL9" s="533">
        <f>'8. ABS population'!E10</f>
        <v>0</v>
      </c>
      <c r="AM9" s="533">
        <f>'8. ABS population'!F10</f>
        <v>0</v>
      </c>
      <c r="AN9" s="533">
        <f>'8. ABS population'!G10</f>
        <v>0</v>
      </c>
      <c r="AO9" s="533">
        <f>'8. ABS population'!H10</f>
        <v>0</v>
      </c>
      <c r="AP9" s="533">
        <f>'8. ABS population'!I10</f>
        <v>0</v>
      </c>
      <c r="AQ9" s="533">
        <f>'8. ABS population'!J10</f>
        <v>0</v>
      </c>
      <c r="AR9"/>
      <c r="AT9" s="72" t="s">
        <v>1290</v>
      </c>
      <c r="AU9" s="724" t="str">
        <f t="shared" si="0"/>
        <v/>
      </c>
      <c r="AV9" s="723">
        <f>IF('7. Net changes - MBS'!D65&lt;&gt;"",'7. Net changes - MBS'!D65,999999)</f>
        <v>999999</v>
      </c>
      <c r="AW9" s="723" t="e">
        <f>LOOKUP(2,1/(COUNTIF($AW$6:AW8,MBSItemsAll)=0),MBSItemsAll)</f>
        <v>#N/A</v>
      </c>
      <c r="AX9" s="731">
        <f>COUNTIF($AW$7:$AW$46, "&lt;" &amp; AW9)+COUNTIF($AW$7:AW9,AW9)</f>
        <v>41</v>
      </c>
      <c r="AY9" s="731" t="e">
        <f>INDEX($AW$7:$AW$46,MATCH(ROWS($AY$7:AY9),$AX$7:$AX$46,0))</f>
        <v>#N/A</v>
      </c>
    </row>
    <row r="10" spans="1:55" x14ac:dyDescent="0.2">
      <c r="A10" s="162"/>
      <c r="B10" s="270"/>
      <c r="C10" s="270"/>
      <c r="D10" s="128"/>
      <c r="E10" s="128"/>
      <c r="F10" s="128"/>
      <c r="G10" s="128"/>
      <c r="H10" s="128"/>
      <c r="I10" s="128"/>
      <c r="J10" s="275" t="s">
        <v>145</v>
      </c>
      <c r="K10" s="128"/>
      <c r="L10" s="275" t="s">
        <v>98</v>
      </c>
      <c r="M10" s="373" t="s">
        <v>192</v>
      </c>
      <c r="N10" s="371">
        <f>N7</f>
        <v>6.6</v>
      </c>
      <c r="O10" s="137"/>
      <c r="P10" s="128"/>
      <c r="Q10" s="128"/>
      <c r="R10" s="270"/>
      <c r="S10" s="128"/>
      <c r="T10" s="128"/>
      <c r="U10" s="128"/>
      <c r="V10" s="128"/>
      <c r="W10" s="275" t="s">
        <v>169</v>
      </c>
      <c r="X10" s="275" t="s">
        <v>170</v>
      </c>
      <c r="Y10" s="275">
        <v>0</v>
      </c>
      <c r="Z10" s="128"/>
      <c r="AA10" s="72" t="s">
        <v>154</v>
      </c>
      <c r="AB10" s="275" t="s">
        <v>209</v>
      </c>
      <c r="AC10" s="435"/>
      <c r="AD10" s="208">
        <v>4</v>
      </c>
      <c r="AE10" s="88" t="str">
        <f>'8. ABS population'!D73</f>
        <v>** NOT USED **</v>
      </c>
      <c r="AF10" s="88" t="str">
        <f>'9. AIHW population'!D70</f>
        <v>** NOT USED **</v>
      </c>
      <c r="AG10" s="88" t="str">
        <f>'10. Registry population'!D70</f>
        <v>** NOT USED **</v>
      </c>
      <c r="AH10" s="308" t="str">
        <f>'11. Persistent population'!D133</f>
        <v>** NOT USED **</v>
      </c>
      <c r="AI10" s="128" t="s">
        <v>419</v>
      </c>
      <c r="AJ10" s="128"/>
      <c r="AK10" s="72" t="s">
        <v>330</v>
      </c>
      <c r="AL10" s="533">
        <f>'8. ABS population'!E11</f>
        <v>0</v>
      </c>
      <c r="AM10" s="533">
        <f>'8. ABS population'!F11</f>
        <v>0</v>
      </c>
      <c r="AN10" s="533">
        <f>'8. ABS population'!G11</f>
        <v>0</v>
      </c>
      <c r="AO10" s="533">
        <f>'8. ABS population'!H11</f>
        <v>0</v>
      </c>
      <c r="AP10" s="533">
        <f>'8. ABS population'!I11</f>
        <v>0</v>
      </c>
      <c r="AQ10" s="533">
        <f>'8. ABS population'!J11</f>
        <v>0</v>
      </c>
      <c r="AR10"/>
      <c r="AT10" s="72" t="s">
        <v>1291</v>
      </c>
      <c r="AU10" s="724" t="str">
        <f t="shared" si="0"/>
        <v/>
      </c>
      <c r="AV10" s="723">
        <f>IF('7. Net changes - MBS'!D66&lt;&gt;"",'7. Net changes - MBS'!D66,999999)</f>
        <v>999999</v>
      </c>
      <c r="AW10" s="723" t="e">
        <f>LOOKUP(2,1/(COUNTIF($AW$6:AW9,MBSItemsAll)=0),MBSItemsAll)</f>
        <v>#N/A</v>
      </c>
      <c r="AX10" s="731">
        <f>COUNTIF($AW$7:$AW$46, "&lt;" &amp; AW10)+COUNTIF($AW$7:AW10,AW10)</f>
        <v>42</v>
      </c>
      <c r="AY10" s="731" t="e">
        <f>INDEX($AW$7:$AW$46,MATCH(ROWS($AY$7:AY10),$AX$7:$AX$46,0))</f>
        <v>#N/A</v>
      </c>
    </row>
    <row r="11" spans="1:55" x14ac:dyDescent="0.2">
      <c r="A11" s="162"/>
      <c r="B11" s="270"/>
      <c r="C11" s="270"/>
      <c r="D11" s="128"/>
      <c r="E11" s="128"/>
      <c r="F11" s="128"/>
      <c r="G11" s="128"/>
      <c r="H11" s="128"/>
      <c r="I11" s="128"/>
      <c r="J11" s="275" t="s">
        <v>146</v>
      </c>
      <c r="K11" s="128"/>
      <c r="L11" s="275" t="s">
        <v>99</v>
      </c>
      <c r="M11" s="373" t="s">
        <v>604</v>
      </c>
      <c r="N11" s="371">
        <f>N9</f>
        <v>0</v>
      </c>
      <c r="O11" s="137"/>
      <c r="P11" s="128"/>
      <c r="Q11" s="128"/>
      <c r="R11" s="270"/>
      <c r="S11" s="128"/>
      <c r="T11" s="128"/>
      <c r="U11" s="128"/>
      <c r="V11" s="128"/>
      <c r="W11" s="275" t="s">
        <v>171</v>
      </c>
      <c r="X11" s="275" t="s">
        <v>172</v>
      </c>
      <c r="Y11" s="275">
        <v>0</v>
      </c>
      <c r="Z11" s="128"/>
      <c r="AA11" s="72" t="s">
        <v>157</v>
      </c>
      <c r="AB11" s="275" t="s">
        <v>210</v>
      </c>
      <c r="AC11" s="435"/>
      <c r="AD11" s="208">
        <v>5</v>
      </c>
      <c r="AE11" s="88" t="str">
        <f>'8. ABS population'!D91</f>
        <v>** NOT USED **</v>
      </c>
      <c r="AF11" s="88" t="str">
        <f>'9. AIHW population'!D87</f>
        <v>** NOT USED **</v>
      </c>
      <c r="AG11" s="88" t="str">
        <f>'10. Registry population'!D87</f>
        <v>** NOT USED **</v>
      </c>
      <c r="AH11" s="308" t="str">
        <f>'11. Persistent population'!D171</f>
        <v>** NOT USED **</v>
      </c>
      <c r="AI11" s="128" t="s">
        <v>419</v>
      </c>
      <c r="AJ11" s="128"/>
      <c r="AK11" s="72" t="s">
        <v>331</v>
      </c>
      <c r="AL11" s="533">
        <f>'8. ABS population'!E12</f>
        <v>0</v>
      </c>
      <c r="AM11" s="533">
        <f>'8. ABS population'!F12</f>
        <v>0</v>
      </c>
      <c r="AN11" s="533">
        <f>'8. ABS population'!G12</f>
        <v>0</v>
      </c>
      <c r="AO11" s="533">
        <f>'8. ABS population'!H12</f>
        <v>0</v>
      </c>
      <c r="AP11" s="533">
        <f>'8. ABS population'!I12</f>
        <v>0</v>
      </c>
      <c r="AQ11" s="533">
        <f>'8. ABS population'!J12</f>
        <v>0</v>
      </c>
      <c r="AR11"/>
      <c r="AT11" s="72" t="s">
        <v>1292</v>
      </c>
      <c r="AU11" s="724" t="str">
        <f t="shared" si="0"/>
        <v/>
      </c>
      <c r="AV11" s="723">
        <f>IF('7. Net changes - MBS'!D67&lt;&gt;"",'7. Net changes - MBS'!D67,999999)</f>
        <v>999999</v>
      </c>
      <c r="AW11" s="723" t="e">
        <f>LOOKUP(2,1/(COUNTIF($AW$6:AW10,MBSItemsAll)=0),MBSItemsAll)</f>
        <v>#N/A</v>
      </c>
      <c r="AX11" s="731">
        <f>COUNTIF($AW$7:$AW$46, "&lt;" &amp; AW11)+COUNTIF($AW$7:AW11,AW11)</f>
        <v>43</v>
      </c>
      <c r="AY11" s="731" t="e">
        <f>INDEX($AW$7:$AW$46,MATCH(ROWS($AY$7:AY11),$AX$7:$AX$46,0))</f>
        <v>#N/A</v>
      </c>
    </row>
    <row r="12" spans="1:55" x14ac:dyDescent="0.2">
      <c r="A12" s="162"/>
      <c r="B12" s="270"/>
      <c r="C12" s="270"/>
      <c r="D12" s="128"/>
      <c r="E12" s="128"/>
      <c r="F12" s="128"/>
      <c r="G12" s="128"/>
      <c r="H12" s="128"/>
      <c r="I12" s="128"/>
      <c r="J12" s="275" t="s">
        <v>147</v>
      </c>
      <c r="K12" s="128"/>
      <c r="L12" s="270"/>
      <c r="M12" s="270"/>
      <c r="N12" s="270"/>
      <c r="O12" s="270"/>
      <c r="P12" s="128"/>
      <c r="Q12" s="128"/>
      <c r="R12" s="270"/>
      <c r="S12" s="128"/>
      <c r="T12" s="128"/>
      <c r="U12" s="128"/>
      <c r="V12" s="128"/>
      <c r="W12" s="275" t="s">
        <v>173</v>
      </c>
      <c r="X12" s="275" t="s">
        <v>174</v>
      </c>
      <c r="Y12" s="275">
        <v>0</v>
      </c>
      <c r="Z12" s="128"/>
      <c r="AA12" s="209"/>
      <c r="AB12" s="210"/>
      <c r="AC12" s="435"/>
      <c r="AD12" s="208">
        <v>6</v>
      </c>
      <c r="AE12" s="88" t="str">
        <f>'8. ABS population'!D109</f>
        <v>** NOT USED **</v>
      </c>
      <c r="AF12" s="88" t="str">
        <f>'9. AIHW population'!D104</f>
        <v>** NOT USED **</v>
      </c>
      <c r="AG12" s="88" t="str">
        <f>'10. Registry population'!D104</f>
        <v>** NOT USED **</v>
      </c>
      <c r="AH12" s="324" t="str">
        <f>MsgNotUsed</f>
        <v>** NOT USED **</v>
      </c>
      <c r="AI12" s="128" t="s">
        <v>419</v>
      </c>
      <c r="AJ12" s="128"/>
      <c r="AK12" s="72" t="s">
        <v>347</v>
      </c>
      <c r="AL12" s="533">
        <f>'8. ABS population'!E13</f>
        <v>0</v>
      </c>
      <c r="AM12" s="533">
        <f>'8. ABS population'!F13</f>
        <v>0</v>
      </c>
      <c r="AN12" s="533">
        <f>'8. ABS population'!G13</f>
        <v>0</v>
      </c>
      <c r="AO12" s="533">
        <f>'8. ABS population'!H13</f>
        <v>0</v>
      </c>
      <c r="AP12" s="533">
        <f>'8. ABS population'!I13</f>
        <v>0</v>
      </c>
      <c r="AQ12" s="533">
        <f>'8. ABS population'!J13</f>
        <v>0</v>
      </c>
      <c r="AR12"/>
      <c r="AT12" s="72" t="s">
        <v>1293</v>
      </c>
      <c r="AU12" s="724" t="str">
        <f t="shared" si="0"/>
        <v/>
      </c>
      <c r="AV12" s="723">
        <f>IF('7. Net changes - MBS'!D68&lt;&gt;"",'7. Net changes - MBS'!D68,999999)</f>
        <v>999999</v>
      </c>
      <c r="AW12" s="723" t="e">
        <f>LOOKUP(2,1/(COUNTIF($AW$6:AW11,MBSItemsAll)=0),MBSItemsAll)</f>
        <v>#N/A</v>
      </c>
      <c r="AX12" s="731">
        <f>COUNTIF($AW$7:$AW$46, "&lt;" &amp; AW12)+COUNTIF($AW$7:AW12,AW12)</f>
        <v>44</v>
      </c>
      <c r="AY12" s="731" t="e">
        <f>INDEX($AW$7:$AW$46,MATCH(ROWS($AY$7:AY12),$AX$7:$AX$46,0))</f>
        <v>#N/A</v>
      </c>
    </row>
    <row r="13" spans="1:55" x14ac:dyDescent="0.2">
      <c r="A13" s="162"/>
      <c r="B13" s="270"/>
      <c r="C13" s="270"/>
      <c r="D13" s="270"/>
      <c r="E13" s="270"/>
      <c r="F13" s="270"/>
      <c r="G13" s="270"/>
      <c r="H13" s="270"/>
      <c r="I13" s="128"/>
      <c r="J13" s="275" t="s">
        <v>148</v>
      </c>
      <c r="K13" s="128"/>
      <c r="L13" s="270"/>
      <c r="M13" s="270"/>
      <c r="N13" s="270"/>
      <c r="O13" s="270"/>
      <c r="P13" s="128"/>
      <c r="Q13" s="128"/>
      <c r="R13" s="270"/>
      <c r="S13" s="128"/>
      <c r="T13" s="128"/>
      <c r="U13" s="128"/>
      <c r="V13" s="128"/>
      <c r="W13" s="275" t="s">
        <v>176</v>
      </c>
      <c r="X13" s="275" t="s">
        <v>177</v>
      </c>
      <c r="Y13" s="275">
        <v>0</v>
      </c>
      <c r="Z13" s="128"/>
      <c r="AA13" s="72" t="s">
        <v>161</v>
      </c>
      <c r="AB13" s="275" t="s">
        <v>378</v>
      </c>
      <c r="AC13" s="435"/>
      <c r="AD13" s="208">
        <v>7</v>
      </c>
      <c r="AE13" s="88" t="str">
        <f>'8. ABS population'!D127</f>
        <v>** NOT USED **</v>
      </c>
      <c r="AF13" s="88" t="str">
        <f>'9. AIHW population'!D121</f>
        <v>** NOT USED **</v>
      </c>
      <c r="AG13" s="88" t="str">
        <f>'10. Registry population'!D121</f>
        <v>** NOT USED **</v>
      </c>
      <c r="AH13" s="324" t="str">
        <f>MsgNotUsed</f>
        <v>** NOT USED **</v>
      </c>
      <c r="AI13" s="128" t="s">
        <v>419</v>
      </c>
      <c r="AJ13" s="128"/>
      <c r="AK13" s="72" t="s">
        <v>348</v>
      </c>
      <c r="AL13" s="533">
        <f>'8. ABS population'!E14</f>
        <v>0</v>
      </c>
      <c r="AM13" s="533">
        <f>'8. ABS population'!F14</f>
        <v>0</v>
      </c>
      <c r="AN13" s="533">
        <f>'8. ABS population'!G14</f>
        <v>0</v>
      </c>
      <c r="AO13" s="533">
        <f>'8. ABS population'!H14</f>
        <v>0</v>
      </c>
      <c r="AP13" s="533">
        <f>'8. ABS population'!I14</f>
        <v>0</v>
      </c>
      <c r="AQ13" s="533">
        <f>'8. ABS population'!J14</f>
        <v>0</v>
      </c>
      <c r="AR13"/>
      <c r="AT13" s="72" t="s">
        <v>1294</v>
      </c>
      <c r="AU13" s="724" t="str">
        <f t="shared" si="0"/>
        <v/>
      </c>
      <c r="AV13" s="723">
        <f>IF('7. Net changes - MBS'!D69&lt;&gt;"",'7. Net changes - MBS'!D69,999999)</f>
        <v>999999</v>
      </c>
      <c r="AW13" s="723" t="e">
        <f>LOOKUP(2,1/(COUNTIF($AW$6:AW12,MBSItemsAll)=0),MBSItemsAll)</f>
        <v>#N/A</v>
      </c>
      <c r="AX13" s="731">
        <f>COUNTIF($AW$7:$AW$46, "&lt;" &amp; AW13)+COUNTIF($AW$7:AW13,AW13)</f>
        <v>45</v>
      </c>
      <c r="AY13" s="731" t="e">
        <f>INDEX($AW$7:$AW$46,MATCH(ROWS($AY$7:AY13),$AX$7:$AX$46,0))</f>
        <v>#N/A</v>
      </c>
    </row>
    <row r="14" spans="1:55" x14ac:dyDescent="0.2">
      <c r="A14" s="162"/>
      <c r="B14" s="270"/>
      <c r="C14" s="270"/>
      <c r="D14" s="270"/>
      <c r="E14" s="270"/>
      <c r="F14" s="270"/>
      <c r="G14" s="270"/>
      <c r="H14" s="270"/>
      <c r="I14" s="128"/>
      <c r="J14" s="275" t="s">
        <v>149</v>
      </c>
      <c r="K14" s="128"/>
      <c r="L14" s="270"/>
      <c r="M14" s="270"/>
      <c r="N14" s="270"/>
      <c r="O14" s="270"/>
      <c r="P14" s="128"/>
      <c r="Q14" s="128"/>
      <c r="R14" s="270"/>
      <c r="S14" s="128"/>
      <c r="T14" s="128"/>
      <c r="U14" s="128"/>
      <c r="V14" s="128"/>
      <c r="W14" s="275" t="s">
        <v>178</v>
      </c>
      <c r="X14" s="275" t="s">
        <v>179</v>
      </c>
      <c r="Y14" s="275">
        <v>1</v>
      </c>
      <c r="Z14" s="128"/>
      <c r="AA14" s="72" t="s">
        <v>154</v>
      </c>
      <c r="AB14" s="275" t="s">
        <v>211</v>
      </c>
      <c r="AC14" s="435"/>
      <c r="AD14" s="208">
        <v>8</v>
      </c>
      <c r="AE14" s="88" t="str">
        <f>'8. ABS population'!D145</f>
        <v>** NOT USED **</v>
      </c>
      <c r="AF14" s="88" t="str">
        <f>'9. AIHW population'!D138</f>
        <v>** NOT USED **</v>
      </c>
      <c r="AG14" s="88" t="str">
        <f>'10. Registry population'!D138</f>
        <v>** NOT USED **</v>
      </c>
      <c r="AH14" s="324" t="str">
        <f>MsgNotUsed</f>
        <v>** NOT USED **</v>
      </c>
      <c r="AI14" s="128" t="s">
        <v>419</v>
      </c>
      <c r="AJ14" s="128"/>
      <c r="AK14" s="72" t="s">
        <v>349</v>
      </c>
      <c r="AL14" s="533">
        <f>'8. ABS population'!E15</f>
        <v>0</v>
      </c>
      <c r="AM14" s="533">
        <f>'8. ABS population'!F15</f>
        <v>0</v>
      </c>
      <c r="AN14" s="533">
        <f>'8. ABS population'!G15</f>
        <v>0</v>
      </c>
      <c r="AO14" s="533">
        <f>'8. ABS population'!H15</f>
        <v>0</v>
      </c>
      <c r="AP14" s="533">
        <f>'8. ABS population'!I15</f>
        <v>0</v>
      </c>
      <c r="AQ14" s="533">
        <f>'8. ABS population'!J15</f>
        <v>0</v>
      </c>
      <c r="AR14"/>
      <c r="AT14" s="72" t="s">
        <v>1295</v>
      </c>
      <c r="AU14" s="724" t="str">
        <f t="shared" si="0"/>
        <v/>
      </c>
      <c r="AV14" s="723">
        <f>IF('7. Net changes - MBS'!D70&lt;&gt;"",'7. Net changes - MBS'!D70,999999)</f>
        <v>999999</v>
      </c>
      <c r="AW14" s="723" t="e">
        <f>LOOKUP(2,1/(COUNTIF($AW$6:AW13,MBSItemsAll)=0),MBSItemsAll)</f>
        <v>#N/A</v>
      </c>
      <c r="AX14" s="731">
        <f>COUNTIF($AW$7:$AW$46, "&lt;" &amp; AW14)+COUNTIF($AW$7:AW14,AW14)</f>
        <v>46</v>
      </c>
      <c r="AY14" s="731" t="e">
        <f>INDEX($AW$7:$AW$46,MATCH(ROWS($AY$7:AY14),$AX$7:$AX$46,0))</f>
        <v>#N/A</v>
      </c>
    </row>
    <row r="15" spans="1:55" x14ac:dyDescent="0.2">
      <c r="A15" s="162"/>
      <c r="B15" s="270"/>
      <c r="C15" s="270"/>
      <c r="D15" s="270"/>
      <c r="E15" s="270"/>
      <c r="F15" s="270"/>
      <c r="G15" s="270"/>
      <c r="H15" s="270"/>
      <c r="I15" s="128"/>
      <c r="J15" s="275" t="s">
        <v>150</v>
      </c>
      <c r="K15" s="128"/>
      <c r="L15" s="270"/>
      <c r="M15" s="270"/>
      <c r="N15" s="270"/>
      <c r="O15" s="270"/>
      <c r="P15" s="128"/>
      <c r="Q15" s="128"/>
      <c r="R15" s="270"/>
      <c r="S15" s="128"/>
      <c r="T15" s="128"/>
      <c r="U15" s="128"/>
      <c r="V15" s="128"/>
      <c r="W15" s="275" t="s">
        <v>180</v>
      </c>
      <c r="X15" s="275" t="s">
        <v>181</v>
      </c>
      <c r="Y15" s="275">
        <v>1</v>
      </c>
      <c r="Z15" s="128"/>
      <c r="AA15" s="72" t="s">
        <v>157</v>
      </c>
      <c r="AB15" s="275" t="s">
        <v>212</v>
      </c>
      <c r="AC15" s="435"/>
      <c r="AD15" s="208">
        <v>9</v>
      </c>
      <c r="AE15" s="88" t="str">
        <f>'8. ABS population'!D163</f>
        <v>** NOT USED **</v>
      </c>
      <c r="AF15" s="88" t="str">
        <f>'9. AIHW population'!D155</f>
        <v>** NOT USED **</v>
      </c>
      <c r="AG15" s="88" t="str">
        <f>'10. Registry population'!D155</f>
        <v>** NOT USED **</v>
      </c>
      <c r="AH15" s="324" t="str">
        <f>MsgNotUsed</f>
        <v>** NOT USED **</v>
      </c>
      <c r="AI15" s="128" t="s">
        <v>419</v>
      </c>
      <c r="AJ15" s="128"/>
      <c r="AK15" s="72" t="s">
        <v>350</v>
      </c>
      <c r="AL15" s="533">
        <f>'8. ABS population'!E16</f>
        <v>0</v>
      </c>
      <c r="AM15" s="533">
        <f>'8. ABS population'!F16</f>
        <v>0</v>
      </c>
      <c r="AN15" s="533">
        <f>'8. ABS population'!G16</f>
        <v>0</v>
      </c>
      <c r="AO15" s="533">
        <f>'8. ABS population'!H16</f>
        <v>0</v>
      </c>
      <c r="AP15" s="533">
        <f>'8. ABS population'!I16</f>
        <v>0</v>
      </c>
      <c r="AQ15" s="533">
        <f>'8. ABS population'!J16</f>
        <v>0</v>
      </c>
      <c r="AR15"/>
      <c r="AT15" s="72" t="s">
        <v>1296</v>
      </c>
      <c r="AU15" s="724" t="str">
        <f t="shared" si="0"/>
        <v/>
      </c>
      <c r="AV15" s="723">
        <f>IF('7. Net changes - MBS'!D71&lt;&gt;"",'7. Net changes - MBS'!D71,999999)</f>
        <v>999999</v>
      </c>
      <c r="AW15" s="723" t="e">
        <f>LOOKUP(2,1/(COUNTIF($AW$6:AW14,MBSItemsAll)=0),MBSItemsAll)</f>
        <v>#N/A</v>
      </c>
      <c r="AX15" s="731">
        <f>COUNTIF($AW$7:$AW$46, "&lt;" &amp; AW15)+COUNTIF($AW$7:AW15,AW15)</f>
        <v>47</v>
      </c>
      <c r="AY15" s="731" t="e">
        <f>INDEX($AW$7:$AW$46,MATCH(ROWS($AY$7:AY15),$AX$7:$AX$46,0))</f>
        <v>#N/A</v>
      </c>
    </row>
    <row r="16" spans="1:55" x14ac:dyDescent="0.2">
      <c r="A16" s="75"/>
      <c r="B16" s="270"/>
      <c r="C16" s="270"/>
      <c r="D16" s="270"/>
      <c r="E16" s="270"/>
      <c r="F16" s="270"/>
      <c r="G16" s="270"/>
      <c r="H16" s="270"/>
      <c r="I16" s="128"/>
      <c r="J16" s="275" t="s">
        <v>639</v>
      </c>
      <c r="K16" s="128"/>
      <c r="L16" s="270"/>
      <c r="M16" s="270"/>
      <c r="N16" s="270"/>
      <c r="O16" s="270"/>
      <c r="P16" s="128"/>
      <c r="Q16" s="128"/>
      <c r="R16" s="270"/>
      <c r="S16" s="128"/>
      <c r="T16" s="128"/>
      <c r="V16" s="128"/>
      <c r="W16" s="275" t="s">
        <v>182</v>
      </c>
      <c r="X16" s="275" t="s">
        <v>183</v>
      </c>
      <c r="Y16" s="275">
        <v>0</v>
      </c>
      <c r="Z16" s="128"/>
      <c r="AA16" s="209"/>
      <c r="AB16" s="210"/>
      <c r="AC16" s="435"/>
      <c r="AD16" s="208">
        <v>10</v>
      </c>
      <c r="AE16" s="88" t="str">
        <f>'8. ABS population'!D181</f>
        <v>** NOT USED **</v>
      </c>
      <c r="AF16" s="88" t="str">
        <f>'9. AIHW population'!D172</f>
        <v>** NOT USED **</v>
      </c>
      <c r="AG16" s="88" t="str">
        <f>'10. Registry population'!D172</f>
        <v>** NOT USED **</v>
      </c>
      <c r="AH16" s="324" t="str">
        <f>MsgNotUsed</f>
        <v>** NOT USED **</v>
      </c>
      <c r="AI16" s="128" t="s">
        <v>419</v>
      </c>
      <c r="AJ16" s="128"/>
      <c r="AK16" s="72" t="s">
        <v>351</v>
      </c>
      <c r="AL16" s="533">
        <f>'8. ABS population'!E17</f>
        <v>0</v>
      </c>
      <c r="AM16" s="533">
        <f>'8. ABS population'!F17</f>
        <v>0</v>
      </c>
      <c r="AN16" s="533">
        <f>'8. ABS population'!G17</f>
        <v>0</v>
      </c>
      <c r="AO16" s="533">
        <f>'8. ABS population'!H17</f>
        <v>0</v>
      </c>
      <c r="AP16" s="533">
        <f>'8. ABS population'!I17</f>
        <v>0</v>
      </c>
      <c r="AQ16" s="533">
        <f>'8. ABS population'!J17</f>
        <v>0</v>
      </c>
      <c r="AR16"/>
      <c r="AT16" s="72" t="s">
        <v>1257</v>
      </c>
      <c r="AU16" s="724" t="str">
        <f t="shared" si="0"/>
        <v/>
      </c>
      <c r="AV16" s="723">
        <f>IF('7. Net changes - MBS'!D72&lt;&gt;"",'7. Net changes - MBS'!D72,999999)</f>
        <v>999999</v>
      </c>
      <c r="AW16" s="723" t="e">
        <f>LOOKUP(2,1/(COUNTIF($AW$6:AW15,MBSItemsAll)=0),MBSItemsAll)</f>
        <v>#N/A</v>
      </c>
      <c r="AX16" s="731">
        <f>COUNTIF($AW$7:$AW$46, "&lt;" &amp; AW16)+COUNTIF($AW$7:AW16,AW16)</f>
        <v>48</v>
      </c>
      <c r="AY16" s="731" t="e">
        <f>INDEX($AW$7:$AW$46,MATCH(ROWS($AY$7:AY16),$AX$7:$AX$46,0))</f>
        <v>#N/A</v>
      </c>
    </row>
    <row r="17" spans="1:51" ht="12.75" customHeight="1" x14ac:dyDescent="0.2">
      <c r="A17" s="75"/>
      <c r="B17" s="927" t="s">
        <v>115</v>
      </c>
      <c r="C17" s="865"/>
      <c r="D17" s="128"/>
      <c r="E17" s="924" t="s">
        <v>271</v>
      </c>
      <c r="F17" s="925"/>
      <c r="G17" s="128"/>
      <c r="I17" s="128"/>
      <c r="J17" s="275" t="s">
        <v>640</v>
      </c>
      <c r="K17" s="128"/>
      <c r="L17" s="924" t="s">
        <v>1256</v>
      </c>
      <c r="M17" s="924"/>
      <c r="N17" s="925"/>
      <c r="O17" s="270"/>
      <c r="P17" s="128"/>
      <c r="Q17" s="128"/>
      <c r="V17" s="128"/>
      <c r="W17" s="275" t="s">
        <v>186</v>
      </c>
      <c r="X17" s="275" t="s">
        <v>187</v>
      </c>
      <c r="Y17" s="275">
        <v>0</v>
      </c>
      <c r="Z17" s="128"/>
      <c r="AA17" s="72" t="s">
        <v>139</v>
      </c>
      <c r="AB17" s="275" t="s">
        <v>162</v>
      </c>
      <c r="AC17" s="435"/>
      <c r="AD17" s="128"/>
      <c r="AE17" s="214">
        <f>COUNTIF(AE7:AE16,"&lt;&gt;"&amp;MsgNotUsed)</f>
        <v>0</v>
      </c>
      <c r="AF17" s="214">
        <f>COUNTIF(AF7:AF16,"&lt;&gt;"&amp;MsgNotUsed)</f>
        <v>0</v>
      </c>
      <c r="AG17" s="214">
        <f>COUNTIF(AG7:AG16,"&lt;&gt;"&amp;MsgNotUsed)</f>
        <v>0</v>
      </c>
      <c r="AH17" s="214">
        <f>COUNTIF(AH7:AH16,"&lt;&gt;"&amp;MsgNotUsed)</f>
        <v>0</v>
      </c>
      <c r="AI17" s="128"/>
      <c r="AJ17" s="128"/>
      <c r="AK17" s="72" t="s">
        <v>332</v>
      </c>
      <c r="AL17" s="533">
        <f>'9. AIHW population'!E8</f>
        <v>0</v>
      </c>
      <c r="AM17" s="533">
        <f>'9. AIHW population'!F8</f>
        <v>0</v>
      </c>
      <c r="AN17" s="533">
        <f>'9. AIHW population'!G8</f>
        <v>0</v>
      </c>
      <c r="AO17" s="533">
        <f>'9. AIHW population'!H8</f>
        <v>0</v>
      </c>
      <c r="AP17" s="533">
        <f>'9. AIHW population'!I8</f>
        <v>0</v>
      </c>
      <c r="AQ17" s="533">
        <f>'9. AIHW population'!J8</f>
        <v>0</v>
      </c>
      <c r="AR17"/>
      <c r="AT17" s="72" t="s">
        <v>1258</v>
      </c>
      <c r="AU17" s="724" t="str">
        <f t="shared" si="0"/>
        <v/>
      </c>
      <c r="AV17" s="737">
        <f>IF('7. Net changes - MBS'!D73&lt;&gt;"",'7. Net changes - MBS'!D73,999999)</f>
        <v>999999</v>
      </c>
      <c r="AW17" s="723" t="e">
        <f>LOOKUP(2,1/(COUNTIF($AW$6:AW16,MBSItemsAll)=0),MBSItemsAll)</f>
        <v>#N/A</v>
      </c>
      <c r="AX17" s="731">
        <f>COUNTIF($AW$7:$AW$46, "&lt;" &amp; AW17)+COUNTIF($AW$7:AW17,AW17)</f>
        <v>49</v>
      </c>
      <c r="AY17" s="731" t="e">
        <f>INDEX($AW$7:$AW$46,MATCH(ROWS($AY$7:AY17),$AX$7:$AX$46,0))</f>
        <v>#N/A</v>
      </c>
    </row>
    <row r="18" spans="1:51" x14ac:dyDescent="0.2">
      <c r="A18" s="75"/>
      <c r="B18" s="276" t="s">
        <v>116</v>
      </c>
      <c r="C18" s="275">
        <v>1</v>
      </c>
      <c r="D18" s="128"/>
      <c r="E18" s="275" t="s">
        <v>272</v>
      </c>
      <c r="F18" s="275">
        <v>1</v>
      </c>
      <c r="G18" s="128"/>
      <c r="I18" s="128"/>
      <c r="J18" s="275" t="s">
        <v>641</v>
      </c>
      <c r="K18" s="128"/>
      <c r="L18" s="275" t="s">
        <v>368</v>
      </c>
      <c r="M18" s="275">
        <v>1</v>
      </c>
      <c r="N18" s="576">
        <v>365.25</v>
      </c>
      <c r="O18" s="270"/>
      <c r="P18" s="128"/>
      <c r="Q18" s="128"/>
      <c r="V18" s="128"/>
      <c r="W18" s="275" t="s">
        <v>188</v>
      </c>
      <c r="X18" s="275" t="s">
        <v>189</v>
      </c>
      <c r="Y18" s="275">
        <v>0</v>
      </c>
      <c r="Z18" s="128"/>
      <c r="AA18" s="72" t="s">
        <v>736</v>
      </c>
      <c r="AB18" s="275" t="s">
        <v>737</v>
      </c>
      <c r="AC18" s="435"/>
      <c r="AD18" s="128"/>
      <c r="AE18" s="128"/>
      <c r="AF18" s="128"/>
      <c r="AG18" s="128"/>
      <c r="AH18" s="211" t="s">
        <v>363</v>
      </c>
      <c r="AI18" s="212">
        <f>COUNT(AD7:AD16)</f>
        <v>10</v>
      </c>
      <c r="AJ18" s="128"/>
      <c r="AK18" s="72" t="s">
        <v>333</v>
      </c>
      <c r="AL18" s="533">
        <f>'9. AIHW population'!E9</f>
        <v>0</v>
      </c>
      <c r="AM18" s="533">
        <f>'9. AIHW population'!F9</f>
        <v>0</v>
      </c>
      <c r="AN18" s="533">
        <f>'9. AIHW population'!G9</f>
        <v>0</v>
      </c>
      <c r="AO18" s="533">
        <f>'9. AIHW population'!H9</f>
        <v>0</v>
      </c>
      <c r="AP18" s="533">
        <f>'9. AIHW population'!I9</f>
        <v>0</v>
      </c>
      <c r="AQ18" s="533">
        <f>'9. AIHW population'!J9</f>
        <v>0</v>
      </c>
      <c r="AR18"/>
      <c r="AT18" s="72" t="s">
        <v>1259</v>
      </c>
      <c r="AU18" s="724" t="str">
        <f t="shared" si="0"/>
        <v/>
      </c>
      <c r="AV18" s="737">
        <f>IF('7. Net changes - MBS'!D74&lt;&gt;"",'7. Net changes - MBS'!D74,999999)</f>
        <v>999999</v>
      </c>
      <c r="AW18" s="723" t="e">
        <f>LOOKUP(2,1/(COUNTIF($AW$6:AW17,MBSItemsAll)=0),MBSItemsAll)</f>
        <v>#N/A</v>
      </c>
      <c r="AX18" s="731">
        <f>COUNTIF($AW$7:$AW$46, "&lt;" &amp; AW18)+COUNTIF($AW$7:AW18,AW18)</f>
        <v>50</v>
      </c>
      <c r="AY18" s="731" t="e">
        <f>INDEX($AW$7:$AW$46,MATCH(ROWS($AY$7:AY18),$AX$7:$AX$46,0))</f>
        <v>#N/A</v>
      </c>
    </row>
    <row r="19" spans="1:51" x14ac:dyDescent="0.2">
      <c r="A19" s="75"/>
      <c r="B19" s="275" t="s">
        <v>117</v>
      </c>
      <c r="C19" s="275">
        <v>3</v>
      </c>
      <c r="D19" s="128"/>
      <c r="E19" s="275" t="s">
        <v>273</v>
      </c>
      <c r="F19" s="275">
        <v>2</v>
      </c>
      <c r="G19" s="128"/>
      <c r="I19" s="128"/>
      <c r="J19" s="275" t="s">
        <v>644</v>
      </c>
      <c r="K19" s="128"/>
      <c r="L19" s="275" t="s">
        <v>369</v>
      </c>
      <c r="M19" s="275">
        <v>2</v>
      </c>
      <c r="N19" s="576">
        <v>52</v>
      </c>
      <c r="O19" s="270"/>
      <c r="P19" s="128"/>
      <c r="Q19" s="128"/>
      <c r="V19" s="128"/>
      <c r="W19" s="275" t="s">
        <v>190</v>
      </c>
      <c r="X19" s="275" t="s">
        <v>191</v>
      </c>
      <c r="Y19" s="275">
        <v>0</v>
      </c>
      <c r="Z19" s="128"/>
      <c r="AA19" s="172"/>
      <c r="AB19" s="128"/>
      <c r="AC19" s="435"/>
      <c r="AD19" s="128"/>
      <c r="AE19" s="128"/>
      <c r="AF19" s="128"/>
      <c r="AG19" s="128"/>
      <c r="AH19" s="128"/>
      <c r="AI19" s="128"/>
      <c r="AJ19" s="128"/>
      <c r="AK19" s="72" t="s">
        <v>334</v>
      </c>
      <c r="AL19" s="533">
        <f>'9. AIHW population'!E10</f>
        <v>0</v>
      </c>
      <c r="AM19" s="533">
        <f>'9. AIHW population'!F10</f>
        <v>0</v>
      </c>
      <c r="AN19" s="533">
        <f>'9. AIHW population'!G10</f>
        <v>0</v>
      </c>
      <c r="AO19" s="533">
        <f>'9. AIHW population'!H10</f>
        <v>0</v>
      </c>
      <c r="AP19" s="533">
        <f>'9. AIHW population'!I10</f>
        <v>0</v>
      </c>
      <c r="AQ19" s="533">
        <f>'9. AIHW population'!J10</f>
        <v>0</v>
      </c>
      <c r="AR19"/>
      <c r="AT19" s="72" t="s">
        <v>1260</v>
      </c>
      <c r="AU19" s="724" t="str">
        <f t="shared" si="0"/>
        <v/>
      </c>
      <c r="AV19" s="737">
        <f>IF('7. Net changes - MBS'!D75&lt;&gt;"",'7. Net changes - MBS'!D75,999999)</f>
        <v>999999</v>
      </c>
      <c r="AW19" s="723" t="e">
        <f>LOOKUP(2,1/(COUNTIF($AW$6:AW18,MBSItemsAll)=0),MBSItemsAll)</f>
        <v>#N/A</v>
      </c>
      <c r="AX19" s="731">
        <f>COUNTIF($AW$7:$AW$46, "&lt;" &amp; AW19)+COUNTIF($AW$7:AW19,AW19)</f>
        <v>51</v>
      </c>
      <c r="AY19" s="731" t="e">
        <f>INDEX($AW$7:$AW$46,MATCH(ROWS($AY$7:AY19),$AX$7:$AX$46,0))</f>
        <v>#N/A</v>
      </c>
    </row>
    <row r="20" spans="1:51" x14ac:dyDescent="0.2">
      <c r="A20" s="75"/>
      <c r="B20" s="275" t="s">
        <v>118</v>
      </c>
      <c r="C20" s="275">
        <v>2</v>
      </c>
      <c r="D20" s="128"/>
      <c r="E20" s="275" t="s">
        <v>54</v>
      </c>
      <c r="F20" s="275">
        <v>3</v>
      </c>
      <c r="G20" s="128"/>
      <c r="H20" s="128"/>
      <c r="I20" s="128"/>
      <c r="J20" s="275" t="s">
        <v>645</v>
      </c>
      <c r="K20" s="128"/>
      <c r="L20" s="275" t="s">
        <v>370</v>
      </c>
      <c r="M20" s="275">
        <v>3</v>
      </c>
      <c r="N20" s="577">
        <v>12</v>
      </c>
      <c r="O20" s="270"/>
      <c r="P20" s="128"/>
      <c r="Q20" s="128"/>
      <c r="V20" s="128"/>
      <c r="W20" s="275" t="s">
        <v>192</v>
      </c>
      <c r="X20" s="275" t="s">
        <v>1</v>
      </c>
      <c r="Y20" s="275">
        <v>0</v>
      </c>
      <c r="Z20" s="128"/>
      <c r="AA20" s="172"/>
      <c r="AB20" s="128"/>
      <c r="AC20" s="435"/>
      <c r="AD20" s="128"/>
      <c r="AE20" s="128"/>
      <c r="AF20" s="128"/>
      <c r="AG20" s="128"/>
      <c r="AH20" s="128"/>
      <c r="AI20" s="128"/>
      <c r="AJ20" s="128"/>
      <c r="AK20" s="72" t="s">
        <v>335</v>
      </c>
      <c r="AL20" s="533">
        <f>'9. AIHW population'!E11</f>
        <v>0</v>
      </c>
      <c r="AM20" s="533">
        <f>'9. AIHW population'!F11</f>
        <v>0</v>
      </c>
      <c r="AN20" s="533">
        <f>'9. AIHW population'!G11</f>
        <v>0</v>
      </c>
      <c r="AO20" s="533">
        <f>'9. AIHW population'!H11</f>
        <v>0</v>
      </c>
      <c r="AP20" s="533">
        <f>'9. AIHW population'!I11</f>
        <v>0</v>
      </c>
      <c r="AQ20" s="533">
        <f>'9. AIHW population'!J11</f>
        <v>0</v>
      </c>
      <c r="AR20"/>
      <c r="AT20" s="72" t="s">
        <v>1261</v>
      </c>
      <c r="AU20" s="724" t="str">
        <f t="shared" si="0"/>
        <v/>
      </c>
      <c r="AV20" s="737">
        <f>IF('7. Net changes - MBS'!D76&lt;&gt;"",'7. Net changes - MBS'!D76,999999)</f>
        <v>999999</v>
      </c>
      <c r="AW20" s="723" t="e">
        <f>LOOKUP(2,1/(COUNTIF($AW$6:AW19,MBSItemsAll)=0),MBSItemsAll)</f>
        <v>#N/A</v>
      </c>
      <c r="AX20" s="731">
        <f>COUNTIF($AW$7:$AW$46, "&lt;" &amp; AW20)+COUNTIF($AW$7:AW20,AW20)</f>
        <v>52</v>
      </c>
      <c r="AY20" s="731" t="e">
        <f>INDEX($AW$7:$AW$46,MATCH(ROWS($AY$7:AY20),$AX$7:$AX$46,0))</f>
        <v>#N/A</v>
      </c>
    </row>
    <row r="21" spans="1:51" x14ac:dyDescent="0.2">
      <c r="A21" s="75"/>
      <c r="B21" s="128"/>
      <c r="C21" s="128"/>
      <c r="D21" s="128"/>
      <c r="E21" s="275" t="s">
        <v>1033</v>
      </c>
      <c r="F21" s="275">
        <v>4</v>
      </c>
      <c r="G21" s="128"/>
      <c r="H21" s="128"/>
      <c r="I21" s="128"/>
      <c r="J21" s="275" t="s">
        <v>642</v>
      </c>
      <c r="K21" s="128"/>
      <c r="L21" s="270"/>
      <c r="M21" s="270"/>
      <c r="N21" s="270"/>
      <c r="O21" s="270"/>
      <c r="P21" s="128"/>
      <c r="Q21" s="128"/>
      <c r="V21" s="128"/>
      <c r="W21" s="275" t="s">
        <v>193</v>
      </c>
      <c r="X21" s="275" t="s">
        <v>194</v>
      </c>
      <c r="Y21" s="275">
        <v>0</v>
      </c>
      <c r="Z21" s="128"/>
      <c r="AA21" s="923" t="s">
        <v>652</v>
      </c>
      <c r="AB21" s="923"/>
      <c r="AC21" s="435"/>
      <c r="AD21" s="128"/>
      <c r="AE21" s="923" t="s">
        <v>383</v>
      </c>
      <c r="AF21" s="923"/>
      <c r="AG21" s="923"/>
      <c r="AH21" s="923"/>
      <c r="AI21" s="128"/>
      <c r="AJ21" s="128"/>
      <c r="AK21" s="72" t="s">
        <v>336</v>
      </c>
      <c r="AL21" s="533">
        <f>'9. AIHW population'!E12</f>
        <v>0</v>
      </c>
      <c r="AM21" s="533">
        <f>'9. AIHW population'!F12</f>
        <v>0</v>
      </c>
      <c r="AN21" s="533">
        <f>'9. AIHW population'!G12</f>
        <v>0</v>
      </c>
      <c r="AO21" s="533">
        <f>'9. AIHW population'!H12</f>
        <v>0</v>
      </c>
      <c r="AP21" s="533">
        <f>'9. AIHW population'!I12</f>
        <v>0</v>
      </c>
      <c r="AQ21" s="533">
        <f>'9. AIHW population'!J12</f>
        <v>0</v>
      </c>
      <c r="AR21"/>
      <c r="AT21" s="72" t="s">
        <v>1262</v>
      </c>
      <c r="AU21" s="724" t="str">
        <f t="shared" si="0"/>
        <v/>
      </c>
      <c r="AV21" s="737">
        <f>IF('7. Net changes - MBS'!D77&lt;&gt;"",'7. Net changes - MBS'!D77,999999)</f>
        <v>999999</v>
      </c>
      <c r="AW21" s="723" t="e">
        <f>LOOKUP(2,1/(COUNTIF($AW$6:AW20,MBSItemsAll)=0),MBSItemsAll)</f>
        <v>#N/A</v>
      </c>
      <c r="AX21" s="731">
        <f>COUNTIF($AW$7:$AW$46, "&lt;" &amp; AW21)+COUNTIF($AW$7:AW21,AW21)</f>
        <v>53</v>
      </c>
      <c r="AY21" s="731" t="e">
        <f>INDEX($AW$7:$AW$46,MATCH(ROWS($AY$7:AY21),$AX$7:$AX$46,0))</f>
        <v>#N/A</v>
      </c>
    </row>
    <row r="22" spans="1:51" x14ac:dyDescent="0.2">
      <c r="A22" s="75"/>
      <c r="B22" s="128"/>
      <c r="C22" s="128"/>
      <c r="D22" s="128"/>
      <c r="E22" s="128"/>
      <c r="F22" s="128"/>
      <c r="G22" s="128"/>
      <c r="H22" s="128"/>
      <c r="I22" s="128"/>
      <c r="J22" s="275" t="s">
        <v>646</v>
      </c>
      <c r="K22" s="128"/>
      <c r="L22" s="270"/>
      <c r="M22" s="270"/>
      <c r="N22" s="270"/>
      <c r="O22" s="270"/>
      <c r="P22" s="128"/>
      <c r="Q22" s="128"/>
      <c r="R22" s="270"/>
      <c r="S22" s="128"/>
      <c r="T22" s="128"/>
      <c r="V22" s="128"/>
      <c r="W22" s="275" t="s">
        <v>196</v>
      </c>
      <c r="X22" s="275" t="s">
        <v>197</v>
      </c>
      <c r="Y22" s="275">
        <v>0</v>
      </c>
      <c r="Z22" s="128"/>
      <c r="AA22" s="539" t="s">
        <v>669</v>
      </c>
      <c r="AB22" s="539" t="s">
        <v>668</v>
      </c>
      <c r="AC22" s="435"/>
      <c r="AD22" s="128"/>
      <c r="AE22" s="206" t="s">
        <v>380</v>
      </c>
      <c r="AF22" s="206" t="s">
        <v>381</v>
      </c>
      <c r="AG22" s="206" t="s">
        <v>175</v>
      </c>
      <c r="AH22" s="216" t="s">
        <v>382</v>
      </c>
      <c r="AI22" s="128"/>
      <c r="AJ22" s="128"/>
      <c r="AK22" s="72" t="s">
        <v>352</v>
      </c>
      <c r="AL22" s="533">
        <f>'9. AIHW population'!E13</f>
        <v>0</v>
      </c>
      <c r="AM22" s="533">
        <f>'9. AIHW population'!F13</f>
        <v>0</v>
      </c>
      <c r="AN22" s="533">
        <f>'9. AIHW population'!G13</f>
        <v>0</v>
      </c>
      <c r="AO22" s="533">
        <f>'9. AIHW population'!H13</f>
        <v>0</v>
      </c>
      <c r="AP22" s="533">
        <f>'9. AIHW population'!I13</f>
        <v>0</v>
      </c>
      <c r="AQ22" s="533">
        <f>'9. AIHW population'!J13</f>
        <v>0</v>
      </c>
      <c r="AR22"/>
      <c r="AT22" s="72" t="s">
        <v>1263</v>
      </c>
      <c r="AU22" s="724" t="str">
        <f t="shared" si="0"/>
        <v/>
      </c>
      <c r="AV22" s="737">
        <f>IF('7. Net changes - MBS'!D78&lt;&gt;"",'7. Net changes - MBS'!D78,999999)</f>
        <v>999999</v>
      </c>
      <c r="AW22" s="723" t="e">
        <f>LOOKUP(2,1/(COUNTIF($AW$6:AW21,MBSItemsAll)=0),MBSItemsAll)</f>
        <v>#N/A</v>
      </c>
      <c r="AX22" s="731">
        <f>COUNTIF($AW$7:$AW$46, "&lt;" &amp; AW22)+COUNTIF($AW$7:AW22,AW22)</f>
        <v>54</v>
      </c>
      <c r="AY22" s="731" t="e">
        <f>INDEX($AW$7:$AW$46,MATCH(ROWS($AY$7:AY22),$AX$7:$AX$46,0))</f>
        <v>#N/A</v>
      </c>
    </row>
    <row r="23" spans="1:51" x14ac:dyDescent="0.2">
      <c r="A23" s="75"/>
      <c r="B23" s="128"/>
      <c r="C23" s="128"/>
      <c r="D23" s="128"/>
      <c r="E23" s="128"/>
      <c r="F23" s="128"/>
      <c r="G23" s="128"/>
      <c r="H23" s="128"/>
      <c r="I23" s="128"/>
      <c r="J23" s="275" t="s">
        <v>647</v>
      </c>
      <c r="K23" s="128"/>
      <c r="L23" s="270"/>
      <c r="M23" s="270"/>
      <c r="N23" s="270"/>
      <c r="O23" s="270"/>
      <c r="P23" s="128"/>
      <c r="Q23" s="128"/>
      <c r="R23" s="270"/>
      <c r="S23" s="128"/>
      <c r="T23" s="128"/>
      <c r="V23" s="128"/>
      <c r="W23" s="128"/>
      <c r="X23" s="128"/>
      <c r="Y23" s="128"/>
      <c r="Z23" s="128"/>
      <c r="AA23" s="539" t="s">
        <v>962</v>
      </c>
      <c r="AB23" s="539" t="s">
        <v>1174</v>
      </c>
      <c r="AC23" s="435"/>
      <c r="AD23" s="208">
        <v>1</v>
      </c>
      <c r="AE23" s="88" t="str">
        <f>'2a. Patients - incident'!D20</f>
        <v>** NOT USED **</v>
      </c>
      <c r="AF23" s="88" t="str">
        <f>'2b. Patients - prevalent'!D20</f>
        <v>** NOT USED **</v>
      </c>
      <c r="AG23" s="88" t="str">
        <f>'2c. Patients - GF'!D20</f>
        <v>** NOT USED **</v>
      </c>
      <c r="AH23" s="217" t="s">
        <v>421</v>
      </c>
      <c r="AI23" s="128" t="s">
        <v>419</v>
      </c>
      <c r="AJ23" s="128"/>
      <c r="AK23" s="72" t="s">
        <v>353</v>
      </c>
      <c r="AL23" s="533">
        <f>'9. AIHW population'!E14</f>
        <v>0</v>
      </c>
      <c r="AM23" s="533">
        <f>'9. AIHW population'!F14</f>
        <v>0</v>
      </c>
      <c r="AN23" s="533">
        <f>'9. AIHW population'!G14</f>
        <v>0</v>
      </c>
      <c r="AO23" s="533">
        <f>'9. AIHW population'!H14</f>
        <v>0</v>
      </c>
      <c r="AP23" s="533">
        <f>'9. AIHW population'!I14</f>
        <v>0</v>
      </c>
      <c r="AQ23" s="533">
        <f>'9. AIHW population'!J14</f>
        <v>0</v>
      </c>
      <c r="AR23"/>
      <c r="AT23" s="72" t="s">
        <v>1264</v>
      </c>
      <c r="AU23" s="724" t="str">
        <f t="shared" si="0"/>
        <v/>
      </c>
      <c r="AV23" s="737">
        <f>IF('7. Net changes - MBS'!D79&lt;&gt;"",'7. Net changes - MBS'!D79,999999)</f>
        <v>999999</v>
      </c>
      <c r="AW23" s="723" t="e">
        <f>LOOKUP(2,1/(COUNTIF($AW$6:AW22,MBSItemsAll)=0),MBSItemsAll)</f>
        <v>#N/A</v>
      </c>
      <c r="AX23" s="731">
        <f>COUNTIF($AW$7:$AW$46, "&lt;" &amp; AW23)+COUNTIF($AW$7:AW23,AW23)</f>
        <v>55</v>
      </c>
      <c r="AY23" s="731" t="e">
        <f>INDEX($AW$7:$AW$46,MATCH(ROWS($AY$7:AY23),$AX$7:$AX$46,0))</f>
        <v>#N/A</v>
      </c>
    </row>
    <row r="24" spans="1:51" x14ac:dyDescent="0.2">
      <c r="A24" s="75"/>
      <c r="B24" s="128"/>
      <c r="C24" s="128"/>
      <c r="D24" s="128"/>
      <c r="E24" s="128"/>
      <c r="F24" s="128"/>
      <c r="G24" s="128"/>
      <c r="H24" s="128"/>
      <c r="I24" s="128"/>
      <c r="J24" s="275" t="s">
        <v>643</v>
      </c>
      <c r="K24" s="128"/>
      <c r="L24" s="270"/>
      <c r="M24" s="270"/>
      <c r="N24" s="270"/>
      <c r="O24" s="270"/>
      <c r="P24" s="128"/>
      <c r="Q24" s="128"/>
      <c r="R24" s="270"/>
      <c r="S24" s="128"/>
      <c r="T24" s="128"/>
      <c r="U24" s="128"/>
      <c r="V24" s="128"/>
      <c r="W24" s="128"/>
      <c r="X24" s="128"/>
      <c r="Y24" s="128"/>
      <c r="Z24" s="128"/>
      <c r="AA24" s="539" t="s">
        <v>653</v>
      </c>
      <c r="AB24" s="539" t="s">
        <v>655</v>
      </c>
      <c r="AC24" s="435"/>
      <c r="AD24" s="208">
        <v>2</v>
      </c>
      <c r="AE24" s="88" t="str">
        <f>'2a. Patients - incident'!D58</f>
        <v>** NOT USED **</v>
      </c>
      <c r="AF24" s="88" t="str">
        <f>'2b. Patients - prevalent'!D58</f>
        <v>** NOT USED **</v>
      </c>
      <c r="AG24" s="88" t="str">
        <f>'2c. Patients - GF'!D49</f>
        <v>** NOT USED **</v>
      </c>
      <c r="AH24" s="217" t="s">
        <v>422</v>
      </c>
      <c r="AI24" s="128" t="s">
        <v>419</v>
      </c>
      <c r="AJ24" s="128"/>
      <c r="AK24" s="72" t="s">
        <v>354</v>
      </c>
      <c r="AL24" s="533">
        <f>'9. AIHW population'!E15</f>
        <v>0</v>
      </c>
      <c r="AM24" s="533">
        <f>'9. AIHW population'!F15</f>
        <v>0</v>
      </c>
      <c r="AN24" s="533">
        <f>'9. AIHW population'!G15</f>
        <v>0</v>
      </c>
      <c r="AO24" s="533">
        <f>'9. AIHW population'!H15</f>
        <v>0</v>
      </c>
      <c r="AP24" s="533">
        <f>'9. AIHW population'!I15</f>
        <v>0</v>
      </c>
      <c r="AQ24" s="533">
        <f>'9. AIHW population'!J15</f>
        <v>0</v>
      </c>
      <c r="AR24"/>
      <c r="AT24" s="72" t="s">
        <v>1265</v>
      </c>
      <c r="AU24" s="724" t="str">
        <f t="shared" si="0"/>
        <v/>
      </c>
      <c r="AV24" s="737">
        <f>IF('7. Net changes - MBS'!D80&lt;&gt;"",'7. Net changes - MBS'!D80,999999)</f>
        <v>999999</v>
      </c>
      <c r="AW24" s="723" t="e">
        <f>LOOKUP(2,1/(COUNTIF($AW$6:AW23,MBSItemsAll)=0),MBSItemsAll)</f>
        <v>#N/A</v>
      </c>
      <c r="AX24" s="731">
        <f>COUNTIF($AW$7:$AW$46, "&lt;" &amp; AW24)+COUNTIF($AW$7:AW24,AW24)</f>
        <v>56</v>
      </c>
      <c r="AY24" s="731" t="e">
        <f>INDEX($AW$7:$AW$46,MATCH(ROWS($AY$7:AY24),$AX$7:$AX$46,0))</f>
        <v>#N/A</v>
      </c>
    </row>
    <row r="25" spans="1:51" x14ac:dyDescent="0.2">
      <c r="A25" s="75"/>
      <c r="B25" s="270"/>
      <c r="C25" s="270"/>
      <c r="D25" s="128"/>
      <c r="E25" s="128"/>
      <c r="F25" s="128"/>
      <c r="G25" s="128"/>
      <c r="H25" s="128"/>
      <c r="I25" s="128"/>
      <c r="J25" s="275" t="s">
        <v>1090</v>
      </c>
      <c r="K25" s="128"/>
      <c r="L25" s="270"/>
      <c r="M25" s="270"/>
      <c r="N25" s="270"/>
      <c r="O25" s="270"/>
      <c r="P25" s="128"/>
      <c r="Q25" s="128"/>
      <c r="R25" s="270"/>
      <c r="S25" s="128"/>
      <c r="T25" s="128"/>
      <c r="U25" s="128"/>
      <c r="V25" s="128"/>
      <c r="W25" s="128"/>
      <c r="Y25" s="128"/>
      <c r="Z25" s="128"/>
      <c r="AA25" s="539" t="s">
        <v>7</v>
      </c>
      <c r="AB25" s="539" t="s">
        <v>682</v>
      </c>
      <c r="AC25" s="435"/>
      <c r="AD25" s="208">
        <v>3</v>
      </c>
      <c r="AE25" s="88" t="str">
        <f>'2a. Patients - incident'!D96</f>
        <v>** NOT USED **</v>
      </c>
      <c r="AF25" s="88" t="str">
        <f>'2b. Patients - prevalent'!D96</f>
        <v>** NOT USED **</v>
      </c>
      <c r="AG25" s="88" t="str">
        <f>'2c. Patients - GF'!D78</f>
        <v>** NOT USED **</v>
      </c>
      <c r="AH25" s="217" t="s">
        <v>1189</v>
      </c>
      <c r="AI25" s="128" t="s">
        <v>419</v>
      </c>
      <c r="AJ25" s="128"/>
      <c r="AK25" s="72" t="s">
        <v>355</v>
      </c>
      <c r="AL25" s="533">
        <f>'9. AIHW population'!E16</f>
        <v>0</v>
      </c>
      <c r="AM25" s="533">
        <f>'9. AIHW population'!F16</f>
        <v>0</v>
      </c>
      <c r="AN25" s="533">
        <f>'9. AIHW population'!G16</f>
        <v>0</v>
      </c>
      <c r="AO25" s="533">
        <f>'9. AIHW population'!H16</f>
        <v>0</v>
      </c>
      <c r="AP25" s="533">
        <f>'9. AIHW population'!I16</f>
        <v>0</v>
      </c>
      <c r="AQ25" s="533">
        <f>'9. AIHW population'!J16</f>
        <v>0</v>
      </c>
      <c r="AR25"/>
      <c r="AT25" s="72" t="s">
        <v>1266</v>
      </c>
      <c r="AU25" s="724" t="str">
        <f t="shared" si="0"/>
        <v/>
      </c>
      <c r="AV25" s="737">
        <f>IF('7. Net changes - MBS'!D81&lt;&gt;"",'7. Net changes - MBS'!D81,999999)</f>
        <v>999999</v>
      </c>
      <c r="AW25" s="723" t="e">
        <f>LOOKUP(2,1/(COUNTIF($AW$6:AW24,MBSItemsAll)=0),MBSItemsAll)</f>
        <v>#N/A</v>
      </c>
      <c r="AX25" s="731">
        <f>COUNTIF($AW$7:$AW$46, "&lt;" &amp; AW25)+COUNTIF($AW$7:AW25,AW25)</f>
        <v>57</v>
      </c>
      <c r="AY25" s="731" t="e">
        <f>INDEX($AW$7:$AW$46,MATCH(ROWS($AY$7:AY25),$AX$7:$AX$46,0))</f>
        <v>#N/A</v>
      </c>
    </row>
    <row r="26" spans="1:51" x14ac:dyDescent="0.2">
      <c r="A26" s="75"/>
      <c r="B26" s="270"/>
      <c r="C26" s="270"/>
      <c r="D26" s="128"/>
      <c r="E26" s="128"/>
      <c r="F26" s="128"/>
      <c r="G26" s="128"/>
      <c r="H26" s="128"/>
      <c r="I26" s="128"/>
      <c r="J26" s="275" t="s">
        <v>1091</v>
      </c>
      <c r="K26" s="128"/>
      <c r="L26" s="270"/>
      <c r="M26" s="270"/>
      <c r="N26" s="270"/>
      <c r="O26" s="270"/>
      <c r="P26" s="128"/>
      <c r="Q26" s="128"/>
      <c r="R26" s="270"/>
      <c r="S26" s="128"/>
      <c r="T26" s="128"/>
      <c r="U26" s="128"/>
      <c r="V26" s="128"/>
      <c r="W26" s="128"/>
      <c r="Y26" s="128"/>
      <c r="Z26" s="128"/>
      <c r="AA26" s="539" t="s">
        <v>671</v>
      </c>
      <c r="AB26" s="539" t="s">
        <v>670</v>
      </c>
      <c r="AC26" s="435"/>
      <c r="AD26" s="208">
        <v>4</v>
      </c>
      <c r="AE26" s="88" t="str">
        <f>'2a. Patients - incident'!D134</f>
        <v>** NOT USED **</v>
      </c>
      <c r="AF26" s="88" t="str">
        <f>'2b. Patients - prevalent'!D134</f>
        <v>** NOT USED **</v>
      </c>
      <c r="AG26" s="88" t="str">
        <f>'2c. Patients - GF'!D107</f>
        <v>** NOT USED **</v>
      </c>
      <c r="AH26" s="605" t="s">
        <v>1245</v>
      </c>
      <c r="AI26" s="128" t="s">
        <v>419</v>
      </c>
      <c r="AJ26" s="128"/>
      <c r="AK26" s="72" t="s">
        <v>356</v>
      </c>
      <c r="AL26" s="533">
        <f>'9. AIHW population'!E17</f>
        <v>0</v>
      </c>
      <c r="AM26" s="533">
        <f>'9. AIHW population'!F17</f>
        <v>0</v>
      </c>
      <c r="AN26" s="533">
        <f>'9. AIHW population'!G17</f>
        <v>0</v>
      </c>
      <c r="AO26" s="533">
        <f>'9. AIHW population'!H17</f>
        <v>0</v>
      </c>
      <c r="AP26" s="533">
        <f>'9. AIHW population'!I17</f>
        <v>0</v>
      </c>
      <c r="AQ26" s="533">
        <f>'9. AIHW population'!J17</f>
        <v>0</v>
      </c>
      <c r="AR26"/>
      <c r="AT26" s="72" t="s">
        <v>1267</v>
      </c>
      <c r="AU26" s="724" t="str">
        <f t="shared" si="0"/>
        <v/>
      </c>
      <c r="AV26" s="737">
        <f>IF('7. Net changes - MBS'!D82&lt;&gt;"",'7. Net changes - MBS'!D82,999999)</f>
        <v>999999</v>
      </c>
      <c r="AW26" s="723" t="e">
        <f>LOOKUP(2,1/(COUNTIF($AW$6:AW25,MBSItemsAll)=0),MBSItemsAll)</f>
        <v>#N/A</v>
      </c>
      <c r="AX26" s="731">
        <f>COUNTIF($AW$7:$AW$46, "&lt;" &amp; AW26)+COUNTIF($AW$7:AW26,AW26)</f>
        <v>58</v>
      </c>
      <c r="AY26" s="731" t="e">
        <f>INDEX($AW$7:$AW$46,MATCH(ROWS($AY$7:AY26),$AX$7:$AX$46,0))</f>
        <v>#N/A</v>
      </c>
    </row>
    <row r="27" spans="1:51" x14ac:dyDescent="0.2">
      <c r="A27" s="75"/>
      <c r="B27" s="270"/>
      <c r="C27" s="270"/>
      <c r="D27" s="270"/>
      <c r="E27" s="270"/>
      <c r="F27" s="270"/>
      <c r="G27" s="270"/>
      <c r="H27" s="270"/>
      <c r="I27" s="128"/>
      <c r="J27" s="275" t="s">
        <v>1087</v>
      </c>
      <c r="K27" s="128"/>
      <c r="L27" s="270"/>
      <c r="M27" s="270"/>
      <c r="N27" s="270"/>
      <c r="O27" s="270"/>
      <c r="P27" s="128"/>
      <c r="Q27" s="128"/>
      <c r="R27" s="270"/>
      <c r="S27" s="128"/>
      <c r="T27" s="128"/>
      <c r="U27" s="128"/>
      <c r="V27" s="128"/>
      <c r="W27" s="128"/>
      <c r="Y27" s="128"/>
      <c r="Z27" s="128"/>
      <c r="AA27" s="539" t="s">
        <v>891</v>
      </c>
      <c r="AB27" s="539" t="s">
        <v>892</v>
      </c>
      <c r="AC27" s="435"/>
      <c r="AD27" s="208">
        <v>5</v>
      </c>
      <c r="AE27" s="88" t="str">
        <f>'2a. Patients - incident'!D172</f>
        <v>** NOT USED **</v>
      </c>
      <c r="AF27" s="88" t="str">
        <f>'2b. Patients - prevalent'!D172</f>
        <v>** NOT USED **</v>
      </c>
      <c r="AG27" s="88" t="str">
        <f>'2c. Patients - GF'!D136</f>
        <v>** NOT USED **</v>
      </c>
      <c r="AH27" s="605" t="s">
        <v>423</v>
      </c>
      <c r="AI27" s="128" t="s">
        <v>419</v>
      </c>
      <c r="AJ27" s="128"/>
      <c r="AK27" s="72" t="s">
        <v>337</v>
      </c>
      <c r="AL27" s="533">
        <f>'10. Registry population'!E8</f>
        <v>0</v>
      </c>
      <c r="AM27" s="533">
        <f>'10. Registry population'!F8</f>
        <v>0</v>
      </c>
      <c r="AN27" s="533">
        <f>'10. Registry population'!G8</f>
        <v>0</v>
      </c>
      <c r="AO27" s="533">
        <f>'10. Registry population'!H8</f>
        <v>0</v>
      </c>
      <c r="AP27" s="533">
        <f>'10. Registry population'!I8</f>
        <v>0</v>
      </c>
      <c r="AQ27" s="533">
        <f>'10. Registry population'!J8</f>
        <v>0</v>
      </c>
      <c r="AR27"/>
      <c r="AT27" s="72" t="s">
        <v>1268</v>
      </c>
      <c r="AU27" s="724" t="str">
        <f t="shared" si="0"/>
        <v/>
      </c>
      <c r="AV27" s="723">
        <f>IF('7. Net changes - MBS'!D458&lt;&gt;"",'7. Net changes - MBS'!D458,999999)</f>
        <v>999999</v>
      </c>
      <c r="AW27" s="731" t="e">
        <f>LOOKUP(2,1/(COUNTIF($AW$6:AW26,MBSItemsAll)=0),MBSItemsAll)</f>
        <v>#N/A</v>
      </c>
      <c r="AX27" s="731">
        <f>COUNTIF($AW$7:$AW$46, "&lt;" &amp; AW27)+COUNTIF($AW$7:AW27,AW27)</f>
        <v>59</v>
      </c>
      <c r="AY27" s="731" t="e">
        <f>INDEX($AW$7:$AW$46,MATCH(ROWS($AY$7:AY27),$AX$7:$AX$46,0))</f>
        <v>#N/A</v>
      </c>
    </row>
    <row r="28" spans="1:51" x14ac:dyDescent="0.2">
      <c r="A28" s="75"/>
      <c r="B28" s="270"/>
      <c r="C28" s="270"/>
      <c r="D28" s="270"/>
      <c r="E28" s="270"/>
      <c r="F28" s="270"/>
      <c r="G28" s="270"/>
      <c r="H28" s="270"/>
      <c r="I28" s="128"/>
      <c r="J28" s="275" t="s">
        <v>1092</v>
      </c>
      <c r="K28" s="128"/>
      <c r="L28" s="270"/>
      <c r="M28" s="270"/>
      <c r="N28" s="270"/>
      <c r="O28" s="270"/>
      <c r="P28" s="128"/>
      <c r="Q28" s="128"/>
      <c r="R28" s="270"/>
      <c r="S28" s="128"/>
      <c r="T28" s="128"/>
      <c r="U28" s="128"/>
      <c r="V28" s="128"/>
      <c r="W28" s="128"/>
      <c r="Y28" s="128"/>
      <c r="Z28" s="128"/>
      <c r="AA28" s="539" t="s">
        <v>672</v>
      </c>
      <c r="AB28" s="539" t="s">
        <v>673</v>
      </c>
      <c r="AC28" s="435"/>
      <c r="AD28" s="208">
        <v>6</v>
      </c>
      <c r="AE28" s="88" t="str">
        <f>'2a. Patients - incident'!D210</f>
        <v>** NOT USED **</v>
      </c>
      <c r="AF28" s="88" t="str">
        <f>'2b. Patients - prevalent'!D210</f>
        <v>** NOT USED **</v>
      </c>
      <c r="AG28" s="324" t="str">
        <f>MsgNotUsed</f>
        <v>** NOT USED **</v>
      </c>
      <c r="AH28" s="324" t="str">
        <f t="shared" ref="AH28:AH32" si="1">MsgNotUsed</f>
        <v>** NOT USED **</v>
      </c>
      <c r="AI28" s="128" t="s">
        <v>419</v>
      </c>
      <c r="AJ28" s="128"/>
      <c r="AK28" s="72" t="s">
        <v>338</v>
      </c>
      <c r="AL28" s="533">
        <f>'10. Registry population'!E9</f>
        <v>0</v>
      </c>
      <c r="AM28" s="533">
        <f>'10. Registry population'!F9</f>
        <v>0</v>
      </c>
      <c r="AN28" s="533">
        <f>'10. Registry population'!G9</f>
        <v>0</v>
      </c>
      <c r="AO28" s="533">
        <f>'10. Registry population'!H9</f>
        <v>0</v>
      </c>
      <c r="AP28" s="533">
        <f>'10. Registry population'!I9</f>
        <v>0</v>
      </c>
      <c r="AQ28" s="533">
        <f>'10. Registry population'!J9</f>
        <v>0</v>
      </c>
      <c r="AR28"/>
      <c r="AT28" s="72" t="s">
        <v>1269</v>
      </c>
      <c r="AU28" s="724" t="str">
        <f t="shared" si="0"/>
        <v/>
      </c>
      <c r="AV28" s="723">
        <f>IF('7. Net changes - MBS'!D459&lt;&gt;"",'7. Net changes - MBS'!D459,999999)</f>
        <v>999999</v>
      </c>
      <c r="AW28" s="731" t="e">
        <f>LOOKUP(2,1/(COUNTIF($AW$6:AW27,MBSItemsAll)=0),MBSItemsAll)</f>
        <v>#N/A</v>
      </c>
      <c r="AX28" s="731">
        <f>COUNTIF($AW$7:$AW$46, "&lt;" &amp; AW28)+COUNTIF($AW$7:AW28,AW28)</f>
        <v>60</v>
      </c>
      <c r="AY28" s="731" t="e">
        <f>INDEX($AW$7:$AW$46,MATCH(ROWS($AY$7:AY28),$AX$7:$AX$46,0))</f>
        <v>#N/A</v>
      </c>
    </row>
    <row r="29" spans="1:51" x14ac:dyDescent="0.2">
      <c r="A29" s="75"/>
      <c r="B29" s="923" t="s">
        <v>120</v>
      </c>
      <c r="C29" s="925"/>
      <c r="D29" s="128"/>
      <c r="E29" s="924" t="s">
        <v>274</v>
      </c>
      <c r="F29" s="925"/>
      <c r="G29" s="128"/>
      <c r="H29" s="206" t="s">
        <v>50</v>
      </c>
      <c r="I29" s="128"/>
      <c r="J29" s="275" t="s">
        <v>1093</v>
      </c>
      <c r="K29" s="128"/>
      <c r="L29" s="270"/>
      <c r="M29" s="270"/>
      <c r="N29" s="270"/>
      <c r="O29" s="270"/>
      <c r="P29" s="128"/>
      <c r="Q29" s="128"/>
      <c r="R29" s="270"/>
      <c r="S29" s="128"/>
      <c r="T29" s="128"/>
      <c r="U29" s="128"/>
      <c r="V29" s="128"/>
      <c r="W29" s="128"/>
      <c r="Y29" s="128"/>
      <c r="Z29" s="128"/>
      <c r="AA29" s="539" t="s">
        <v>659</v>
      </c>
      <c r="AB29" s="539" t="s">
        <v>664</v>
      </c>
      <c r="AC29" s="435"/>
      <c r="AD29" s="208">
        <v>7</v>
      </c>
      <c r="AE29" s="88" t="str">
        <f>'2a. Patients - incident'!D248</f>
        <v>** NOT USED **</v>
      </c>
      <c r="AF29" s="88" t="str">
        <f>'2b. Patients - prevalent'!D248</f>
        <v>** NOT USED **</v>
      </c>
      <c r="AG29" s="324" t="str">
        <f>MsgNotUsed</f>
        <v>** NOT USED **</v>
      </c>
      <c r="AH29" s="324" t="str">
        <f t="shared" si="1"/>
        <v>** NOT USED **</v>
      </c>
      <c r="AI29" s="128" t="s">
        <v>419</v>
      </c>
      <c r="AJ29" s="128"/>
      <c r="AK29" s="72" t="s">
        <v>339</v>
      </c>
      <c r="AL29" s="533">
        <f>'10. Registry population'!E10</f>
        <v>0</v>
      </c>
      <c r="AM29" s="533">
        <f>'10. Registry population'!F10</f>
        <v>0</v>
      </c>
      <c r="AN29" s="533">
        <f>'10. Registry population'!G10</f>
        <v>0</v>
      </c>
      <c r="AO29" s="533">
        <f>'10. Registry population'!H10</f>
        <v>0</v>
      </c>
      <c r="AP29" s="533">
        <f>'10. Registry population'!I10</f>
        <v>0</v>
      </c>
      <c r="AQ29" s="533">
        <f>'10. Registry population'!J10</f>
        <v>0</v>
      </c>
      <c r="AR29"/>
      <c r="AT29" s="72" t="s">
        <v>1270</v>
      </c>
      <c r="AU29" s="724" t="str">
        <f t="shared" si="0"/>
        <v/>
      </c>
      <c r="AV29" s="723">
        <f>IF('7. Net changes - MBS'!D460&lt;&gt;"",'7. Net changes - MBS'!D460,999999)</f>
        <v>999999</v>
      </c>
      <c r="AW29" s="731" t="e">
        <f>LOOKUP(2,1/(COUNTIF($AW$6:AW28,MBSItemsAll)=0),MBSItemsAll)</f>
        <v>#N/A</v>
      </c>
      <c r="AX29" s="731">
        <f>COUNTIF($AW$7:$AW$46, "&lt;" &amp; AW29)+COUNTIF($AW$7:AW29,AW29)</f>
        <v>61</v>
      </c>
      <c r="AY29" s="731" t="e">
        <f>INDEX($AW$7:$AW$46,MATCH(ROWS($AY$7:AY29),$AX$7:$AX$46,0))</f>
        <v>#N/A</v>
      </c>
    </row>
    <row r="30" spans="1:51" x14ac:dyDescent="0.2">
      <c r="A30" s="162"/>
      <c r="B30" s="275" t="s">
        <v>40</v>
      </c>
      <c r="C30" s="275">
        <v>0</v>
      </c>
      <c r="D30" s="128"/>
      <c r="E30" s="275" t="s">
        <v>275</v>
      </c>
      <c r="F30" s="275">
        <v>1</v>
      </c>
      <c r="G30" s="128"/>
      <c r="H30" s="275" t="s">
        <v>8</v>
      </c>
      <c r="I30" s="128"/>
      <c r="J30" s="275" t="s">
        <v>1088</v>
      </c>
      <c r="K30" s="128"/>
      <c r="L30" s="270"/>
      <c r="M30" s="270"/>
      <c r="N30" s="270"/>
      <c r="O30" s="270"/>
      <c r="P30" s="128"/>
      <c r="Q30" s="128"/>
      <c r="R30" s="270"/>
      <c r="S30" s="128"/>
      <c r="T30" s="128"/>
      <c r="U30" s="128"/>
      <c r="V30" s="128"/>
      <c r="W30" s="128"/>
      <c r="Y30" s="128"/>
      <c r="Z30" s="128"/>
      <c r="AA30" s="539" t="s">
        <v>1056</v>
      </c>
      <c r="AB30" s="539" t="s">
        <v>1057</v>
      </c>
      <c r="AC30" s="435"/>
      <c r="AD30" s="208">
        <v>8</v>
      </c>
      <c r="AE30" s="88" t="str">
        <f>'2a. Patients - incident'!D286</f>
        <v>** NOT USED **</v>
      </c>
      <c r="AF30" s="88" t="str">
        <f>'2b. Patients - prevalent'!D286</f>
        <v>** NOT USED **</v>
      </c>
      <c r="AG30" s="324" t="str">
        <f>MsgNotUsed</f>
        <v>** NOT USED **</v>
      </c>
      <c r="AH30" s="324" t="str">
        <f t="shared" si="1"/>
        <v>** NOT USED **</v>
      </c>
      <c r="AI30" s="128" t="s">
        <v>419</v>
      </c>
      <c r="AJ30" s="128"/>
      <c r="AK30" s="72" t="s">
        <v>340</v>
      </c>
      <c r="AL30" s="533">
        <f>'10. Registry population'!E11</f>
        <v>0</v>
      </c>
      <c r="AM30" s="533">
        <f>'10. Registry population'!F11</f>
        <v>0</v>
      </c>
      <c r="AN30" s="533">
        <f>'10. Registry population'!G11</f>
        <v>0</v>
      </c>
      <c r="AO30" s="533">
        <f>'10. Registry population'!H11</f>
        <v>0</v>
      </c>
      <c r="AP30" s="533">
        <f>'10. Registry population'!I11</f>
        <v>0</v>
      </c>
      <c r="AQ30" s="533">
        <f>'10. Registry population'!J11</f>
        <v>0</v>
      </c>
      <c r="AR30"/>
      <c r="AT30" s="72" t="s">
        <v>1271</v>
      </c>
      <c r="AU30" s="724" t="str">
        <f t="shared" si="0"/>
        <v/>
      </c>
      <c r="AV30" s="723">
        <f>IF('7. Net changes - MBS'!D461&lt;&gt;"",'7. Net changes - MBS'!D461,999999)</f>
        <v>999999</v>
      </c>
      <c r="AW30" s="731" t="e">
        <f>LOOKUP(2,1/(COUNTIF($AW$6:AW29,MBSItemsAll)=0),MBSItemsAll)</f>
        <v>#N/A</v>
      </c>
      <c r="AX30" s="731">
        <f>COUNTIF($AW$7:$AW$46, "&lt;" &amp; AW30)+COUNTIF($AW$7:AW30,AW30)</f>
        <v>62</v>
      </c>
      <c r="AY30" s="731" t="e">
        <f>INDEX($AW$7:$AW$46,MATCH(ROWS($AY$7:AY30),$AX$7:$AX$46,0))</f>
        <v>#N/A</v>
      </c>
    </row>
    <row r="31" spans="1:51" x14ac:dyDescent="0.2">
      <c r="A31" s="162"/>
      <c r="B31" s="275" t="s">
        <v>41</v>
      </c>
      <c r="C31" s="275">
        <v>0</v>
      </c>
      <c r="D31" s="128"/>
      <c r="E31" s="275" t="s">
        <v>276</v>
      </c>
      <c r="F31" s="275">
        <v>2</v>
      </c>
      <c r="G31" s="128"/>
      <c r="H31" s="275" t="s">
        <v>9</v>
      </c>
      <c r="I31" s="128"/>
      <c r="J31" s="275" t="s">
        <v>1094</v>
      </c>
      <c r="K31" s="128"/>
      <c r="L31" s="270"/>
      <c r="M31" s="270"/>
      <c r="N31" s="270"/>
      <c r="O31" s="270"/>
      <c r="P31" s="128"/>
      <c r="Q31" s="128"/>
      <c r="R31" s="270"/>
      <c r="S31" s="128"/>
      <c r="T31" s="128"/>
      <c r="U31" s="128"/>
      <c r="V31" s="128"/>
      <c r="W31" s="128"/>
      <c r="Y31" s="128"/>
      <c r="Z31" s="128"/>
      <c r="AA31" s="539" t="s">
        <v>654</v>
      </c>
      <c r="AB31" s="539" t="s">
        <v>656</v>
      </c>
      <c r="AC31" s="435"/>
      <c r="AD31" s="208">
        <v>9</v>
      </c>
      <c r="AE31" s="88" t="str">
        <f>'2a. Patients - incident'!D324</f>
        <v>** NOT USED **</v>
      </c>
      <c r="AF31" s="88" t="str">
        <f>'2b. Patients - prevalent'!D324</f>
        <v>** NOT USED **</v>
      </c>
      <c r="AG31" s="324" t="str">
        <f>MsgNotUsed</f>
        <v>** NOT USED **</v>
      </c>
      <c r="AH31" s="324" t="str">
        <f t="shared" si="1"/>
        <v>** NOT USED **</v>
      </c>
      <c r="AI31" s="128" t="s">
        <v>419</v>
      </c>
      <c r="AJ31" s="128"/>
      <c r="AK31" s="72" t="s">
        <v>341</v>
      </c>
      <c r="AL31" s="533">
        <f>'10. Registry population'!E12</f>
        <v>0</v>
      </c>
      <c r="AM31" s="533">
        <f>'10. Registry population'!F12</f>
        <v>0</v>
      </c>
      <c r="AN31" s="533">
        <f>'10. Registry population'!G12</f>
        <v>0</v>
      </c>
      <c r="AO31" s="533">
        <f>'10. Registry population'!H12</f>
        <v>0</v>
      </c>
      <c r="AP31" s="533">
        <f>'10. Registry population'!I12</f>
        <v>0</v>
      </c>
      <c r="AQ31" s="533">
        <f>'10. Registry population'!J12</f>
        <v>0</v>
      </c>
      <c r="AR31"/>
      <c r="AT31" s="72" t="s">
        <v>1272</v>
      </c>
      <c r="AU31" s="724" t="str">
        <f t="shared" si="0"/>
        <v/>
      </c>
      <c r="AV31" s="723">
        <f>IF('7. Net changes - MBS'!D462&lt;&gt;"",'7. Net changes - MBS'!D462,999999)</f>
        <v>999999</v>
      </c>
      <c r="AW31" s="731" t="e">
        <f>LOOKUP(2,1/(COUNTIF($AW$6:AW30,MBSItemsAll)=0),MBSItemsAll)</f>
        <v>#N/A</v>
      </c>
      <c r="AX31" s="731">
        <f>COUNTIF($AW$7:$AW$46, "&lt;" &amp; AW31)+COUNTIF($AW$7:AW31,AW31)</f>
        <v>63</v>
      </c>
      <c r="AY31" s="731" t="e">
        <f>INDEX($AW$7:$AW$46,MATCH(ROWS($AY$7:AY31),$AX$7:$AX$46,0))</f>
        <v>#N/A</v>
      </c>
    </row>
    <row r="32" spans="1:51" x14ac:dyDescent="0.2">
      <c r="A32" s="162"/>
      <c r="B32" s="275" t="s">
        <v>42</v>
      </c>
      <c r="C32" s="275">
        <v>1</v>
      </c>
      <c r="D32" s="128"/>
      <c r="E32" s="128"/>
      <c r="F32" s="128"/>
      <c r="G32" s="128"/>
      <c r="H32" s="128"/>
      <c r="I32" s="128"/>
      <c r="J32" s="275" t="s">
        <v>1095</v>
      </c>
      <c r="K32" s="128"/>
      <c r="L32" s="270"/>
      <c r="M32" s="270"/>
      <c r="N32" s="270"/>
      <c r="O32" s="270"/>
      <c r="P32" s="128"/>
      <c r="Q32" s="128"/>
      <c r="R32" s="270"/>
      <c r="S32" s="128"/>
      <c r="T32" s="128"/>
      <c r="U32" s="128"/>
      <c r="V32" s="128"/>
      <c r="W32" s="128"/>
      <c r="Y32" s="128"/>
      <c r="Z32" s="128"/>
      <c r="AA32" s="539" t="s">
        <v>805</v>
      </c>
      <c r="AB32" s="539" t="s">
        <v>804</v>
      </c>
      <c r="AC32" s="435"/>
      <c r="AD32" s="208">
        <v>10</v>
      </c>
      <c r="AE32" s="88" t="str">
        <f>'2a. Patients - incident'!D362</f>
        <v>** NOT USED **</v>
      </c>
      <c r="AF32" s="88" t="str">
        <f>'2b. Patients - prevalent'!D362</f>
        <v>** NOT USED **</v>
      </c>
      <c r="AG32" s="324" t="str">
        <f>MsgNotUsed</f>
        <v>** NOT USED **</v>
      </c>
      <c r="AH32" s="324" t="str">
        <f t="shared" si="1"/>
        <v>** NOT USED **</v>
      </c>
      <c r="AI32" s="128" t="s">
        <v>419</v>
      </c>
      <c r="AJ32" s="128"/>
      <c r="AK32" s="72" t="s">
        <v>357</v>
      </c>
      <c r="AL32" s="533">
        <f>'10. Registry population'!E13</f>
        <v>0</v>
      </c>
      <c r="AM32" s="533">
        <f>'10. Registry population'!F13</f>
        <v>0</v>
      </c>
      <c r="AN32" s="533">
        <f>'10. Registry population'!G13</f>
        <v>0</v>
      </c>
      <c r="AO32" s="533">
        <f>'10. Registry population'!H13</f>
        <v>0</v>
      </c>
      <c r="AP32" s="533">
        <f>'10. Registry population'!I13</f>
        <v>0</v>
      </c>
      <c r="AQ32" s="533">
        <f>'10. Registry population'!J13</f>
        <v>0</v>
      </c>
      <c r="AR32"/>
      <c r="AT32" s="72" t="s">
        <v>1273</v>
      </c>
      <c r="AU32" s="724" t="str">
        <f t="shared" si="0"/>
        <v/>
      </c>
      <c r="AV32" s="723">
        <f>IF('7. Net changes - MBS'!D463&lt;&gt;"",'7. Net changes - MBS'!D463,999999)</f>
        <v>999999</v>
      </c>
      <c r="AW32" s="731" t="e">
        <f>LOOKUP(2,1/(COUNTIF($AW$6:AW31,MBSItemsAll)=0),MBSItemsAll)</f>
        <v>#N/A</v>
      </c>
      <c r="AX32" s="731">
        <f>COUNTIF($AW$7:$AW$46, "&lt;" &amp; AW32)+COUNTIF($AW$7:AW32,AW32)</f>
        <v>64</v>
      </c>
      <c r="AY32" s="731" t="e">
        <f>INDEX($AW$7:$AW$46,MATCH(ROWS($AY$7:AY32),$AX$7:$AX$46,0))</f>
        <v>#N/A</v>
      </c>
    </row>
    <row r="33" spans="1:55" x14ac:dyDescent="0.2">
      <c r="A33" s="162"/>
      <c r="B33" s="275" t="s">
        <v>43</v>
      </c>
      <c r="C33" s="275">
        <v>2</v>
      </c>
      <c r="D33" s="128"/>
      <c r="E33" s="128"/>
      <c r="F33" s="128"/>
      <c r="G33" s="128"/>
      <c r="H33" s="128"/>
      <c r="I33" s="128"/>
      <c r="J33" s="275" t="s">
        <v>1089</v>
      </c>
      <c r="K33" s="128"/>
      <c r="L33" s="270"/>
      <c r="M33" s="270"/>
      <c r="N33" s="270"/>
      <c r="O33" s="270"/>
      <c r="P33" s="128"/>
      <c r="Q33" s="128"/>
      <c r="R33" s="270"/>
      <c r="S33" s="128"/>
      <c r="T33" s="128"/>
      <c r="U33" s="128"/>
      <c r="V33" s="128"/>
      <c r="W33" s="128"/>
      <c r="Y33" s="128"/>
      <c r="Z33" s="128"/>
      <c r="AA33" s="539" t="s">
        <v>684</v>
      </c>
      <c r="AB33" s="539" t="s">
        <v>683</v>
      </c>
      <c r="AC33" s="435"/>
      <c r="AD33" s="128"/>
      <c r="AE33" s="214">
        <f>COUNTIF(AE23:AE32,"&lt;&gt;"&amp;MsgNotUsed)</f>
        <v>0</v>
      </c>
      <c r="AF33" s="214">
        <f>COUNTIF(AF23:AF32,"&lt;&gt;"&amp;MsgNotUsed)</f>
        <v>0</v>
      </c>
      <c r="AG33" s="214">
        <f>COUNTIF(AG23:AG32,"&lt;&gt;"&amp;MsgNotUsed)</f>
        <v>0</v>
      </c>
      <c r="AH33" s="214">
        <f>COUNTIF(AH23:AH32,"&lt;&gt;"&amp;MsgNotUsed)</f>
        <v>5</v>
      </c>
      <c r="AI33" s="128"/>
      <c r="AJ33" s="128"/>
      <c r="AK33" s="72" t="s">
        <v>358</v>
      </c>
      <c r="AL33" s="533">
        <f>'10. Registry population'!E14</f>
        <v>0</v>
      </c>
      <c r="AM33" s="533">
        <f>'10. Registry population'!F14</f>
        <v>0</v>
      </c>
      <c r="AN33" s="533">
        <f>'10. Registry population'!G14</f>
        <v>0</v>
      </c>
      <c r="AO33" s="533">
        <f>'10. Registry population'!H14</f>
        <v>0</v>
      </c>
      <c r="AP33" s="533">
        <f>'10. Registry population'!I14</f>
        <v>0</v>
      </c>
      <c r="AQ33" s="533">
        <f>'10. Registry population'!J14</f>
        <v>0</v>
      </c>
      <c r="AR33"/>
      <c r="AT33" s="72" t="s">
        <v>1274</v>
      </c>
      <c r="AU33" s="724" t="str">
        <f t="shared" si="0"/>
        <v/>
      </c>
      <c r="AV33" s="723">
        <f>IF('7. Net changes - MBS'!D464&lt;&gt;"",'7. Net changes - MBS'!D464,999999)</f>
        <v>999999</v>
      </c>
      <c r="AW33" s="731" t="e">
        <f>LOOKUP(2,1/(COUNTIF($AW$6:AW32,MBSItemsAll)=0),MBSItemsAll)</f>
        <v>#N/A</v>
      </c>
      <c r="AX33" s="731">
        <f>COUNTIF($AW$7:$AW$46, "&lt;" &amp; AW33)+COUNTIF($AW$7:AW33,AW33)</f>
        <v>65</v>
      </c>
      <c r="AY33" s="731" t="e">
        <f>INDEX($AW$7:$AW$46,MATCH(ROWS($AY$7:AY33),$AX$7:$AX$46,0))</f>
        <v>#N/A</v>
      </c>
    </row>
    <row r="34" spans="1:55" x14ac:dyDescent="0.2">
      <c r="A34" s="162"/>
      <c r="B34" s="275" t="s">
        <v>619</v>
      </c>
      <c r="C34" s="275">
        <v>3</v>
      </c>
      <c r="D34" s="128"/>
      <c r="E34" s="128"/>
      <c r="F34" s="128"/>
      <c r="G34" s="128"/>
      <c r="H34" s="128"/>
      <c r="I34" s="128"/>
      <c r="K34" s="128"/>
      <c r="L34" s="270"/>
      <c r="M34" s="270"/>
      <c r="N34" s="270"/>
      <c r="O34" s="270"/>
      <c r="P34" s="128"/>
      <c r="Q34" s="128"/>
      <c r="R34" s="270"/>
      <c r="S34" s="128"/>
      <c r="T34" s="128"/>
      <c r="U34" s="128"/>
      <c r="V34" s="128"/>
      <c r="W34" s="128"/>
      <c r="Y34" s="128"/>
      <c r="Z34" s="128"/>
      <c r="AA34" s="539"/>
      <c r="AB34" s="539"/>
      <c r="AC34" s="435"/>
      <c r="AD34" s="128"/>
      <c r="AE34" s="128"/>
      <c r="AF34" s="128"/>
      <c r="AG34" s="128"/>
      <c r="AH34" s="211" t="s">
        <v>414</v>
      </c>
      <c r="AI34" s="212">
        <f>COUNT(AD23:AD32)</f>
        <v>10</v>
      </c>
      <c r="AJ34" s="128"/>
      <c r="AK34" s="72" t="s">
        <v>359</v>
      </c>
      <c r="AL34" s="533">
        <f>'10. Registry population'!E15</f>
        <v>0</v>
      </c>
      <c r="AM34" s="533">
        <f>'10. Registry population'!F15</f>
        <v>0</v>
      </c>
      <c r="AN34" s="533">
        <f>'10. Registry population'!G15</f>
        <v>0</v>
      </c>
      <c r="AO34" s="533">
        <f>'10. Registry population'!H15</f>
        <v>0</v>
      </c>
      <c r="AP34" s="533">
        <f>'10. Registry population'!I15</f>
        <v>0</v>
      </c>
      <c r="AQ34" s="533">
        <f>'10. Registry population'!J15</f>
        <v>0</v>
      </c>
      <c r="AR34"/>
      <c r="AT34" s="72" t="s">
        <v>1275</v>
      </c>
      <c r="AU34" s="724" t="str">
        <f t="shared" si="0"/>
        <v/>
      </c>
      <c r="AV34" s="723">
        <f>IF('7. Net changes - MBS'!D465&lt;&gt;"",'7. Net changes - MBS'!D465,999999)</f>
        <v>999999</v>
      </c>
      <c r="AW34" s="731" t="e">
        <f>LOOKUP(2,1/(COUNTIF($AW$6:AW33,MBSItemsAll)=0),MBSItemsAll)</f>
        <v>#N/A</v>
      </c>
      <c r="AX34" s="731">
        <f>COUNTIF($AW$7:$AW$46, "&lt;" &amp; AW34)+COUNTIF($AW$7:AW34,AW34)</f>
        <v>66</v>
      </c>
      <c r="AY34" s="731" t="e">
        <f>INDEX($AW$7:$AW$46,MATCH(ROWS($AY$7:AY34),$AX$7:$AX$46,0))</f>
        <v>#N/A</v>
      </c>
    </row>
    <row r="35" spans="1:55" x14ac:dyDescent="0.2">
      <c r="A35" s="162"/>
      <c r="D35" s="128"/>
      <c r="E35" s="128"/>
      <c r="F35" s="128"/>
      <c r="G35" s="128"/>
      <c r="H35" s="128"/>
      <c r="I35" s="128"/>
      <c r="K35" s="128"/>
      <c r="L35" s="270"/>
      <c r="M35" s="270"/>
      <c r="N35" s="270"/>
      <c r="O35" s="270"/>
      <c r="P35" s="128"/>
      <c r="Q35" s="128"/>
      <c r="R35" s="270"/>
      <c r="S35" s="128"/>
      <c r="T35" s="128"/>
      <c r="U35" s="128"/>
      <c r="V35" s="128"/>
      <c r="W35" s="128"/>
      <c r="Y35" s="128"/>
      <c r="Z35" s="128"/>
      <c r="AA35" s="539"/>
      <c r="AB35" s="539"/>
      <c r="AC35" s="435"/>
      <c r="AD35" s="128"/>
      <c r="AE35" s="128"/>
      <c r="AF35" s="128"/>
      <c r="AG35" s="128"/>
      <c r="AH35" s="128"/>
      <c r="AI35" s="128"/>
      <c r="AJ35" s="128"/>
      <c r="AK35" s="72" t="s">
        <v>360</v>
      </c>
      <c r="AL35" s="533">
        <f>'10. Registry population'!E16</f>
        <v>0</v>
      </c>
      <c r="AM35" s="533">
        <f>'10. Registry population'!F16</f>
        <v>0</v>
      </c>
      <c r="AN35" s="533">
        <f>'10. Registry population'!G16</f>
        <v>0</v>
      </c>
      <c r="AO35" s="533">
        <f>'10. Registry population'!H16</f>
        <v>0</v>
      </c>
      <c r="AP35" s="533">
        <f>'10. Registry population'!I16</f>
        <v>0</v>
      </c>
      <c r="AQ35" s="533">
        <f>'10. Registry population'!J16</f>
        <v>0</v>
      </c>
      <c r="AR35"/>
      <c r="AT35" s="72" t="s">
        <v>1276</v>
      </c>
      <c r="AU35" s="724" t="str">
        <f t="shared" si="0"/>
        <v/>
      </c>
      <c r="AV35" s="723">
        <f>IF('7. Net changes - MBS'!D466&lt;&gt;"",'7. Net changes - MBS'!D466,999999)</f>
        <v>999999</v>
      </c>
      <c r="AW35" s="731" t="e">
        <f>LOOKUP(2,1/(COUNTIF($AW$6:AW34,MBSItemsAll)=0),MBSItemsAll)</f>
        <v>#N/A</v>
      </c>
      <c r="AX35" s="731">
        <f>COUNTIF($AW$7:$AW$46, "&lt;" &amp; AW35)+COUNTIF($AW$7:AW35,AW35)</f>
        <v>67</v>
      </c>
      <c r="AY35" s="731" t="e">
        <f>INDEX($AW$7:$AW$46,MATCH(ROWS($AY$7:AY35),$AX$7:$AX$46,0))</f>
        <v>#N/A</v>
      </c>
    </row>
    <row r="36" spans="1:55" x14ac:dyDescent="0.2">
      <c r="A36" s="162"/>
      <c r="B36" s="923" t="s">
        <v>120</v>
      </c>
      <c r="C36" s="925"/>
      <c r="D36" s="128"/>
      <c r="E36" s="128"/>
      <c r="F36" s="128"/>
      <c r="G36" s="128"/>
      <c r="H36" s="128"/>
      <c r="I36" s="128"/>
      <c r="K36" s="128"/>
      <c r="L36" s="270"/>
      <c r="M36" s="270"/>
      <c r="N36" s="270"/>
      <c r="O36" s="270"/>
      <c r="P36" s="128"/>
      <c r="Q36" s="128"/>
      <c r="R36" s="270"/>
      <c r="S36" s="128"/>
      <c r="T36" s="128"/>
      <c r="U36" s="128"/>
      <c r="V36" s="128"/>
      <c r="W36" s="128"/>
      <c r="Y36" s="128"/>
      <c r="Z36" s="128"/>
      <c r="AA36" s="539"/>
      <c r="AB36" s="539"/>
      <c r="AC36" s="435"/>
      <c r="AD36" s="128"/>
      <c r="AE36" s="128"/>
      <c r="AF36" s="128"/>
      <c r="AG36" s="128"/>
      <c r="AH36" s="128"/>
      <c r="AI36" s="128"/>
      <c r="AJ36" s="128"/>
      <c r="AK36" s="72" t="s">
        <v>361</v>
      </c>
      <c r="AL36" s="533">
        <f>'10. Registry population'!E17</f>
        <v>0</v>
      </c>
      <c r="AM36" s="533">
        <f>'10. Registry population'!F17</f>
        <v>0</v>
      </c>
      <c r="AN36" s="533">
        <f>'10. Registry population'!G17</f>
        <v>0</v>
      </c>
      <c r="AO36" s="533">
        <f>'10. Registry population'!H17</f>
        <v>0</v>
      </c>
      <c r="AP36" s="533">
        <f>'10. Registry population'!I17</f>
        <v>0</v>
      </c>
      <c r="AQ36" s="533">
        <f>'10. Registry population'!J17</f>
        <v>0</v>
      </c>
      <c r="AR36"/>
      <c r="AT36" s="72" t="s">
        <v>1277</v>
      </c>
      <c r="AU36" s="724" t="str">
        <f t="shared" si="0"/>
        <v/>
      </c>
      <c r="AV36" s="723">
        <f>IF('7. Net changes - MBS'!D467&lt;&gt;"",'7. Net changes - MBS'!D467,999999)</f>
        <v>999999</v>
      </c>
      <c r="AW36" s="731" t="e">
        <f>LOOKUP(2,1/(COUNTIF($AW$6:AW35,MBSItemsAll)=0),MBSItemsAll)</f>
        <v>#N/A</v>
      </c>
      <c r="AX36" s="731">
        <f>COUNTIF($AW$7:$AW$46, "&lt;" &amp; AW36)+COUNTIF($AW$7:AW36,AW36)</f>
        <v>68</v>
      </c>
      <c r="AY36" s="731" t="e">
        <f>INDEX($AW$7:$AW$46,MATCH(ROWS($AY$7:AY36),$AX$7:$AX$46,0))</f>
        <v>#N/A</v>
      </c>
    </row>
    <row r="37" spans="1:55" x14ac:dyDescent="0.2">
      <c r="A37" s="162"/>
      <c r="B37" s="275"/>
      <c r="C37" s="275">
        <v>0</v>
      </c>
      <c r="D37" s="128"/>
      <c r="E37" s="128"/>
      <c r="F37" s="128"/>
      <c r="G37" s="128"/>
      <c r="H37" s="128"/>
      <c r="I37" s="128"/>
      <c r="K37" s="128"/>
      <c r="L37" s="270"/>
      <c r="M37" s="270"/>
      <c r="N37" s="270"/>
      <c r="O37" s="270"/>
      <c r="P37" s="128"/>
      <c r="Q37" s="128"/>
      <c r="R37" s="270"/>
      <c r="S37" s="128"/>
      <c r="T37" s="128"/>
      <c r="U37" s="128"/>
      <c r="V37" s="128"/>
      <c r="W37" s="128"/>
      <c r="Y37" s="128"/>
      <c r="Z37" s="128"/>
      <c r="AA37" s="485"/>
      <c r="AB37" s="485"/>
      <c r="AC37" s="435"/>
      <c r="AD37" s="128"/>
      <c r="AE37" s="923" t="s">
        <v>1193</v>
      </c>
      <c r="AF37" s="923"/>
      <c r="AG37" s="128"/>
      <c r="AH37" s="128"/>
      <c r="AI37" s="128"/>
      <c r="AJ37" s="128"/>
      <c r="AK37" s="72" t="s">
        <v>1023</v>
      </c>
      <c r="AL37" s="533">
        <f>'11. Persistent population'!F8</f>
        <v>0</v>
      </c>
      <c r="AM37" s="533">
        <f>'11. Persistent population'!G8</f>
        <v>0</v>
      </c>
      <c r="AN37" s="533">
        <f>'11. Persistent population'!H8</f>
        <v>0</v>
      </c>
      <c r="AO37" s="533">
        <f>'11. Persistent population'!I8</f>
        <v>0</v>
      </c>
      <c r="AP37" s="533">
        <f>'11. Persistent population'!J8</f>
        <v>0</v>
      </c>
      <c r="AQ37" s="533">
        <f>'11. Persistent population'!K8</f>
        <v>0</v>
      </c>
      <c r="AR37"/>
      <c r="AT37" s="72" t="s">
        <v>1278</v>
      </c>
      <c r="AU37" s="724" t="str">
        <f t="shared" si="0"/>
        <v/>
      </c>
      <c r="AV37" s="737">
        <f>IF('7. Net changes - MBS'!D468&lt;&gt;"",'7. Net changes - MBS'!D468,999999)</f>
        <v>999999</v>
      </c>
      <c r="AW37" s="731" t="e">
        <f>LOOKUP(2,1/(COUNTIF($AW$6:AW36,MBSItemsAll)=0),MBSItemsAll)</f>
        <v>#N/A</v>
      </c>
      <c r="AX37" s="731">
        <f>COUNTIF($AW$7:$AW$46, "&lt;" &amp; AW37)+COUNTIF($AW$7:AW37,AW37)</f>
        <v>69</v>
      </c>
      <c r="AY37" s="731" t="e">
        <f>INDEX($AW$7:$AW$46,MATCH(ROWS($AY$7:AY37),$AX$7:$AX$46,0))</f>
        <v>#N/A</v>
      </c>
    </row>
    <row r="38" spans="1:55" x14ac:dyDescent="0.2">
      <c r="A38" s="162"/>
      <c r="B38" s="275" t="s">
        <v>942</v>
      </c>
      <c r="C38" s="275">
        <v>4</v>
      </c>
      <c r="D38" s="128"/>
      <c r="E38" s="128"/>
      <c r="F38" s="128"/>
      <c r="G38" s="128"/>
      <c r="H38" s="128"/>
      <c r="I38" s="128"/>
      <c r="K38" s="128"/>
      <c r="L38" s="270"/>
      <c r="M38" s="270"/>
      <c r="N38" s="270"/>
      <c r="O38" s="270"/>
      <c r="P38" s="128"/>
      <c r="Q38" s="128"/>
      <c r="R38" s="270"/>
      <c r="S38" s="128"/>
      <c r="T38" s="128"/>
      <c r="U38" s="128"/>
      <c r="V38" s="128"/>
      <c r="W38" s="128"/>
      <c r="Y38" s="128"/>
      <c r="Z38" s="128"/>
      <c r="AA38" s="485"/>
      <c r="AB38" s="485"/>
      <c r="AC38" s="435"/>
      <c r="AD38" s="208">
        <v>1</v>
      </c>
      <c r="AE38" s="922" t="str">
        <f>'2d. Patients - DTG'!E22</f>
        <v>** NOT USED **</v>
      </c>
      <c r="AF38" s="922"/>
      <c r="AG38" s="128"/>
      <c r="AH38" s="128"/>
      <c r="AI38" s="128"/>
      <c r="AJ38" s="128"/>
      <c r="AK38" s="72" t="s">
        <v>1024</v>
      </c>
      <c r="AL38" s="533">
        <f>'11. Persistent population'!F9</f>
        <v>0</v>
      </c>
      <c r="AM38" s="533">
        <f>'11. Persistent population'!G9</f>
        <v>0</v>
      </c>
      <c r="AN38" s="533">
        <f>'11. Persistent population'!H9</f>
        <v>0</v>
      </c>
      <c r="AO38" s="533">
        <f>'11. Persistent population'!I9</f>
        <v>0</v>
      </c>
      <c r="AP38" s="533">
        <f>'11. Persistent population'!J9</f>
        <v>0</v>
      </c>
      <c r="AQ38" s="533">
        <f>'11. Persistent population'!K9</f>
        <v>0</v>
      </c>
      <c r="AR38"/>
      <c r="AT38" s="72" t="s">
        <v>1279</v>
      </c>
      <c r="AU38" s="724" t="str">
        <f t="shared" si="0"/>
        <v/>
      </c>
      <c r="AV38" s="737">
        <f>IF('7. Net changes - MBS'!D469&lt;&gt;"",'7. Net changes - MBS'!D469,999999)</f>
        <v>999999</v>
      </c>
      <c r="AW38" s="731" t="e">
        <f>LOOKUP(2,1/(COUNTIF($AW$6:AW37,MBSItemsAll)=0),MBSItemsAll)</f>
        <v>#N/A</v>
      </c>
      <c r="AX38" s="731">
        <f>COUNTIF($AW$7:$AW$46, "&lt;" &amp; AW38)+COUNTIF($AW$7:AW38,AW38)</f>
        <v>70</v>
      </c>
      <c r="AY38" s="731" t="e">
        <f>INDEX($AW$7:$AW$46,MATCH(ROWS($AY$7:AY38),$AX$7:$AX$46,0))</f>
        <v>#N/A</v>
      </c>
    </row>
    <row r="39" spans="1:55" x14ac:dyDescent="0.2">
      <c r="A39" s="162"/>
      <c r="B39" s="270"/>
      <c r="C39" s="270"/>
      <c r="D39" s="270"/>
      <c r="E39" s="270"/>
      <c r="F39" s="270"/>
      <c r="G39" s="270"/>
      <c r="H39" s="270"/>
      <c r="I39" s="128"/>
      <c r="K39" s="128"/>
      <c r="L39" s="270"/>
      <c r="M39" s="270"/>
      <c r="N39" s="270"/>
      <c r="O39" s="270"/>
      <c r="P39" s="128"/>
      <c r="Q39" s="128"/>
      <c r="R39" s="270"/>
      <c r="S39" s="128"/>
      <c r="T39" s="128"/>
      <c r="U39" s="128"/>
      <c r="V39" s="128"/>
      <c r="W39" s="128"/>
      <c r="Y39" s="128"/>
      <c r="Z39" s="128"/>
      <c r="AA39" s="485"/>
      <c r="AB39" s="485"/>
      <c r="AC39" s="435"/>
      <c r="AD39" s="208">
        <v>2</v>
      </c>
      <c r="AE39" s="922" t="str">
        <f>'2d. Patients - DTG'!E44</f>
        <v>** NOT USED **</v>
      </c>
      <c r="AF39" s="922"/>
      <c r="AG39" s="128"/>
      <c r="AH39" s="128"/>
      <c r="AI39" s="128"/>
      <c r="AJ39" s="128"/>
      <c r="AK39" s="72" t="s">
        <v>1025</v>
      </c>
      <c r="AL39" s="533">
        <f>'11. Persistent population'!F10</f>
        <v>0</v>
      </c>
      <c r="AM39" s="533">
        <f>'11. Persistent population'!G10</f>
        <v>0</v>
      </c>
      <c r="AN39" s="533">
        <f>'11. Persistent population'!H10</f>
        <v>0</v>
      </c>
      <c r="AO39" s="533">
        <f>'11. Persistent population'!I10</f>
        <v>0</v>
      </c>
      <c r="AP39" s="533">
        <f>'11. Persistent population'!J10</f>
        <v>0</v>
      </c>
      <c r="AQ39" s="533">
        <f>'11. Persistent population'!K10</f>
        <v>0</v>
      </c>
      <c r="AR39"/>
      <c r="AT39" s="72" t="s">
        <v>1280</v>
      </c>
      <c r="AU39" s="724" t="str">
        <f t="shared" si="0"/>
        <v/>
      </c>
      <c r="AV39" s="737">
        <f>IF('7. Net changes - MBS'!D470&lt;&gt;"",'7. Net changes - MBS'!D470,999999)</f>
        <v>999999</v>
      </c>
      <c r="AW39" s="731" t="e">
        <f>LOOKUP(2,1/(COUNTIF($AW$6:AW38,MBSItemsAll)=0),MBSItemsAll)</f>
        <v>#N/A</v>
      </c>
      <c r="AX39" s="731">
        <f>COUNTIF($AW$7:$AW$46, "&lt;" &amp; AW39)+COUNTIF($AW$7:AW39,AW39)</f>
        <v>71</v>
      </c>
      <c r="AY39" s="731" t="e">
        <f>INDEX($AW$7:$AW$46,MATCH(ROWS($AY$7:AY39),$AX$7:$AX$46,0))</f>
        <v>#N/A</v>
      </c>
    </row>
    <row r="40" spans="1:55" x14ac:dyDescent="0.2">
      <c r="A40" s="75"/>
      <c r="B40" s="270"/>
      <c r="C40" s="270"/>
      <c r="D40" s="270"/>
      <c r="E40" s="270"/>
      <c r="F40" s="270"/>
      <c r="G40" s="270"/>
      <c r="H40" s="270"/>
      <c r="I40" s="128"/>
      <c r="K40" s="128"/>
      <c r="L40" s="270"/>
      <c r="M40" s="270"/>
      <c r="N40" s="270"/>
      <c r="O40" s="270"/>
      <c r="P40" s="128"/>
      <c r="Q40" s="128"/>
      <c r="R40" s="270"/>
      <c r="S40" s="128"/>
      <c r="T40" s="128"/>
      <c r="U40" s="128"/>
      <c r="V40" s="128"/>
      <c r="W40" s="128"/>
      <c r="Y40" s="128"/>
      <c r="Z40" s="128"/>
      <c r="AA40" s="485"/>
      <c r="AB40" s="485"/>
      <c r="AC40" s="435"/>
      <c r="AD40" s="208">
        <v>3</v>
      </c>
      <c r="AE40" s="922" t="str">
        <f>'2d. Patients - DTG'!E66</f>
        <v>** NOT USED **</v>
      </c>
      <c r="AF40" s="922"/>
      <c r="AG40" s="128"/>
      <c r="AH40" s="128"/>
      <c r="AI40" s="128"/>
      <c r="AJ40" s="128"/>
      <c r="AK40" s="72" t="s">
        <v>1026</v>
      </c>
      <c r="AL40" s="533">
        <f>'11. Persistent population'!F11</f>
        <v>0</v>
      </c>
      <c r="AM40" s="533">
        <f>'11. Persistent population'!G11</f>
        <v>0</v>
      </c>
      <c r="AN40" s="533">
        <f>'11. Persistent population'!H11</f>
        <v>0</v>
      </c>
      <c r="AO40" s="533">
        <f>'11. Persistent population'!I11</f>
        <v>0</v>
      </c>
      <c r="AP40" s="533">
        <f>'11. Persistent population'!J11</f>
        <v>0</v>
      </c>
      <c r="AQ40" s="533">
        <f>'11. Persistent population'!K11</f>
        <v>0</v>
      </c>
      <c r="AR40"/>
      <c r="AT40" s="72" t="s">
        <v>1281</v>
      </c>
      <c r="AU40" s="724" t="str">
        <f t="shared" si="0"/>
        <v/>
      </c>
      <c r="AV40" s="737">
        <f>IF('7. Net changes - MBS'!D471&lt;&gt;"",'7. Net changes - MBS'!D471,999999)</f>
        <v>999999</v>
      </c>
      <c r="AW40" s="731" t="e">
        <f>LOOKUP(2,1/(COUNTIF($AW$6:AW39,MBSItemsAll)=0),MBSItemsAll)</f>
        <v>#N/A</v>
      </c>
      <c r="AX40" s="731">
        <f>COUNTIF($AW$7:$AW$46, "&lt;" &amp; AW40)+COUNTIF($AW$7:AW40,AW40)</f>
        <v>72</v>
      </c>
      <c r="AY40" s="731" t="e">
        <f>INDEX($AW$7:$AW$46,MATCH(ROWS($AY$7:AY40),$AX$7:$AX$46,0))</f>
        <v>#N/A</v>
      </c>
    </row>
    <row r="41" spans="1:55" x14ac:dyDescent="0.2">
      <c r="A41" s="75"/>
      <c r="B41" s="924" t="s">
        <v>315</v>
      </c>
      <c r="C41" s="925"/>
      <c r="D41" s="128"/>
      <c r="E41" s="924" t="s">
        <v>257</v>
      </c>
      <c r="F41" s="925"/>
      <c r="G41" s="128"/>
      <c r="H41" s="206" t="s">
        <v>57</v>
      </c>
      <c r="I41" s="128"/>
      <c r="J41" s="206" t="s">
        <v>93</v>
      </c>
      <c r="K41" s="128"/>
      <c r="L41" s="270"/>
      <c r="M41" s="270"/>
      <c r="N41" s="270"/>
      <c r="O41" s="270"/>
      <c r="P41" s="128"/>
      <c r="Q41" s="128"/>
      <c r="R41" s="270"/>
      <c r="S41" s="128"/>
      <c r="T41" s="128"/>
      <c r="U41" s="128"/>
      <c r="V41" s="128"/>
      <c r="W41" s="128"/>
      <c r="Y41" s="128"/>
      <c r="Z41" s="128"/>
      <c r="AA41" s="485"/>
      <c r="AB41" s="485"/>
      <c r="AC41" s="435"/>
      <c r="AD41" s="208">
        <v>4</v>
      </c>
      <c r="AE41" s="922" t="str">
        <f>'2d. Patients - DTG'!E88</f>
        <v>** NOT USED **</v>
      </c>
      <c r="AF41" s="922"/>
      <c r="AG41" s="128"/>
      <c r="AH41" s="128"/>
      <c r="AI41" s="128"/>
      <c r="AJ41" s="128"/>
      <c r="AK41" s="72" t="s">
        <v>1027</v>
      </c>
      <c r="AL41" s="533">
        <f>'11. Persistent population'!F12</f>
        <v>0</v>
      </c>
      <c r="AM41" s="533">
        <f>'11. Persistent population'!G12</f>
        <v>0</v>
      </c>
      <c r="AN41" s="533">
        <f>'11. Persistent population'!H12</f>
        <v>0</v>
      </c>
      <c r="AO41" s="533">
        <f>'11. Persistent population'!I12</f>
        <v>0</v>
      </c>
      <c r="AP41" s="533">
        <f>'11. Persistent population'!J12</f>
        <v>0</v>
      </c>
      <c r="AQ41" s="533">
        <f>'11. Persistent population'!K12</f>
        <v>0</v>
      </c>
      <c r="AR41"/>
      <c r="AT41" s="72" t="s">
        <v>1282</v>
      </c>
      <c r="AU41" s="724" t="str">
        <f t="shared" si="0"/>
        <v/>
      </c>
      <c r="AV41" s="737">
        <f>IF('7. Net changes - MBS'!D472&lt;&gt;"",'7. Net changes - MBS'!D472,999999)</f>
        <v>999999</v>
      </c>
      <c r="AW41" s="731" t="e">
        <f>LOOKUP(2,1/(COUNTIF($AW$6:AW40,MBSItemsAll)=0),MBSItemsAll)</f>
        <v>#N/A</v>
      </c>
      <c r="AX41" s="731">
        <f>COUNTIF($AW$7:$AW$46, "&lt;" &amp; AW41)+COUNTIF($AW$7:AW41,AW41)</f>
        <v>73</v>
      </c>
      <c r="AY41" s="731" t="e">
        <f>INDEX($AW$7:$AW$46,MATCH(ROWS($AY$7:AY41),$AX$7:$AX$46,0))</f>
        <v>#N/A</v>
      </c>
    </row>
    <row r="42" spans="1:55" x14ac:dyDescent="0.2">
      <c r="A42" s="162"/>
      <c r="B42" s="275" t="s">
        <v>266</v>
      </c>
      <c r="C42" s="275">
        <v>0</v>
      </c>
      <c r="D42" s="128"/>
      <c r="E42" s="275" t="s">
        <v>175</v>
      </c>
      <c r="F42" s="275">
        <v>0</v>
      </c>
      <c r="G42" s="128"/>
      <c r="H42" s="275" t="s">
        <v>60</v>
      </c>
      <c r="I42" s="128"/>
      <c r="J42" s="275">
        <v>2021</v>
      </c>
      <c r="K42" s="128"/>
      <c r="L42" s="270"/>
      <c r="M42" s="270"/>
      <c r="N42" s="270"/>
      <c r="O42" s="270"/>
      <c r="P42" s="128"/>
      <c r="Q42" s="128"/>
      <c r="R42" s="270"/>
      <c r="S42" s="128"/>
      <c r="T42" s="128"/>
      <c r="U42" s="128"/>
      <c r="V42" s="128"/>
      <c r="W42" s="128"/>
      <c r="X42" s="435"/>
      <c r="Y42" s="128"/>
      <c r="Z42" s="128"/>
      <c r="AA42" s="435"/>
      <c r="AB42" s="435"/>
      <c r="AC42" s="435"/>
      <c r="AD42" s="208">
        <v>5</v>
      </c>
      <c r="AE42" s="922" t="str">
        <f>'2d. Patients - DTG'!E110</f>
        <v>** NOT USED **</v>
      </c>
      <c r="AF42" s="922"/>
      <c r="AG42" s="128"/>
      <c r="AH42" s="128"/>
      <c r="AI42" s="128"/>
      <c r="AJ42" s="128"/>
      <c r="AK42" s="72" t="s">
        <v>1028</v>
      </c>
      <c r="AL42" s="533">
        <f>'11. Persistent population'!F13</f>
        <v>0</v>
      </c>
      <c r="AM42" s="533">
        <f>'11. Persistent population'!G13</f>
        <v>0</v>
      </c>
      <c r="AN42" s="533">
        <f>'11. Persistent population'!H13</f>
        <v>0</v>
      </c>
      <c r="AO42" s="533">
        <f>'11. Persistent population'!I13</f>
        <v>0</v>
      </c>
      <c r="AP42" s="533">
        <f>'11. Persistent population'!J13</f>
        <v>0</v>
      </c>
      <c r="AQ42" s="533">
        <f>'11. Persistent population'!K13</f>
        <v>0</v>
      </c>
      <c r="AR42"/>
      <c r="AT42" s="72" t="s">
        <v>1283</v>
      </c>
      <c r="AU42" s="724" t="str">
        <f t="shared" si="0"/>
        <v/>
      </c>
      <c r="AV42" s="737">
        <f>IF('7. Net changes - MBS'!D473&lt;&gt;"",'7. Net changes - MBS'!D473,999999)</f>
        <v>999999</v>
      </c>
      <c r="AW42" s="731" t="e">
        <f>LOOKUP(2,1/(COUNTIF($AW$6:AW41,MBSItemsAll)=0),MBSItemsAll)</f>
        <v>#N/A</v>
      </c>
      <c r="AX42" s="731">
        <f>COUNTIF($AW$7:$AW$46, "&lt;" &amp; AW42)+COUNTIF($AW$7:AW42,AW42)</f>
        <v>74</v>
      </c>
      <c r="AY42" s="731" t="e">
        <f>INDEX($AW$7:$AW$46,MATCH(ROWS($AY$7:AY42),$AX$7:$AX$46,0))</f>
        <v>#N/A</v>
      </c>
    </row>
    <row r="43" spans="1:55" x14ac:dyDescent="0.2">
      <c r="A43" s="162"/>
      <c r="B43" s="275" t="s">
        <v>366</v>
      </c>
      <c r="C43" s="275">
        <v>1</v>
      </c>
      <c r="D43" s="128"/>
      <c r="E43" s="275" t="s">
        <v>59</v>
      </c>
      <c r="F43" s="275">
        <v>1</v>
      </c>
      <c r="G43" s="128"/>
      <c r="H43" s="275" t="s">
        <v>62</v>
      </c>
      <c r="I43" s="128"/>
      <c r="J43" s="275">
        <v>2022</v>
      </c>
      <c r="K43" s="128"/>
      <c r="L43" s="270"/>
      <c r="M43" s="270"/>
      <c r="N43" s="270"/>
      <c r="O43" s="270"/>
      <c r="P43" s="128"/>
      <c r="Q43" s="128"/>
      <c r="R43" s="270"/>
      <c r="S43" s="128"/>
      <c r="T43" s="128"/>
      <c r="U43" s="128"/>
      <c r="V43" s="128"/>
      <c r="W43" s="128"/>
      <c r="X43" s="435"/>
      <c r="Y43" s="128"/>
      <c r="Z43" s="128"/>
      <c r="AA43" s="923" t="s">
        <v>651</v>
      </c>
      <c r="AB43" s="923"/>
      <c r="AC43" s="435"/>
      <c r="AD43" s="208">
        <v>6</v>
      </c>
      <c r="AE43" s="922" t="str">
        <f>'2d. Patients - DTG'!E132</f>
        <v>** NOT USED **</v>
      </c>
      <c r="AF43" s="922"/>
      <c r="AG43" s="128"/>
      <c r="AH43" s="128"/>
      <c r="AI43" s="128"/>
      <c r="AJ43" s="128"/>
      <c r="AK43" s="72" t="s">
        <v>1029</v>
      </c>
      <c r="AL43" s="533">
        <f>'11. Persistent population'!F14</f>
        <v>0</v>
      </c>
      <c r="AM43" s="533">
        <f>'11. Persistent population'!G14</f>
        <v>0</v>
      </c>
      <c r="AN43" s="533">
        <f>'11. Persistent population'!H14</f>
        <v>0</v>
      </c>
      <c r="AO43" s="533">
        <f>'11. Persistent population'!I14</f>
        <v>0</v>
      </c>
      <c r="AP43" s="533">
        <f>'11. Persistent population'!J14</f>
        <v>0</v>
      </c>
      <c r="AQ43" s="533">
        <f>'11. Persistent population'!K14</f>
        <v>0</v>
      </c>
      <c r="AR43"/>
      <c r="AT43" s="72" t="s">
        <v>1284</v>
      </c>
      <c r="AU43" s="724" t="str">
        <f t="shared" si="0"/>
        <v/>
      </c>
      <c r="AV43" s="737">
        <f>IF('7. Net changes - MBS'!D474&lt;&gt;"",'7. Net changes - MBS'!D474,999999)</f>
        <v>999999</v>
      </c>
      <c r="AW43" s="731" t="e">
        <f>LOOKUP(2,1/(COUNTIF($AW$6:AW42,MBSItemsAll)=0),MBSItemsAll)</f>
        <v>#N/A</v>
      </c>
      <c r="AX43" s="731">
        <f>COUNTIF($AW$7:$AW$46, "&lt;" &amp; AW43)+COUNTIF($AW$7:AW43,AW43)</f>
        <v>75</v>
      </c>
      <c r="AY43" s="731" t="e">
        <f>INDEX($AW$7:$AW$46,MATCH(ROWS($AY$7:AY43),$AX$7:$AX$46,0))</f>
        <v>#N/A</v>
      </c>
    </row>
    <row r="44" spans="1:55" x14ac:dyDescent="0.2">
      <c r="A44" s="162"/>
      <c r="B44" s="275" t="s">
        <v>243</v>
      </c>
      <c r="C44" s="275">
        <v>2</v>
      </c>
      <c r="D44" s="128"/>
      <c r="E44" s="275" t="s">
        <v>61</v>
      </c>
      <c r="F44" s="275">
        <v>2</v>
      </c>
      <c r="G44" s="128"/>
      <c r="H44" s="275" t="s">
        <v>63</v>
      </c>
      <c r="I44" s="128"/>
      <c r="J44" s="275">
        <v>2023</v>
      </c>
      <c r="K44" s="128"/>
      <c r="L44" s="270"/>
      <c r="M44" s="270"/>
      <c r="N44" s="270"/>
      <c r="O44" s="270"/>
      <c r="P44" s="128"/>
      <c r="Q44" s="128"/>
      <c r="R44" s="270"/>
      <c r="S44" s="128"/>
      <c r="T44" s="128"/>
      <c r="U44" s="128"/>
      <c r="V44" s="128"/>
      <c r="W44" s="128"/>
      <c r="X44" s="128"/>
      <c r="Y44" s="128"/>
      <c r="Z44" s="128"/>
      <c r="AA44" s="393" t="s">
        <v>1175</v>
      </c>
      <c r="AB44" s="393" t="s">
        <v>1176</v>
      </c>
      <c r="AC44" s="435"/>
      <c r="AD44" s="208">
        <v>7</v>
      </c>
      <c r="AE44" s="922" t="str">
        <f>'2d. Patients - DTG'!E154</f>
        <v>** NOT USED **</v>
      </c>
      <c r="AF44" s="922"/>
      <c r="AG44" s="128"/>
      <c r="AH44" s="128"/>
      <c r="AI44" s="128"/>
      <c r="AJ44" s="128"/>
      <c r="AK44" s="72" t="s">
        <v>1030</v>
      </c>
      <c r="AL44" s="533">
        <f>'11. Persistent population'!F15</f>
        <v>0</v>
      </c>
      <c r="AM44" s="533">
        <f>'11. Persistent population'!G15</f>
        <v>0</v>
      </c>
      <c r="AN44" s="533">
        <f>'11. Persistent population'!H15</f>
        <v>0</v>
      </c>
      <c r="AO44" s="533">
        <f>'11. Persistent population'!I15</f>
        <v>0</v>
      </c>
      <c r="AP44" s="533">
        <f>'11. Persistent population'!J15</f>
        <v>0</v>
      </c>
      <c r="AQ44" s="533">
        <f>'11. Persistent population'!K15</f>
        <v>0</v>
      </c>
      <c r="AR44"/>
      <c r="AT44" s="72" t="s">
        <v>1285</v>
      </c>
      <c r="AU44" s="724" t="str">
        <f t="shared" si="0"/>
        <v/>
      </c>
      <c r="AV44" s="737">
        <f>IF('7. Net changes - MBS'!D475&lt;&gt;"",'7. Net changes - MBS'!D475,999999)</f>
        <v>999999</v>
      </c>
      <c r="AW44" s="731" t="e">
        <f>LOOKUP(2,1/(COUNTIF($AW$6:AW43,MBSItemsAll)=0),MBSItemsAll)</f>
        <v>#N/A</v>
      </c>
      <c r="AX44" s="731">
        <f>COUNTIF($AW$7:$AW$46, "&lt;" &amp; AW44)+COUNTIF($AW$7:AW44,AW44)</f>
        <v>76</v>
      </c>
      <c r="AY44" s="731" t="e">
        <f>INDEX($AW$7:$AW$46,MATCH(ROWS($AY$7:AY44),$AX$7:$AX$46,0))</f>
        <v>#N/A</v>
      </c>
    </row>
    <row r="45" spans="1:55" x14ac:dyDescent="0.2">
      <c r="A45" s="162"/>
      <c r="B45" s="275" t="s">
        <v>244</v>
      </c>
      <c r="C45" s="275">
        <v>3</v>
      </c>
      <c r="D45" s="128"/>
      <c r="E45" s="275" t="s">
        <v>376</v>
      </c>
      <c r="F45" s="275">
        <v>3</v>
      </c>
      <c r="G45" s="128"/>
      <c r="H45" s="275" t="s">
        <v>141</v>
      </c>
      <c r="I45" s="128"/>
      <c r="J45" s="275">
        <v>2024</v>
      </c>
      <c r="K45" s="128"/>
      <c r="L45" s="270"/>
      <c r="M45" s="270"/>
      <c r="N45" s="270"/>
      <c r="O45" s="270"/>
      <c r="P45" s="128"/>
      <c r="Q45" s="128"/>
      <c r="R45" s="270"/>
      <c r="S45" s="128"/>
      <c r="T45" s="128"/>
      <c r="U45" s="128"/>
      <c r="V45" s="128"/>
      <c r="W45" s="128"/>
      <c r="X45" s="128"/>
      <c r="Y45" s="128"/>
      <c r="Z45" s="128"/>
      <c r="AA45" s="393" t="s">
        <v>1078</v>
      </c>
      <c r="AB45" s="393" t="s">
        <v>1080</v>
      </c>
      <c r="AC45" s="435"/>
      <c r="AD45" s="208">
        <v>8</v>
      </c>
      <c r="AE45" s="922" t="str">
        <f>'2d. Patients - DTG'!E176</f>
        <v>** NOT USED **</v>
      </c>
      <c r="AF45" s="922"/>
      <c r="AG45" s="128"/>
      <c r="AH45" s="128"/>
      <c r="AI45" s="128"/>
      <c r="AJ45" s="128"/>
      <c r="AK45" s="72" t="s">
        <v>1031</v>
      </c>
      <c r="AL45" s="533">
        <f>'11. Persistent population'!F16</f>
        <v>0</v>
      </c>
      <c r="AM45" s="533">
        <f>'11. Persistent population'!G16</f>
        <v>0</v>
      </c>
      <c r="AN45" s="533">
        <f>'11. Persistent population'!H16</f>
        <v>0</v>
      </c>
      <c r="AO45" s="533">
        <f>'11. Persistent population'!I16</f>
        <v>0</v>
      </c>
      <c r="AP45" s="533">
        <f>'11. Persistent population'!J16</f>
        <v>0</v>
      </c>
      <c r="AQ45" s="533">
        <f>'11. Persistent population'!K16</f>
        <v>0</v>
      </c>
      <c r="AR45"/>
      <c r="AT45" s="72" t="s">
        <v>1286</v>
      </c>
      <c r="AU45" s="724" t="str">
        <f t="shared" si="0"/>
        <v/>
      </c>
      <c r="AV45" s="737">
        <f>IF('7. Net changes - MBS'!D476&lt;&gt;"",'7. Net changes - MBS'!D476,999999)</f>
        <v>999999</v>
      </c>
      <c r="AW45" s="731" t="e">
        <f>LOOKUP(2,1/(COUNTIF($AW$6:AW44,MBSItemsAll)=0),MBSItemsAll)</f>
        <v>#N/A</v>
      </c>
      <c r="AX45" s="731">
        <f>COUNTIF($AW$7:$AW$46, "&lt;" &amp; AW45)+COUNTIF($AW$7:AW45,AW45)</f>
        <v>77</v>
      </c>
      <c r="AY45" s="731" t="e">
        <f>INDEX($AW$7:$AW$46,MATCH(ROWS($AY$7:AY45),$AX$7:$AX$46,0))</f>
        <v>#N/A</v>
      </c>
    </row>
    <row r="46" spans="1:55" x14ac:dyDescent="0.2">
      <c r="A46" s="162"/>
      <c r="B46" s="128"/>
      <c r="C46" s="128"/>
      <c r="D46" s="128"/>
      <c r="E46" s="275" t="s">
        <v>184</v>
      </c>
      <c r="F46" s="275">
        <v>4</v>
      </c>
      <c r="G46" s="128"/>
      <c r="H46" s="128"/>
      <c r="I46" s="128"/>
      <c r="J46" s="275">
        <v>2025</v>
      </c>
      <c r="K46" s="128"/>
      <c r="L46" s="270"/>
      <c r="M46" s="270"/>
      <c r="N46" s="270"/>
      <c r="O46" s="270"/>
      <c r="P46" s="128"/>
      <c r="Q46" s="128"/>
      <c r="R46" s="270"/>
      <c r="S46" s="128"/>
      <c r="T46" s="128"/>
      <c r="U46" s="128"/>
      <c r="V46" s="128"/>
      <c r="W46" s="128"/>
      <c r="X46" s="128"/>
      <c r="Y46" s="128"/>
      <c r="Z46" s="128"/>
      <c r="AA46" s="393" t="s">
        <v>806</v>
      </c>
      <c r="AB46" s="393" t="s">
        <v>807</v>
      </c>
      <c r="AC46" s="435"/>
      <c r="AD46" s="208">
        <v>9</v>
      </c>
      <c r="AE46" s="922" t="str">
        <f>'2d. Patients - DTG'!E198</f>
        <v>** NOT USED **</v>
      </c>
      <c r="AF46" s="922"/>
      <c r="AG46" s="128"/>
      <c r="AH46" s="128"/>
      <c r="AI46" s="128"/>
      <c r="AJ46" s="128"/>
      <c r="AK46" s="72" t="s">
        <v>1032</v>
      </c>
      <c r="AL46" s="533">
        <f>'11. Persistent population'!F17</f>
        <v>0</v>
      </c>
      <c r="AM46" s="533">
        <f>'11. Persistent population'!G17</f>
        <v>0</v>
      </c>
      <c r="AN46" s="533">
        <f>'11. Persistent population'!H17</f>
        <v>0</v>
      </c>
      <c r="AO46" s="533">
        <f>'11. Persistent population'!I17</f>
        <v>0</v>
      </c>
      <c r="AP46" s="533">
        <f>'11. Persistent population'!J17</f>
        <v>0</v>
      </c>
      <c r="AQ46" s="533">
        <f>'11. Persistent population'!K17</f>
        <v>0</v>
      </c>
      <c r="AR46"/>
      <c r="AT46" s="72" t="s">
        <v>1287</v>
      </c>
      <c r="AU46" s="724" t="str">
        <f t="shared" si="0"/>
        <v/>
      </c>
      <c r="AV46" s="737">
        <f>IF('7. Net changes - MBS'!D477&lt;&gt;"",'7. Net changes - MBS'!D477,999999)</f>
        <v>999999</v>
      </c>
      <c r="AW46" s="731" t="e">
        <f>LOOKUP(2,1/(COUNTIF($AW$6:AW45,MBSItemsAll)=0),MBSItemsAll)</f>
        <v>#N/A</v>
      </c>
      <c r="AX46" s="731">
        <f>COUNTIF($AW$7:$AW$46, "&lt;" &amp; AW46)+COUNTIF($AW$7:AW46,AW46)</f>
        <v>78</v>
      </c>
      <c r="AY46" s="731" t="e">
        <f>INDEX($AW$7:$AW$46,MATCH(ROWS($AY$7:AY46),$AX$7:$AX$46,0))</f>
        <v>#N/A</v>
      </c>
    </row>
    <row r="47" spans="1:55" x14ac:dyDescent="0.2">
      <c r="A47" s="162"/>
      <c r="B47" s="128"/>
      <c r="C47" s="128"/>
      <c r="D47" s="128"/>
      <c r="E47" s="213"/>
      <c r="F47" s="128"/>
      <c r="G47" s="128"/>
      <c r="H47" s="128"/>
      <c r="I47" s="128"/>
      <c r="J47" s="128"/>
      <c r="K47" s="128"/>
      <c r="L47" s="270"/>
      <c r="M47" s="270"/>
      <c r="N47" s="270"/>
      <c r="O47" s="270"/>
      <c r="P47" s="128"/>
      <c r="Q47" s="128"/>
      <c r="R47" s="270"/>
      <c r="S47" s="128"/>
      <c r="T47" s="128"/>
      <c r="U47" s="128"/>
      <c r="V47" s="128"/>
      <c r="W47" s="128"/>
      <c r="X47" s="128"/>
      <c r="Y47" s="128"/>
      <c r="Z47" s="128"/>
      <c r="AA47" s="393" t="s">
        <v>1077</v>
      </c>
      <c r="AB47" s="393" t="s">
        <v>1079</v>
      </c>
      <c r="AC47" s="435"/>
      <c r="AD47" s="208">
        <v>10</v>
      </c>
      <c r="AE47" s="922" t="str">
        <f>'2d. Patients - DTG'!E220</f>
        <v>** NOT USED **</v>
      </c>
      <c r="AF47" s="922"/>
      <c r="AG47" s="128"/>
      <c r="AH47" s="128"/>
      <c r="AI47" s="128"/>
      <c r="AJ47" s="128"/>
      <c r="AK47" s="435"/>
      <c r="AL47" s="435"/>
      <c r="AM47" s="435"/>
      <c r="AN47" s="435"/>
      <c r="AO47" s="435"/>
      <c r="AP47" s="435"/>
      <c r="AQ47" s="435"/>
      <c r="AR47" s="435"/>
    </row>
    <row r="48" spans="1:55" ht="12.75" customHeight="1" x14ac:dyDescent="0.2">
      <c r="A48" s="162"/>
      <c r="B48" s="128"/>
      <c r="C48" s="128"/>
      <c r="D48" s="128"/>
      <c r="E48" s="213"/>
      <c r="F48" s="213"/>
      <c r="G48" s="128"/>
      <c r="H48" s="128"/>
      <c r="I48" s="128"/>
      <c r="J48" s="128"/>
      <c r="K48" s="128"/>
      <c r="L48" s="270"/>
      <c r="M48" s="270"/>
      <c r="N48" s="270"/>
      <c r="O48" s="270"/>
      <c r="P48" s="128"/>
      <c r="Q48" s="128"/>
      <c r="R48" s="270"/>
      <c r="S48" s="128"/>
      <c r="T48" s="128"/>
      <c r="U48" s="128"/>
      <c r="V48" s="128"/>
      <c r="W48" s="128"/>
      <c r="X48" s="128"/>
      <c r="Y48" s="128"/>
      <c r="Z48" s="128"/>
      <c r="AA48" s="393" t="s">
        <v>731</v>
      </c>
      <c r="AB48" s="393" t="s">
        <v>730</v>
      </c>
      <c r="AC48" s="435"/>
      <c r="AD48" s="208">
        <v>11</v>
      </c>
      <c r="AE48" s="922" t="str">
        <f>'2d. Patients - DTG'!E242</f>
        <v>** NOT USED **</v>
      </c>
      <c r="AF48" s="922"/>
      <c r="AG48" s="128"/>
      <c r="AH48" s="128"/>
      <c r="AI48" s="128"/>
      <c r="AJ48" s="128"/>
      <c r="AK48" s="128"/>
      <c r="AL48" s="923" t="s">
        <v>1184</v>
      </c>
      <c r="AM48" s="923"/>
      <c r="AN48" s="923"/>
      <c r="AO48" s="923"/>
      <c r="AP48" s="923"/>
      <c r="AQ48" s="923"/>
      <c r="AR48" s="923"/>
      <c r="AT48" s="435"/>
      <c r="AU48" s="923" t="s">
        <v>1185</v>
      </c>
      <c r="AV48" s="923"/>
      <c r="AW48" s="923"/>
      <c r="AX48" s="923"/>
      <c r="AY48" s="923"/>
      <c r="AZ48" s="923"/>
      <c r="BB48" s="416"/>
      <c r="BC48" s="416"/>
    </row>
    <row r="49" spans="1:55" x14ac:dyDescent="0.2">
      <c r="A49" s="162"/>
      <c r="B49" s="128"/>
      <c r="C49" s="128"/>
      <c r="D49" s="128"/>
      <c r="E49" s="128"/>
      <c r="F49" s="128"/>
      <c r="G49" s="128"/>
      <c r="H49" s="128"/>
      <c r="I49" s="128"/>
      <c r="K49" s="128"/>
      <c r="L49" s="270"/>
      <c r="M49" s="270"/>
      <c r="N49" s="270"/>
      <c r="O49" s="270"/>
      <c r="P49" s="128"/>
      <c r="Q49" s="128"/>
      <c r="R49" s="270"/>
      <c r="S49" s="128"/>
      <c r="T49" s="128"/>
      <c r="U49" s="128"/>
      <c r="V49" s="128"/>
      <c r="W49" s="128"/>
      <c r="X49" s="128"/>
      <c r="Y49" s="128"/>
      <c r="Z49" s="128"/>
      <c r="AA49" s="393" t="s">
        <v>658</v>
      </c>
      <c r="AB49" s="393" t="s">
        <v>657</v>
      </c>
      <c r="AC49" s="435"/>
      <c r="AD49" s="208">
        <v>12</v>
      </c>
      <c r="AE49" s="922" t="str">
        <f>'2d. Patients - DTG'!E264</f>
        <v>** NOT USED **</v>
      </c>
      <c r="AF49" s="922"/>
      <c r="AG49" s="128"/>
      <c r="AH49" s="128"/>
      <c r="AI49" s="128"/>
      <c r="AJ49" s="128"/>
      <c r="AK49" s="128"/>
      <c r="AL49" s="607">
        <f>FirstYear</f>
        <v>2021</v>
      </c>
      <c r="AM49" s="608">
        <f>AL49+1</f>
        <v>2022</v>
      </c>
      <c r="AN49" s="608">
        <f>AM49+1</f>
        <v>2023</v>
      </c>
      <c r="AO49" s="608">
        <f>AN49+1</f>
        <v>2024</v>
      </c>
      <c r="AP49" s="608">
        <f>AO49+1</f>
        <v>2025</v>
      </c>
      <c r="AQ49" s="608">
        <f>AP49+1</f>
        <v>2026</v>
      </c>
      <c r="AR49" s="69" t="s">
        <v>1190</v>
      </c>
      <c r="AT49" s="435"/>
      <c r="AU49" s="207">
        <f>FirstYear</f>
        <v>2021</v>
      </c>
      <c r="AV49" s="69">
        <f>AU49+1</f>
        <v>2022</v>
      </c>
      <c r="AW49" s="69">
        <f>AV49+1</f>
        <v>2023</v>
      </c>
      <c r="AX49" s="69">
        <f>AW49+1</f>
        <v>2024</v>
      </c>
      <c r="AY49" s="69">
        <f>AX49+1</f>
        <v>2025</v>
      </c>
      <c r="AZ49" s="69">
        <f>AY49+1</f>
        <v>2026</v>
      </c>
      <c r="BA49" s="69" t="s">
        <v>63</v>
      </c>
      <c r="BB49" s="69" t="s">
        <v>1190</v>
      </c>
      <c r="BC49" s="69" t="s">
        <v>106</v>
      </c>
    </row>
    <row r="50" spans="1:55" x14ac:dyDescent="0.2">
      <c r="A50" s="162"/>
      <c r="B50" s="128"/>
      <c r="C50" s="128"/>
      <c r="D50" s="128"/>
      <c r="E50" s="128"/>
      <c r="F50" s="128"/>
      <c r="G50" s="128"/>
      <c r="H50" s="128"/>
      <c r="I50" s="128"/>
      <c r="K50" s="128"/>
      <c r="L50" s="270"/>
      <c r="M50" s="270"/>
      <c r="N50" s="270"/>
      <c r="O50" s="270"/>
      <c r="P50" s="128"/>
      <c r="Q50" s="128"/>
      <c r="R50" s="270"/>
      <c r="S50" s="128"/>
      <c r="T50" s="128"/>
      <c r="U50" s="128"/>
      <c r="V50" s="128"/>
      <c r="W50" s="128"/>
      <c r="X50" s="128"/>
      <c r="Y50" s="128"/>
      <c r="Z50" s="128"/>
      <c r="AA50" s="393" t="s">
        <v>672</v>
      </c>
      <c r="AB50" s="393" t="s">
        <v>674</v>
      </c>
      <c r="AC50" s="435"/>
      <c r="AD50" s="208">
        <v>13</v>
      </c>
      <c r="AE50" s="922" t="str">
        <f>'2d. Patients - DTG'!E286</f>
        <v>** NOT USED **</v>
      </c>
      <c r="AF50" s="922"/>
      <c r="AG50" s="128"/>
      <c r="AH50" s="128"/>
      <c r="AI50" s="128"/>
      <c r="AJ50" s="128"/>
      <c r="AK50" s="72" t="s">
        <v>384</v>
      </c>
      <c r="AL50" s="533">
        <f>'2a. Patients - incident'!E52</f>
        <v>0</v>
      </c>
      <c r="AM50" s="533">
        <f>'2a. Patients - incident'!F52</f>
        <v>0</v>
      </c>
      <c r="AN50" s="533">
        <f>'2a. Patients - incident'!G52</f>
        <v>0</v>
      </c>
      <c r="AO50" s="533">
        <f>'2a. Patients - incident'!H52</f>
        <v>0</v>
      </c>
      <c r="AP50" s="533">
        <f>'2a. Patients - incident'!I52</f>
        <v>0</v>
      </c>
      <c r="AQ50" s="533">
        <f>'2a. Patients - incident'!J52</f>
        <v>0</v>
      </c>
      <c r="AR50" s="533" t="str">
        <f>'2a. Patients - incident'!C55</f>
        <v/>
      </c>
      <c r="AT50" s="72" t="s">
        <v>1213</v>
      </c>
      <c r="AU50" s="533">
        <f ca="1">'2d. Patients - DTG'!F41</f>
        <v>0</v>
      </c>
      <c r="AV50" s="533">
        <f ca="1">'2d. Patients - DTG'!G41</f>
        <v>0</v>
      </c>
      <c r="AW50" s="533">
        <f ca="1">'2d. Patients - DTG'!H41</f>
        <v>0</v>
      </c>
      <c r="AX50" s="533">
        <f ca="1">'2d. Patients - DTG'!I41</f>
        <v>0</v>
      </c>
      <c r="AY50" s="533">
        <f ca="1">'2d. Patients - DTG'!J41</f>
        <v>0</v>
      </c>
      <c r="AZ50" s="533">
        <f ca="1">'2d. Patients - DTG'!K41</f>
        <v>0</v>
      </c>
      <c r="BA50" s="533">
        <f>'2d. Patients - DTG'!B22</f>
        <v>0</v>
      </c>
      <c r="BB50" s="533">
        <f ca="1">IFERROR(INDEX(PxTxPhase1,'2d. Patients - DTG'!D27,7),0)</f>
        <v>0</v>
      </c>
      <c r="BC50" s="534">
        <f t="shared" ref="BC50:BC80" ca="1" si="2">IF(AND(BB50&lt;&gt;"",BB50&lt;&gt;0),INDEX(ServiceSplitRPBS,BB50),0)</f>
        <v>0</v>
      </c>
    </row>
    <row r="51" spans="1:55" x14ac:dyDescent="0.2">
      <c r="A51" s="162"/>
      <c r="B51" s="270"/>
      <c r="C51" s="270"/>
      <c r="D51" s="270"/>
      <c r="E51" s="270"/>
      <c r="F51" s="270"/>
      <c r="G51" s="270"/>
      <c r="H51" s="270"/>
      <c r="I51" s="128"/>
      <c r="K51" s="128"/>
      <c r="L51" s="270"/>
      <c r="M51" s="270"/>
      <c r="N51" s="270"/>
      <c r="O51" s="270"/>
      <c r="P51" s="128"/>
      <c r="Q51" s="128"/>
      <c r="R51" s="270"/>
      <c r="S51" s="128"/>
      <c r="T51" s="128"/>
      <c r="U51" s="128"/>
      <c r="V51" s="128"/>
      <c r="W51" s="128"/>
      <c r="X51" s="128"/>
      <c r="Y51" s="128"/>
      <c r="Z51" s="128"/>
      <c r="AA51" s="393" t="s">
        <v>792</v>
      </c>
      <c r="AB51" s="393" t="s">
        <v>795</v>
      </c>
      <c r="AC51" s="435"/>
      <c r="AD51" s="208">
        <v>14</v>
      </c>
      <c r="AE51" s="922" t="str">
        <f>'2d. Patients - DTG'!E308</f>
        <v>** NOT USED **</v>
      </c>
      <c r="AF51" s="922"/>
      <c r="AG51" s="128"/>
      <c r="AH51" s="128"/>
      <c r="AI51" s="128"/>
      <c r="AJ51" s="128"/>
      <c r="AK51" s="72" t="s">
        <v>385</v>
      </c>
      <c r="AL51" s="533">
        <f>'2a. Patients - incident'!E90</f>
        <v>0</v>
      </c>
      <c r="AM51" s="533">
        <f>'2a. Patients - incident'!F90</f>
        <v>0</v>
      </c>
      <c r="AN51" s="533">
        <f>'2a. Patients - incident'!G90</f>
        <v>0</v>
      </c>
      <c r="AO51" s="533">
        <f>'2a. Patients - incident'!H90</f>
        <v>0</v>
      </c>
      <c r="AP51" s="533">
        <f>'2a. Patients - incident'!I90</f>
        <v>0</v>
      </c>
      <c r="AQ51" s="533">
        <f>'2a. Patients - incident'!J90</f>
        <v>0</v>
      </c>
      <c r="AR51" s="533" t="str">
        <f>'2a. Patients - incident'!C93</f>
        <v/>
      </c>
      <c r="AT51" s="72" t="s">
        <v>1214</v>
      </c>
      <c r="AU51" s="533">
        <f ca="1">'2d. Patients - DTG'!F63</f>
        <v>0</v>
      </c>
      <c r="AV51" s="533">
        <f ca="1">'2d. Patients - DTG'!G63</f>
        <v>0</v>
      </c>
      <c r="AW51" s="533">
        <f ca="1">'2d. Patients - DTG'!H63</f>
        <v>0</v>
      </c>
      <c r="AX51" s="533">
        <f ca="1">'2d. Patients - DTG'!I63</f>
        <v>0</v>
      </c>
      <c r="AY51" s="533">
        <f ca="1">'2d. Patients - DTG'!J63</f>
        <v>0</v>
      </c>
      <c r="AZ51" s="533">
        <f ca="1">'2d. Patients - DTG'!K63</f>
        <v>0</v>
      </c>
      <c r="BA51" s="533">
        <f>'2d. Patients - DTG'!B44</f>
        <v>0</v>
      </c>
      <c r="BB51" s="533">
        <f ca="1">IFERROR(INDEX(PxTxPhase1,'2d. Patients - DTG'!D49,7),0)</f>
        <v>0</v>
      </c>
      <c r="BC51" s="534">
        <f t="shared" ca="1" si="2"/>
        <v>0</v>
      </c>
    </row>
    <row r="52" spans="1:55" x14ac:dyDescent="0.2">
      <c r="A52" s="128"/>
      <c r="B52" s="270"/>
      <c r="C52" s="270"/>
      <c r="D52" s="270"/>
      <c r="E52" s="270"/>
      <c r="F52" s="270"/>
      <c r="G52" s="270"/>
      <c r="H52" s="270"/>
      <c r="I52" s="128"/>
      <c r="K52" s="128"/>
      <c r="L52" s="270"/>
      <c r="M52" s="270"/>
      <c r="N52" s="270"/>
      <c r="O52" s="270"/>
      <c r="P52" s="128"/>
      <c r="Q52" s="128"/>
      <c r="R52" s="270"/>
      <c r="S52" s="128"/>
      <c r="T52" s="128"/>
      <c r="U52" s="128"/>
      <c r="V52" s="128"/>
      <c r="W52" s="128"/>
      <c r="X52" s="128"/>
      <c r="Y52" s="128"/>
      <c r="Z52" s="128"/>
      <c r="AA52" s="393" t="s">
        <v>659</v>
      </c>
      <c r="AB52" s="393" t="s">
        <v>667</v>
      </c>
      <c r="AC52" s="435"/>
      <c r="AD52" s="208">
        <v>15</v>
      </c>
      <c r="AE52" s="922" t="str">
        <f>'2d. Patients - DTG'!E330</f>
        <v>** NOT USED **</v>
      </c>
      <c r="AF52" s="922"/>
      <c r="AG52" s="128"/>
      <c r="AH52" s="128"/>
      <c r="AI52" s="128"/>
      <c r="AJ52" s="128"/>
      <c r="AK52" s="72" t="s">
        <v>386</v>
      </c>
      <c r="AL52" s="533">
        <f>'2a. Patients - incident'!E128</f>
        <v>0</v>
      </c>
      <c r="AM52" s="533">
        <f>'2a. Patients - incident'!F128</f>
        <v>0</v>
      </c>
      <c r="AN52" s="533">
        <f>'2a. Patients - incident'!G128</f>
        <v>0</v>
      </c>
      <c r="AO52" s="533">
        <f>'2a. Patients - incident'!H128</f>
        <v>0</v>
      </c>
      <c r="AP52" s="533">
        <f>'2a. Patients - incident'!I128</f>
        <v>0</v>
      </c>
      <c r="AQ52" s="533">
        <f>'2a. Patients - incident'!J128</f>
        <v>0</v>
      </c>
      <c r="AR52" s="533" t="str">
        <f>'2a. Patients - incident'!C131</f>
        <v/>
      </c>
      <c r="AT52" s="72" t="s">
        <v>1215</v>
      </c>
      <c r="AU52" s="533">
        <f ca="1">'2d. Patients - DTG'!F85</f>
        <v>0</v>
      </c>
      <c r="AV52" s="533">
        <f ca="1">'2d. Patients - DTG'!G85</f>
        <v>0</v>
      </c>
      <c r="AW52" s="533">
        <f ca="1">'2d. Patients - DTG'!H85</f>
        <v>0</v>
      </c>
      <c r="AX52" s="533">
        <f ca="1">'2d. Patients - DTG'!I85</f>
        <v>0</v>
      </c>
      <c r="AY52" s="533">
        <f ca="1">'2d. Patients - DTG'!J85</f>
        <v>0</v>
      </c>
      <c r="AZ52" s="533">
        <f ca="1">'2d. Patients - DTG'!K85</f>
        <v>0</v>
      </c>
      <c r="BA52" s="533">
        <f>'2d. Patients - DTG'!B66</f>
        <v>0</v>
      </c>
      <c r="BB52" s="533">
        <f ca="1">IFERROR(INDEX(PxTxPhase1,'2d. Patients - DTG'!D71,7),0)</f>
        <v>0</v>
      </c>
      <c r="BC52" s="534">
        <f t="shared" ca="1" si="2"/>
        <v>0</v>
      </c>
    </row>
    <row r="53" spans="1:55" x14ac:dyDescent="0.2">
      <c r="A53" s="128"/>
      <c r="B53" s="924" t="s">
        <v>185</v>
      </c>
      <c r="C53" s="925"/>
      <c r="D53" s="128"/>
      <c r="E53" s="924" t="s">
        <v>267</v>
      </c>
      <c r="F53" s="925"/>
      <c r="G53" s="128"/>
      <c r="H53" s="206" t="s">
        <v>64</v>
      </c>
      <c r="I53" s="128"/>
      <c r="J53" s="206" t="s">
        <v>151</v>
      </c>
      <c r="K53" s="128"/>
      <c r="L53" s="365"/>
      <c r="M53" s="365"/>
      <c r="N53" s="365"/>
      <c r="O53" s="270"/>
      <c r="P53" s="128"/>
      <c r="Q53" s="128"/>
      <c r="R53" s="270"/>
      <c r="S53" s="128"/>
      <c r="T53" s="128"/>
      <c r="U53" s="128"/>
      <c r="V53" s="128"/>
      <c r="W53" s="128"/>
      <c r="X53" s="128"/>
      <c r="Y53" s="128"/>
      <c r="Z53" s="128"/>
      <c r="AA53" s="393" t="s">
        <v>793</v>
      </c>
      <c r="AB53" s="393" t="s">
        <v>794</v>
      </c>
      <c r="AC53" s="435"/>
      <c r="AD53" s="208">
        <v>16</v>
      </c>
      <c r="AE53" s="922" t="str">
        <f>'2d. Patients - DTG'!E352</f>
        <v>** NOT USED **</v>
      </c>
      <c r="AF53" s="922"/>
      <c r="AG53" s="128"/>
      <c r="AH53" s="128"/>
      <c r="AI53" s="128"/>
      <c r="AJ53" s="128"/>
      <c r="AK53" s="72" t="s">
        <v>387</v>
      </c>
      <c r="AL53" s="533">
        <f>'2a. Patients - incident'!E166</f>
        <v>0</v>
      </c>
      <c r="AM53" s="533">
        <f>'2a. Patients - incident'!F166</f>
        <v>0</v>
      </c>
      <c r="AN53" s="533">
        <f>'2a. Patients - incident'!G166</f>
        <v>0</v>
      </c>
      <c r="AO53" s="533">
        <f>'2a. Patients - incident'!H166</f>
        <v>0</v>
      </c>
      <c r="AP53" s="533">
        <f>'2a. Patients - incident'!I166</f>
        <v>0</v>
      </c>
      <c r="AQ53" s="533">
        <f>'2a. Patients - incident'!J166</f>
        <v>0</v>
      </c>
      <c r="AR53" s="533" t="str">
        <f>'2a. Patients - incident'!C169</f>
        <v/>
      </c>
      <c r="AT53" s="72" t="s">
        <v>1216</v>
      </c>
      <c r="AU53" s="533">
        <f ca="1">'2d. Patients - DTG'!F107</f>
        <v>0</v>
      </c>
      <c r="AV53" s="533">
        <f ca="1">'2d. Patients - DTG'!G107</f>
        <v>0</v>
      </c>
      <c r="AW53" s="533">
        <f ca="1">'2d. Patients - DTG'!H107</f>
        <v>0</v>
      </c>
      <c r="AX53" s="533">
        <f ca="1">'2d. Patients - DTG'!I107</f>
        <v>0</v>
      </c>
      <c r="AY53" s="533">
        <f ca="1">'2d. Patients - DTG'!J107</f>
        <v>0</v>
      </c>
      <c r="AZ53" s="533">
        <f ca="1">'2d. Patients - DTG'!K107</f>
        <v>0</v>
      </c>
      <c r="BA53" s="533">
        <f>'2d. Patients - DTG'!B88</f>
        <v>0</v>
      </c>
      <c r="BB53" s="533">
        <f ca="1">IFERROR(INDEX(PxTxPhase1,'2d. Patients - DTG'!D93,7),0)</f>
        <v>0</v>
      </c>
      <c r="BC53" s="534">
        <f t="shared" ca="1" si="2"/>
        <v>0</v>
      </c>
    </row>
    <row r="54" spans="1:55" x14ac:dyDescent="0.2">
      <c r="A54" s="162"/>
      <c r="B54" s="275" t="s">
        <v>66</v>
      </c>
      <c r="C54" s="275" t="s">
        <v>142</v>
      </c>
      <c r="D54" s="128"/>
      <c r="E54" s="275" t="s">
        <v>885</v>
      </c>
      <c r="F54" s="275">
        <v>0</v>
      </c>
      <c r="G54" s="128"/>
      <c r="H54" s="275" t="s">
        <v>67</v>
      </c>
      <c r="I54" s="128"/>
      <c r="J54" s="275" t="s">
        <v>140</v>
      </c>
      <c r="K54" s="128"/>
      <c r="L54" s="365"/>
      <c r="M54" s="365"/>
      <c r="N54" s="365"/>
      <c r="O54" s="270"/>
      <c r="P54" s="128"/>
      <c r="Q54" s="128"/>
      <c r="R54" s="270"/>
      <c r="S54" s="128"/>
      <c r="T54" s="128"/>
      <c r="U54" s="128"/>
      <c r="V54" s="128"/>
      <c r="W54" s="128"/>
      <c r="X54" s="128"/>
      <c r="Y54" s="128"/>
      <c r="Z54" s="128"/>
      <c r="AA54" s="485" t="s">
        <v>665</v>
      </c>
      <c r="AB54" s="485" t="s">
        <v>666</v>
      </c>
      <c r="AC54" s="435"/>
      <c r="AD54" s="208">
        <v>17</v>
      </c>
      <c r="AE54" s="922" t="str">
        <f>'2d. Patients - DTG'!E374</f>
        <v>** NOT USED **</v>
      </c>
      <c r="AF54" s="922"/>
      <c r="AG54" s="128"/>
      <c r="AH54" s="128"/>
      <c r="AI54" s="128"/>
      <c r="AJ54" s="128"/>
      <c r="AK54" s="72" t="s">
        <v>388</v>
      </c>
      <c r="AL54" s="533">
        <f>'2a. Patients - incident'!E204</f>
        <v>0</v>
      </c>
      <c r="AM54" s="533">
        <f>'2a. Patients - incident'!F204</f>
        <v>0</v>
      </c>
      <c r="AN54" s="533">
        <f>'2a. Patients - incident'!G204</f>
        <v>0</v>
      </c>
      <c r="AO54" s="533">
        <f>'2a. Patients - incident'!H204</f>
        <v>0</v>
      </c>
      <c r="AP54" s="533">
        <f>'2a. Patients - incident'!I204</f>
        <v>0</v>
      </c>
      <c r="AQ54" s="533">
        <f>'2a. Patients - incident'!J204</f>
        <v>0</v>
      </c>
      <c r="AR54" s="533" t="str">
        <f>'2a. Patients - incident'!C207</f>
        <v/>
      </c>
      <c r="AT54" s="72" t="s">
        <v>1217</v>
      </c>
      <c r="AU54" s="533">
        <f ca="1">'2d. Patients - DTG'!F129</f>
        <v>0</v>
      </c>
      <c r="AV54" s="533">
        <f ca="1">'2d. Patients - DTG'!G129</f>
        <v>0</v>
      </c>
      <c r="AW54" s="533">
        <f ca="1">'2d. Patients - DTG'!H129</f>
        <v>0</v>
      </c>
      <c r="AX54" s="533">
        <f ca="1">'2d. Patients - DTG'!I129</f>
        <v>0</v>
      </c>
      <c r="AY54" s="533">
        <f ca="1">'2d. Patients - DTG'!J129</f>
        <v>0</v>
      </c>
      <c r="AZ54" s="533">
        <f ca="1">'2d. Patients - DTG'!K129</f>
        <v>0</v>
      </c>
      <c r="BA54" s="533">
        <f>'2d. Patients - DTG'!B110</f>
        <v>0</v>
      </c>
      <c r="BB54" s="533">
        <f ca="1">IFERROR(INDEX(PxTxPhase1,'2d. Patients - DTG'!D115,7),0)</f>
        <v>0</v>
      </c>
      <c r="BC54" s="534">
        <f t="shared" ca="1" si="2"/>
        <v>0</v>
      </c>
    </row>
    <row r="55" spans="1:55" x14ac:dyDescent="0.2">
      <c r="A55" s="162"/>
      <c r="B55" s="275" t="s">
        <v>69</v>
      </c>
      <c r="C55" s="275" t="s">
        <v>143</v>
      </c>
      <c r="D55" s="128"/>
      <c r="E55" s="275" t="s">
        <v>268</v>
      </c>
      <c r="F55" s="275">
        <v>1</v>
      </c>
      <c r="G55" s="128"/>
      <c r="H55" s="275" t="s">
        <v>70</v>
      </c>
      <c r="I55" s="128"/>
      <c r="J55" s="275" t="s">
        <v>156</v>
      </c>
      <c r="K55" s="128"/>
      <c r="L55" s="365"/>
      <c r="M55" s="365"/>
      <c r="N55" s="365"/>
      <c r="O55" s="270"/>
      <c r="P55" s="128"/>
      <c r="Q55" s="128"/>
      <c r="R55" s="270"/>
      <c r="S55" s="128"/>
      <c r="T55" s="128"/>
      <c r="U55" s="128"/>
      <c r="V55" s="128"/>
      <c r="W55" s="128"/>
      <c r="X55" s="128"/>
      <c r="Y55" s="128"/>
      <c r="Z55" s="128"/>
      <c r="AA55" s="485" t="s">
        <v>1063</v>
      </c>
      <c r="AB55" s="485" t="s">
        <v>1064</v>
      </c>
      <c r="AC55" s="435"/>
      <c r="AD55" s="208">
        <v>18</v>
      </c>
      <c r="AE55" s="922" t="str">
        <f>'2d. Patients - DTG'!E396</f>
        <v>** NOT USED **</v>
      </c>
      <c r="AF55" s="922"/>
      <c r="AG55" s="128"/>
      <c r="AH55" s="128"/>
      <c r="AI55" s="128"/>
      <c r="AJ55" s="128"/>
      <c r="AK55" s="72" t="s">
        <v>389</v>
      </c>
      <c r="AL55" s="533">
        <f>'2a. Patients - incident'!E242</f>
        <v>0</v>
      </c>
      <c r="AM55" s="533">
        <f>'2a. Patients - incident'!F242</f>
        <v>0</v>
      </c>
      <c r="AN55" s="533">
        <f>'2a. Patients - incident'!G242</f>
        <v>0</v>
      </c>
      <c r="AO55" s="533">
        <f>'2a. Patients - incident'!H242</f>
        <v>0</v>
      </c>
      <c r="AP55" s="533">
        <f>'2a. Patients - incident'!I242</f>
        <v>0</v>
      </c>
      <c r="AQ55" s="533">
        <f>'2a. Patients - incident'!J242</f>
        <v>0</v>
      </c>
      <c r="AR55" s="533" t="str">
        <f>'2a. Patients - incident'!C245</f>
        <v/>
      </c>
      <c r="AT55" s="72" t="s">
        <v>1218</v>
      </c>
      <c r="AU55" s="533">
        <f ca="1">'2d. Patients - DTG'!F151</f>
        <v>0</v>
      </c>
      <c r="AV55" s="533">
        <f ca="1">'2d. Patients - DTG'!G151</f>
        <v>0</v>
      </c>
      <c r="AW55" s="533">
        <f ca="1">'2d. Patients - DTG'!H151</f>
        <v>0</v>
      </c>
      <c r="AX55" s="533">
        <f ca="1">'2d. Patients - DTG'!I151</f>
        <v>0</v>
      </c>
      <c r="AY55" s="533">
        <f ca="1">'2d. Patients - DTG'!J151</f>
        <v>0</v>
      </c>
      <c r="AZ55" s="533">
        <f ca="1">'2d. Patients - DTG'!K151</f>
        <v>0</v>
      </c>
      <c r="BA55" s="533">
        <f>'2d. Patients - DTG'!B132</f>
        <v>0</v>
      </c>
      <c r="BB55" s="533">
        <f ca="1">IFERROR(INDEX(PxTxPhase1,'2d. Patients - DTG'!D137,7),0)</f>
        <v>0</v>
      </c>
      <c r="BC55" s="534">
        <f t="shared" ca="1" si="2"/>
        <v>0</v>
      </c>
    </row>
    <row r="56" spans="1:55" x14ac:dyDescent="0.2">
      <c r="A56" s="162"/>
      <c r="B56" s="275" t="s">
        <v>46</v>
      </c>
      <c r="C56" s="275" t="s">
        <v>144</v>
      </c>
      <c r="D56" s="128"/>
      <c r="E56" s="128"/>
      <c r="F56" s="128"/>
      <c r="G56" s="128"/>
      <c r="H56" s="275" t="s">
        <v>141</v>
      </c>
      <c r="I56" s="128"/>
      <c r="J56" s="275" t="s">
        <v>159</v>
      </c>
      <c r="K56" s="128"/>
      <c r="L56" s="365"/>
      <c r="M56" s="365"/>
      <c r="N56" s="365"/>
      <c r="O56" s="270"/>
      <c r="P56" s="128"/>
      <c r="Q56" s="128"/>
      <c r="R56" s="270"/>
      <c r="S56" s="128"/>
      <c r="T56" s="128"/>
      <c r="U56" s="128"/>
      <c r="V56" s="128"/>
      <c r="W56" s="128"/>
      <c r="X56" s="128"/>
      <c r="Y56" s="128"/>
      <c r="Z56" s="128"/>
      <c r="AA56" s="485" t="s">
        <v>1177</v>
      </c>
      <c r="AB56" s="485" t="s">
        <v>1180</v>
      </c>
      <c r="AC56" s="435"/>
      <c r="AD56" s="208">
        <v>19</v>
      </c>
      <c r="AE56" s="922" t="str">
        <f>'2d. Patients - DTG'!E418</f>
        <v>** NOT USED **</v>
      </c>
      <c r="AF56" s="922"/>
      <c r="AG56" s="128"/>
      <c r="AH56" s="128"/>
      <c r="AI56" s="128"/>
      <c r="AJ56" s="128"/>
      <c r="AK56" s="72" t="s">
        <v>390</v>
      </c>
      <c r="AL56" s="533">
        <f>'2a. Patients - incident'!E280</f>
        <v>0</v>
      </c>
      <c r="AM56" s="533">
        <f>'2a. Patients - incident'!F280</f>
        <v>0</v>
      </c>
      <c r="AN56" s="533">
        <f>'2a. Patients - incident'!G280</f>
        <v>0</v>
      </c>
      <c r="AO56" s="533">
        <f>'2a. Patients - incident'!H280</f>
        <v>0</v>
      </c>
      <c r="AP56" s="533">
        <f>'2a. Patients - incident'!I280</f>
        <v>0</v>
      </c>
      <c r="AQ56" s="533">
        <f>'2a. Patients - incident'!J280</f>
        <v>0</v>
      </c>
      <c r="AR56" s="533" t="str">
        <f>'2a. Patients - incident'!C283</f>
        <v/>
      </c>
      <c r="AT56" s="72" t="s">
        <v>1219</v>
      </c>
      <c r="AU56" s="533">
        <f ca="1">'2d. Patients - DTG'!F173</f>
        <v>0</v>
      </c>
      <c r="AV56" s="533">
        <f ca="1">'2d. Patients - DTG'!G173</f>
        <v>0</v>
      </c>
      <c r="AW56" s="533">
        <f ca="1">'2d. Patients - DTG'!H173</f>
        <v>0</v>
      </c>
      <c r="AX56" s="533">
        <f ca="1">'2d. Patients - DTG'!I173</f>
        <v>0</v>
      </c>
      <c r="AY56" s="533">
        <f ca="1">'2d. Patients - DTG'!J173</f>
        <v>0</v>
      </c>
      <c r="AZ56" s="533">
        <f ca="1">'2d. Patients - DTG'!K173</f>
        <v>0</v>
      </c>
      <c r="BA56" s="533">
        <f>'2d. Patients - DTG'!B154</f>
        <v>0</v>
      </c>
      <c r="BB56" s="533">
        <f ca="1">IFERROR(INDEX(PxTxPhase1,'2d. Patients - DTG'!D159,7),0)</f>
        <v>0</v>
      </c>
      <c r="BC56" s="534">
        <f t="shared" ca="1" si="2"/>
        <v>0</v>
      </c>
    </row>
    <row r="57" spans="1:55" x14ac:dyDescent="0.2">
      <c r="A57" s="162"/>
      <c r="B57" s="128"/>
      <c r="C57" s="128"/>
      <c r="D57" s="128"/>
      <c r="E57" s="213"/>
      <c r="F57" s="213"/>
      <c r="G57" s="128"/>
      <c r="H57" s="128"/>
      <c r="I57" s="128"/>
      <c r="K57" s="128"/>
      <c r="L57" s="365"/>
      <c r="M57" s="365"/>
      <c r="N57" s="365"/>
      <c r="O57" s="270"/>
      <c r="P57" s="128"/>
      <c r="Q57" s="128"/>
      <c r="R57" s="270"/>
      <c r="S57" s="128"/>
      <c r="T57" s="128"/>
      <c r="U57" s="128"/>
      <c r="V57" s="128"/>
      <c r="W57" s="128"/>
      <c r="X57" s="128"/>
      <c r="Y57" s="128"/>
      <c r="Z57" s="128"/>
      <c r="AA57" s="485"/>
      <c r="AB57" s="485"/>
      <c r="AC57" s="435"/>
      <c r="AD57" s="208">
        <v>20</v>
      </c>
      <c r="AE57" s="922" t="str">
        <f>'2d. Patients - DTG'!E440</f>
        <v>** NOT USED **</v>
      </c>
      <c r="AF57" s="922"/>
      <c r="AG57" s="128"/>
      <c r="AH57" s="128"/>
      <c r="AI57" s="128"/>
      <c r="AJ57" s="128"/>
      <c r="AK57" s="72" t="s">
        <v>391</v>
      </c>
      <c r="AL57" s="533">
        <f>'2a. Patients - incident'!E318</f>
        <v>0</v>
      </c>
      <c r="AM57" s="533">
        <f>'2a. Patients - incident'!F318</f>
        <v>0</v>
      </c>
      <c r="AN57" s="533">
        <f>'2a. Patients - incident'!G318</f>
        <v>0</v>
      </c>
      <c r="AO57" s="533">
        <f>'2a. Patients - incident'!H318</f>
        <v>0</v>
      </c>
      <c r="AP57" s="533">
        <f>'2a. Patients - incident'!I318</f>
        <v>0</v>
      </c>
      <c r="AQ57" s="533">
        <f>'2a. Patients - incident'!J318</f>
        <v>0</v>
      </c>
      <c r="AR57" s="533" t="str">
        <f>'2a. Patients - incident'!C321</f>
        <v/>
      </c>
      <c r="AT57" s="72" t="s">
        <v>1220</v>
      </c>
      <c r="AU57" s="533">
        <f ca="1">'2d. Patients - DTG'!F195</f>
        <v>0</v>
      </c>
      <c r="AV57" s="533">
        <f ca="1">'2d. Patients - DTG'!G195</f>
        <v>0</v>
      </c>
      <c r="AW57" s="533">
        <f ca="1">'2d. Patients - DTG'!H195</f>
        <v>0</v>
      </c>
      <c r="AX57" s="533">
        <f ca="1">'2d. Patients - DTG'!I195</f>
        <v>0</v>
      </c>
      <c r="AY57" s="533">
        <f ca="1">'2d. Patients - DTG'!J195</f>
        <v>0</v>
      </c>
      <c r="AZ57" s="533">
        <f ca="1">'2d. Patients - DTG'!K195</f>
        <v>0</v>
      </c>
      <c r="BA57" s="533">
        <f>'2d. Patients - DTG'!B176</f>
        <v>0</v>
      </c>
      <c r="BB57" s="533">
        <f ca="1">IFERROR(INDEX(PxTxPhase1,'2d. Patients - DTG'!D181,7),0)</f>
        <v>0</v>
      </c>
      <c r="BC57" s="534">
        <f t="shared" ca="1" si="2"/>
        <v>0</v>
      </c>
    </row>
    <row r="58" spans="1:55" x14ac:dyDescent="0.2">
      <c r="A58" s="162"/>
      <c r="B58" s="128"/>
      <c r="C58" s="128"/>
      <c r="D58" s="128"/>
      <c r="E58" s="128"/>
      <c r="F58" s="128"/>
      <c r="G58" s="128"/>
      <c r="H58" s="128"/>
      <c r="I58" s="128"/>
      <c r="K58" s="128"/>
      <c r="L58" s="365"/>
      <c r="M58" s="365"/>
      <c r="N58" s="365"/>
      <c r="O58" s="270"/>
      <c r="P58" s="128"/>
      <c r="Q58" s="128"/>
      <c r="R58" s="270"/>
      <c r="S58" s="128"/>
      <c r="T58" s="128"/>
      <c r="U58" s="128"/>
      <c r="V58" s="128"/>
      <c r="W58" s="128"/>
      <c r="X58" s="128"/>
      <c r="Y58" s="128"/>
      <c r="Z58" s="128"/>
      <c r="AA58" s="485"/>
      <c r="AB58" s="485"/>
      <c r="AC58" s="435"/>
      <c r="AD58" s="208">
        <v>21</v>
      </c>
      <c r="AE58" s="922" t="str">
        <f>'2d. Patients - DTG'!E462</f>
        <v>** NOT USED **</v>
      </c>
      <c r="AF58" s="922"/>
      <c r="AG58" s="128"/>
      <c r="AH58" s="128"/>
      <c r="AI58" s="128"/>
      <c r="AJ58" s="128"/>
      <c r="AK58" s="72" t="s">
        <v>392</v>
      </c>
      <c r="AL58" s="533">
        <f>'2a. Patients - incident'!E356</f>
        <v>0</v>
      </c>
      <c r="AM58" s="533">
        <f>'2a. Patients - incident'!F356</f>
        <v>0</v>
      </c>
      <c r="AN58" s="533">
        <f>'2a. Patients - incident'!G356</f>
        <v>0</v>
      </c>
      <c r="AO58" s="533">
        <f>'2a. Patients - incident'!H356</f>
        <v>0</v>
      </c>
      <c r="AP58" s="533">
        <f>'2a. Patients - incident'!I356</f>
        <v>0</v>
      </c>
      <c r="AQ58" s="533">
        <f>'2a. Patients - incident'!J356</f>
        <v>0</v>
      </c>
      <c r="AR58" s="533" t="str">
        <f>'2a. Patients - incident'!C359</f>
        <v/>
      </c>
      <c r="AT58" s="72" t="s">
        <v>1221</v>
      </c>
      <c r="AU58" s="533">
        <f ca="1">'2d. Patients - DTG'!F217</f>
        <v>0</v>
      </c>
      <c r="AV58" s="533">
        <f ca="1">'2d. Patients - DTG'!G217</f>
        <v>0</v>
      </c>
      <c r="AW58" s="533">
        <f ca="1">'2d. Patients - DTG'!H217</f>
        <v>0</v>
      </c>
      <c r="AX58" s="533">
        <f ca="1">'2d. Patients - DTG'!I217</f>
        <v>0</v>
      </c>
      <c r="AY58" s="533">
        <f ca="1">'2d. Patients - DTG'!J217</f>
        <v>0</v>
      </c>
      <c r="AZ58" s="533">
        <f ca="1">'2d. Patients - DTG'!K217</f>
        <v>0</v>
      </c>
      <c r="BA58" s="533">
        <f>'2d. Patients - DTG'!B198</f>
        <v>0</v>
      </c>
      <c r="BB58" s="533">
        <f ca="1">IFERROR(INDEX(PxTxPhase1,'2d. Patients - DTG'!D203,7),0)</f>
        <v>0</v>
      </c>
      <c r="BC58" s="534">
        <f t="shared" ca="1" si="2"/>
        <v>0</v>
      </c>
    </row>
    <row r="59" spans="1:55" x14ac:dyDescent="0.2">
      <c r="A59" s="162"/>
      <c r="B59" s="128"/>
      <c r="C59" s="128"/>
      <c r="D59" s="128"/>
      <c r="E59" s="128"/>
      <c r="F59" s="128"/>
      <c r="G59" s="128"/>
      <c r="H59" s="128"/>
      <c r="I59" s="128"/>
      <c r="K59" s="128"/>
      <c r="L59" s="365"/>
      <c r="M59" s="365"/>
      <c r="N59" s="365"/>
      <c r="O59" s="270"/>
      <c r="P59" s="128"/>
      <c r="Q59" s="128"/>
      <c r="R59" s="270"/>
      <c r="S59" s="128"/>
      <c r="T59" s="128"/>
      <c r="U59" s="128"/>
      <c r="V59" s="128"/>
      <c r="W59" s="128"/>
      <c r="X59" s="128"/>
      <c r="Y59" s="128"/>
      <c r="Z59" s="128"/>
      <c r="AA59" s="485"/>
      <c r="AB59" s="485"/>
      <c r="AC59" s="435"/>
      <c r="AD59" s="208">
        <v>22</v>
      </c>
      <c r="AE59" s="922" t="str">
        <f>'2d. Patients - DTG'!E484</f>
        <v>** NOT USED **</v>
      </c>
      <c r="AF59" s="922"/>
      <c r="AG59" s="128"/>
      <c r="AH59" s="128"/>
      <c r="AI59" s="128"/>
      <c r="AJ59" s="128"/>
      <c r="AK59" s="72" t="s">
        <v>393</v>
      </c>
      <c r="AL59" s="533">
        <f>'2a. Patients - incident'!E394</f>
        <v>0</v>
      </c>
      <c r="AM59" s="533">
        <f>'2a. Patients - incident'!F394</f>
        <v>0</v>
      </c>
      <c r="AN59" s="533">
        <f>'2a. Patients - incident'!G394</f>
        <v>0</v>
      </c>
      <c r="AO59" s="533">
        <f>'2a. Patients - incident'!H394</f>
        <v>0</v>
      </c>
      <c r="AP59" s="533">
        <f>'2a. Patients - incident'!I394</f>
        <v>0</v>
      </c>
      <c r="AQ59" s="533">
        <f>'2a. Patients - incident'!J394</f>
        <v>0</v>
      </c>
      <c r="AR59" s="533" t="str">
        <f>'2a. Patients - incident'!C397</f>
        <v/>
      </c>
      <c r="AT59" s="72" t="s">
        <v>1222</v>
      </c>
      <c r="AU59" s="533">
        <f ca="1">'2d. Patients - DTG'!F239</f>
        <v>0</v>
      </c>
      <c r="AV59" s="533">
        <f ca="1">'2d. Patients - DTG'!G239</f>
        <v>0</v>
      </c>
      <c r="AW59" s="533">
        <f ca="1">'2d. Patients - DTG'!H239</f>
        <v>0</v>
      </c>
      <c r="AX59" s="533">
        <f ca="1">'2d. Patients - DTG'!I239</f>
        <v>0</v>
      </c>
      <c r="AY59" s="533">
        <f ca="1">'2d. Patients - DTG'!J239</f>
        <v>0</v>
      </c>
      <c r="AZ59" s="533">
        <f ca="1">'2d. Patients - DTG'!K239</f>
        <v>0</v>
      </c>
      <c r="BA59" s="533">
        <f>'2d. Patients - DTG'!B220</f>
        <v>0</v>
      </c>
      <c r="BB59" s="533">
        <f ca="1">IFERROR(INDEX(PxTxPhase1,'2d. Patients - DTG'!D225,7),0)</f>
        <v>0</v>
      </c>
      <c r="BC59" s="534">
        <f t="shared" ca="1" si="2"/>
        <v>0</v>
      </c>
    </row>
    <row r="60" spans="1:55" x14ac:dyDescent="0.2">
      <c r="A60" s="162"/>
      <c r="B60" s="128"/>
      <c r="C60" s="128"/>
      <c r="D60" s="128"/>
      <c r="E60" s="128"/>
      <c r="F60" s="128"/>
      <c r="G60" s="128"/>
      <c r="H60" s="128"/>
      <c r="I60" s="128"/>
      <c r="K60" s="128"/>
      <c r="L60" s="270"/>
      <c r="M60" s="270"/>
      <c r="N60" s="270"/>
      <c r="O60" s="270"/>
      <c r="P60" s="128"/>
      <c r="Q60" s="128"/>
      <c r="R60" s="270"/>
      <c r="S60" s="128"/>
      <c r="T60" s="128"/>
      <c r="U60" s="128"/>
      <c r="V60" s="128"/>
      <c r="W60" s="128"/>
      <c r="X60" s="128"/>
      <c r="Y60" s="128"/>
      <c r="Z60" s="128"/>
      <c r="AA60" s="485"/>
      <c r="AB60" s="485"/>
      <c r="AC60" s="435"/>
      <c r="AD60" s="208">
        <v>23</v>
      </c>
      <c r="AE60" s="922" t="str">
        <f>'2d. Patients - DTG'!E506</f>
        <v>** NOT USED **</v>
      </c>
      <c r="AF60" s="922"/>
      <c r="AG60" s="128"/>
      <c r="AH60" s="128"/>
      <c r="AI60" s="128"/>
      <c r="AJ60" s="128"/>
      <c r="AK60" s="72" t="s">
        <v>394</v>
      </c>
      <c r="AL60" s="533">
        <f>'2b. Patients - prevalent'!E52</f>
        <v>0</v>
      </c>
      <c r="AM60" s="533">
        <f>'2b. Patients - prevalent'!F52</f>
        <v>0</v>
      </c>
      <c r="AN60" s="533">
        <f>'2b. Patients - prevalent'!G52</f>
        <v>0</v>
      </c>
      <c r="AO60" s="533">
        <f>'2b. Patients - prevalent'!H52</f>
        <v>0</v>
      </c>
      <c r="AP60" s="533">
        <f>'2b. Patients - prevalent'!I52</f>
        <v>0</v>
      </c>
      <c r="AQ60" s="533">
        <f>'2b. Patients - prevalent'!J52</f>
        <v>0</v>
      </c>
      <c r="AR60" s="533" t="str">
        <f>'2b. Patients - prevalent'!C55</f>
        <v/>
      </c>
      <c r="AT60" s="72" t="s">
        <v>1223</v>
      </c>
      <c r="AU60" s="533">
        <f ca="1">'2d. Patients - DTG'!F261</f>
        <v>0</v>
      </c>
      <c r="AV60" s="533">
        <f ca="1">'2d. Patients - DTG'!G261</f>
        <v>0</v>
      </c>
      <c r="AW60" s="533">
        <f ca="1">'2d. Patients - DTG'!H261</f>
        <v>0</v>
      </c>
      <c r="AX60" s="533">
        <f ca="1">'2d. Patients - DTG'!I261</f>
        <v>0</v>
      </c>
      <c r="AY60" s="533">
        <f ca="1">'2d. Patients - DTG'!J261</f>
        <v>0</v>
      </c>
      <c r="AZ60" s="533">
        <f ca="1">'2d. Patients - DTG'!K261</f>
        <v>0</v>
      </c>
      <c r="BA60" s="533">
        <f>'2d. Patients - DTG'!B242</f>
        <v>0</v>
      </c>
      <c r="BB60" s="533">
        <f ca="1">IFERROR(INDEX(PxTxPhase1,'2d. Patients - DTG'!D247,7),0)</f>
        <v>0</v>
      </c>
      <c r="BC60" s="534">
        <f t="shared" ca="1" si="2"/>
        <v>0</v>
      </c>
    </row>
    <row r="61" spans="1:55" x14ac:dyDescent="0.2">
      <c r="A61" s="162"/>
      <c r="B61" s="128"/>
      <c r="C61" s="128"/>
      <c r="D61" s="128"/>
      <c r="E61" s="128"/>
      <c r="F61" s="128"/>
      <c r="G61" s="128"/>
      <c r="H61" s="128"/>
      <c r="I61" s="128"/>
      <c r="K61" s="128"/>
      <c r="L61" s="270"/>
      <c r="M61" s="270"/>
      <c r="N61" s="270"/>
      <c r="O61" s="270"/>
      <c r="P61" s="128"/>
      <c r="Q61" s="128"/>
      <c r="R61" s="270"/>
      <c r="S61" s="128"/>
      <c r="T61" s="128"/>
      <c r="U61" s="128"/>
      <c r="V61" s="128"/>
      <c r="W61" s="128"/>
      <c r="X61" s="128"/>
      <c r="Y61" s="128"/>
      <c r="Z61" s="128"/>
      <c r="AA61" s="485"/>
      <c r="AB61" s="485"/>
      <c r="AC61" s="435"/>
      <c r="AD61" s="208">
        <v>24</v>
      </c>
      <c r="AE61" s="922" t="str">
        <f>'2d. Patients - DTG'!E528</f>
        <v>** NOT USED **</v>
      </c>
      <c r="AF61" s="922"/>
      <c r="AG61" s="128"/>
      <c r="AH61" s="128"/>
      <c r="AI61" s="128"/>
      <c r="AJ61" s="128"/>
      <c r="AK61" s="72" t="s">
        <v>395</v>
      </c>
      <c r="AL61" s="533">
        <f>'2b. Patients - prevalent'!E90</f>
        <v>0</v>
      </c>
      <c r="AM61" s="533">
        <f>'2b. Patients - prevalent'!F90</f>
        <v>0</v>
      </c>
      <c r="AN61" s="533">
        <f>'2b. Patients - prevalent'!G90</f>
        <v>0</v>
      </c>
      <c r="AO61" s="533">
        <f>'2b. Patients - prevalent'!H90</f>
        <v>0</v>
      </c>
      <c r="AP61" s="533">
        <f>'2b. Patients - prevalent'!I90</f>
        <v>0</v>
      </c>
      <c r="AQ61" s="533">
        <f>'2b. Patients - prevalent'!J90</f>
        <v>0</v>
      </c>
      <c r="AR61" s="533" t="str">
        <f>'2b. Patients - prevalent'!C93</f>
        <v/>
      </c>
      <c r="AT61" s="72" t="s">
        <v>1224</v>
      </c>
      <c r="AU61" s="533">
        <f ca="1">'2d. Patients - DTG'!F283</f>
        <v>0</v>
      </c>
      <c r="AV61" s="533">
        <f ca="1">'2d. Patients - DTG'!G283</f>
        <v>0</v>
      </c>
      <c r="AW61" s="533">
        <f ca="1">'2d. Patients - DTG'!H283</f>
        <v>0</v>
      </c>
      <c r="AX61" s="533">
        <f ca="1">'2d. Patients - DTG'!I283</f>
        <v>0</v>
      </c>
      <c r="AY61" s="533">
        <f ca="1">'2d. Patients - DTG'!J283</f>
        <v>0</v>
      </c>
      <c r="AZ61" s="533">
        <f ca="1">'2d. Patients - DTG'!K283</f>
        <v>0</v>
      </c>
      <c r="BA61" s="533">
        <f>'2d. Patients - DTG'!B264</f>
        <v>0</v>
      </c>
      <c r="BB61" s="533">
        <f ca="1">IFERROR(INDEX(PxTxPhase1,'2d. Patients - DTG'!D269,7),0)</f>
        <v>0</v>
      </c>
      <c r="BC61" s="534">
        <f t="shared" ca="1" si="2"/>
        <v>0</v>
      </c>
    </row>
    <row r="62" spans="1:55" x14ac:dyDescent="0.2">
      <c r="A62" s="162"/>
      <c r="B62" s="128"/>
      <c r="C62" s="128"/>
      <c r="D62" s="128"/>
      <c r="E62" s="213"/>
      <c r="F62" s="213"/>
      <c r="G62" s="128"/>
      <c r="H62" s="128"/>
      <c r="I62" s="128"/>
      <c r="K62" s="128"/>
      <c r="L62" s="270"/>
      <c r="M62" s="270"/>
      <c r="N62" s="270"/>
      <c r="O62" s="270"/>
      <c r="P62" s="128"/>
      <c r="Q62" s="128"/>
      <c r="R62" s="270"/>
      <c r="S62" s="128"/>
      <c r="T62" s="128"/>
      <c r="U62" s="128"/>
      <c r="V62" s="128"/>
      <c r="W62" s="128"/>
      <c r="X62" s="128"/>
      <c r="Y62" s="128"/>
      <c r="Z62" s="128"/>
      <c r="AA62" s="485"/>
      <c r="AB62" s="485"/>
      <c r="AC62" s="435"/>
      <c r="AD62" s="208">
        <v>25</v>
      </c>
      <c r="AE62" s="922" t="str">
        <f>'2d. Patients - DTG'!E550</f>
        <v>** NOT USED **</v>
      </c>
      <c r="AF62" s="922"/>
      <c r="AG62" s="128"/>
      <c r="AH62" s="128"/>
      <c r="AI62" s="128"/>
      <c r="AJ62" s="128"/>
      <c r="AK62" s="72" t="s">
        <v>396</v>
      </c>
      <c r="AL62" s="533">
        <f>'2b. Patients - prevalent'!E128</f>
        <v>0</v>
      </c>
      <c r="AM62" s="533">
        <f>'2b. Patients - prevalent'!F128</f>
        <v>0</v>
      </c>
      <c r="AN62" s="533">
        <f>'2b. Patients - prevalent'!G128</f>
        <v>0</v>
      </c>
      <c r="AO62" s="533">
        <f>'2b. Patients - prevalent'!H128</f>
        <v>0</v>
      </c>
      <c r="AP62" s="533">
        <f>'2b. Patients - prevalent'!I128</f>
        <v>0</v>
      </c>
      <c r="AQ62" s="533">
        <f>'2b. Patients - prevalent'!J128</f>
        <v>0</v>
      </c>
      <c r="AR62" s="533" t="str">
        <f>'2b. Patients - prevalent'!C131</f>
        <v/>
      </c>
      <c r="AT62" s="72" t="s">
        <v>1225</v>
      </c>
      <c r="AU62" s="533">
        <f ca="1">'2d. Patients - DTG'!F305</f>
        <v>0</v>
      </c>
      <c r="AV62" s="533">
        <f ca="1">'2d. Patients - DTG'!G305</f>
        <v>0</v>
      </c>
      <c r="AW62" s="533">
        <f ca="1">'2d. Patients - DTG'!H305</f>
        <v>0</v>
      </c>
      <c r="AX62" s="533">
        <f ca="1">'2d. Patients - DTG'!I305</f>
        <v>0</v>
      </c>
      <c r="AY62" s="533">
        <f ca="1">'2d. Patients - DTG'!J305</f>
        <v>0</v>
      </c>
      <c r="AZ62" s="533">
        <f ca="1">'2d. Patients - DTG'!K305</f>
        <v>0</v>
      </c>
      <c r="BA62" s="533">
        <f>'2d. Patients - DTG'!B286</f>
        <v>0</v>
      </c>
      <c r="BB62" s="533">
        <f ca="1">IFERROR(INDEX(PxTxPhase1,'2d. Patients - DTG'!D291,7),0)</f>
        <v>0</v>
      </c>
      <c r="BC62" s="534">
        <f t="shared" ca="1" si="2"/>
        <v>0</v>
      </c>
    </row>
    <row r="63" spans="1:55" x14ac:dyDescent="0.2">
      <c r="A63" s="162"/>
      <c r="B63" s="270"/>
      <c r="C63" s="270"/>
      <c r="D63" s="270"/>
      <c r="E63" s="213"/>
      <c r="F63" s="213"/>
      <c r="G63" s="270"/>
      <c r="H63" s="270"/>
      <c r="I63" s="270"/>
      <c r="K63" s="128"/>
      <c r="L63" s="270"/>
      <c r="M63" s="270"/>
      <c r="N63" s="270"/>
      <c r="O63" s="270"/>
      <c r="P63" s="128"/>
      <c r="Q63" s="128"/>
      <c r="R63" s="270"/>
      <c r="S63" s="128"/>
      <c r="T63" s="128"/>
      <c r="U63" s="128"/>
      <c r="V63" s="128"/>
      <c r="W63" s="128"/>
      <c r="X63" s="128"/>
      <c r="Y63" s="128"/>
      <c r="Z63" s="128"/>
      <c r="AA63" s="485"/>
      <c r="AB63" s="485"/>
      <c r="AC63" s="435"/>
      <c r="AD63" s="128"/>
      <c r="AE63" s="128"/>
      <c r="AF63" s="214">
        <f>COUNTIF(AE38:AE62,"&lt;&gt;"&amp;MsgNotUsed)</f>
        <v>0</v>
      </c>
      <c r="AG63" s="128"/>
      <c r="AH63" s="128"/>
      <c r="AI63" s="128"/>
      <c r="AJ63" s="128"/>
      <c r="AK63" s="72" t="s">
        <v>397</v>
      </c>
      <c r="AL63" s="533">
        <f>'2b. Patients - prevalent'!E166</f>
        <v>0</v>
      </c>
      <c r="AM63" s="533">
        <f>'2b. Patients - prevalent'!F166</f>
        <v>0</v>
      </c>
      <c r="AN63" s="533">
        <f>'2b. Patients - prevalent'!G166</f>
        <v>0</v>
      </c>
      <c r="AO63" s="533">
        <f>'2b. Patients - prevalent'!H166</f>
        <v>0</v>
      </c>
      <c r="AP63" s="533">
        <f>'2b. Patients - prevalent'!I166</f>
        <v>0</v>
      </c>
      <c r="AQ63" s="533">
        <f>'2b. Patients - prevalent'!J166</f>
        <v>0</v>
      </c>
      <c r="AR63" s="533" t="str">
        <f>'2b. Patients - prevalent'!C169</f>
        <v/>
      </c>
      <c r="AT63" s="72" t="s">
        <v>1226</v>
      </c>
      <c r="AU63" s="533">
        <f ca="1">'2d. Patients - DTG'!F327</f>
        <v>0</v>
      </c>
      <c r="AV63" s="533">
        <f ca="1">'2d. Patients - DTG'!G327</f>
        <v>0</v>
      </c>
      <c r="AW63" s="533">
        <f ca="1">'2d. Patients - DTG'!H327</f>
        <v>0</v>
      </c>
      <c r="AX63" s="533">
        <f ca="1">'2d. Patients - DTG'!I327</f>
        <v>0</v>
      </c>
      <c r="AY63" s="533">
        <f ca="1">'2d. Patients - DTG'!J327</f>
        <v>0</v>
      </c>
      <c r="AZ63" s="533">
        <f ca="1">'2d. Patients - DTG'!K327</f>
        <v>0</v>
      </c>
      <c r="BA63" s="533">
        <f>'2d. Patients - DTG'!B308</f>
        <v>0</v>
      </c>
      <c r="BB63" s="533">
        <f ca="1">IFERROR(INDEX(PxTxPhase1,'2d. Patients - DTG'!D313,7),0)</f>
        <v>0</v>
      </c>
      <c r="BC63" s="534">
        <f t="shared" ca="1" si="2"/>
        <v>0</v>
      </c>
    </row>
    <row r="64" spans="1:55" x14ac:dyDescent="0.2">
      <c r="A64" s="128"/>
      <c r="B64" s="270"/>
      <c r="C64" s="270"/>
      <c r="D64" s="270"/>
      <c r="E64" s="213"/>
      <c r="F64" s="213"/>
      <c r="G64" s="270"/>
      <c r="H64" s="270"/>
      <c r="I64" s="270"/>
      <c r="K64" s="128"/>
      <c r="L64" s="270"/>
      <c r="M64" s="270"/>
      <c r="N64" s="270"/>
      <c r="O64" s="270"/>
      <c r="P64" s="128"/>
      <c r="Q64" s="128"/>
      <c r="R64" s="270"/>
      <c r="S64" s="128"/>
      <c r="T64" s="128"/>
      <c r="U64" s="128"/>
      <c r="V64" s="128"/>
      <c r="W64" s="128"/>
      <c r="X64" s="128"/>
      <c r="Y64" s="128"/>
      <c r="Z64" s="128"/>
      <c r="AA64" s="435"/>
      <c r="AB64" s="435"/>
      <c r="AC64" s="435"/>
      <c r="AD64" s="128"/>
      <c r="AE64" s="128"/>
      <c r="AF64" s="214" t="s">
        <v>1194</v>
      </c>
      <c r="AH64" s="128"/>
      <c r="AI64" s="128"/>
      <c r="AJ64" s="128"/>
      <c r="AK64" s="72" t="s">
        <v>398</v>
      </c>
      <c r="AL64" s="533">
        <f>'2b. Patients - prevalent'!E204</f>
        <v>0</v>
      </c>
      <c r="AM64" s="533">
        <f>'2b. Patients - prevalent'!F204</f>
        <v>0</v>
      </c>
      <c r="AN64" s="533">
        <f>'2b. Patients - prevalent'!G204</f>
        <v>0</v>
      </c>
      <c r="AO64" s="533">
        <f>'2b. Patients - prevalent'!H204</f>
        <v>0</v>
      </c>
      <c r="AP64" s="533">
        <f>'2b. Patients - prevalent'!I204</f>
        <v>0</v>
      </c>
      <c r="AQ64" s="533">
        <f>'2b. Patients - prevalent'!J204</f>
        <v>0</v>
      </c>
      <c r="AR64" s="533" t="str">
        <f>'2b. Patients - prevalent'!C207</f>
        <v/>
      </c>
      <c r="AT64" s="72" t="s">
        <v>1227</v>
      </c>
      <c r="AU64" s="533">
        <f ca="1">'2d. Patients - DTG'!F349</f>
        <v>0</v>
      </c>
      <c r="AV64" s="533">
        <f ca="1">'2d. Patients - DTG'!G349</f>
        <v>0</v>
      </c>
      <c r="AW64" s="533">
        <f ca="1">'2d. Patients - DTG'!H349</f>
        <v>0</v>
      </c>
      <c r="AX64" s="533">
        <f ca="1">'2d. Patients - DTG'!I349</f>
        <v>0</v>
      </c>
      <c r="AY64" s="533">
        <f ca="1">'2d. Patients - DTG'!J349</f>
        <v>0</v>
      </c>
      <c r="AZ64" s="533">
        <f ca="1">'2d. Patients - DTG'!K349</f>
        <v>0</v>
      </c>
      <c r="BA64" s="533">
        <f>'2d. Patients - DTG'!B330</f>
        <v>0</v>
      </c>
      <c r="BB64" s="533">
        <f ca="1">IFERROR(INDEX(PxTxPhase1,'2d. Patients - DTG'!D335,7),0)</f>
        <v>0</v>
      </c>
      <c r="BC64" s="534">
        <f t="shared" ca="1" si="2"/>
        <v>0</v>
      </c>
    </row>
    <row r="65" spans="1:55" x14ac:dyDescent="0.2">
      <c r="A65" s="128"/>
      <c r="B65" s="924" t="s">
        <v>195</v>
      </c>
      <c r="C65" s="925"/>
      <c r="D65" s="128"/>
      <c r="E65" s="924" t="s">
        <v>113</v>
      </c>
      <c r="F65" s="925"/>
      <c r="G65" s="128"/>
      <c r="H65" s="206" t="s">
        <v>206</v>
      </c>
      <c r="I65" s="128"/>
      <c r="J65" s="450" t="s">
        <v>765</v>
      </c>
      <c r="K65" s="128"/>
      <c r="L65" s="270"/>
      <c r="M65" s="270"/>
      <c r="N65" s="270"/>
      <c r="O65" s="270"/>
      <c r="P65" s="128"/>
      <c r="Q65" s="128"/>
      <c r="R65" s="270"/>
      <c r="S65" s="128"/>
      <c r="T65" s="128"/>
      <c r="U65" s="128"/>
      <c r="V65" s="128"/>
      <c r="W65" s="128"/>
      <c r="X65" s="128"/>
      <c r="Y65" s="128"/>
      <c r="Z65" s="128"/>
      <c r="AA65" s="923" t="s">
        <v>379</v>
      </c>
      <c r="AB65" s="923"/>
      <c r="AC65" s="435"/>
      <c r="AD65" s="128"/>
      <c r="AE65" s="128"/>
      <c r="AF65" s="214">
        <v>25</v>
      </c>
      <c r="AG65" s="128"/>
      <c r="AH65" s="128"/>
      <c r="AI65" s="128"/>
      <c r="AJ65" s="128"/>
      <c r="AK65" s="72" t="s">
        <v>399</v>
      </c>
      <c r="AL65" s="533">
        <f>'2b. Patients - prevalent'!E242</f>
        <v>0</v>
      </c>
      <c r="AM65" s="533">
        <f>'2b. Patients - prevalent'!F242</f>
        <v>0</v>
      </c>
      <c r="AN65" s="533">
        <f>'2b. Patients - prevalent'!G242</f>
        <v>0</v>
      </c>
      <c r="AO65" s="533">
        <f>'2b. Patients - prevalent'!H242</f>
        <v>0</v>
      </c>
      <c r="AP65" s="533">
        <f>'2b. Patients - prevalent'!I242</f>
        <v>0</v>
      </c>
      <c r="AQ65" s="533">
        <f>'2b. Patients - prevalent'!J242</f>
        <v>0</v>
      </c>
      <c r="AR65" s="533" t="str">
        <f>'2b. Patients - prevalent'!C245</f>
        <v/>
      </c>
      <c r="AT65" s="72" t="s">
        <v>1228</v>
      </c>
      <c r="AU65" s="533">
        <f ca="1">'2d. Patients - DTG'!F371</f>
        <v>0</v>
      </c>
      <c r="AV65" s="533">
        <f ca="1">'2d. Patients - DTG'!G371</f>
        <v>0</v>
      </c>
      <c r="AW65" s="533">
        <f ca="1">'2d. Patients - DTG'!H371</f>
        <v>0</v>
      </c>
      <c r="AX65" s="533">
        <f ca="1">'2d. Patients - DTG'!I371</f>
        <v>0</v>
      </c>
      <c r="AY65" s="533">
        <f ca="1">'2d. Patients - DTG'!J371</f>
        <v>0</v>
      </c>
      <c r="AZ65" s="533">
        <f ca="1">'2d. Patients - DTG'!K371</f>
        <v>0</v>
      </c>
      <c r="BA65" s="533">
        <f>'2d. Patients - DTG'!B352</f>
        <v>0</v>
      </c>
      <c r="BB65" s="533">
        <f ca="1">IFERROR(INDEX(PxTxPhase1,'2d. Patients - DTG'!D357,7),0)</f>
        <v>0</v>
      </c>
      <c r="BC65" s="534">
        <f t="shared" ca="1" si="2"/>
        <v>0</v>
      </c>
    </row>
    <row r="66" spans="1:55" x14ac:dyDescent="0.2">
      <c r="A66" s="162"/>
      <c r="B66" s="275" t="s">
        <v>65</v>
      </c>
      <c r="C66" s="275" t="s">
        <v>142</v>
      </c>
      <c r="D66" s="128"/>
      <c r="E66" s="275" t="s">
        <v>380</v>
      </c>
      <c r="F66" s="275">
        <v>1</v>
      </c>
      <c r="G66" s="128"/>
      <c r="H66" s="275" t="s">
        <v>207</v>
      </c>
      <c r="I66" s="128"/>
      <c r="J66" s="275">
        <v>1</v>
      </c>
      <c r="K66" s="128"/>
      <c r="L66" s="270"/>
      <c r="M66" s="270"/>
      <c r="N66" s="270"/>
      <c r="O66" s="270"/>
      <c r="P66" s="128"/>
      <c r="Q66" s="128"/>
      <c r="R66" s="270"/>
      <c r="S66" s="128"/>
      <c r="T66" s="128"/>
      <c r="U66" s="128"/>
      <c r="V66" s="128"/>
      <c r="W66" s="128"/>
      <c r="X66" s="128"/>
      <c r="Y66" s="128"/>
      <c r="Z66" s="128"/>
      <c r="AA66" s="275">
        <v>0</v>
      </c>
      <c r="AB66" s="275" t="s">
        <v>886</v>
      </c>
      <c r="AC66" s="435"/>
      <c r="AD66" s="128"/>
      <c r="AE66" s="128"/>
      <c r="AF66" s="128"/>
      <c r="AG66" s="128"/>
      <c r="AH66" s="128"/>
      <c r="AI66" s="128"/>
      <c r="AJ66" s="128"/>
      <c r="AK66" s="72" t="s">
        <v>400</v>
      </c>
      <c r="AL66" s="533">
        <f>'2b. Patients - prevalent'!E280</f>
        <v>0</v>
      </c>
      <c r="AM66" s="533">
        <f>'2b. Patients - prevalent'!F280</f>
        <v>0</v>
      </c>
      <c r="AN66" s="533">
        <f>'2b. Patients - prevalent'!G280</f>
        <v>0</v>
      </c>
      <c r="AO66" s="533">
        <f>'2b. Patients - prevalent'!H280</f>
        <v>0</v>
      </c>
      <c r="AP66" s="533">
        <f>'2b. Patients - prevalent'!I280</f>
        <v>0</v>
      </c>
      <c r="AQ66" s="533">
        <f>'2b. Patients - prevalent'!J280</f>
        <v>0</v>
      </c>
      <c r="AR66" s="533" t="str">
        <f>'2b. Patients - prevalent'!C283</f>
        <v/>
      </c>
      <c r="AT66" s="72" t="s">
        <v>1229</v>
      </c>
      <c r="AU66" s="533">
        <f ca="1">'2d. Patients - DTG'!F393</f>
        <v>0</v>
      </c>
      <c r="AV66" s="533">
        <f ca="1">'2d. Patients - DTG'!G393</f>
        <v>0</v>
      </c>
      <c r="AW66" s="533">
        <f ca="1">'2d. Patients - DTG'!H393</f>
        <v>0</v>
      </c>
      <c r="AX66" s="533">
        <f ca="1">'2d. Patients - DTG'!I393</f>
        <v>0</v>
      </c>
      <c r="AY66" s="533">
        <f ca="1">'2d. Patients - DTG'!J393</f>
        <v>0</v>
      </c>
      <c r="AZ66" s="533">
        <f ca="1">'2d. Patients - DTG'!K393</f>
        <v>0</v>
      </c>
      <c r="BA66" s="533">
        <f>'2d. Patients - DTG'!B374</f>
        <v>0</v>
      </c>
      <c r="BB66" s="533">
        <f ca="1">IFERROR(INDEX(PxTxPhase1,'2d. Patients - DTG'!D379,7),0)</f>
        <v>0</v>
      </c>
      <c r="BC66" s="534">
        <f t="shared" ca="1" si="2"/>
        <v>0</v>
      </c>
    </row>
    <row r="67" spans="1:55" x14ac:dyDescent="0.2">
      <c r="A67" s="162"/>
      <c r="B67" s="275" t="s">
        <v>68</v>
      </c>
      <c r="C67" s="275" t="s">
        <v>142</v>
      </c>
      <c r="D67" s="128"/>
      <c r="E67" s="275" t="s">
        <v>381</v>
      </c>
      <c r="F67" s="275">
        <v>2</v>
      </c>
      <c r="G67" s="128"/>
      <c r="H67" s="275" t="s">
        <v>679</v>
      </c>
      <c r="I67" s="128"/>
      <c r="J67" s="275">
        <v>2</v>
      </c>
      <c r="K67" s="128"/>
      <c r="L67" s="270"/>
      <c r="M67" s="270"/>
      <c r="N67" s="270"/>
      <c r="O67" s="270"/>
      <c r="P67" s="128"/>
      <c r="Q67" s="128"/>
      <c r="R67" s="270"/>
      <c r="S67" s="128"/>
      <c r="T67" s="128"/>
      <c r="U67" s="128"/>
      <c r="V67" s="128"/>
      <c r="W67" s="128"/>
      <c r="X67" s="128"/>
      <c r="Y67" s="128"/>
      <c r="Z67" s="128"/>
      <c r="AA67" s="275">
        <v>1</v>
      </c>
      <c r="AB67" s="275" t="s">
        <v>887</v>
      </c>
      <c r="AC67" s="435"/>
      <c r="AD67" s="128"/>
      <c r="AE67" s="128"/>
      <c r="AF67" s="128"/>
      <c r="AG67" s="128"/>
      <c r="AH67" s="128"/>
      <c r="AI67" s="128"/>
      <c r="AJ67" s="128"/>
      <c r="AK67" s="72" t="s">
        <v>401</v>
      </c>
      <c r="AL67" s="533">
        <f>'2b. Patients - prevalent'!E318</f>
        <v>0</v>
      </c>
      <c r="AM67" s="533">
        <f>'2b. Patients - prevalent'!F318</f>
        <v>0</v>
      </c>
      <c r="AN67" s="533">
        <f>'2b. Patients - prevalent'!G318</f>
        <v>0</v>
      </c>
      <c r="AO67" s="533">
        <f>'2b. Patients - prevalent'!H318</f>
        <v>0</v>
      </c>
      <c r="AP67" s="533">
        <f>'2b. Patients - prevalent'!I318</f>
        <v>0</v>
      </c>
      <c r="AQ67" s="533">
        <f>'2b. Patients - prevalent'!J318</f>
        <v>0</v>
      </c>
      <c r="AR67" s="533" t="str">
        <f>'2b. Patients - prevalent'!C321</f>
        <v/>
      </c>
      <c r="AT67" s="72" t="s">
        <v>1230</v>
      </c>
      <c r="AU67" s="533">
        <f ca="1">'2d. Patients - DTG'!F415</f>
        <v>0</v>
      </c>
      <c r="AV67" s="533">
        <f ca="1">'2d. Patients - DTG'!G415</f>
        <v>0</v>
      </c>
      <c r="AW67" s="533">
        <f ca="1">'2d. Patients - DTG'!H415</f>
        <v>0</v>
      </c>
      <c r="AX67" s="533">
        <f ca="1">'2d. Patients - DTG'!I415</f>
        <v>0</v>
      </c>
      <c r="AY67" s="533">
        <f ca="1">'2d. Patients - DTG'!J415</f>
        <v>0</v>
      </c>
      <c r="AZ67" s="533">
        <f ca="1">'2d. Patients - DTG'!K415</f>
        <v>0</v>
      </c>
      <c r="BA67" s="533">
        <f>'2d. Patients - DTG'!B396</f>
        <v>0</v>
      </c>
      <c r="BB67" s="533">
        <f ca="1">IFERROR(INDEX(PxTxPhase1,'2d. Patients - DTG'!D401,7),0)</f>
        <v>0</v>
      </c>
      <c r="BC67" s="534">
        <f t="shared" ca="1" si="2"/>
        <v>0</v>
      </c>
    </row>
    <row r="68" spans="1:55" x14ac:dyDescent="0.2">
      <c r="A68" s="162"/>
      <c r="B68" s="275" t="s">
        <v>46</v>
      </c>
      <c r="C68" s="275" t="s">
        <v>144</v>
      </c>
      <c r="D68" s="128"/>
      <c r="E68" s="275" t="s">
        <v>175</v>
      </c>
      <c r="F68" s="275">
        <v>3</v>
      </c>
      <c r="G68" s="128"/>
      <c r="H68" s="275" t="s">
        <v>660</v>
      </c>
      <c r="I68" s="128"/>
      <c r="J68" s="275">
        <v>3</v>
      </c>
      <c r="K68" s="128"/>
      <c r="L68" s="270"/>
      <c r="M68" s="270"/>
      <c r="N68" s="270"/>
      <c r="O68" s="270"/>
      <c r="P68" s="128"/>
      <c r="Q68" s="128"/>
      <c r="R68" s="270"/>
      <c r="S68" s="128"/>
      <c r="T68" s="128"/>
      <c r="U68" s="128"/>
      <c r="V68" s="128"/>
      <c r="W68" s="128"/>
      <c r="X68" s="128"/>
      <c r="Y68" s="128"/>
      <c r="Z68" s="128"/>
      <c r="AA68" s="128"/>
      <c r="AB68" s="128"/>
      <c r="AC68" s="435"/>
      <c r="AD68" s="128"/>
      <c r="AE68" s="128"/>
      <c r="AF68" s="128"/>
      <c r="AG68" s="128"/>
      <c r="AH68" s="128"/>
      <c r="AI68" s="128"/>
      <c r="AJ68" s="128"/>
      <c r="AK68" s="72" t="s">
        <v>402</v>
      </c>
      <c r="AL68" s="533">
        <f>'2b. Patients - prevalent'!E356</f>
        <v>0</v>
      </c>
      <c r="AM68" s="533">
        <f>'2b. Patients - prevalent'!F356</f>
        <v>0</v>
      </c>
      <c r="AN68" s="533">
        <f>'2b. Patients - prevalent'!G356</f>
        <v>0</v>
      </c>
      <c r="AO68" s="533">
        <f>'2b. Patients - prevalent'!H356</f>
        <v>0</v>
      </c>
      <c r="AP68" s="533">
        <f>'2b. Patients - prevalent'!I356</f>
        <v>0</v>
      </c>
      <c r="AQ68" s="533">
        <f>'2b. Patients - prevalent'!J356</f>
        <v>0</v>
      </c>
      <c r="AR68" s="533" t="str">
        <f>'2b. Patients - prevalent'!C359</f>
        <v/>
      </c>
      <c r="AT68" s="72" t="s">
        <v>1231</v>
      </c>
      <c r="AU68" s="533">
        <f ca="1">'2d. Patients - DTG'!F437</f>
        <v>0</v>
      </c>
      <c r="AV68" s="533">
        <f ca="1">'2d. Patients - DTG'!G437</f>
        <v>0</v>
      </c>
      <c r="AW68" s="533">
        <f ca="1">'2d. Patients - DTG'!H437</f>
        <v>0</v>
      </c>
      <c r="AX68" s="533">
        <f ca="1">'2d. Patients - DTG'!I437</f>
        <v>0</v>
      </c>
      <c r="AY68" s="533">
        <f ca="1">'2d. Patients - DTG'!J437</f>
        <v>0</v>
      </c>
      <c r="AZ68" s="533">
        <f ca="1">'2d. Patients - DTG'!K437</f>
        <v>0</v>
      </c>
      <c r="BA68" s="533">
        <f>'2d. Patients - DTG'!B418</f>
        <v>0</v>
      </c>
      <c r="BB68" s="533">
        <f ca="1">IFERROR(INDEX(PxTxPhase1,'2d. Patients - DTG'!D423,7),0)</f>
        <v>0</v>
      </c>
      <c r="BC68" s="534">
        <f t="shared" ca="1" si="2"/>
        <v>0</v>
      </c>
    </row>
    <row r="69" spans="1:55" x14ac:dyDescent="0.2">
      <c r="A69" s="162"/>
      <c r="B69" s="275" t="s">
        <v>71</v>
      </c>
      <c r="C69" s="275" t="s">
        <v>143</v>
      </c>
      <c r="D69" s="128"/>
      <c r="E69" s="275" t="s">
        <v>382</v>
      </c>
      <c r="F69" s="275">
        <v>4</v>
      </c>
      <c r="G69" s="128"/>
      <c r="H69" s="275" t="s">
        <v>661</v>
      </c>
      <c r="I69" s="128"/>
      <c r="J69" s="275">
        <v>4</v>
      </c>
      <c r="K69" s="128"/>
      <c r="L69" s="270"/>
      <c r="M69" s="270"/>
      <c r="N69" s="270"/>
      <c r="O69" s="270"/>
      <c r="P69" s="128"/>
      <c r="Q69" s="128"/>
      <c r="R69" s="270"/>
      <c r="S69" s="128"/>
      <c r="T69" s="128"/>
      <c r="U69" s="128"/>
      <c r="V69" s="128"/>
      <c r="W69" s="128"/>
      <c r="X69" s="128"/>
      <c r="Y69" s="128"/>
      <c r="Z69" s="128"/>
      <c r="AA69" s="128"/>
      <c r="AB69" s="128"/>
      <c r="AC69" s="435"/>
      <c r="AD69" s="128"/>
      <c r="AE69" s="128"/>
      <c r="AF69" s="128"/>
      <c r="AG69" s="128"/>
      <c r="AH69" s="128"/>
      <c r="AI69" s="128"/>
      <c r="AJ69" s="128"/>
      <c r="AK69" s="72" t="s">
        <v>403</v>
      </c>
      <c r="AL69" s="533">
        <f>'2b. Patients - prevalent'!E394</f>
        <v>0</v>
      </c>
      <c r="AM69" s="533">
        <f>'2b. Patients - prevalent'!F394</f>
        <v>0</v>
      </c>
      <c r="AN69" s="533">
        <f>'2b. Patients - prevalent'!G394</f>
        <v>0</v>
      </c>
      <c r="AO69" s="533">
        <f>'2b. Patients - prevalent'!H394</f>
        <v>0</v>
      </c>
      <c r="AP69" s="533">
        <f>'2b. Patients - prevalent'!I394</f>
        <v>0</v>
      </c>
      <c r="AQ69" s="533">
        <f>'2b. Patients - prevalent'!J394</f>
        <v>0</v>
      </c>
      <c r="AR69" s="533" t="str">
        <f>'2b. Patients - prevalent'!C397</f>
        <v/>
      </c>
      <c r="AT69" s="72" t="s">
        <v>1232</v>
      </c>
      <c r="AU69" s="533">
        <f ca="1">'2d. Patients - DTG'!F459</f>
        <v>0</v>
      </c>
      <c r="AV69" s="533">
        <f ca="1">'2d. Patients - DTG'!G459</f>
        <v>0</v>
      </c>
      <c r="AW69" s="533">
        <f ca="1">'2d. Patients - DTG'!H459</f>
        <v>0</v>
      </c>
      <c r="AX69" s="533">
        <f ca="1">'2d. Patients - DTG'!I459</f>
        <v>0</v>
      </c>
      <c r="AY69" s="533">
        <f ca="1">'2d. Patients - DTG'!J459</f>
        <v>0</v>
      </c>
      <c r="AZ69" s="533">
        <f ca="1">'2d. Patients - DTG'!K459</f>
        <v>0</v>
      </c>
      <c r="BA69" s="533">
        <f>'2d. Patients - DTG'!B440</f>
        <v>0</v>
      </c>
      <c r="BB69" s="533">
        <f ca="1">IFERROR(INDEX(PxTxPhase1,'2d. Patients - DTG'!D445,7),0)</f>
        <v>0</v>
      </c>
      <c r="BC69" s="534">
        <f t="shared" ca="1" si="2"/>
        <v>0</v>
      </c>
    </row>
    <row r="70" spans="1:55" x14ac:dyDescent="0.2">
      <c r="A70" s="162"/>
      <c r="B70" s="275" t="s">
        <v>72</v>
      </c>
      <c r="C70" s="275" t="s">
        <v>143</v>
      </c>
      <c r="D70" s="128"/>
      <c r="E70" s="213"/>
      <c r="F70" s="128"/>
      <c r="G70" s="128"/>
      <c r="H70" s="275" t="s">
        <v>662</v>
      </c>
      <c r="I70" s="128"/>
      <c r="J70" s="275">
        <v>5</v>
      </c>
      <c r="K70" s="128"/>
      <c r="L70" s="270"/>
      <c r="M70" s="270"/>
      <c r="N70" s="270"/>
      <c r="O70" s="270"/>
      <c r="P70" s="128"/>
      <c r="Q70" s="128"/>
      <c r="R70" s="270"/>
      <c r="S70" s="128"/>
      <c r="T70" s="128"/>
      <c r="U70" s="128"/>
      <c r="V70" s="128"/>
      <c r="W70" s="128"/>
      <c r="X70" s="128"/>
      <c r="Y70" s="128"/>
      <c r="Z70" s="128"/>
      <c r="AA70" s="128"/>
      <c r="AB70" s="128"/>
      <c r="AC70" s="435"/>
      <c r="AD70" s="128"/>
      <c r="AE70" s="128"/>
      <c r="AF70" s="128"/>
      <c r="AG70" s="128"/>
      <c r="AH70" s="128"/>
      <c r="AI70" s="128"/>
      <c r="AJ70" s="128"/>
      <c r="AK70" s="72" t="s">
        <v>404</v>
      </c>
      <c r="AL70" s="533">
        <f>'2c. Patients - GF'!E43</f>
        <v>0</v>
      </c>
      <c r="AM70" s="533">
        <f>'2c. Patients - GF'!F43</f>
        <v>0</v>
      </c>
      <c r="AN70" s="533">
        <f>'2c. Patients - GF'!G43</f>
        <v>0</v>
      </c>
      <c r="AO70" s="533">
        <f>'2c. Patients - GF'!H43</f>
        <v>0</v>
      </c>
      <c r="AP70" s="533">
        <f>'2c. Patients - GF'!I43</f>
        <v>0</v>
      </c>
      <c r="AQ70" s="533">
        <f>'2c. Patients - GF'!J43</f>
        <v>0</v>
      </c>
      <c r="AR70" s="533" t="str">
        <f>'2c. Patients - GF'!C46</f>
        <v/>
      </c>
      <c r="AT70" s="72" t="s">
        <v>1233</v>
      </c>
      <c r="AU70" s="533">
        <f ca="1">'2d. Patients - DTG'!F481</f>
        <v>0</v>
      </c>
      <c r="AV70" s="533">
        <f ca="1">'2d. Patients - DTG'!G481</f>
        <v>0</v>
      </c>
      <c r="AW70" s="533">
        <f ca="1">'2d. Patients - DTG'!H481</f>
        <v>0</v>
      </c>
      <c r="AX70" s="533">
        <f ca="1">'2d. Patients - DTG'!I481</f>
        <v>0</v>
      </c>
      <c r="AY70" s="533">
        <f ca="1">'2d. Patients - DTG'!J481</f>
        <v>0</v>
      </c>
      <c r="AZ70" s="533">
        <f ca="1">'2d. Patients - DTG'!K481</f>
        <v>0</v>
      </c>
      <c r="BA70" s="533">
        <f>'2d. Patients - DTG'!B462</f>
        <v>0</v>
      </c>
      <c r="BB70" s="533">
        <f ca="1">IFERROR(INDEX(PxTxPhase1,'2d. Patients - DTG'!D467,7),0)</f>
        <v>0</v>
      </c>
      <c r="BC70" s="534">
        <f t="shared" ca="1" si="2"/>
        <v>0</v>
      </c>
    </row>
    <row r="71" spans="1:55" x14ac:dyDescent="0.2">
      <c r="A71" s="162"/>
      <c r="B71" s="128"/>
      <c r="C71" s="128"/>
      <c r="D71" s="128"/>
      <c r="E71" s="128"/>
      <c r="F71" s="128"/>
      <c r="G71" s="128"/>
      <c r="H71" s="275" t="s">
        <v>663</v>
      </c>
      <c r="I71" s="128"/>
      <c r="J71" s="128"/>
      <c r="K71" s="128"/>
      <c r="L71" s="270"/>
      <c r="M71" s="270"/>
      <c r="N71" s="270"/>
      <c r="O71" s="270"/>
      <c r="P71" s="128"/>
      <c r="Q71" s="128"/>
      <c r="R71" s="270"/>
      <c r="S71" s="128"/>
      <c r="T71" s="128"/>
      <c r="U71" s="128"/>
      <c r="V71" s="128"/>
      <c r="W71" s="128"/>
      <c r="X71" s="128"/>
      <c r="Y71" s="128"/>
      <c r="Z71" s="128"/>
      <c r="AA71" s="128"/>
      <c r="AB71" s="128"/>
      <c r="AC71" s="435"/>
      <c r="AD71" s="128"/>
      <c r="AE71" s="128"/>
      <c r="AF71" s="128"/>
      <c r="AG71" s="128"/>
      <c r="AH71" s="128"/>
      <c r="AI71" s="128"/>
      <c r="AJ71" s="128"/>
      <c r="AK71" s="72" t="s">
        <v>405</v>
      </c>
      <c r="AL71" s="533">
        <f>'2c. Patients - GF'!E72</f>
        <v>0</v>
      </c>
      <c r="AM71" s="533">
        <f>'2c. Patients - GF'!F72</f>
        <v>0</v>
      </c>
      <c r="AN71" s="533">
        <f>'2c. Patients - GF'!G72</f>
        <v>0</v>
      </c>
      <c r="AO71" s="533">
        <f>'2c. Patients - GF'!H72</f>
        <v>0</v>
      </c>
      <c r="AP71" s="533">
        <f>'2c. Patients - GF'!I72</f>
        <v>0</v>
      </c>
      <c r="AQ71" s="533">
        <f>'2c. Patients - GF'!J72</f>
        <v>0</v>
      </c>
      <c r="AR71" s="533" t="str">
        <f>'2c. Patients - GF'!C75</f>
        <v/>
      </c>
      <c r="AT71" s="72" t="s">
        <v>1234</v>
      </c>
      <c r="AU71" s="533">
        <f ca="1">'2d. Patients - DTG'!F503</f>
        <v>0</v>
      </c>
      <c r="AV71" s="533">
        <f ca="1">'2d. Patients - DTG'!G503</f>
        <v>0</v>
      </c>
      <c r="AW71" s="533">
        <f ca="1">'2d. Patients - DTG'!H503</f>
        <v>0</v>
      </c>
      <c r="AX71" s="533">
        <f ca="1">'2d. Patients - DTG'!I503</f>
        <v>0</v>
      </c>
      <c r="AY71" s="533">
        <f ca="1">'2d. Patients - DTG'!J503</f>
        <v>0</v>
      </c>
      <c r="AZ71" s="533">
        <f ca="1">'2d. Patients - DTG'!K503</f>
        <v>0</v>
      </c>
      <c r="BA71" s="533">
        <f>'2d. Patients - DTG'!B484</f>
        <v>0</v>
      </c>
      <c r="BB71" s="533">
        <f ca="1">IFERROR(INDEX(PxTxPhase1,'2d. Patients - DTG'!D489,7),0)</f>
        <v>0</v>
      </c>
      <c r="BC71" s="534">
        <f t="shared" ca="1" si="2"/>
        <v>0</v>
      </c>
    </row>
    <row r="72" spans="1:55" x14ac:dyDescent="0.2">
      <c r="A72" s="162"/>
      <c r="B72" s="128"/>
      <c r="C72" s="128"/>
      <c r="D72" s="128"/>
      <c r="E72" s="128"/>
      <c r="F72" s="128"/>
      <c r="G72" s="128"/>
      <c r="H72" s="128"/>
      <c r="I72" s="128"/>
      <c r="J72" s="128"/>
      <c r="K72" s="128"/>
      <c r="L72" s="270"/>
      <c r="M72" s="270"/>
      <c r="N72" s="270"/>
      <c r="O72" s="270"/>
      <c r="P72" s="128"/>
      <c r="Q72" s="128"/>
      <c r="R72" s="270"/>
      <c r="S72" s="128"/>
      <c r="T72" s="128"/>
      <c r="U72" s="128"/>
      <c r="V72" s="128"/>
      <c r="W72" s="128"/>
      <c r="X72" s="128"/>
      <c r="Y72" s="128"/>
      <c r="Z72" s="128"/>
      <c r="AA72" s="128"/>
      <c r="AB72" s="128"/>
      <c r="AC72" s="435"/>
      <c r="AD72" s="128"/>
      <c r="AE72" s="128"/>
      <c r="AF72" s="128"/>
      <c r="AG72" s="128"/>
      <c r="AH72" s="128"/>
      <c r="AI72" s="128"/>
      <c r="AJ72" s="128"/>
      <c r="AK72" s="72" t="s">
        <v>406</v>
      </c>
      <c r="AL72" s="533">
        <f>'2c. Patients - GF'!E101</f>
        <v>0</v>
      </c>
      <c r="AM72" s="533">
        <f>'2c. Patients - GF'!F101</f>
        <v>0</v>
      </c>
      <c r="AN72" s="533">
        <f>'2c. Patients - GF'!G101</f>
        <v>0</v>
      </c>
      <c r="AO72" s="533">
        <f>'2c. Patients - GF'!H101</f>
        <v>0</v>
      </c>
      <c r="AP72" s="533">
        <f>'2c. Patients - GF'!I101</f>
        <v>0</v>
      </c>
      <c r="AQ72" s="533">
        <f>'2c. Patients - GF'!J101</f>
        <v>0</v>
      </c>
      <c r="AR72" s="533" t="str">
        <f>'2c. Patients - GF'!C104</f>
        <v/>
      </c>
      <c r="AT72" s="72" t="s">
        <v>1235</v>
      </c>
      <c r="AU72" s="533">
        <f ca="1">'2d. Patients - DTG'!F525</f>
        <v>0</v>
      </c>
      <c r="AV72" s="533">
        <f ca="1">'2d. Patients - DTG'!G525</f>
        <v>0</v>
      </c>
      <c r="AW72" s="533">
        <f ca="1">'2d. Patients - DTG'!H525</f>
        <v>0</v>
      </c>
      <c r="AX72" s="533">
        <f ca="1">'2d. Patients - DTG'!I525</f>
        <v>0</v>
      </c>
      <c r="AY72" s="533">
        <f ca="1">'2d. Patients - DTG'!J525</f>
        <v>0</v>
      </c>
      <c r="AZ72" s="533">
        <f ca="1">'2d. Patients - DTG'!K525</f>
        <v>0</v>
      </c>
      <c r="BA72" s="533">
        <f>'2d. Patients - DTG'!B506</f>
        <v>0</v>
      </c>
      <c r="BB72" s="533">
        <f ca="1">IFERROR(INDEX(PxTxPhase1,'2d. Patients - DTG'!D511,7),0)</f>
        <v>0</v>
      </c>
      <c r="BC72" s="534">
        <f t="shared" ca="1" si="2"/>
        <v>0</v>
      </c>
    </row>
    <row r="73" spans="1:55" x14ac:dyDescent="0.2">
      <c r="A73" s="162"/>
      <c r="B73" s="128"/>
      <c r="C73" s="128"/>
      <c r="D73" s="128"/>
      <c r="E73" s="128"/>
      <c r="F73" s="128"/>
      <c r="G73" s="128"/>
      <c r="H73" s="128"/>
      <c r="I73" s="128"/>
      <c r="J73" s="128"/>
      <c r="K73" s="128"/>
      <c r="L73" s="270"/>
      <c r="M73" s="270"/>
      <c r="N73" s="270"/>
      <c r="O73" s="270"/>
      <c r="P73" s="128"/>
      <c r="Q73" s="128"/>
      <c r="R73" s="270"/>
      <c r="S73" s="128"/>
      <c r="T73" s="128"/>
      <c r="U73" s="128"/>
      <c r="V73" s="128"/>
      <c r="W73" s="128"/>
      <c r="X73" s="128"/>
      <c r="Y73" s="128"/>
      <c r="Z73" s="128"/>
      <c r="AA73" s="128"/>
      <c r="AB73" s="128"/>
      <c r="AC73" s="435"/>
      <c r="AD73" s="128"/>
      <c r="AE73" s="128"/>
      <c r="AF73" s="128"/>
      <c r="AG73" s="128"/>
      <c r="AH73" s="128"/>
      <c r="AI73" s="128"/>
      <c r="AJ73" s="128"/>
      <c r="AK73" s="72" t="s">
        <v>407</v>
      </c>
      <c r="AL73" s="533">
        <f>'2c. Patients - GF'!E130</f>
        <v>0</v>
      </c>
      <c r="AM73" s="533">
        <f>'2c. Patients - GF'!F130</f>
        <v>0</v>
      </c>
      <c r="AN73" s="533">
        <f>'2c. Patients - GF'!G130</f>
        <v>0</v>
      </c>
      <c r="AO73" s="533">
        <f>'2c. Patients - GF'!H130</f>
        <v>0</v>
      </c>
      <c r="AP73" s="533">
        <f>'2c. Patients - GF'!I130</f>
        <v>0</v>
      </c>
      <c r="AQ73" s="533">
        <f>'2c. Patients - GF'!J130</f>
        <v>0</v>
      </c>
      <c r="AR73" s="533" t="str">
        <f>'2c. Patients - GF'!C133</f>
        <v/>
      </c>
      <c r="AT73" s="72" t="s">
        <v>1236</v>
      </c>
      <c r="AU73" s="533">
        <f ca="1">'2d. Patients - DTG'!F547</f>
        <v>0</v>
      </c>
      <c r="AV73" s="533">
        <f ca="1">'2d. Patients - DTG'!G547</f>
        <v>0</v>
      </c>
      <c r="AW73" s="533">
        <f ca="1">'2d. Patients - DTG'!H547</f>
        <v>0</v>
      </c>
      <c r="AX73" s="533">
        <f ca="1">'2d. Patients - DTG'!I547</f>
        <v>0</v>
      </c>
      <c r="AY73" s="533">
        <f ca="1">'2d. Patients - DTG'!J547</f>
        <v>0</v>
      </c>
      <c r="AZ73" s="533">
        <f ca="1">'2d. Patients - DTG'!K547</f>
        <v>0</v>
      </c>
      <c r="BA73" s="533">
        <f>'2d. Patients - DTG'!B528</f>
        <v>0</v>
      </c>
      <c r="BB73" s="533">
        <f ca="1">IFERROR(INDEX(PxTxPhase1,'2d. Patients - DTG'!D533,7),0)</f>
        <v>0</v>
      </c>
      <c r="BC73" s="534">
        <f t="shared" ca="1" si="2"/>
        <v>0</v>
      </c>
    </row>
    <row r="74" spans="1:55" x14ac:dyDescent="0.2">
      <c r="A74" s="162"/>
      <c r="B74" s="128"/>
      <c r="C74" s="128"/>
      <c r="D74" s="128"/>
      <c r="E74" s="128"/>
      <c r="F74" s="128"/>
      <c r="G74" s="128"/>
      <c r="H74" s="128"/>
      <c r="I74" s="128"/>
      <c r="J74" s="128"/>
      <c r="K74" s="128"/>
      <c r="L74" s="270"/>
      <c r="M74" s="270"/>
      <c r="N74" s="270"/>
      <c r="O74" s="270"/>
      <c r="P74" s="128"/>
      <c r="Q74" s="128"/>
      <c r="R74" s="270"/>
      <c r="S74" s="128"/>
      <c r="T74" s="128"/>
      <c r="U74" s="128"/>
      <c r="V74" s="128"/>
      <c r="W74" s="128"/>
      <c r="X74" s="128"/>
      <c r="Y74" s="128"/>
      <c r="Z74" s="128"/>
      <c r="AA74" s="128"/>
      <c r="AB74" s="128"/>
      <c r="AC74" s="435"/>
      <c r="AD74" s="128"/>
      <c r="AE74" s="128"/>
      <c r="AF74" s="128"/>
      <c r="AG74" s="128"/>
      <c r="AH74" s="128"/>
      <c r="AI74" s="128"/>
      <c r="AJ74" s="128"/>
      <c r="AK74" s="72" t="s">
        <v>408</v>
      </c>
      <c r="AL74" s="533">
        <f>'2c. Patients - GF'!E159</f>
        <v>0</v>
      </c>
      <c r="AM74" s="533">
        <f>'2c. Patients - GF'!F159</f>
        <v>0</v>
      </c>
      <c r="AN74" s="533">
        <f>'2c. Patients - GF'!G159</f>
        <v>0</v>
      </c>
      <c r="AO74" s="533">
        <f>'2c. Patients - GF'!H159</f>
        <v>0</v>
      </c>
      <c r="AP74" s="533">
        <f>'2c. Patients - GF'!I159</f>
        <v>0</v>
      </c>
      <c r="AQ74" s="533">
        <f>'2c. Patients - GF'!J159</f>
        <v>0</v>
      </c>
      <c r="AR74" s="533" t="str">
        <f>'2c. Patients - GF'!C162</f>
        <v/>
      </c>
      <c r="AT74" s="72" t="s">
        <v>1237</v>
      </c>
      <c r="AU74" s="533">
        <f ca="1">'2d. Patients - DTG'!F569</f>
        <v>0</v>
      </c>
      <c r="AV74" s="533">
        <f ca="1">'2d. Patients - DTG'!G569</f>
        <v>0</v>
      </c>
      <c r="AW74" s="533">
        <f ca="1">'2d. Patients - DTG'!H569</f>
        <v>0</v>
      </c>
      <c r="AX74" s="533">
        <f ca="1">'2d. Patients - DTG'!I569</f>
        <v>0</v>
      </c>
      <c r="AY74" s="533">
        <f ca="1">'2d. Patients - DTG'!J569</f>
        <v>0</v>
      </c>
      <c r="AZ74" s="533">
        <f ca="1">'2d. Patients - DTG'!K569</f>
        <v>0</v>
      </c>
      <c r="BA74" s="533">
        <f>'2d. Patients - DTG'!B550</f>
        <v>0</v>
      </c>
      <c r="BB74" s="533">
        <f ca="1">IFERROR(INDEX(PxTxPhase1,'2d. Patients - DTG'!D555,7),0)</f>
        <v>0</v>
      </c>
      <c r="BC74" s="534">
        <f t="shared" ca="1" si="2"/>
        <v>0</v>
      </c>
    </row>
    <row r="75" spans="1:55" x14ac:dyDescent="0.2">
      <c r="A75" s="162"/>
      <c r="B75" s="270"/>
      <c r="C75" s="270"/>
      <c r="D75" s="270"/>
      <c r="E75" s="270"/>
      <c r="F75" s="270"/>
      <c r="G75" s="128"/>
      <c r="H75" s="128"/>
      <c r="I75" s="128"/>
      <c r="J75" s="270"/>
      <c r="K75" s="128"/>
      <c r="L75" s="270"/>
      <c r="M75" s="270"/>
      <c r="N75" s="270"/>
      <c r="O75" s="270"/>
      <c r="P75" s="128"/>
      <c r="Q75" s="128"/>
      <c r="R75" s="270"/>
      <c r="S75" s="128"/>
      <c r="T75" s="128"/>
      <c r="U75" s="128"/>
      <c r="V75" s="128"/>
      <c r="W75" s="128"/>
      <c r="X75" s="128"/>
      <c r="Y75" s="128"/>
      <c r="Z75" s="128"/>
      <c r="AA75" s="128"/>
      <c r="AB75" s="128"/>
      <c r="AC75" s="435"/>
      <c r="AD75" s="128"/>
      <c r="AE75" s="128"/>
      <c r="AF75" s="128"/>
      <c r="AG75" s="128"/>
      <c r="AH75" s="128"/>
      <c r="AI75" s="128"/>
      <c r="AJ75" s="128"/>
      <c r="AK75" s="72" t="s">
        <v>409</v>
      </c>
      <c r="AL75" s="593"/>
      <c r="AM75" s="593"/>
      <c r="AN75" s="593"/>
      <c r="AO75" s="593"/>
      <c r="AP75" s="593"/>
      <c r="AQ75" s="593"/>
      <c r="AR75" s="593"/>
      <c r="AT75" s="72" t="s">
        <v>1238</v>
      </c>
      <c r="AU75" s="593"/>
      <c r="AV75" s="593"/>
      <c r="AW75" s="593"/>
      <c r="AX75" s="593"/>
      <c r="AY75" s="593"/>
      <c r="AZ75" s="593"/>
      <c r="BA75" s="593"/>
      <c r="BB75" s="593"/>
      <c r="BC75" s="534">
        <f t="shared" si="2"/>
        <v>0</v>
      </c>
    </row>
    <row r="76" spans="1:55" x14ac:dyDescent="0.2">
      <c r="A76" s="128"/>
      <c r="B76" s="270"/>
      <c r="C76" s="270"/>
      <c r="D76" s="270"/>
      <c r="E76" s="270"/>
      <c r="F76" s="270"/>
      <c r="G76" s="128"/>
      <c r="H76" s="128"/>
      <c r="I76" s="128"/>
      <c r="J76" s="270"/>
      <c r="K76" s="128"/>
      <c r="L76" s="270"/>
      <c r="M76" s="270"/>
      <c r="N76" s="270"/>
      <c r="O76" s="270"/>
      <c r="P76" s="128"/>
      <c r="Q76" s="128"/>
      <c r="R76" s="270"/>
      <c r="S76" s="128"/>
      <c r="T76" s="128"/>
      <c r="U76" s="128"/>
      <c r="V76" s="128"/>
      <c r="W76" s="128"/>
      <c r="X76" s="128"/>
      <c r="Y76" s="128"/>
      <c r="Z76" s="128"/>
      <c r="AA76" s="128"/>
      <c r="AB76" s="128"/>
      <c r="AC76" s="435"/>
      <c r="AD76" s="128"/>
      <c r="AE76" s="128"/>
      <c r="AF76" s="128"/>
      <c r="AG76" s="128"/>
      <c r="AH76" s="128"/>
      <c r="AI76" s="128"/>
      <c r="AJ76" s="128"/>
      <c r="AK76" s="72" t="s">
        <v>410</v>
      </c>
      <c r="AL76" s="593"/>
      <c r="AM76" s="593"/>
      <c r="AN76" s="593"/>
      <c r="AO76" s="593"/>
      <c r="AP76" s="593"/>
      <c r="AQ76" s="593"/>
      <c r="AR76" s="593"/>
      <c r="AT76" s="72" t="s">
        <v>1239</v>
      </c>
      <c r="AU76" s="593"/>
      <c r="AV76" s="593"/>
      <c r="AW76" s="593"/>
      <c r="AX76" s="593"/>
      <c r="AY76" s="593"/>
      <c r="AZ76" s="593"/>
      <c r="BA76" s="593"/>
      <c r="BB76" s="593"/>
      <c r="BC76" s="534">
        <f t="shared" si="2"/>
        <v>0</v>
      </c>
    </row>
    <row r="77" spans="1:55" x14ac:dyDescent="0.2">
      <c r="A77" s="128"/>
      <c r="B77" s="924" t="s">
        <v>420</v>
      </c>
      <c r="C77" s="925"/>
      <c r="D77" s="128"/>
      <c r="E77" s="924" t="s">
        <v>1067</v>
      </c>
      <c r="F77" s="925"/>
      <c r="G77" s="128"/>
      <c r="H77" s="128"/>
      <c r="I77" s="128"/>
      <c r="J77" s="505" t="s">
        <v>897</v>
      </c>
      <c r="K77" s="128"/>
      <c r="L77" s="270"/>
      <c r="M77" s="270"/>
      <c r="N77" s="270"/>
      <c r="O77" s="270"/>
      <c r="P77" s="128"/>
      <c r="Q77" s="128"/>
      <c r="R77" s="270"/>
      <c r="S77" s="128"/>
      <c r="T77" s="128"/>
      <c r="U77" s="128"/>
      <c r="V77" s="128"/>
      <c r="W77" s="128"/>
      <c r="X77" s="128"/>
      <c r="Y77" s="128"/>
      <c r="Z77" s="128"/>
      <c r="AA77" s="128"/>
      <c r="AB77" s="128"/>
      <c r="AC77" s="435"/>
      <c r="AD77" s="128"/>
      <c r="AE77" s="128"/>
      <c r="AF77" s="128"/>
      <c r="AG77" s="128"/>
      <c r="AH77" s="128"/>
      <c r="AI77" s="128"/>
      <c r="AJ77" s="128"/>
      <c r="AK77" s="72" t="s">
        <v>411</v>
      </c>
      <c r="AL77" s="593"/>
      <c r="AM77" s="593"/>
      <c r="AN77" s="593"/>
      <c r="AO77" s="593"/>
      <c r="AP77" s="593"/>
      <c r="AQ77" s="593"/>
      <c r="AR77" s="593"/>
      <c r="AT77" s="72" t="s">
        <v>1240</v>
      </c>
      <c r="AU77" s="593"/>
      <c r="AV77" s="593"/>
      <c r="AW77" s="593"/>
      <c r="AX77" s="593"/>
      <c r="AY77" s="593"/>
      <c r="AZ77" s="593"/>
      <c r="BA77" s="593"/>
      <c r="BB77" s="593"/>
      <c r="BC77" s="534">
        <f t="shared" si="2"/>
        <v>0</v>
      </c>
    </row>
    <row r="78" spans="1:55" x14ac:dyDescent="0.2">
      <c r="A78" s="162"/>
      <c r="B78" s="275" t="s">
        <v>52</v>
      </c>
      <c r="C78" s="275">
        <v>1</v>
      </c>
      <c r="D78" s="128"/>
      <c r="E78" s="275" t="s">
        <v>463</v>
      </c>
      <c r="F78" s="275">
        <v>1</v>
      </c>
      <c r="G78" s="128"/>
      <c r="H78" s="128"/>
      <c r="I78" s="128"/>
      <c r="J78" s="506">
        <v>0.8</v>
      </c>
      <c r="K78" s="128"/>
      <c r="L78" s="270"/>
      <c r="M78" s="270"/>
      <c r="N78" s="270"/>
      <c r="O78" s="270"/>
      <c r="P78" s="128"/>
      <c r="Q78" s="128"/>
      <c r="R78" s="270"/>
      <c r="S78" s="128"/>
      <c r="T78" s="128"/>
      <c r="U78" s="128"/>
      <c r="V78" s="128"/>
      <c r="W78" s="128"/>
      <c r="X78" s="128"/>
      <c r="Y78" s="128"/>
      <c r="Z78" s="128"/>
      <c r="AA78" s="128"/>
      <c r="AB78" s="128"/>
      <c r="AC78" s="435"/>
      <c r="AD78" s="128"/>
      <c r="AE78" s="128"/>
      <c r="AF78" s="128"/>
      <c r="AG78" s="128"/>
      <c r="AH78" s="128"/>
      <c r="AI78" s="128"/>
      <c r="AJ78" s="128"/>
      <c r="AK78" s="72" t="s">
        <v>412</v>
      </c>
      <c r="AL78" s="593"/>
      <c r="AM78" s="593"/>
      <c r="AN78" s="593"/>
      <c r="AO78" s="593"/>
      <c r="AP78" s="593"/>
      <c r="AQ78" s="593"/>
      <c r="AR78" s="593"/>
      <c r="AT78" s="72" t="s">
        <v>1241</v>
      </c>
      <c r="AU78" s="593"/>
      <c r="AV78" s="593"/>
      <c r="AW78" s="593"/>
      <c r="AX78" s="593"/>
      <c r="AY78" s="593"/>
      <c r="AZ78" s="593"/>
      <c r="BA78" s="593"/>
      <c r="BB78" s="593"/>
      <c r="BC78" s="534">
        <f t="shared" si="2"/>
        <v>0</v>
      </c>
    </row>
    <row r="79" spans="1:55" x14ac:dyDescent="0.2">
      <c r="A79" s="162"/>
      <c r="B79" s="275" t="s">
        <v>53</v>
      </c>
      <c r="C79" s="275">
        <v>2</v>
      </c>
      <c r="D79" s="128"/>
      <c r="E79" s="275" t="s">
        <v>1070</v>
      </c>
      <c r="F79" s="275">
        <v>2</v>
      </c>
      <c r="G79" s="128"/>
      <c r="H79" s="128"/>
      <c r="I79" s="128"/>
      <c r="K79" s="128"/>
      <c r="L79" s="270"/>
      <c r="M79" s="270"/>
      <c r="N79" s="270"/>
      <c r="O79" s="270"/>
      <c r="P79" s="128"/>
      <c r="Q79" s="128"/>
      <c r="R79" s="270"/>
      <c r="S79" s="128"/>
      <c r="T79" s="128"/>
      <c r="U79" s="128"/>
      <c r="V79" s="128"/>
      <c r="W79" s="128"/>
      <c r="X79" s="128"/>
      <c r="Y79" s="128"/>
      <c r="Z79" s="128"/>
      <c r="AA79" s="128"/>
      <c r="AB79" s="128"/>
      <c r="AC79" s="435"/>
      <c r="AD79" s="128"/>
      <c r="AE79" s="128"/>
      <c r="AF79" s="128"/>
      <c r="AG79" s="128"/>
      <c r="AH79" s="128"/>
      <c r="AI79" s="128"/>
      <c r="AJ79" s="128"/>
      <c r="AK79" s="72" t="s">
        <v>413</v>
      </c>
      <c r="AL79" s="593"/>
      <c r="AM79" s="593"/>
      <c r="AN79" s="593"/>
      <c r="AO79" s="593"/>
      <c r="AP79" s="593"/>
      <c r="AQ79" s="593"/>
      <c r="AR79" s="593"/>
      <c r="AT79" s="72" t="s">
        <v>1242</v>
      </c>
      <c r="AU79" s="593"/>
      <c r="AV79" s="593"/>
      <c r="AW79" s="593"/>
      <c r="AX79" s="593"/>
      <c r="AY79" s="593"/>
      <c r="AZ79" s="593"/>
      <c r="BA79" s="593"/>
      <c r="BB79" s="593"/>
      <c r="BC79" s="534">
        <f t="shared" si="2"/>
        <v>0</v>
      </c>
    </row>
    <row r="80" spans="1:55" x14ac:dyDescent="0.2">
      <c r="A80" s="162"/>
      <c r="B80" s="275" t="s">
        <v>55</v>
      </c>
      <c r="C80" s="275">
        <v>3</v>
      </c>
      <c r="D80" s="128"/>
      <c r="G80" s="128"/>
      <c r="H80" s="128"/>
      <c r="I80" s="128"/>
      <c r="K80" s="128"/>
      <c r="L80" s="270"/>
      <c r="M80" s="270"/>
      <c r="N80" s="270"/>
      <c r="O80" s="270"/>
      <c r="P80" s="128"/>
      <c r="Q80" s="128"/>
      <c r="R80" s="270"/>
      <c r="S80" s="128"/>
      <c r="T80" s="128"/>
      <c r="U80" s="128"/>
      <c r="V80" s="128"/>
      <c r="W80" s="128"/>
      <c r="X80" s="128"/>
      <c r="Y80" s="128"/>
      <c r="Z80" s="128"/>
      <c r="AA80" s="128"/>
      <c r="AB80" s="128"/>
      <c r="AC80" s="435"/>
      <c r="AD80" s="128"/>
      <c r="AE80" s="128"/>
      <c r="AF80" s="128"/>
      <c r="AG80" s="128"/>
      <c r="AH80" s="128"/>
      <c r="AI80" s="128"/>
      <c r="AJ80" s="128"/>
      <c r="AK80" s="72" t="s">
        <v>415</v>
      </c>
      <c r="AL80" s="533">
        <f t="shared" ref="AL80:AQ80" si="3">SUM(AL50:AL59)</f>
        <v>0</v>
      </c>
      <c r="AM80" s="533">
        <f t="shared" si="3"/>
        <v>0</v>
      </c>
      <c r="AN80" s="533">
        <f t="shared" si="3"/>
        <v>0</v>
      </c>
      <c r="AO80" s="533">
        <f t="shared" si="3"/>
        <v>0</v>
      </c>
      <c r="AP80" s="533">
        <f t="shared" si="3"/>
        <v>0</v>
      </c>
      <c r="AQ80" s="533">
        <f t="shared" si="3"/>
        <v>0</v>
      </c>
      <c r="AR80" s="533" t="str">
        <f>IFERROR(INDEX(AR50:AR59,MATCH(MIN(AR89:AR98),AR89:AR98,0)),"")</f>
        <v/>
      </c>
      <c r="AT80" s="72" t="s">
        <v>1243</v>
      </c>
      <c r="AU80" s="533">
        <f ca="1">SUM(AU50:AU79)</f>
        <v>0</v>
      </c>
      <c r="AV80" s="533">
        <f t="shared" ref="AV80:AZ80" ca="1" si="4">SUM(AV50:AV79)</f>
        <v>0</v>
      </c>
      <c r="AW80" s="533">
        <f t="shared" ca="1" si="4"/>
        <v>0</v>
      </c>
      <c r="AX80" s="533">
        <f t="shared" ca="1" si="4"/>
        <v>0</v>
      </c>
      <c r="AY80" s="533">
        <f t="shared" ca="1" si="4"/>
        <v>0</v>
      </c>
      <c r="AZ80" s="533">
        <f t="shared" ca="1" si="4"/>
        <v>0</v>
      </c>
      <c r="BA80" s="533">
        <f>MAX(BA50:BA74)</f>
        <v>0</v>
      </c>
      <c r="BB80" s="533">
        <f ca="1">MAX(BB50:BB74)</f>
        <v>0</v>
      </c>
      <c r="BC80" s="534">
        <f t="shared" ca="1" si="2"/>
        <v>0</v>
      </c>
    </row>
    <row r="81" spans="1:55" x14ac:dyDescent="0.2">
      <c r="A81" s="162"/>
      <c r="B81" s="275" t="s">
        <v>269</v>
      </c>
      <c r="C81" s="275">
        <v>0</v>
      </c>
      <c r="D81" s="128"/>
      <c r="G81" s="128"/>
      <c r="H81" s="128"/>
      <c r="I81" s="128"/>
      <c r="J81" s="128"/>
      <c r="K81" s="128"/>
      <c r="L81" s="270"/>
      <c r="M81" s="270"/>
      <c r="N81" s="270"/>
      <c r="O81" s="270"/>
      <c r="P81" s="128"/>
      <c r="Q81" s="128"/>
      <c r="R81" s="270"/>
      <c r="S81" s="128"/>
      <c r="T81" s="128"/>
      <c r="U81" s="128"/>
      <c r="V81" s="128"/>
      <c r="W81" s="128"/>
      <c r="X81" s="128"/>
      <c r="Y81" s="128"/>
      <c r="Z81" s="128"/>
      <c r="AA81" s="128"/>
      <c r="AB81" s="128"/>
      <c r="AC81" s="435"/>
      <c r="AD81" s="128"/>
      <c r="AE81" s="128"/>
      <c r="AF81" s="128"/>
      <c r="AG81" s="128"/>
      <c r="AH81" s="128"/>
      <c r="AI81" s="128"/>
      <c r="AJ81" s="128"/>
      <c r="AK81" s="72" t="s">
        <v>416</v>
      </c>
      <c r="AL81" s="533">
        <f t="shared" ref="AL81:AQ81" si="5">SUM(AL60:AL69)</f>
        <v>0</v>
      </c>
      <c r="AM81" s="533">
        <f t="shared" si="5"/>
        <v>0</v>
      </c>
      <c r="AN81" s="533">
        <f t="shared" si="5"/>
        <v>0</v>
      </c>
      <c r="AO81" s="533">
        <f t="shared" si="5"/>
        <v>0</v>
      </c>
      <c r="AP81" s="533">
        <f t="shared" si="5"/>
        <v>0</v>
      </c>
      <c r="AQ81" s="533">
        <f t="shared" si="5"/>
        <v>0</v>
      </c>
      <c r="AR81" s="533" t="str">
        <f>IFERROR(INDEX(AR60:AR69,MATCH(MIN(AR99:AR108),AR99:AR108,0)),"")</f>
        <v/>
      </c>
      <c r="BA81"/>
      <c r="BC81" s="606"/>
    </row>
    <row r="82" spans="1:55" x14ac:dyDescent="0.2">
      <c r="A82" s="162"/>
      <c r="B82" s="128"/>
      <c r="C82" s="128"/>
      <c r="D82" s="128"/>
      <c r="E82" s="128"/>
      <c r="F82" s="128"/>
      <c r="G82" s="128"/>
      <c r="H82" s="128"/>
      <c r="I82" s="128"/>
      <c r="J82" s="128"/>
      <c r="K82" s="128"/>
      <c r="L82" s="270"/>
      <c r="M82" s="270"/>
      <c r="N82" s="270"/>
      <c r="O82" s="270"/>
      <c r="P82" s="128"/>
      <c r="Q82" s="128"/>
      <c r="R82" s="270"/>
      <c r="S82" s="128"/>
      <c r="T82" s="128"/>
      <c r="U82" s="128"/>
      <c r="V82" s="128"/>
      <c r="W82" s="128"/>
      <c r="X82" s="128"/>
      <c r="Y82" s="128"/>
      <c r="Z82" s="128"/>
      <c r="AA82" s="128"/>
      <c r="AB82" s="128"/>
      <c r="AC82" s="435"/>
      <c r="AD82" s="128"/>
      <c r="AE82" s="128"/>
      <c r="AF82" s="128"/>
      <c r="AG82" s="128"/>
      <c r="AH82" s="128"/>
      <c r="AI82" s="128"/>
      <c r="AJ82" s="128"/>
      <c r="AK82" s="72" t="s">
        <v>1188</v>
      </c>
      <c r="AL82" s="533">
        <f>AL81+AL80</f>
        <v>0</v>
      </c>
      <c r="AM82" s="533">
        <f t="shared" ref="AM82:AQ82" si="6">AM81+AM80</f>
        <v>0</v>
      </c>
      <c r="AN82" s="533">
        <f t="shared" si="6"/>
        <v>0</v>
      </c>
      <c r="AO82" s="533">
        <f t="shared" si="6"/>
        <v>0</v>
      </c>
      <c r="AP82" s="533">
        <f t="shared" si="6"/>
        <v>0</v>
      </c>
      <c r="AQ82" s="533">
        <f t="shared" si="6"/>
        <v>0</v>
      </c>
      <c r="AR82" s="533" t="str">
        <f>IFERROR(INDEX(AR50:AR69,MATCH(MIN(AR89:AR108),AR89:AR108,0)),"")</f>
        <v/>
      </c>
      <c r="AS82" s="416"/>
      <c r="AT82" s="416"/>
      <c r="AU82" s="416"/>
      <c r="AV82" s="416"/>
      <c r="AW82" s="416"/>
      <c r="AX82" s="416"/>
      <c r="AY82" s="416"/>
      <c r="AZ82" s="416"/>
      <c r="BB82" s="416"/>
      <c r="BC82" s="606"/>
    </row>
    <row r="83" spans="1:55" x14ac:dyDescent="0.2">
      <c r="A83" s="162"/>
      <c r="B83" s="128"/>
      <c r="C83" s="128"/>
      <c r="D83" s="128"/>
      <c r="E83" s="128"/>
      <c r="F83" s="128"/>
      <c r="G83" s="128"/>
      <c r="H83" s="128"/>
      <c r="I83" s="128"/>
      <c r="J83" s="128"/>
      <c r="K83" s="128"/>
      <c r="L83" s="270"/>
      <c r="M83" s="270"/>
      <c r="N83" s="270"/>
      <c r="O83" s="270"/>
      <c r="P83" s="128"/>
      <c r="Q83" s="128"/>
      <c r="R83" s="270"/>
      <c r="S83" s="128"/>
      <c r="T83" s="128"/>
      <c r="U83" s="128"/>
      <c r="V83" s="128"/>
      <c r="W83" s="128"/>
      <c r="X83" s="128"/>
      <c r="Y83" s="128"/>
      <c r="Z83" s="128"/>
      <c r="AA83" s="128"/>
      <c r="AB83" s="128"/>
      <c r="AC83" s="435"/>
      <c r="AD83" s="128"/>
      <c r="AE83" s="128"/>
      <c r="AF83" s="128"/>
      <c r="AG83" s="128"/>
      <c r="AH83" s="128"/>
      <c r="AI83" s="128"/>
      <c r="AJ83" s="128"/>
      <c r="AK83" s="72" t="s">
        <v>417</v>
      </c>
      <c r="AL83" s="533">
        <f>SUM(AL70:AL79)</f>
        <v>0</v>
      </c>
      <c r="AM83" s="533">
        <f t="shared" ref="AM83:AQ83" si="7">SUM(AM70:AM79)</f>
        <v>0</v>
      </c>
      <c r="AN83" s="533">
        <f t="shared" si="7"/>
        <v>0</v>
      </c>
      <c r="AO83" s="533">
        <f t="shared" si="7"/>
        <v>0</v>
      </c>
      <c r="AP83" s="533">
        <f t="shared" si="7"/>
        <v>0</v>
      </c>
      <c r="AQ83" s="533">
        <f t="shared" si="7"/>
        <v>0</v>
      </c>
      <c r="AR83" s="533" t="str">
        <f>IFERROR(INDEX(AR70:AR74,MATCH(MIN(AR109:AR113),AR109:AR113,0)),"")</f>
        <v/>
      </c>
      <c r="BA83"/>
      <c r="BC83" s="606"/>
    </row>
    <row r="84" spans="1:55" x14ac:dyDescent="0.2">
      <c r="A84" s="162"/>
      <c r="B84" s="128"/>
      <c r="C84" s="128"/>
      <c r="D84" s="128"/>
      <c r="E84" s="128"/>
      <c r="F84" s="128"/>
      <c r="G84" s="128"/>
      <c r="H84" s="128"/>
      <c r="I84" s="128"/>
      <c r="J84" s="128"/>
      <c r="K84" s="128"/>
      <c r="L84" s="270"/>
      <c r="M84" s="270"/>
      <c r="N84" s="270"/>
      <c r="O84" s="270"/>
      <c r="P84" s="128"/>
      <c r="Q84" s="128"/>
      <c r="R84" s="270"/>
      <c r="S84" s="128"/>
      <c r="T84" s="128"/>
      <c r="U84" s="128"/>
      <c r="V84" s="128"/>
      <c r="W84" s="128"/>
      <c r="X84" s="128"/>
      <c r="Y84" s="128"/>
      <c r="Z84" s="128"/>
      <c r="AA84" s="128"/>
      <c r="AB84" s="128"/>
      <c r="AC84" s="435"/>
      <c r="AD84" s="128"/>
      <c r="AE84" s="128"/>
      <c r="AF84" s="128"/>
      <c r="AG84" s="128"/>
      <c r="AH84" s="128"/>
      <c r="AI84" s="128"/>
      <c r="AJ84" s="128"/>
      <c r="AK84" s="72" t="s">
        <v>418</v>
      </c>
      <c r="AL84" s="533">
        <f>AL83+AL82</f>
        <v>0</v>
      </c>
      <c r="AM84" s="533">
        <f t="shared" ref="AM84:AQ84" si="8">AM83+AM82</f>
        <v>0</v>
      </c>
      <c r="AN84" s="533">
        <f t="shared" si="8"/>
        <v>0</v>
      </c>
      <c r="AO84" s="533">
        <f t="shared" si="8"/>
        <v>0</v>
      </c>
      <c r="AP84" s="533">
        <f t="shared" si="8"/>
        <v>0</v>
      </c>
      <c r="AQ84" s="533">
        <f t="shared" si="8"/>
        <v>0</v>
      </c>
      <c r="AR84" s="533" t="str">
        <f>IFERROR(INDEX(AR50:AR74,MATCH(MIN(AR89:AR113),AR89:AR113,0)),"")</f>
        <v/>
      </c>
      <c r="BA84"/>
      <c r="BC84" s="606"/>
    </row>
    <row r="85" spans="1:55" x14ac:dyDescent="0.2">
      <c r="A85" s="162"/>
      <c r="B85" s="128"/>
      <c r="C85" s="128"/>
      <c r="D85" s="128"/>
      <c r="E85" s="128"/>
      <c r="F85" s="128"/>
      <c r="G85" s="128"/>
      <c r="H85" s="128"/>
      <c r="I85" s="128"/>
      <c r="J85" s="128"/>
      <c r="K85" s="128"/>
      <c r="L85" s="270"/>
      <c r="M85" s="270"/>
      <c r="N85" s="270"/>
      <c r="O85" s="270"/>
      <c r="P85" s="128"/>
      <c r="Q85" s="128"/>
      <c r="R85" s="270"/>
      <c r="S85" s="128"/>
      <c r="T85" s="128"/>
      <c r="U85" s="128"/>
      <c r="V85" s="128"/>
      <c r="W85" s="128"/>
      <c r="X85" s="128"/>
      <c r="Y85" s="128"/>
      <c r="Z85" s="128"/>
      <c r="AA85" s="128"/>
      <c r="AB85" s="128"/>
      <c r="AC85" s="435"/>
      <c r="AD85" s="128"/>
      <c r="AE85" s="128"/>
      <c r="AF85" s="128"/>
      <c r="AG85" s="128"/>
      <c r="AH85" s="128"/>
      <c r="AI85" s="128"/>
      <c r="AJ85" s="128"/>
      <c r="AK85" s="128"/>
      <c r="AL85" s="128"/>
      <c r="AM85" s="128"/>
      <c r="AN85" s="128"/>
      <c r="AO85" s="128"/>
      <c r="AP85" s="128"/>
      <c r="AQ85" s="128"/>
      <c r="AR85" s="435"/>
    </row>
    <row r="86" spans="1:55" x14ac:dyDescent="0.2">
      <c r="A86" s="162"/>
      <c r="B86" s="128"/>
      <c r="C86" s="128"/>
      <c r="D86" s="128"/>
      <c r="E86" s="128"/>
      <c r="F86" s="128"/>
      <c r="G86" s="128"/>
      <c r="H86" s="128"/>
      <c r="I86" s="128"/>
      <c r="J86" s="128"/>
      <c r="K86" s="128"/>
      <c r="L86" s="270"/>
      <c r="M86" s="270"/>
      <c r="N86" s="270"/>
      <c r="O86" s="270"/>
      <c r="P86" s="128"/>
      <c r="Q86" s="128"/>
      <c r="R86" s="270"/>
      <c r="S86" s="128"/>
      <c r="T86" s="128"/>
      <c r="U86" s="128"/>
      <c r="V86" s="128"/>
      <c r="W86" s="128"/>
      <c r="X86" s="128"/>
      <c r="Y86" s="128"/>
      <c r="Z86" s="128"/>
      <c r="AA86" s="128"/>
      <c r="AB86" s="128"/>
      <c r="AC86" s="435"/>
      <c r="AD86" s="128"/>
      <c r="AE86" s="128"/>
      <c r="AF86" s="128"/>
      <c r="AG86" s="128"/>
      <c r="AH86" s="128"/>
      <c r="AI86" s="128"/>
      <c r="AJ86" s="128"/>
      <c r="AK86" s="128"/>
      <c r="AL86" s="128"/>
      <c r="AM86" s="128"/>
      <c r="AN86" s="128"/>
      <c r="AO86" s="128"/>
      <c r="AP86" s="128"/>
      <c r="AQ86" s="128"/>
      <c r="AR86" s="435"/>
    </row>
    <row r="87" spans="1:55" ht="12.75" customHeight="1" x14ac:dyDescent="0.2">
      <c r="A87" s="162"/>
      <c r="B87" s="270"/>
      <c r="C87" s="270"/>
      <c r="D87" s="128"/>
      <c r="E87" s="128"/>
      <c r="F87" s="128"/>
      <c r="G87" s="128"/>
      <c r="H87" s="128"/>
      <c r="I87" s="128"/>
      <c r="J87" s="128"/>
      <c r="K87" s="128"/>
      <c r="L87" s="270"/>
      <c r="M87" s="270"/>
      <c r="N87" s="270"/>
      <c r="O87" s="270"/>
      <c r="P87" s="128"/>
      <c r="Q87" s="128"/>
      <c r="R87" s="270"/>
      <c r="S87" s="128"/>
      <c r="T87" s="128"/>
      <c r="U87" s="128"/>
      <c r="V87" s="128"/>
      <c r="W87" s="128"/>
      <c r="X87" s="128"/>
      <c r="Y87" s="128"/>
      <c r="Z87" s="128"/>
      <c r="AA87" s="128"/>
      <c r="AB87" s="128"/>
      <c r="AC87" s="435"/>
      <c r="AD87" s="128"/>
      <c r="AE87" s="128"/>
      <c r="AF87" s="128"/>
      <c r="AG87" s="128"/>
      <c r="AH87" s="128"/>
      <c r="AI87" s="128"/>
      <c r="AJ87" s="128"/>
      <c r="AK87" s="128"/>
      <c r="AL87" s="923" t="s">
        <v>1186</v>
      </c>
      <c r="AM87" s="923"/>
      <c r="AN87" s="923"/>
      <c r="AO87" s="923"/>
      <c r="AP87" s="923"/>
      <c r="AQ87" s="923"/>
      <c r="AR87" s="923"/>
      <c r="AT87" s="435"/>
      <c r="AU87" s="923" t="s">
        <v>1187</v>
      </c>
      <c r="AV87" s="923"/>
      <c r="AW87" s="923"/>
      <c r="AX87" s="923"/>
      <c r="AY87" s="923"/>
      <c r="AZ87" s="923"/>
    </row>
    <row r="88" spans="1:55" x14ac:dyDescent="0.2">
      <c r="A88" s="128"/>
      <c r="B88" s="270"/>
      <c r="C88" s="270"/>
      <c r="D88" s="128"/>
      <c r="E88" s="128"/>
      <c r="F88" s="128"/>
      <c r="G88" s="128"/>
      <c r="H88" s="128"/>
      <c r="I88" s="128"/>
      <c r="J88" s="128"/>
      <c r="K88" s="128"/>
      <c r="L88" s="270"/>
      <c r="M88" s="270"/>
      <c r="N88" s="270"/>
      <c r="O88" s="270"/>
      <c r="P88" s="128"/>
      <c r="Q88" s="128"/>
      <c r="R88" s="270"/>
      <c r="S88" s="128"/>
      <c r="T88" s="128"/>
      <c r="U88" s="128"/>
      <c r="V88" s="128"/>
      <c r="W88" s="128"/>
      <c r="X88" s="128"/>
      <c r="Y88" s="128"/>
      <c r="Z88" s="128"/>
      <c r="AA88" s="128"/>
      <c r="AB88" s="128"/>
      <c r="AC88" s="435"/>
      <c r="AD88" s="128"/>
      <c r="AE88" s="128"/>
      <c r="AF88" s="128"/>
      <c r="AG88" s="128"/>
      <c r="AH88" s="128"/>
      <c r="AI88" s="128"/>
      <c r="AJ88" s="128"/>
      <c r="AK88" s="128"/>
      <c r="AL88" s="607">
        <f>FirstYear</f>
        <v>2021</v>
      </c>
      <c r="AM88" s="608">
        <f>AL88+1</f>
        <v>2022</v>
      </c>
      <c r="AN88" s="608">
        <f>AM88+1</f>
        <v>2023</v>
      </c>
      <c r="AO88" s="608">
        <f>AN88+1</f>
        <v>2024</v>
      </c>
      <c r="AP88" s="608">
        <f>AO88+1</f>
        <v>2025</v>
      </c>
      <c r="AQ88" s="608">
        <f>AP88+1</f>
        <v>2026</v>
      </c>
      <c r="AR88" s="69" t="s">
        <v>106</v>
      </c>
      <c r="AT88" s="435"/>
      <c r="AU88" s="207">
        <f>FirstYear</f>
        <v>2021</v>
      </c>
      <c r="AV88" s="69">
        <f>AU88+1</f>
        <v>2022</v>
      </c>
      <c r="AW88" s="69">
        <f>AV88+1</f>
        <v>2023</v>
      </c>
      <c r="AX88" s="69">
        <f>AW88+1</f>
        <v>2024</v>
      </c>
      <c r="AY88" s="69">
        <f>AX88+1</f>
        <v>2025</v>
      </c>
      <c r="AZ88" s="69">
        <f>AY88+1</f>
        <v>2026</v>
      </c>
      <c r="BA88" s="69" t="s">
        <v>63</v>
      </c>
      <c r="BB88" s="69" t="s">
        <v>1190</v>
      </c>
      <c r="BC88" s="69" t="s">
        <v>106</v>
      </c>
    </row>
    <row r="89" spans="1:55" x14ac:dyDescent="0.2">
      <c r="A89" s="128"/>
      <c r="B89" s="923" t="s">
        <v>49</v>
      </c>
      <c r="C89" s="923"/>
      <c r="E89" s="923" t="s">
        <v>58</v>
      </c>
      <c r="F89" s="923"/>
      <c r="K89" s="128"/>
      <c r="L89" s="270"/>
      <c r="M89" s="270"/>
      <c r="N89" s="270"/>
      <c r="O89" s="270"/>
      <c r="P89" s="128"/>
      <c r="Q89" s="128"/>
      <c r="R89" s="270"/>
      <c r="S89" s="128"/>
      <c r="T89" s="128"/>
      <c r="U89" s="128"/>
      <c r="V89" s="128"/>
      <c r="W89" s="128"/>
      <c r="X89" s="128"/>
      <c r="Y89" s="128"/>
      <c r="Z89" s="128"/>
      <c r="AA89" s="128"/>
      <c r="AB89" s="128"/>
      <c r="AC89" s="435"/>
      <c r="AD89" s="128"/>
      <c r="AE89" s="128"/>
      <c r="AF89" s="128"/>
      <c r="AG89" s="128"/>
      <c r="AH89" s="128"/>
      <c r="AI89" s="128"/>
      <c r="AJ89" s="128"/>
      <c r="AK89" s="72" t="s">
        <v>384</v>
      </c>
      <c r="AL89" s="533">
        <f>'2a. Patients - incident'!E53</f>
        <v>0</v>
      </c>
      <c r="AM89" s="533">
        <f>'2a. Patients - incident'!F53</f>
        <v>0</v>
      </c>
      <c r="AN89" s="533">
        <f>'2a. Patients - incident'!G53</f>
        <v>0</v>
      </c>
      <c r="AO89" s="533">
        <f>'2a. Patients - incident'!H53</f>
        <v>0</v>
      </c>
      <c r="AP89" s="533">
        <f>'2a. Patients - incident'!I53</f>
        <v>0</v>
      </c>
      <c r="AQ89" s="533">
        <f>'2a. Patients - incident'!J53</f>
        <v>0</v>
      </c>
      <c r="AR89" s="534" t="str">
        <f t="shared" ref="AR89:AR113" si="9">IF(AND(AR50&lt;&gt;"",AR50&lt;&gt;0),INDEX(ServiceSplitRPBS,AR50),"")</f>
        <v/>
      </c>
      <c r="AT89" s="72" t="s">
        <v>1213</v>
      </c>
      <c r="AU89" s="533">
        <f ca="1">'2d. Patients - DTG'!N41</f>
        <v>0</v>
      </c>
      <c r="AV89" s="533">
        <f ca="1">'2d. Patients - DTG'!O41</f>
        <v>0</v>
      </c>
      <c r="AW89" s="533">
        <f ca="1">'2d. Patients - DTG'!P41</f>
        <v>0</v>
      </c>
      <c r="AX89" s="533">
        <f ca="1">'2d. Patients - DTG'!Q41</f>
        <v>0</v>
      </c>
      <c r="AY89" s="533">
        <f ca="1">'2d. Patients - DTG'!R41</f>
        <v>0</v>
      </c>
      <c r="AZ89" s="533">
        <f ca="1">'2d. Patients - DTG'!S41</f>
        <v>0</v>
      </c>
      <c r="BA89" s="533">
        <f>BA50</f>
        <v>0</v>
      </c>
      <c r="BB89" s="533">
        <f ca="1">BB50</f>
        <v>0</v>
      </c>
      <c r="BC89" s="534">
        <f t="shared" ref="BC89:BC113" ca="1" si="10">BC50</f>
        <v>0</v>
      </c>
    </row>
    <row r="90" spans="1:55" x14ac:dyDescent="0.2">
      <c r="A90" s="128"/>
      <c r="B90" s="275" t="s">
        <v>49</v>
      </c>
      <c r="C90" s="275">
        <v>1</v>
      </c>
      <c r="E90" s="275" t="s">
        <v>1152</v>
      </c>
      <c r="F90" s="275">
        <v>1</v>
      </c>
      <c r="K90" s="128"/>
      <c r="L90" s="270"/>
      <c r="M90" s="270"/>
      <c r="N90" s="270"/>
      <c r="O90" s="270"/>
      <c r="P90" s="128"/>
      <c r="Q90" s="128"/>
      <c r="R90" s="270"/>
      <c r="S90" s="128"/>
      <c r="T90" s="128"/>
      <c r="U90" s="128"/>
      <c r="V90" s="128"/>
      <c r="W90" s="128"/>
      <c r="X90" s="128"/>
      <c r="Y90" s="128"/>
      <c r="Z90" s="128"/>
      <c r="AA90" s="128"/>
      <c r="AB90" s="128"/>
      <c r="AC90" s="435"/>
      <c r="AD90" s="128"/>
      <c r="AE90" s="128"/>
      <c r="AF90" s="128"/>
      <c r="AG90" s="128"/>
      <c r="AH90" s="128"/>
      <c r="AI90" s="128"/>
      <c r="AJ90" s="128"/>
      <c r="AK90" s="72" t="s">
        <v>385</v>
      </c>
      <c r="AL90" s="533">
        <f>'2a. Patients - incident'!E91</f>
        <v>0</v>
      </c>
      <c r="AM90" s="533">
        <f>'2a. Patients - incident'!F91</f>
        <v>0</v>
      </c>
      <c r="AN90" s="533">
        <f>'2a. Patients - incident'!G91</f>
        <v>0</v>
      </c>
      <c r="AO90" s="533">
        <f>'2a. Patients - incident'!H91</f>
        <v>0</v>
      </c>
      <c r="AP90" s="533">
        <f>'2a. Patients - incident'!I91</f>
        <v>0</v>
      </c>
      <c r="AQ90" s="533">
        <f>'2a. Patients - incident'!J91</f>
        <v>0</v>
      </c>
      <c r="AR90" s="534" t="str">
        <f t="shared" si="9"/>
        <v/>
      </c>
      <c r="AT90" s="72" t="s">
        <v>1214</v>
      </c>
      <c r="AU90" s="533">
        <f ca="1">'2d. Patients - DTG'!N63</f>
        <v>0</v>
      </c>
      <c r="AV90" s="533">
        <f ca="1">'2d. Patients - DTG'!O63</f>
        <v>0</v>
      </c>
      <c r="AW90" s="533">
        <f ca="1">'2d. Patients - DTG'!P63</f>
        <v>0</v>
      </c>
      <c r="AX90" s="533">
        <f ca="1">'2d. Patients - DTG'!Q63</f>
        <v>0</v>
      </c>
      <c r="AY90" s="533">
        <f ca="1">'2d. Patients - DTG'!R63</f>
        <v>0</v>
      </c>
      <c r="AZ90" s="533">
        <f ca="1">'2d. Patients - DTG'!S63</f>
        <v>0</v>
      </c>
      <c r="BA90" s="533">
        <f t="shared" ref="BA90:BB113" si="11">BA51</f>
        <v>0</v>
      </c>
      <c r="BB90" s="533">
        <f t="shared" ca="1" si="11"/>
        <v>0</v>
      </c>
      <c r="BC90" s="534">
        <f t="shared" ca="1" si="10"/>
        <v>0</v>
      </c>
    </row>
    <row r="91" spans="1:55" x14ac:dyDescent="0.2">
      <c r="A91" s="128"/>
      <c r="B91" s="275" t="s">
        <v>1105</v>
      </c>
      <c r="C91" s="275">
        <v>2</v>
      </c>
      <c r="E91" s="275" t="s">
        <v>63</v>
      </c>
      <c r="F91" s="275">
        <v>2</v>
      </c>
      <c r="K91" s="128"/>
      <c r="L91" s="270"/>
      <c r="M91" s="270"/>
      <c r="N91" s="270"/>
      <c r="O91" s="270"/>
      <c r="P91" s="128"/>
      <c r="Q91" s="128"/>
      <c r="R91" s="270"/>
      <c r="S91" s="128"/>
      <c r="T91" s="128"/>
      <c r="U91" s="128"/>
      <c r="V91" s="128"/>
      <c r="W91" s="128"/>
      <c r="X91" s="128"/>
      <c r="Y91" s="128"/>
      <c r="Z91" s="128"/>
      <c r="AA91" s="128"/>
      <c r="AB91" s="128"/>
      <c r="AC91" s="435"/>
      <c r="AD91" s="128"/>
      <c r="AE91" s="128"/>
      <c r="AF91" s="128"/>
      <c r="AG91" s="128"/>
      <c r="AH91" s="128"/>
      <c r="AI91" s="128"/>
      <c r="AJ91" s="128"/>
      <c r="AK91" s="72" t="s">
        <v>386</v>
      </c>
      <c r="AL91" s="533">
        <f>'2a. Patients - incident'!E129</f>
        <v>0</v>
      </c>
      <c r="AM91" s="533">
        <f>'2a. Patients - incident'!F129</f>
        <v>0</v>
      </c>
      <c r="AN91" s="533">
        <f>'2a. Patients - incident'!G129</f>
        <v>0</v>
      </c>
      <c r="AO91" s="533">
        <f>'2a. Patients - incident'!H129</f>
        <v>0</v>
      </c>
      <c r="AP91" s="533">
        <f>'2a. Patients - incident'!I129</f>
        <v>0</v>
      </c>
      <c r="AQ91" s="533">
        <f>'2a. Patients - incident'!J129</f>
        <v>0</v>
      </c>
      <c r="AR91" s="534" t="str">
        <f t="shared" si="9"/>
        <v/>
      </c>
      <c r="AT91" s="72" t="s">
        <v>1215</v>
      </c>
      <c r="AU91" s="533">
        <f ca="1">'2d. Patients - DTG'!N85</f>
        <v>0</v>
      </c>
      <c r="AV91" s="533">
        <f ca="1">'2d. Patients - DTG'!O85</f>
        <v>0</v>
      </c>
      <c r="AW91" s="533">
        <f ca="1">'2d. Patients - DTG'!P85</f>
        <v>0</v>
      </c>
      <c r="AX91" s="533">
        <f ca="1">'2d. Patients - DTG'!Q85</f>
        <v>0</v>
      </c>
      <c r="AY91" s="533">
        <f ca="1">'2d. Patients - DTG'!R85</f>
        <v>0</v>
      </c>
      <c r="AZ91" s="533">
        <f ca="1">'2d. Patients - DTG'!S85</f>
        <v>0</v>
      </c>
      <c r="BA91" s="533">
        <f t="shared" si="11"/>
        <v>0</v>
      </c>
      <c r="BB91" s="533">
        <f t="shared" ca="1" si="11"/>
        <v>0</v>
      </c>
      <c r="BC91" s="534">
        <f t="shared" ca="1" si="10"/>
        <v>0</v>
      </c>
    </row>
    <row r="92" spans="1:55" x14ac:dyDescent="0.2">
      <c r="A92" s="128"/>
      <c r="B92" s="275" t="s">
        <v>54</v>
      </c>
      <c r="C92" s="275">
        <v>0</v>
      </c>
      <c r="E92" s="275" t="s">
        <v>1153</v>
      </c>
      <c r="F92" s="275">
        <v>3</v>
      </c>
      <c r="K92" s="128"/>
      <c r="L92" s="270"/>
      <c r="M92" s="270"/>
      <c r="N92" s="270"/>
      <c r="O92" s="270"/>
      <c r="P92" s="128"/>
      <c r="Q92" s="128"/>
      <c r="R92" s="270"/>
      <c r="S92" s="128"/>
      <c r="T92" s="128"/>
      <c r="U92" s="128"/>
      <c r="V92" s="128"/>
      <c r="W92" s="128"/>
      <c r="X92" s="128"/>
      <c r="Y92" s="128"/>
      <c r="Z92" s="128"/>
      <c r="AA92" s="128"/>
      <c r="AB92" s="128"/>
      <c r="AC92" s="435"/>
      <c r="AD92" s="128"/>
      <c r="AE92" s="128"/>
      <c r="AF92" s="128"/>
      <c r="AG92" s="128"/>
      <c r="AH92" s="128"/>
      <c r="AI92" s="128"/>
      <c r="AJ92" s="128"/>
      <c r="AK92" s="72" t="s">
        <v>387</v>
      </c>
      <c r="AL92" s="533">
        <f>'2a. Patients - incident'!E167</f>
        <v>0</v>
      </c>
      <c r="AM92" s="533">
        <f>'2a. Patients - incident'!F167</f>
        <v>0</v>
      </c>
      <c r="AN92" s="533">
        <f>'2a. Patients - incident'!G167</f>
        <v>0</v>
      </c>
      <c r="AO92" s="533">
        <f>'2a. Patients - incident'!H167</f>
        <v>0</v>
      </c>
      <c r="AP92" s="533">
        <f>'2a. Patients - incident'!I167</f>
        <v>0</v>
      </c>
      <c r="AQ92" s="533">
        <f>'2a. Patients - incident'!J167</f>
        <v>0</v>
      </c>
      <c r="AR92" s="534" t="str">
        <f t="shared" si="9"/>
        <v/>
      </c>
      <c r="AT92" s="72" t="s">
        <v>1216</v>
      </c>
      <c r="AU92" s="533">
        <f ca="1">'2d. Patients - DTG'!N107</f>
        <v>0</v>
      </c>
      <c r="AV92" s="533">
        <f ca="1">'2d. Patients - DTG'!O107</f>
        <v>0</v>
      </c>
      <c r="AW92" s="533">
        <f ca="1">'2d. Patients - DTG'!P107</f>
        <v>0</v>
      </c>
      <c r="AX92" s="533">
        <f ca="1">'2d. Patients - DTG'!Q107</f>
        <v>0</v>
      </c>
      <c r="AY92" s="533">
        <f ca="1">'2d. Patients - DTG'!R107</f>
        <v>0</v>
      </c>
      <c r="AZ92" s="533">
        <f ca="1">'2d. Patients - DTG'!S107</f>
        <v>0</v>
      </c>
      <c r="BA92" s="533">
        <f t="shared" si="11"/>
        <v>0</v>
      </c>
      <c r="BB92" s="533">
        <f t="shared" ca="1" si="11"/>
        <v>0</v>
      </c>
      <c r="BC92" s="534">
        <f t="shared" ca="1" si="10"/>
        <v>0</v>
      </c>
    </row>
    <row r="93" spans="1:55" x14ac:dyDescent="0.2">
      <c r="A93" s="128"/>
      <c r="E93" s="275"/>
      <c r="F93" s="275"/>
      <c r="K93" s="128"/>
      <c r="L93" s="270"/>
      <c r="M93" s="270"/>
      <c r="N93" s="270"/>
      <c r="O93" s="270"/>
      <c r="P93" s="128"/>
      <c r="Q93" s="128"/>
      <c r="R93" s="270"/>
      <c r="S93" s="128"/>
      <c r="T93" s="128"/>
      <c r="U93" s="128"/>
      <c r="V93" s="128"/>
      <c r="W93" s="128"/>
      <c r="X93" s="128"/>
      <c r="Y93" s="128"/>
      <c r="Z93" s="128"/>
      <c r="AA93" s="128"/>
      <c r="AB93" s="128"/>
      <c r="AC93" s="435"/>
      <c r="AD93" s="128"/>
      <c r="AE93" s="128"/>
      <c r="AF93" s="128"/>
      <c r="AG93" s="128"/>
      <c r="AH93" s="128"/>
      <c r="AI93" s="128"/>
      <c r="AJ93" s="128"/>
      <c r="AK93" s="72" t="s">
        <v>388</v>
      </c>
      <c r="AL93" s="533">
        <f>'2a. Patients - incident'!E205</f>
        <v>0</v>
      </c>
      <c r="AM93" s="533">
        <f>'2a. Patients - incident'!F205</f>
        <v>0</v>
      </c>
      <c r="AN93" s="533">
        <f>'2a. Patients - incident'!G205</f>
        <v>0</v>
      </c>
      <c r="AO93" s="533">
        <f>'2a. Patients - incident'!H205</f>
        <v>0</v>
      </c>
      <c r="AP93" s="533">
        <f>'2a. Patients - incident'!I205</f>
        <v>0</v>
      </c>
      <c r="AQ93" s="533">
        <f>'2a. Patients - incident'!J205</f>
        <v>0</v>
      </c>
      <c r="AR93" s="534" t="str">
        <f t="shared" si="9"/>
        <v/>
      </c>
      <c r="AT93" s="72" t="s">
        <v>1217</v>
      </c>
      <c r="AU93" s="533">
        <f ca="1">'2d. Patients - DTG'!N129</f>
        <v>0</v>
      </c>
      <c r="AV93" s="533">
        <f ca="1">'2d. Patients - DTG'!O129</f>
        <v>0</v>
      </c>
      <c r="AW93" s="533">
        <f ca="1">'2d. Patients - DTG'!P129</f>
        <v>0</v>
      </c>
      <c r="AX93" s="533">
        <f ca="1">'2d. Patients - DTG'!Q129</f>
        <v>0</v>
      </c>
      <c r="AY93" s="533">
        <f ca="1">'2d. Patients - DTG'!R129</f>
        <v>0</v>
      </c>
      <c r="AZ93" s="533">
        <f ca="1">'2d. Patients - DTG'!S129</f>
        <v>0</v>
      </c>
      <c r="BA93" s="533">
        <f t="shared" si="11"/>
        <v>0</v>
      </c>
      <c r="BB93" s="533">
        <f t="shared" ca="1" si="11"/>
        <v>0</v>
      </c>
      <c r="BC93" s="534">
        <f t="shared" ca="1" si="10"/>
        <v>0</v>
      </c>
    </row>
    <row r="94" spans="1:55" x14ac:dyDescent="0.2">
      <c r="A94" s="128"/>
      <c r="B94" s="128"/>
      <c r="C94" s="128"/>
      <c r="D94" s="128"/>
      <c r="E94" s="128"/>
      <c r="F94" s="128"/>
      <c r="G94" s="128"/>
      <c r="H94" s="128"/>
      <c r="I94" s="128"/>
      <c r="K94" s="128"/>
      <c r="L94" s="270"/>
      <c r="M94" s="270"/>
      <c r="N94" s="270"/>
      <c r="O94" s="270"/>
      <c r="P94" s="128"/>
      <c r="Q94" s="128"/>
      <c r="R94" s="270"/>
      <c r="S94" s="128"/>
      <c r="T94" s="128"/>
      <c r="U94" s="128"/>
      <c r="V94" s="128"/>
      <c r="W94" s="128"/>
      <c r="X94" s="128"/>
      <c r="Y94" s="128"/>
      <c r="Z94" s="128"/>
      <c r="AA94" s="128"/>
      <c r="AB94" s="128"/>
      <c r="AC94" s="435"/>
      <c r="AD94" s="128"/>
      <c r="AE94" s="128"/>
      <c r="AF94" s="128"/>
      <c r="AG94" s="128"/>
      <c r="AH94" s="128"/>
      <c r="AI94" s="128"/>
      <c r="AJ94" s="128"/>
      <c r="AK94" s="72" t="s">
        <v>389</v>
      </c>
      <c r="AL94" s="533">
        <f>'2a. Patients - incident'!E243</f>
        <v>0</v>
      </c>
      <c r="AM94" s="533">
        <f>'2a. Patients - incident'!F243</f>
        <v>0</v>
      </c>
      <c r="AN94" s="533">
        <f>'2a. Patients - incident'!G243</f>
        <v>0</v>
      </c>
      <c r="AO94" s="533">
        <f>'2a. Patients - incident'!H243</f>
        <v>0</v>
      </c>
      <c r="AP94" s="533">
        <f>'2a. Patients - incident'!I243</f>
        <v>0</v>
      </c>
      <c r="AQ94" s="533">
        <f>'2a. Patients - incident'!J243</f>
        <v>0</v>
      </c>
      <c r="AR94" s="534" t="str">
        <f t="shared" si="9"/>
        <v/>
      </c>
      <c r="AT94" s="72" t="s">
        <v>1218</v>
      </c>
      <c r="AU94" s="533">
        <f ca="1">'2d. Patients - DTG'!N151</f>
        <v>0</v>
      </c>
      <c r="AV94" s="533">
        <f ca="1">'2d. Patients - DTG'!O151</f>
        <v>0</v>
      </c>
      <c r="AW94" s="533">
        <f ca="1">'2d. Patients - DTG'!P151</f>
        <v>0</v>
      </c>
      <c r="AX94" s="533">
        <f ca="1">'2d. Patients - DTG'!Q151</f>
        <v>0</v>
      </c>
      <c r="AY94" s="533">
        <f ca="1">'2d. Patients - DTG'!R151</f>
        <v>0</v>
      </c>
      <c r="AZ94" s="533">
        <f ca="1">'2d. Patients - DTG'!S151</f>
        <v>0</v>
      </c>
      <c r="BA94" s="533">
        <f t="shared" si="11"/>
        <v>0</v>
      </c>
      <c r="BB94" s="533">
        <f t="shared" ca="1" si="11"/>
        <v>0</v>
      </c>
      <c r="BC94" s="534">
        <f t="shared" ca="1" si="10"/>
        <v>0</v>
      </c>
    </row>
    <row r="95" spans="1:55" x14ac:dyDescent="0.2">
      <c r="A95" s="128"/>
      <c r="B95" s="128"/>
      <c r="C95" s="128"/>
      <c r="D95" s="128"/>
      <c r="E95" s="128"/>
      <c r="F95" s="128"/>
      <c r="G95" s="128"/>
      <c r="H95" s="128"/>
      <c r="I95" s="128"/>
      <c r="J95" s="128"/>
      <c r="K95" s="128"/>
      <c r="L95" s="270"/>
      <c r="M95" s="270"/>
      <c r="N95" s="270"/>
      <c r="O95" s="270"/>
      <c r="P95" s="128"/>
      <c r="Q95" s="128"/>
      <c r="R95" s="270"/>
      <c r="S95" s="128"/>
      <c r="T95" s="128"/>
      <c r="U95" s="128"/>
      <c r="V95" s="128"/>
      <c r="W95" s="128"/>
      <c r="X95" s="128"/>
      <c r="Y95" s="128"/>
      <c r="Z95" s="128"/>
      <c r="AA95" s="128"/>
      <c r="AB95" s="128"/>
      <c r="AC95" s="435"/>
      <c r="AD95" s="128"/>
      <c r="AE95" s="128"/>
      <c r="AF95" s="128"/>
      <c r="AG95" s="128"/>
      <c r="AH95" s="128"/>
      <c r="AI95" s="128"/>
      <c r="AJ95" s="128"/>
      <c r="AK95" s="72" t="s">
        <v>390</v>
      </c>
      <c r="AL95" s="533">
        <f>'2a. Patients - incident'!E281</f>
        <v>0</v>
      </c>
      <c r="AM95" s="533">
        <f>'2a. Patients - incident'!F281</f>
        <v>0</v>
      </c>
      <c r="AN95" s="533">
        <f>'2a. Patients - incident'!G281</f>
        <v>0</v>
      </c>
      <c r="AO95" s="533">
        <f>'2a. Patients - incident'!H281</f>
        <v>0</v>
      </c>
      <c r="AP95" s="533">
        <f>'2a. Patients - incident'!I281</f>
        <v>0</v>
      </c>
      <c r="AQ95" s="533">
        <f>'2a. Patients - incident'!J281</f>
        <v>0</v>
      </c>
      <c r="AR95" s="534" t="str">
        <f t="shared" si="9"/>
        <v/>
      </c>
      <c r="AT95" s="72" t="s">
        <v>1219</v>
      </c>
      <c r="AU95" s="533">
        <f ca="1">'2d. Patients - DTG'!N173</f>
        <v>0</v>
      </c>
      <c r="AV95" s="533">
        <f ca="1">'2d. Patients - DTG'!O173</f>
        <v>0</v>
      </c>
      <c r="AW95" s="533">
        <f ca="1">'2d. Patients - DTG'!P173</f>
        <v>0</v>
      </c>
      <c r="AX95" s="533">
        <f ca="1">'2d. Patients - DTG'!Q173</f>
        <v>0</v>
      </c>
      <c r="AY95" s="533">
        <f ca="1">'2d. Patients - DTG'!R173</f>
        <v>0</v>
      </c>
      <c r="AZ95" s="533">
        <f ca="1">'2d. Patients - DTG'!S173</f>
        <v>0</v>
      </c>
      <c r="BA95" s="533">
        <f t="shared" si="11"/>
        <v>0</v>
      </c>
      <c r="BB95" s="533">
        <f t="shared" ca="1" si="11"/>
        <v>0</v>
      </c>
      <c r="BC95" s="534">
        <f t="shared" ca="1" si="10"/>
        <v>0</v>
      </c>
    </row>
    <row r="96" spans="1:55" x14ac:dyDescent="0.2">
      <c r="A96" s="128"/>
      <c r="B96" s="128"/>
      <c r="C96" s="128"/>
      <c r="D96" s="128"/>
      <c r="E96" s="128"/>
      <c r="F96" s="128"/>
      <c r="G96" s="128"/>
      <c r="H96" s="128"/>
      <c r="I96" s="128"/>
      <c r="J96" s="128"/>
      <c r="K96" s="128"/>
      <c r="L96" s="270"/>
      <c r="M96" s="270"/>
      <c r="N96" s="270"/>
      <c r="O96" s="270"/>
      <c r="P96" s="128"/>
      <c r="Q96" s="128"/>
      <c r="R96" s="270"/>
      <c r="S96" s="128"/>
      <c r="T96" s="128"/>
      <c r="U96" s="128"/>
      <c r="V96" s="128"/>
      <c r="W96" s="128"/>
      <c r="X96" s="128"/>
      <c r="Y96" s="128"/>
      <c r="Z96" s="128"/>
      <c r="AA96" s="128"/>
      <c r="AB96" s="128"/>
      <c r="AC96" s="435"/>
      <c r="AD96" s="128"/>
      <c r="AE96" s="128"/>
      <c r="AF96" s="128"/>
      <c r="AG96" s="128"/>
      <c r="AH96" s="128"/>
      <c r="AI96" s="128"/>
      <c r="AJ96" s="128"/>
      <c r="AK96" s="72" t="s">
        <v>391</v>
      </c>
      <c r="AL96" s="533">
        <f>'2a. Patients - incident'!E319</f>
        <v>0</v>
      </c>
      <c r="AM96" s="533">
        <f>'2a. Patients - incident'!F319</f>
        <v>0</v>
      </c>
      <c r="AN96" s="533">
        <f>'2a. Patients - incident'!G319</f>
        <v>0</v>
      </c>
      <c r="AO96" s="533">
        <f>'2a. Patients - incident'!H319</f>
        <v>0</v>
      </c>
      <c r="AP96" s="533">
        <f>'2a. Patients - incident'!I319</f>
        <v>0</v>
      </c>
      <c r="AQ96" s="533">
        <f>'2a. Patients - incident'!J319</f>
        <v>0</v>
      </c>
      <c r="AR96" s="534" t="str">
        <f t="shared" si="9"/>
        <v/>
      </c>
      <c r="AT96" s="72" t="s">
        <v>1220</v>
      </c>
      <c r="AU96" s="533">
        <f ca="1">'2d. Patients - DTG'!N195</f>
        <v>0</v>
      </c>
      <c r="AV96" s="533">
        <f ca="1">'2d. Patients - DTG'!O195</f>
        <v>0</v>
      </c>
      <c r="AW96" s="533">
        <f ca="1">'2d. Patients - DTG'!P195</f>
        <v>0</v>
      </c>
      <c r="AX96" s="533">
        <f ca="1">'2d. Patients - DTG'!Q195</f>
        <v>0</v>
      </c>
      <c r="AY96" s="533">
        <f ca="1">'2d. Patients - DTG'!R195</f>
        <v>0</v>
      </c>
      <c r="AZ96" s="533">
        <f ca="1">'2d. Patients - DTG'!S195</f>
        <v>0</v>
      </c>
      <c r="BA96" s="533">
        <f t="shared" si="11"/>
        <v>0</v>
      </c>
      <c r="BB96" s="533">
        <f t="shared" ca="1" si="11"/>
        <v>0</v>
      </c>
      <c r="BC96" s="534">
        <f t="shared" ca="1" si="10"/>
        <v>0</v>
      </c>
    </row>
    <row r="97" spans="1:55" x14ac:dyDescent="0.2">
      <c r="A97" s="128"/>
      <c r="B97" s="128"/>
      <c r="C97" s="128"/>
      <c r="D97" s="128"/>
      <c r="E97" s="128"/>
      <c r="F97" s="128"/>
      <c r="G97" s="128"/>
      <c r="H97" s="128"/>
      <c r="I97" s="128"/>
      <c r="J97" s="128"/>
      <c r="K97" s="128"/>
      <c r="L97" s="270"/>
      <c r="M97" s="270"/>
      <c r="N97" s="270"/>
      <c r="O97" s="270"/>
      <c r="P97" s="128"/>
      <c r="Q97" s="128"/>
      <c r="R97" s="270"/>
      <c r="S97" s="128"/>
      <c r="T97" s="128"/>
      <c r="U97" s="128"/>
      <c r="V97" s="128"/>
      <c r="W97" s="128"/>
      <c r="X97" s="128"/>
      <c r="Y97" s="128"/>
      <c r="Z97" s="128"/>
      <c r="AA97" s="128"/>
      <c r="AB97" s="128"/>
      <c r="AC97" s="435"/>
      <c r="AD97" s="128"/>
      <c r="AE97" s="128"/>
      <c r="AF97" s="128"/>
      <c r="AG97" s="128"/>
      <c r="AH97" s="128"/>
      <c r="AI97" s="128"/>
      <c r="AJ97" s="128"/>
      <c r="AK97" s="72" t="s">
        <v>392</v>
      </c>
      <c r="AL97" s="533">
        <f>'2a. Patients - incident'!E357</f>
        <v>0</v>
      </c>
      <c r="AM97" s="533">
        <f>'2a. Patients - incident'!F357</f>
        <v>0</v>
      </c>
      <c r="AN97" s="533">
        <f>'2a. Patients - incident'!G357</f>
        <v>0</v>
      </c>
      <c r="AO97" s="533">
        <f>'2a. Patients - incident'!H357</f>
        <v>0</v>
      </c>
      <c r="AP97" s="533">
        <f>'2a. Patients - incident'!I357</f>
        <v>0</v>
      </c>
      <c r="AQ97" s="533">
        <f>'2a. Patients - incident'!J357</f>
        <v>0</v>
      </c>
      <c r="AR97" s="534" t="str">
        <f t="shared" si="9"/>
        <v/>
      </c>
      <c r="AT97" s="72" t="s">
        <v>1221</v>
      </c>
      <c r="AU97" s="533">
        <f ca="1">'2d. Patients - DTG'!N217</f>
        <v>0</v>
      </c>
      <c r="AV97" s="533">
        <f ca="1">'2d. Patients - DTG'!O217</f>
        <v>0</v>
      </c>
      <c r="AW97" s="533">
        <f ca="1">'2d. Patients - DTG'!P217</f>
        <v>0</v>
      </c>
      <c r="AX97" s="533">
        <f ca="1">'2d. Patients - DTG'!Q217</f>
        <v>0</v>
      </c>
      <c r="AY97" s="533">
        <f ca="1">'2d. Patients - DTG'!R217</f>
        <v>0</v>
      </c>
      <c r="AZ97" s="533">
        <f ca="1">'2d. Patients - DTG'!S217</f>
        <v>0</v>
      </c>
      <c r="BA97" s="533">
        <f t="shared" si="11"/>
        <v>0</v>
      </c>
      <c r="BB97" s="533">
        <f t="shared" ca="1" si="11"/>
        <v>0</v>
      </c>
      <c r="BC97" s="534">
        <f t="shared" ca="1" si="10"/>
        <v>0</v>
      </c>
    </row>
    <row r="98" spans="1:55" x14ac:dyDescent="0.2">
      <c r="A98" s="128"/>
      <c r="B98" s="128"/>
      <c r="C98" s="128"/>
      <c r="D98" s="128"/>
      <c r="E98" s="128"/>
      <c r="F98" s="128"/>
      <c r="G98" s="128"/>
      <c r="H98" s="128"/>
      <c r="I98" s="128"/>
      <c r="J98" s="128"/>
      <c r="K98" s="128"/>
      <c r="L98" s="270"/>
      <c r="M98" s="270"/>
      <c r="N98" s="270"/>
      <c r="O98" s="270"/>
      <c r="P98" s="128"/>
      <c r="Q98" s="128"/>
      <c r="R98" s="270"/>
      <c r="S98" s="128"/>
      <c r="T98" s="128"/>
      <c r="U98" s="128"/>
      <c r="V98" s="128"/>
      <c r="W98" s="128"/>
      <c r="X98" s="128"/>
      <c r="Y98" s="128"/>
      <c r="Z98" s="128"/>
      <c r="AA98" s="128"/>
      <c r="AB98" s="128"/>
      <c r="AC98" s="435"/>
      <c r="AD98" s="128"/>
      <c r="AE98" s="128"/>
      <c r="AF98" s="128"/>
      <c r="AG98" s="128"/>
      <c r="AH98" s="128"/>
      <c r="AI98" s="128"/>
      <c r="AJ98" s="128"/>
      <c r="AK98" s="72" t="s">
        <v>393</v>
      </c>
      <c r="AL98" s="533">
        <f>'2a. Patients - incident'!E395</f>
        <v>0</v>
      </c>
      <c r="AM98" s="533">
        <f>'2a. Patients - incident'!F395</f>
        <v>0</v>
      </c>
      <c r="AN98" s="533">
        <f>'2a. Patients - incident'!G395</f>
        <v>0</v>
      </c>
      <c r="AO98" s="533">
        <f>'2a. Patients - incident'!H395</f>
        <v>0</v>
      </c>
      <c r="AP98" s="533">
        <f>'2a. Patients - incident'!I395</f>
        <v>0</v>
      </c>
      <c r="AQ98" s="533">
        <f>'2a. Patients - incident'!J395</f>
        <v>0</v>
      </c>
      <c r="AR98" s="534" t="str">
        <f t="shared" si="9"/>
        <v/>
      </c>
      <c r="AT98" s="72" t="s">
        <v>1222</v>
      </c>
      <c r="AU98" s="533">
        <f ca="1">'2d. Patients - DTG'!N239</f>
        <v>0</v>
      </c>
      <c r="AV98" s="533">
        <f ca="1">'2d. Patients - DTG'!O239</f>
        <v>0</v>
      </c>
      <c r="AW98" s="533">
        <f ca="1">'2d. Patients - DTG'!P239</f>
        <v>0</v>
      </c>
      <c r="AX98" s="533">
        <f ca="1">'2d. Patients - DTG'!Q239</f>
        <v>0</v>
      </c>
      <c r="AY98" s="533">
        <f ca="1">'2d. Patients - DTG'!R239</f>
        <v>0</v>
      </c>
      <c r="AZ98" s="533">
        <f ca="1">'2d. Patients - DTG'!S239</f>
        <v>0</v>
      </c>
      <c r="BA98" s="533">
        <f t="shared" si="11"/>
        <v>0</v>
      </c>
      <c r="BB98" s="533">
        <f t="shared" ca="1" si="11"/>
        <v>0</v>
      </c>
      <c r="BC98" s="534">
        <f t="shared" ca="1" si="10"/>
        <v>0</v>
      </c>
    </row>
    <row r="99" spans="1:55" x14ac:dyDescent="0.2">
      <c r="A99" s="128"/>
      <c r="B99" s="128"/>
      <c r="C99" s="128"/>
      <c r="D99" s="128"/>
      <c r="E99" s="128"/>
      <c r="F99" s="128"/>
      <c r="G99" s="128"/>
      <c r="H99" s="128"/>
      <c r="I99" s="128"/>
      <c r="J99" s="128"/>
      <c r="K99" s="128"/>
      <c r="L99" s="270"/>
      <c r="M99" s="270"/>
      <c r="N99" s="270"/>
      <c r="O99" s="270"/>
      <c r="P99" s="128"/>
      <c r="Q99" s="128"/>
      <c r="R99" s="270"/>
      <c r="S99" s="128"/>
      <c r="T99" s="128"/>
      <c r="U99" s="128"/>
      <c r="V99" s="128"/>
      <c r="W99" s="128"/>
      <c r="X99" s="128"/>
      <c r="Y99" s="128"/>
      <c r="Z99" s="128"/>
      <c r="AA99" s="128"/>
      <c r="AB99" s="128"/>
      <c r="AC99" s="435"/>
      <c r="AD99" s="128"/>
      <c r="AE99" s="128"/>
      <c r="AF99" s="128"/>
      <c r="AG99" s="128"/>
      <c r="AH99" s="128"/>
      <c r="AI99" s="128"/>
      <c r="AJ99" s="128"/>
      <c r="AK99" s="72" t="s">
        <v>394</v>
      </c>
      <c r="AL99" s="533">
        <f>'2b. Patients - prevalent'!E53</f>
        <v>0</v>
      </c>
      <c r="AM99" s="533">
        <f>'2b. Patients - prevalent'!F53</f>
        <v>0</v>
      </c>
      <c r="AN99" s="533">
        <f>'2b. Patients - prevalent'!G53</f>
        <v>0</v>
      </c>
      <c r="AO99" s="533">
        <f>'2b. Patients - prevalent'!H53</f>
        <v>0</v>
      </c>
      <c r="AP99" s="533">
        <f>'2b. Patients - prevalent'!I53</f>
        <v>0</v>
      </c>
      <c r="AQ99" s="533">
        <f>'2b. Patients - prevalent'!J53</f>
        <v>0</v>
      </c>
      <c r="AR99" s="534" t="str">
        <f t="shared" si="9"/>
        <v/>
      </c>
      <c r="AT99" s="72" t="s">
        <v>1223</v>
      </c>
      <c r="AU99" s="533">
        <f ca="1">'2d. Patients - DTG'!N261</f>
        <v>0</v>
      </c>
      <c r="AV99" s="533">
        <f ca="1">'2d. Patients - DTG'!O261</f>
        <v>0</v>
      </c>
      <c r="AW99" s="533">
        <f ca="1">'2d. Patients - DTG'!P261</f>
        <v>0</v>
      </c>
      <c r="AX99" s="533">
        <f ca="1">'2d. Patients - DTG'!Q261</f>
        <v>0</v>
      </c>
      <c r="AY99" s="533">
        <f ca="1">'2d. Patients - DTG'!R261</f>
        <v>0</v>
      </c>
      <c r="AZ99" s="533">
        <f ca="1">'2d. Patients - DTG'!S261</f>
        <v>0</v>
      </c>
      <c r="BA99" s="533">
        <f t="shared" si="11"/>
        <v>0</v>
      </c>
      <c r="BB99" s="533">
        <f t="shared" ca="1" si="11"/>
        <v>0</v>
      </c>
      <c r="BC99" s="534">
        <f t="shared" ca="1" si="10"/>
        <v>0</v>
      </c>
    </row>
    <row r="100" spans="1:55" x14ac:dyDescent="0.2">
      <c r="A100" s="128"/>
      <c r="B100" s="128"/>
      <c r="C100" s="128"/>
      <c r="D100" s="128"/>
      <c r="E100" s="128"/>
      <c r="F100" s="128"/>
      <c r="G100" s="128"/>
      <c r="H100" s="128"/>
      <c r="I100" s="128"/>
      <c r="J100" s="128"/>
      <c r="K100" s="128"/>
      <c r="L100" s="270"/>
      <c r="M100" s="270"/>
      <c r="N100" s="270"/>
      <c r="O100" s="270"/>
      <c r="P100" s="128"/>
      <c r="Q100" s="128"/>
      <c r="R100" s="270"/>
      <c r="S100" s="128"/>
      <c r="T100" s="128"/>
      <c r="U100" s="128"/>
      <c r="V100" s="128"/>
      <c r="W100" s="128"/>
      <c r="X100" s="128"/>
      <c r="Y100" s="128"/>
      <c r="Z100" s="128"/>
      <c r="AA100" s="128"/>
      <c r="AB100" s="128"/>
      <c r="AC100" s="435"/>
      <c r="AD100" s="128"/>
      <c r="AE100" s="128"/>
      <c r="AF100" s="128"/>
      <c r="AG100" s="128"/>
      <c r="AH100" s="128"/>
      <c r="AI100" s="128"/>
      <c r="AJ100" s="128"/>
      <c r="AK100" s="72" t="s">
        <v>395</v>
      </c>
      <c r="AL100" s="533">
        <f>'2b. Patients - prevalent'!E91</f>
        <v>0</v>
      </c>
      <c r="AM100" s="533">
        <f>'2b. Patients - prevalent'!F91</f>
        <v>0</v>
      </c>
      <c r="AN100" s="533">
        <f>'2b. Patients - prevalent'!G91</f>
        <v>0</v>
      </c>
      <c r="AO100" s="533">
        <f>'2b. Patients - prevalent'!H91</f>
        <v>0</v>
      </c>
      <c r="AP100" s="533">
        <f>'2b. Patients - prevalent'!I91</f>
        <v>0</v>
      </c>
      <c r="AQ100" s="533">
        <f>'2b. Patients - prevalent'!J91</f>
        <v>0</v>
      </c>
      <c r="AR100" s="534" t="str">
        <f t="shared" si="9"/>
        <v/>
      </c>
      <c r="AT100" s="72" t="s">
        <v>1224</v>
      </c>
      <c r="AU100" s="533">
        <f ca="1">'2d. Patients - DTG'!N283</f>
        <v>0</v>
      </c>
      <c r="AV100" s="533">
        <f ca="1">'2d. Patients - DTG'!O283</f>
        <v>0</v>
      </c>
      <c r="AW100" s="533">
        <f ca="1">'2d. Patients - DTG'!P283</f>
        <v>0</v>
      </c>
      <c r="AX100" s="533">
        <f ca="1">'2d. Patients - DTG'!Q283</f>
        <v>0</v>
      </c>
      <c r="AY100" s="533">
        <f ca="1">'2d. Patients - DTG'!R283</f>
        <v>0</v>
      </c>
      <c r="AZ100" s="533">
        <f ca="1">'2d. Patients - DTG'!S283</f>
        <v>0</v>
      </c>
      <c r="BA100" s="533">
        <f t="shared" si="11"/>
        <v>0</v>
      </c>
      <c r="BB100" s="533">
        <f t="shared" ca="1" si="11"/>
        <v>0</v>
      </c>
      <c r="BC100" s="534">
        <f t="shared" ca="1" si="10"/>
        <v>0</v>
      </c>
    </row>
    <row r="101" spans="1:55" x14ac:dyDescent="0.2">
      <c r="A101" s="128"/>
      <c r="B101" s="923" t="s">
        <v>1107</v>
      </c>
      <c r="C101" s="923"/>
      <c r="D101" s="435"/>
      <c r="E101" s="923" t="s">
        <v>1044</v>
      </c>
      <c r="F101" s="923"/>
      <c r="G101" s="435"/>
      <c r="H101" s="435"/>
      <c r="I101" s="435"/>
      <c r="J101" s="435"/>
      <c r="K101" s="128"/>
      <c r="L101" s="270"/>
      <c r="M101" s="270"/>
      <c r="N101" s="270"/>
      <c r="O101" s="270"/>
      <c r="P101" s="128"/>
      <c r="Q101" s="128"/>
      <c r="R101" s="270"/>
      <c r="S101" s="128"/>
      <c r="T101" s="128"/>
      <c r="U101" s="128"/>
      <c r="V101" s="128"/>
      <c r="W101" s="128"/>
      <c r="X101" s="128"/>
      <c r="Y101" s="128"/>
      <c r="Z101" s="128"/>
      <c r="AA101" s="128"/>
      <c r="AB101" s="128"/>
      <c r="AC101" s="435"/>
      <c r="AD101" s="128"/>
      <c r="AE101" s="128"/>
      <c r="AF101" s="128"/>
      <c r="AG101" s="128"/>
      <c r="AH101" s="128"/>
      <c r="AI101" s="128"/>
      <c r="AJ101" s="128"/>
      <c r="AK101" s="72" t="s">
        <v>396</v>
      </c>
      <c r="AL101" s="533">
        <f>'2b. Patients - prevalent'!E129</f>
        <v>0</v>
      </c>
      <c r="AM101" s="533">
        <f>'2b. Patients - prevalent'!F129</f>
        <v>0</v>
      </c>
      <c r="AN101" s="533">
        <f>'2b. Patients - prevalent'!G129</f>
        <v>0</v>
      </c>
      <c r="AO101" s="533">
        <f>'2b. Patients - prevalent'!H129</f>
        <v>0</v>
      </c>
      <c r="AP101" s="533">
        <f>'2b. Patients - prevalent'!I129</f>
        <v>0</v>
      </c>
      <c r="AQ101" s="533">
        <f>'2b. Patients - prevalent'!J129</f>
        <v>0</v>
      </c>
      <c r="AR101" s="534" t="str">
        <f t="shared" si="9"/>
        <v/>
      </c>
      <c r="AT101" s="72" t="s">
        <v>1225</v>
      </c>
      <c r="AU101" s="533">
        <f ca="1">'2d. Patients - DTG'!N305</f>
        <v>0</v>
      </c>
      <c r="AV101" s="533">
        <f ca="1">'2d. Patients - DTG'!O305</f>
        <v>0</v>
      </c>
      <c r="AW101" s="533">
        <f ca="1">'2d. Patients - DTG'!P305</f>
        <v>0</v>
      </c>
      <c r="AX101" s="533">
        <f ca="1">'2d. Patients - DTG'!Q305</f>
        <v>0</v>
      </c>
      <c r="AY101" s="533">
        <f ca="1">'2d. Patients - DTG'!R305</f>
        <v>0</v>
      </c>
      <c r="AZ101" s="533">
        <f ca="1">'2d. Patients - DTG'!S305</f>
        <v>0</v>
      </c>
      <c r="BA101" s="533">
        <f t="shared" si="11"/>
        <v>0</v>
      </c>
      <c r="BB101" s="533">
        <f t="shared" ca="1" si="11"/>
        <v>0</v>
      </c>
      <c r="BC101" s="534">
        <f t="shared" ca="1" si="10"/>
        <v>0</v>
      </c>
    </row>
    <row r="102" spans="1:55" x14ac:dyDescent="0.2">
      <c r="A102" s="128"/>
      <c r="B102" s="275" t="s">
        <v>1108</v>
      </c>
      <c r="C102" s="275">
        <v>1</v>
      </c>
      <c r="D102" s="435"/>
      <c r="E102" s="275" t="s">
        <v>1045</v>
      </c>
      <c r="F102" s="275">
        <v>1</v>
      </c>
      <c r="G102" s="435"/>
      <c r="H102" s="435"/>
      <c r="I102" s="435"/>
      <c r="J102" s="435"/>
      <c r="K102" s="128"/>
      <c r="L102" s="270"/>
      <c r="M102" s="270"/>
      <c r="N102" s="270"/>
      <c r="O102" s="270"/>
      <c r="P102" s="128"/>
      <c r="Q102" s="128"/>
      <c r="R102" s="270"/>
      <c r="S102" s="128"/>
      <c r="T102" s="128"/>
      <c r="U102" s="128"/>
      <c r="V102" s="128"/>
      <c r="W102" s="128"/>
      <c r="X102" s="128"/>
      <c r="Y102" s="128"/>
      <c r="Z102" s="128"/>
      <c r="AA102" s="128"/>
      <c r="AB102" s="128"/>
      <c r="AC102" s="435"/>
      <c r="AD102" s="128"/>
      <c r="AE102" s="128"/>
      <c r="AF102" s="128"/>
      <c r="AG102" s="128"/>
      <c r="AH102" s="128"/>
      <c r="AI102" s="128"/>
      <c r="AJ102" s="128"/>
      <c r="AK102" s="72" t="s">
        <v>397</v>
      </c>
      <c r="AL102" s="533">
        <f>'2b. Patients - prevalent'!E167</f>
        <v>0</v>
      </c>
      <c r="AM102" s="533">
        <f>'2b. Patients - prevalent'!F167</f>
        <v>0</v>
      </c>
      <c r="AN102" s="533">
        <f>'2b. Patients - prevalent'!G167</f>
        <v>0</v>
      </c>
      <c r="AO102" s="533">
        <f>'2b. Patients - prevalent'!H167</f>
        <v>0</v>
      </c>
      <c r="AP102" s="533">
        <f>'2b. Patients - prevalent'!I167</f>
        <v>0</v>
      </c>
      <c r="AQ102" s="533">
        <f>'2b. Patients - prevalent'!J167</f>
        <v>0</v>
      </c>
      <c r="AR102" s="534" t="str">
        <f t="shared" si="9"/>
        <v/>
      </c>
      <c r="AT102" s="72" t="s">
        <v>1226</v>
      </c>
      <c r="AU102" s="533">
        <f ca="1">'2d. Patients - DTG'!N327</f>
        <v>0</v>
      </c>
      <c r="AV102" s="533">
        <f ca="1">'2d. Patients - DTG'!O327</f>
        <v>0</v>
      </c>
      <c r="AW102" s="533">
        <f ca="1">'2d. Patients - DTG'!P327</f>
        <v>0</v>
      </c>
      <c r="AX102" s="533">
        <f ca="1">'2d. Patients - DTG'!Q327</f>
        <v>0</v>
      </c>
      <c r="AY102" s="533">
        <f ca="1">'2d. Patients - DTG'!R327</f>
        <v>0</v>
      </c>
      <c r="AZ102" s="533">
        <f ca="1">'2d. Patients - DTG'!S327</f>
        <v>0</v>
      </c>
      <c r="BA102" s="533">
        <f t="shared" si="11"/>
        <v>0</v>
      </c>
      <c r="BB102" s="533">
        <f t="shared" ca="1" si="11"/>
        <v>0</v>
      </c>
      <c r="BC102" s="534">
        <f t="shared" ca="1" si="10"/>
        <v>0</v>
      </c>
    </row>
    <row r="103" spans="1:55" x14ac:dyDescent="0.2">
      <c r="A103" s="128"/>
      <c r="B103" s="275" t="s">
        <v>1109</v>
      </c>
      <c r="C103" s="275">
        <v>2</v>
      </c>
      <c r="D103" s="435"/>
      <c r="E103" s="275" t="s">
        <v>1046</v>
      </c>
      <c r="F103" s="275">
        <v>2</v>
      </c>
      <c r="G103" s="435"/>
      <c r="H103" s="435"/>
      <c r="I103" s="435"/>
      <c r="J103" s="435"/>
      <c r="K103" s="128"/>
      <c r="L103" s="270"/>
      <c r="M103" s="270"/>
      <c r="N103" s="270"/>
      <c r="O103" s="270"/>
      <c r="P103" s="128"/>
      <c r="Q103" s="128"/>
      <c r="R103" s="270"/>
      <c r="S103" s="128"/>
      <c r="T103" s="128"/>
      <c r="U103" s="128"/>
      <c r="V103" s="128"/>
      <c r="W103" s="128"/>
      <c r="X103" s="128"/>
      <c r="Y103" s="128"/>
      <c r="Z103" s="128"/>
      <c r="AA103" s="128"/>
      <c r="AB103" s="128"/>
      <c r="AC103" s="435"/>
      <c r="AD103" s="128"/>
      <c r="AE103" s="128"/>
      <c r="AF103" s="128"/>
      <c r="AG103" s="128"/>
      <c r="AH103" s="128"/>
      <c r="AI103" s="128"/>
      <c r="AJ103" s="128"/>
      <c r="AK103" s="72" t="s">
        <v>398</v>
      </c>
      <c r="AL103" s="533">
        <f>'2b. Patients - prevalent'!E205</f>
        <v>0</v>
      </c>
      <c r="AM103" s="533">
        <f>'2b. Patients - prevalent'!F205</f>
        <v>0</v>
      </c>
      <c r="AN103" s="533">
        <f>'2b. Patients - prevalent'!G205</f>
        <v>0</v>
      </c>
      <c r="AO103" s="533">
        <f>'2b. Patients - prevalent'!H205</f>
        <v>0</v>
      </c>
      <c r="AP103" s="533">
        <f>'2b. Patients - prevalent'!I205</f>
        <v>0</v>
      </c>
      <c r="AQ103" s="533">
        <f>'2b. Patients - prevalent'!J205</f>
        <v>0</v>
      </c>
      <c r="AR103" s="534" t="str">
        <f t="shared" si="9"/>
        <v/>
      </c>
      <c r="AT103" s="72" t="s">
        <v>1227</v>
      </c>
      <c r="AU103" s="533">
        <f ca="1">'2d. Patients - DTG'!N349</f>
        <v>0</v>
      </c>
      <c r="AV103" s="533">
        <f ca="1">'2d. Patients - DTG'!O349</f>
        <v>0</v>
      </c>
      <c r="AW103" s="533">
        <f ca="1">'2d. Patients - DTG'!P349</f>
        <v>0</v>
      </c>
      <c r="AX103" s="533">
        <f ca="1">'2d. Patients - DTG'!Q349</f>
        <v>0</v>
      </c>
      <c r="AY103" s="533">
        <f ca="1">'2d. Patients - DTG'!R349</f>
        <v>0</v>
      </c>
      <c r="AZ103" s="533">
        <f ca="1">'2d. Patients - DTG'!S349</f>
        <v>0</v>
      </c>
      <c r="BA103" s="533">
        <f t="shared" si="11"/>
        <v>0</v>
      </c>
      <c r="BB103" s="533">
        <f t="shared" ca="1" si="11"/>
        <v>0</v>
      </c>
      <c r="BC103" s="534">
        <f t="shared" ca="1" si="10"/>
        <v>0</v>
      </c>
    </row>
    <row r="104" spans="1:55" x14ac:dyDescent="0.2">
      <c r="A104" s="128"/>
      <c r="B104" s="275" t="s">
        <v>1110</v>
      </c>
      <c r="C104" s="275">
        <v>3</v>
      </c>
      <c r="D104" s="435"/>
      <c r="G104" s="435"/>
      <c r="H104" s="435"/>
      <c r="I104" s="435"/>
      <c r="J104" s="435"/>
      <c r="K104" s="128"/>
      <c r="L104" s="270"/>
      <c r="M104" s="270"/>
      <c r="N104" s="270"/>
      <c r="O104" s="270"/>
      <c r="P104" s="128"/>
      <c r="Q104" s="128"/>
      <c r="R104" s="270"/>
      <c r="S104" s="128"/>
      <c r="T104" s="128"/>
      <c r="U104" s="128"/>
      <c r="V104" s="128"/>
      <c r="W104" s="128"/>
      <c r="X104" s="128"/>
      <c r="Y104" s="128"/>
      <c r="Z104" s="128"/>
      <c r="AA104" s="128"/>
      <c r="AB104" s="128"/>
      <c r="AC104" s="435"/>
      <c r="AD104" s="128"/>
      <c r="AE104" s="128"/>
      <c r="AF104" s="128"/>
      <c r="AG104" s="128"/>
      <c r="AH104" s="128"/>
      <c r="AI104" s="128"/>
      <c r="AJ104" s="128"/>
      <c r="AK104" s="72" t="s">
        <v>399</v>
      </c>
      <c r="AL104" s="533">
        <f>'2b. Patients - prevalent'!E243</f>
        <v>0</v>
      </c>
      <c r="AM104" s="533">
        <f>'2b. Patients - prevalent'!F243</f>
        <v>0</v>
      </c>
      <c r="AN104" s="533">
        <f>'2b. Patients - prevalent'!G243</f>
        <v>0</v>
      </c>
      <c r="AO104" s="533">
        <f>'2b. Patients - prevalent'!H243</f>
        <v>0</v>
      </c>
      <c r="AP104" s="533">
        <f>'2b. Patients - prevalent'!I243</f>
        <v>0</v>
      </c>
      <c r="AQ104" s="533">
        <f>'2b. Patients - prevalent'!J243</f>
        <v>0</v>
      </c>
      <c r="AR104" s="534" t="str">
        <f t="shared" si="9"/>
        <v/>
      </c>
      <c r="AT104" s="72" t="s">
        <v>1228</v>
      </c>
      <c r="AU104" s="533">
        <f ca="1">'2d. Patients - DTG'!N371</f>
        <v>0</v>
      </c>
      <c r="AV104" s="533">
        <f ca="1">'2d. Patients - DTG'!O371</f>
        <v>0</v>
      </c>
      <c r="AW104" s="533">
        <f ca="1">'2d. Patients - DTG'!P371</f>
        <v>0</v>
      </c>
      <c r="AX104" s="533">
        <f ca="1">'2d. Patients - DTG'!Q371</f>
        <v>0</v>
      </c>
      <c r="AY104" s="533">
        <f ca="1">'2d. Patients - DTG'!R371</f>
        <v>0</v>
      </c>
      <c r="AZ104" s="533">
        <f ca="1">'2d. Patients - DTG'!S371</f>
        <v>0</v>
      </c>
      <c r="BA104" s="533">
        <f t="shared" si="11"/>
        <v>0</v>
      </c>
      <c r="BB104" s="533">
        <f t="shared" ca="1" si="11"/>
        <v>0</v>
      </c>
      <c r="BC104" s="534">
        <f t="shared" ca="1" si="10"/>
        <v>0</v>
      </c>
    </row>
    <row r="105" spans="1:55" x14ac:dyDescent="0.2">
      <c r="A105" s="128"/>
      <c r="B105" s="275" t="s">
        <v>1111</v>
      </c>
      <c r="C105" s="275">
        <v>4</v>
      </c>
      <c r="D105" s="435"/>
      <c r="G105" s="435"/>
      <c r="H105" s="435"/>
      <c r="I105" s="435"/>
      <c r="J105" s="435"/>
      <c r="K105" s="128"/>
      <c r="L105" s="270"/>
      <c r="M105" s="270"/>
      <c r="N105" s="270"/>
      <c r="O105" s="270"/>
      <c r="P105" s="128"/>
      <c r="Q105" s="128"/>
      <c r="R105" s="270"/>
      <c r="S105" s="128"/>
      <c r="T105" s="128"/>
      <c r="U105" s="128"/>
      <c r="V105" s="128"/>
      <c r="W105" s="128"/>
      <c r="X105" s="128"/>
      <c r="Y105" s="128"/>
      <c r="Z105" s="128"/>
      <c r="AA105" s="128"/>
      <c r="AB105" s="128"/>
      <c r="AC105" s="435"/>
      <c r="AD105" s="128"/>
      <c r="AE105" s="128"/>
      <c r="AF105" s="128"/>
      <c r="AG105" s="128"/>
      <c r="AH105" s="128"/>
      <c r="AI105" s="128"/>
      <c r="AJ105" s="128"/>
      <c r="AK105" s="72" t="s">
        <v>400</v>
      </c>
      <c r="AL105" s="533">
        <f>'2b. Patients - prevalent'!E281</f>
        <v>0</v>
      </c>
      <c r="AM105" s="533">
        <f>'2b. Patients - prevalent'!F281</f>
        <v>0</v>
      </c>
      <c r="AN105" s="533">
        <f>'2b. Patients - prevalent'!G281</f>
        <v>0</v>
      </c>
      <c r="AO105" s="533">
        <f>'2b. Patients - prevalent'!H281</f>
        <v>0</v>
      </c>
      <c r="AP105" s="533">
        <f>'2b. Patients - prevalent'!I281</f>
        <v>0</v>
      </c>
      <c r="AQ105" s="533">
        <f>'2b. Patients - prevalent'!J281</f>
        <v>0</v>
      </c>
      <c r="AR105" s="534" t="str">
        <f t="shared" si="9"/>
        <v/>
      </c>
      <c r="AT105" s="72" t="s">
        <v>1229</v>
      </c>
      <c r="AU105" s="533">
        <f ca="1">'2d. Patients - DTG'!N393</f>
        <v>0</v>
      </c>
      <c r="AV105" s="533">
        <f ca="1">'2d. Patients - DTG'!O393</f>
        <v>0</v>
      </c>
      <c r="AW105" s="533">
        <f ca="1">'2d. Patients - DTG'!P393</f>
        <v>0</v>
      </c>
      <c r="AX105" s="533">
        <f ca="1">'2d. Patients - DTG'!Q393</f>
        <v>0</v>
      </c>
      <c r="AY105" s="533">
        <f ca="1">'2d. Patients - DTG'!R393</f>
        <v>0</v>
      </c>
      <c r="AZ105" s="533">
        <f ca="1">'2d. Patients - DTG'!S393</f>
        <v>0</v>
      </c>
      <c r="BA105" s="533">
        <f t="shared" si="11"/>
        <v>0</v>
      </c>
      <c r="BB105" s="533">
        <f t="shared" ca="1" si="11"/>
        <v>0</v>
      </c>
      <c r="BC105" s="534">
        <f t="shared" ca="1" si="10"/>
        <v>0</v>
      </c>
    </row>
    <row r="106" spans="1:55" x14ac:dyDescent="0.2">
      <c r="A106" s="435"/>
      <c r="B106" s="435"/>
      <c r="C106" s="435"/>
      <c r="D106" s="435"/>
      <c r="E106" s="435"/>
      <c r="F106" s="435"/>
      <c r="G106" s="435"/>
      <c r="H106" s="435"/>
      <c r="I106" s="435"/>
      <c r="J106" s="435"/>
      <c r="K106" s="435"/>
      <c r="L106" s="435"/>
      <c r="M106" s="435"/>
      <c r="N106" s="435"/>
      <c r="O106" s="435"/>
      <c r="P106" s="435"/>
      <c r="Q106" s="435"/>
      <c r="R106" s="435"/>
      <c r="S106" s="435"/>
      <c r="T106" s="435"/>
      <c r="U106" s="435"/>
      <c r="V106" s="435"/>
      <c r="W106" s="435"/>
      <c r="X106" s="435"/>
      <c r="Y106" s="435"/>
      <c r="Z106" s="435"/>
      <c r="AA106" s="128"/>
      <c r="AB106" s="128"/>
      <c r="AC106" s="435"/>
      <c r="AD106" s="435"/>
      <c r="AE106" s="435"/>
      <c r="AF106" s="435"/>
      <c r="AG106" s="435"/>
      <c r="AH106" s="435"/>
      <c r="AI106" s="435"/>
      <c r="AJ106" s="435"/>
      <c r="AK106" s="72" t="s">
        <v>401</v>
      </c>
      <c r="AL106" s="533">
        <f>'2b. Patients - prevalent'!E319</f>
        <v>0</v>
      </c>
      <c r="AM106" s="533">
        <f>'2b. Patients - prevalent'!F319</f>
        <v>0</v>
      </c>
      <c r="AN106" s="533">
        <f>'2b. Patients - prevalent'!G319</f>
        <v>0</v>
      </c>
      <c r="AO106" s="533">
        <f>'2b. Patients - prevalent'!H319</f>
        <v>0</v>
      </c>
      <c r="AP106" s="533">
        <f>'2b. Patients - prevalent'!I319</f>
        <v>0</v>
      </c>
      <c r="AQ106" s="533">
        <f>'2b. Patients - prevalent'!J319</f>
        <v>0</v>
      </c>
      <c r="AR106" s="534" t="str">
        <f t="shared" si="9"/>
        <v/>
      </c>
      <c r="AT106" s="72" t="s">
        <v>1230</v>
      </c>
      <c r="AU106" s="533">
        <f ca="1">'2d. Patients - DTG'!N415</f>
        <v>0</v>
      </c>
      <c r="AV106" s="533">
        <f ca="1">'2d. Patients - DTG'!O415</f>
        <v>0</v>
      </c>
      <c r="AW106" s="533">
        <f ca="1">'2d. Patients - DTG'!P415</f>
        <v>0</v>
      </c>
      <c r="AX106" s="533">
        <f ca="1">'2d. Patients - DTG'!Q415</f>
        <v>0</v>
      </c>
      <c r="AY106" s="533">
        <f ca="1">'2d. Patients - DTG'!R415</f>
        <v>0</v>
      </c>
      <c r="AZ106" s="533">
        <f ca="1">'2d. Patients - DTG'!S415</f>
        <v>0</v>
      </c>
      <c r="BA106" s="533">
        <f t="shared" si="11"/>
        <v>0</v>
      </c>
      <c r="BB106" s="533">
        <f t="shared" ca="1" si="11"/>
        <v>0</v>
      </c>
      <c r="BC106" s="534">
        <f t="shared" ca="1" si="10"/>
        <v>0</v>
      </c>
    </row>
    <row r="107" spans="1:55" x14ac:dyDescent="0.2">
      <c r="A107" s="128"/>
      <c r="B107" s="435"/>
      <c r="C107" s="435"/>
      <c r="D107" s="435"/>
      <c r="E107" s="435"/>
      <c r="F107" s="435"/>
      <c r="G107" s="435"/>
      <c r="H107" s="435"/>
      <c r="I107" s="435"/>
      <c r="J107" s="435"/>
      <c r="K107" s="128"/>
      <c r="L107" s="270"/>
      <c r="M107" s="270"/>
      <c r="N107" s="270"/>
      <c r="O107" s="270"/>
      <c r="P107" s="128"/>
      <c r="Q107" s="128"/>
      <c r="R107" s="270"/>
      <c r="S107" s="128"/>
      <c r="T107" s="128"/>
      <c r="U107" s="128"/>
      <c r="V107" s="128"/>
      <c r="W107" s="128"/>
      <c r="X107" s="128"/>
      <c r="Y107" s="128"/>
      <c r="Z107" s="128"/>
      <c r="AA107" s="128"/>
      <c r="AB107" s="128"/>
      <c r="AC107" s="435"/>
      <c r="AD107" s="128"/>
      <c r="AE107" s="128"/>
      <c r="AF107" s="128"/>
      <c r="AG107" s="128"/>
      <c r="AH107" s="128"/>
      <c r="AI107" s="128"/>
      <c r="AJ107" s="128"/>
      <c r="AK107" s="72" t="s">
        <v>402</v>
      </c>
      <c r="AL107" s="533">
        <f>'2b. Patients - prevalent'!E357</f>
        <v>0</v>
      </c>
      <c r="AM107" s="533">
        <f>'2b. Patients - prevalent'!F357</f>
        <v>0</v>
      </c>
      <c r="AN107" s="533">
        <f>'2b. Patients - prevalent'!G357</f>
        <v>0</v>
      </c>
      <c r="AO107" s="533">
        <f>'2b. Patients - prevalent'!H357</f>
        <v>0</v>
      </c>
      <c r="AP107" s="533">
        <f>'2b. Patients - prevalent'!I357</f>
        <v>0</v>
      </c>
      <c r="AQ107" s="533">
        <f>'2b. Patients - prevalent'!J357</f>
        <v>0</v>
      </c>
      <c r="AR107" s="534" t="str">
        <f t="shared" si="9"/>
        <v/>
      </c>
      <c r="AT107" s="72" t="s">
        <v>1231</v>
      </c>
      <c r="AU107" s="533">
        <f ca="1">'2d. Patients - DTG'!N437</f>
        <v>0</v>
      </c>
      <c r="AV107" s="533">
        <f ca="1">'2d. Patients - DTG'!O437</f>
        <v>0</v>
      </c>
      <c r="AW107" s="533">
        <f ca="1">'2d. Patients - DTG'!P437</f>
        <v>0</v>
      </c>
      <c r="AX107" s="533">
        <f ca="1">'2d. Patients - DTG'!Q437</f>
        <v>0</v>
      </c>
      <c r="AY107" s="533">
        <f ca="1">'2d. Patients - DTG'!R437</f>
        <v>0</v>
      </c>
      <c r="AZ107" s="533">
        <f ca="1">'2d. Patients - DTG'!S437</f>
        <v>0</v>
      </c>
      <c r="BA107" s="533">
        <f t="shared" si="11"/>
        <v>0</v>
      </c>
      <c r="BB107" s="533">
        <f t="shared" ca="1" si="11"/>
        <v>0</v>
      </c>
      <c r="BC107" s="534">
        <f t="shared" ca="1" si="10"/>
        <v>0</v>
      </c>
    </row>
    <row r="108" spans="1:55" x14ac:dyDescent="0.2">
      <c r="A108" s="128"/>
      <c r="B108" s="435"/>
      <c r="C108" s="435"/>
      <c r="D108" s="435"/>
      <c r="E108" s="435"/>
      <c r="F108" s="435"/>
      <c r="G108" s="435"/>
      <c r="H108" s="435"/>
      <c r="I108" s="435"/>
      <c r="J108" s="435"/>
      <c r="K108" s="128"/>
      <c r="L108" s="270"/>
      <c r="M108" s="270"/>
      <c r="N108" s="270"/>
      <c r="O108" s="270"/>
      <c r="P108" s="128"/>
      <c r="Q108" s="128"/>
      <c r="R108" s="270"/>
      <c r="S108" s="128"/>
      <c r="T108" s="128"/>
      <c r="U108" s="128"/>
      <c r="V108" s="128"/>
      <c r="W108" s="128"/>
      <c r="X108" s="128"/>
      <c r="Y108" s="128"/>
      <c r="Z108" s="128"/>
      <c r="AA108" s="128"/>
      <c r="AB108" s="128"/>
      <c r="AC108" s="435"/>
      <c r="AD108" s="128"/>
      <c r="AE108" s="128"/>
      <c r="AF108" s="128"/>
      <c r="AG108" s="128"/>
      <c r="AH108" s="128"/>
      <c r="AI108" s="128"/>
      <c r="AJ108" s="128"/>
      <c r="AK108" s="72" t="s">
        <v>403</v>
      </c>
      <c r="AL108" s="533">
        <f>'2b. Patients - prevalent'!E395</f>
        <v>0</v>
      </c>
      <c r="AM108" s="533">
        <f>'2b. Patients - prevalent'!F395</f>
        <v>0</v>
      </c>
      <c r="AN108" s="533">
        <f>'2b. Patients - prevalent'!G395</f>
        <v>0</v>
      </c>
      <c r="AO108" s="533">
        <f>'2b. Patients - prevalent'!H395</f>
        <v>0</v>
      </c>
      <c r="AP108" s="533">
        <f>'2b. Patients - prevalent'!I395</f>
        <v>0</v>
      </c>
      <c r="AQ108" s="533">
        <f>'2b. Patients - prevalent'!J395</f>
        <v>0</v>
      </c>
      <c r="AR108" s="534" t="str">
        <f t="shared" si="9"/>
        <v/>
      </c>
      <c r="AT108" s="72" t="s">
        <v>1232</v>
      </c>
      <c r="AU108" s="533">
        <f ca="1">'2d. Patients - DTG'!N459</f>
        <v>0</v>
      </c>
      <c r="AV108" s="533">
        <f ca="1">'2d. Patients - DTG'!O459</f>
        <v>0</v>
      </c>
      <c r="AW108" s="533">
        <f ca="1">'2d. Patients - DTG'!P459</f>
        <v>0</v>
      </c>
      <c r="AX108" s="533">
        <f ca="1">'2d. Patients - DTG'!Q459</f>
        <v>0</v>
      </c>
      <c r="AY108" s="533">
        <f ca="1">'2d. Patients - DTG'!R459</f>
        <v>0</v>
      </c>
      <c r="AZ108" s="533">
        <f ca="1">'2d. Patients - DTG'!S459</f>
        <v>0</v>
      </c>
      <c r="BA108" s="533">
        <f t="shared" si="11"/>
        <v>0</v>
      </c>
      <c r="BB108" s="533">
        <f t="shared" ca="1" si="11"/>
        <v>0</v>
      </c>
      <c r="BC108" s="534">
        <f t="shared" ca="1" si="10"/>
        <v>0</v>
      </c>
    </row>
    <row r="109" spans="1:55" x14ac:dyDescent="0.2">
      <c r="A109" s="128"/>
      <c r="B109" s="435"/>
      <c r="C109" s="435"/>
      <c r="D109" s="435"/>
      <c r="E109" s="435"/>
      <c r="F109" s="435"/>
      <c r="G109" s="435"/>
      <c r="H109" s="435"/>
      <c r="I109" s="435"/>
      <c r="J109" s="435"/>
      <c r="K109" s="128"/>
      <c r="L109" s="270"/>
      <c r="M109" s="270"/>
      <c r="N109" s="270"/>
      <c r="O109" s="270"/>
      <c r="P109" s="128"/>
      <c r="Q109" s="128"/>
      <c r="R109" s="270"/>
      <c r="S109" s="128"/>
      <c r="T109" s="128"/>
      <c r="U109" s="128"/>
      <c r="V109" s="128"/>
      <c r="W109" s="128"/>
      <c r="X109" s="128"/>
      <c r="Y109" s="128"/>
      <c r="Z109" s="128"/>
      <c r="AA109" s="128"/>
      <c r="AB109" s="128"/>
      <c r="AC109" s="435"/>
      <c r="AD109" s="128"/>
      <c r="AE109" s="128"/>
      <c r="AF109" s="128"/>
      <c r="AG109" s="128"/>
      <c r="AH109" s="128"/>
      <c r="AI109" s="128"/>
      <c r="AJ109" s="128"/>
      <c r="AK109" s="72" t="s">
        <v>404</v>
      </c>
      <c r="AL109" s="533">
        <f>'2c. Patients - GF'!E44</f>
        <v>0</v>
      </c>
      <c r="AM109" s="533">
        <f>'2c. Patients - GF'!F44</f>
        <v>0</v>
      </c>
      <c r="AN109" s="533">
        <f>'2c. Patients - GF'!G44</f>
        <v>0</v>
      </c>
      <c r="AO109" s="533">
        <f>'2c. Patients - GF'!H44</f>
        <v>0</v>
      </c>
      <c r="AP109" s="533">
        <f>'2c. Patients - GF'!I44</f>
        <v>0</v>
      </c>
      <c r="AQ109" s="533">
        <f>'2c. Patients - GF'!J44</f>
        <v>0</v>
      </c>
      <c r="AR109" s="534" t="str">
        <f t="shared" si="9"/>
        <v/>
      </c>
      <c r="AT109" s="72" t="s">
        <v>1233</v>
      </c>
      <c r="AU109" s="533">
        <f ca="1">'2d. Patients - DTG'!N481</f>
        <v>0</v>
      </c>
      <c r="AV109" s="533">
        <f ca="1">'2d. Patients - DTG'!O481</f>
        <v>0</v>
      </c>
      <c r="AW109" s="533">
        <f ca="1">'2d. Patients - DTG'!P481</f>
        <v>0</v>
      </c>
      <c r="AX109" s="533">
        <f ca="1">'2d. Patients - DTG'!Q481</f>
        <v>0</v>
      </c>
      <c r="AY109" s="533">
        <f ca="1">'2d. Patients - DTG'!R481</f>
        <v>0</v>
      </c>
      <c r="AZ109" s="533">
        <f ca="1">'2d. Patients - DTG'!S481</f>
        <v>0</v>
      </c>
      <c r="BA109" s="533">
        <f t="shared" si="11"/>
        <v>0</v>
      </c>
      <c r="BB109" s="533">
        <f t="shared" ca="1" si="11"/>
        <v>0</v>
      </c>
      <c r="BC109" s="534">
        <f t="shared" ca="1" si="10"/>
        <v>0</v>
      </c>
    </row>
    <row r="110" spans="1:55" x14ac:dyDescent="0.2">
      <c r="A110" s="128"/>
      <c r="B110" s="435"/>
      <c r="C110" s="435"/>
      <c r="D110" s="435"/>
      <c r="E110" s="435"/>
      <c r="F110" s="435"/>
      <c r="G110" s="435"/>
      <c r="H110" s="435"/>
      <c r="I110" s="435"/>
      <c r="J110" s="435"/>
      <c r="K110" s="128"/>
      <c r="L110" s="270"/>
      <c r="M110" s="270"/>
      <c r="N110" s="270"/>
      <c r="O110" s="270"/>
      <c r="P110" s="128"/>
      <c r="Q110" s="128"/>
      <c r="R110" s="270"/>
      <c r="S110" s="128"/>
      <c r="T110" s="128"/>
      <c r="U110" s="128"/>
      <c r="V110" s="128"/>
      <c r="W110" s="128"/>
      <c r="X110" s="128"/>
      <c r="Y110" s="128"/>
      <c r="Z110" s="128"/>
      <c r="AA110" s="128"/>
      <c r="AB110" s="128"/>
      <c r="AC110" s="435"/>
      <c r="AD110" s="128"/>
      <c r="AE110" s="128"/>
      <c r="AF110" s="128"/>
      <c r="AG110" s="128"/>
      <c r="AH110" s="128"/>
      <c r="AI110" s="128"/>
      <c r="AJ110" s="128"/>
      <c r="AK110" s="72" t="s">
        <v>405</v>
      </c>
      <c r="AL110" s="533">
        <f>'2c. Patients - GF'!E73</f>
        <v>0</v>
      </c>
      <c r="AM110" s="533">
        <f>'2c. Patients - GF'!F73</f>
        <v>0</v>
      </c>
      <c r="AN110" s="533">
        <f>'2c. Patients - GF'!G73</f>
        <v>0</v>
      </c>
      <c r="AO110" s="533">
        <f>'2c. Patients - GF'!H73</f>
        <v>0</v>
      </c>
      <c r="AP110" s="533">
        <f>'2c. Patients - GF'!I73</f>
        <v>0</v>
      </c>
      <c r="AQ110" s="533">
        <f>'2c. Patients - GF'!J73</f>
        <v>0</v>
      </c>
      <c r="AR110" s="534" t="str">
        <f t="shared" si="9"/>
        <v/>
      </c>
      <c r="AT110" s="72" t="s">
        <v>1234</v>
      </c>
      <c r="AU110" s="533">
        <f ca="1">'2d. Patients - DTG'!N503</f>
        <v>0</v>
      </c>
      <c r="AV110" s="533">
        <f ca="1">'2d. Patients - DTG'!O503</f>
        <v>0</v>
      </c>
      <c r="AW110" s="533">
        <f ca="1">'2d. Patients - DTG'!P503</f>
        <v>0</v>
      </c>
      <c r="AX110" s="533">
        <f ca="1">'2d. Patients - DTG'!Q503</f>
        <v>0</v>
      </c>
      <c r="AY110" s="533">
        <f ca="1">'2d. Patients - DTG'!R503</f>
        <v>0</v>
      </c>
      <c r="AZ110" s="533">
        <f ca="1">'2d. Patients - DTG'!S503</f>
        <v>0</v>
      </c>
      <c r="BA110" s="533">
        <f t="shared" si="11"/>
        <v>0</v>
      </c>
      <c r="BB110" s="533">
        <f t="shared" ca="1" si="11"/>
        <v>0</v>
      </c>
      <c r="BC110" s="534">
        <f t="shared" ca="1" si="10"/>
        <v>0</v>
      </c>
    </row>
    <row r="111" spans="1:55" x14ac:dyDescent="0.2">
      <c r="A111" s="128"/>
      <c r="B111" s="435"/>
      <c r="C111" s="435"/>
      <c r="D111" s="435"/>
      <c r="E111" s="435"/>
      <c r="F111" s="435"/>
      <c r="G111" s="435"/>
      <c r="H111" s="435"/>
      <c r="I111" s="435"/>
      <c r="J111" s="435"/>
      <c r="K111" s="128"/>
      <c r="L111" s="270"/>
      <c r="M111" s="270"/>
      <c r="N111" s="270"/>
      <c r="O111" s="270"/>
      <c r="P111" s="128"/>
      <c r="Q111" s="128"/>
      <c r="R111" s="270"/>
      <c r="S111" s="128"/>
      <c r="T111" s="128"/>
      <c r="U111" s="128"/>
      <c r="V111" s="128"/>
      <c r="W111" s="128"/>
      <c r="X111" s="128"/>
      <c r="Y111" s="128"/>
      <c r="Z111" s="128"/>
      <c r="AA111" s="128"/>
      <c r="AB111" s="128"/>
      <c r="AC111" s="435"/>
      <c r="AD111" s="128"/>
      <c r="AE111" s="128"/>
      <c r="AF111" s="128"/>
      <c r="AG111" s="128"/>
      <c r="AH111" s="128"/>
      <c r="AI111" s="128"/>
      <c r="AJ111" s="128"/>
      <c r="AK111" s="72" t="s">
        <v>406</v>
      </c>
      <c r="AL111" s="533">
        <f>'2c. Patients - GF'!E102</f>
        <v>0</v>
      </c>
      <c r="AM111" s="533">
        <f>'2c. Patients - GF'!F102</f>
        <v>0</v>
      </c>
      <c r="AN111" s="533">
        <f>'2c. Patients - GF'!G102</f>
        <v>0</v>
      </c>
      <c r="AO111" s="533">
        <f>'2c. Patients - GF'!H102</f>
        <v>0</v>
      </c>
      <c r="AP111" s="533">
        <f>'2c. Patients - GF'!I102</f>
        <v>0</v>
      </c>
      <c r="AQ111" s="533">
        <f>'2c. Patients - GF'!J102</f>
        <v>0</v>
      </c>
      <c r="AR111" s="534" t="str">
        <f t="shared" si="9"/>
        <v/>
      </c>
      <c r="AT111" s="72" t="s">
        <v>1235</v>
      </c>
      <c r="AU111" s="533">
        <f ca="1">'2d. Patients - DTG'!N525</f>
        <v>0</v>
      </c>
      <c r="AV111" s="533">
        <f ca="1">'2d. Patients - DTG'!O525</f>
        <v>0</v>
      </c>
      <c r="AW111" s="533">
        <f ca="1">'2d. Patients - DTG'!P525</f>
        <v>0</v>
      </c>
      <c r="AX111" s="533">
        <f ca="1">'2d. Patients - DTG'!Q525</f>
        <v>0</v>
      </c>
      <c r="AY111" s="533">
        <f ca="1">'2d. Patients - DTG'!R525</f>
        <v>0</v>
      </c>
      <c r="AZ111" s="533">
        <f ca="1">'2d. Patients - DTG'!S525</f>
        <v>0</v>
      </c>
      <c r="BA111" s="533">
        <f t="shared" si="11"/>
        <v>0</v>
      </c>
      <c r="BB111" s="533">
        <f t="shared" ca="1" si="11"/>
        <v>0</v>
      </c>
      <c r="BC111" s="534">
        <f t="shared" ca="1" si="10"/>
        <v>0</v>
      </c>
    </row>
    <row r="112" spans="1:55" x14ac:dyDescent="0.2">
      <c r="A112" s="128"/>
      <c r="B112" s="435"/>
      <c r="C112" s="435"/>
      <c r="D112" s="435"/>
      <c r="E112" s="435"/>
      <c r="F112" s="435"/>
      <c r="G112" s="435"/>
      <c r="H112" s="435"/>
      <c r="I112" s="435"/>
      <c r="J112" s="435"/>
      <c r="K112" s="128"/>
      <c r="L112" s="270"/>
      <c r="M112" s="270"/>
      <c r="N112" s="270"/>
      <c r="O112" s="270"/>
      <c r="P112" s="128"/>
      <c r="Q112" s="128"/>
      <c r="R112" s="270"/>
      <c r="S112" s="128"/>
      <c r="T112" s="128"/>
      <c r="U112" s="128"/>
      <c r="V112" s="128"/>
      <c r="W112" s="128"/>
      <c r="X112" s="128"/>
      <c r="Y112" s="128"/>
      <c r="Z112" s="128"/>
      <c r="AA112" s="128"/>
      <c r="AB112" s="128"/>
      <c r="AC112" s="435"/>
      <c r="AD112" s="128"/>
      <c r="AE112" s="128"/>
      <c r="AF112" s="128"/>
      <c r="AG112" s="128"/>
      <c r="AH112" s="128"/>
      <c r="AI112" s="128"/>
      <c r="AJ112" s="128"/>
      <c r="AK112" s="72" t="s">
        <v>407</v>
      </c>
      <c r="AL112" s="533">
        <f>'2c. Patients - GF'!E131</f>
        <v>0</v>
      </c>
      <c r="AM112" s="533">
        <f>'2c. Patients - GF'!F131</f>
        <v>0</v>
      </c>
      <c r="AN112" s="533">
        <f>'2c. Patients - GF'!G131</f>
        <v>0</v>
      </c>
      <c r="AO112" s="533">
        <f>'2c. Patients - GF'!H131</f>
        <v>0</v>
      </c>
      <c r="AP112" s="533">
        <f>'2c. Patients - GF'!I131</f>
        <v>0</v>
      </c>
      <c r="AQ112" s="533">
        <f>'2c. Patients - GF'!J131</f>
        <v>0</v>
      </c>
      <c r="AR112" s="534" t="str">
        <f t="shared" si="9"/>
        <v/>
      </c>
      <c r="AT112" s="72" t="s">
        <v>1236</v>
      </c>
      <c r="AU112" s="533">
        <f ca="1">'2d. Patients - DTG'!N547</f>
        <v>0</v>
      </c>
      <c r="AV112" s="533">
        <f ca="1">'2d. Patients - DTG'!O547</f>
        <v>0</v>
      </c>
      <c r="AW112" s="533">
        <f ca="1">'2d. Patients - DTG'!P547</f>
        <v>0</v>
      </c>
      <c r="AX112" s="533">
        <f ca="1">'2d. Patients - DTG'!Q547</f>
        <v>0</v>
      </c>
      <c r="AY112" s="533">
        <f ca="1">'2d. Patients - DTG'!R547</f>
        <v>0</v>
      </c>
      <c r="AZ112" s="533">
        <f ca="1">'2d. Patients - DTG'!S547</f>
        <v>0</v>
      </c>
      <c r="BA112" s="533">
        <f t="shared" si="11"/>
        <v>0</v>
      </c>
      <c r="BB112" s="533">
        <f t="shared" ca="1" si="11"/>
        <v>0</v>
      </c>
      <c r="BC112" s="534">
        <f t="shared" ca="1" si="10"/>
        <v>0</v>
      </c>
    </row>
    <row r="113" spans="1:55" x14ac:dyDescent="0.2">
      <c r="A113" s="128"/>
      <c r="B113" s="923" t="s">
        <v>1106</v>
      </c>
      <c r="C113" s="923"/>
      <c r="D113" s="435"/>
      <c r="E113" s="923" t="s">
        <v>1168</v>
      </c>
      <c r="F113" s="923"/>
      <c r="G113" s="435"/>
      <c r="H113" s="435"/>
      <c r="I113" s="435"/>
      <c r="J113" s="435"/>
      <c r="K113" s="128"/>
      <c r="L113" s="270"/>
      <c r="M113" s="270"/>
      <c r="N113" s="270"/>
      <c r="O113" s="270"/>
      <c r="P113" s="128"/>
      <c r="Q113" s="128"/>
      <c r="R113" s="270"/>
      <c r="S113" s="128"/>
      <c r="T113" s="128"/>
      <c r="U113" s="128"/>
      <c r="V113" s="128"/>
      <c r="W113" s="128"/>
      <c r="X113" s="128"/>
      <c r="Y113" s="128"/>
      <c r="Z113" s="128"/>
      <c r="AA113" s="128"/>
      <c r="AB113" s="128"/>
      <c r="AC113" s="435"/>
      <c r="AD113" s="128"/>
      <c r="AE113" s="128"/>
      <c r="AF113" s="128"/>
      <c r="AG113" s="128"/>
      <c r="AH113" s="128"/>
      <c r="AI113" s="128"/>
      <c r="AJ113" s="128"/>
      <c r="AK113" s="72" t="s">
        <v>408</v>
      </c>
      <c r="AL113" s="533">
        <f>'2c. Patients - GF'!E160</f>
        <v>0</v>
      </c>
      <c r="AM113" s="533">
        <f>'2c. Patients - GF'!F160</f>
        <v>0</v>
      </c>
      <c r="AN113" s="533">
        <f>'2c. Patients - GF'!G160</f>
        <v>0</v>
      </c>
      <c r="AO113" s="533">
        <f>'2c. Patients - GF'!H160</f>
        <v>0</v>
      </c>
      <c r="AP113" s="533">
        <f>'2c. Patients - GF'!I160</f>
        <v>0</v>
      </c>
      <c r="AQ113" s="533">
        <f>'2c. Patients - GF'!J160</f>
        <v>0</v>
      </c>
      <c r="AR113" s="534" t="str">
        <f t="shared" si="9"/>
        <v/>
      </c>
      <c r="AT113" s="72" t="s">
        <v>1237</v>
      </c>
      <c r="AU113" s="533">
        <f ca="1">'2d. Patients - DTG'!N569</f>
        <v>0</v>
      </c>
      <c r="AV113" s="533">
        <f ca="1">'2d. Patients - DTG'!O569</f>
        <v>0</v>
      </c>
      <c r="AW113" s="533">
        <f ca="1">'2d. Patients - DTG'!P569</f>
        <v>0</v>
      </c>
      <c r="AX113" s="533">
        <f ca="1">'2d. Patients - DTG'!Q569</f>
        <v>0</v>
      </c>
      <c r="AY113" s="533">
        <f ca="1">'2d. Patients - DTG'!R569</f>
        <v>0</v>
      </c>
      <c r="AZ113" s="533">
        <f ca="1">'2d. Patients - DTG'!S569</f>
        <v>0</v>
      </c>
      <c r="BA113" s="533">
        <f t="shared" si="11"/>
        <v>0</v>
      </c>
      <c r="BB113" s="533">
        <f t="shared" ca="1" si="11"/>
        <v>0</v>
      </c>
      <c r="BC113" s="534">
        <f t="shared" ca="1" si="10"/>
        <v>0</v>
      </c>
    </row>
    <row r="114" spans="1:55" ht="12.75" customHeight="1" x14ac:dyDescent="0.2">
      <c r="B114" s="275" t="s">
        <v>1112</v>
      </c>
      <c r="C114" s="275">
        <v>1</v>
      </c>
      <c r="D114" s="435"/>
      <c r="E114" s="275" t="s">
        <v>1166</v>
      </c>
      <c r="F114" s="275">
        <v>1</v>
      </c>
      <c r="G114" s="435"/>
      <c r="H114" s="435"/>
      <c r="I114" s="435"/>
      <c r="J114" s="435"/>
      <c r="L114" s="365"/>
      <c r="M114" s="365"/>
      <c r="N114" s="365"/>
      <c r="O114" s="365"/>
      <c r="R114" s="365"/>
      <c r="AA114" s="128"/>
      <c r="AB114" s="128"/>
      <c r="AK114" s="72" t="s">
        <v>409</v>
      </c>
      <c r="AL114" s="593"/>
      <c r="AM114" s="593"/>
      <c r="AN114" s="593"/>
      <c r="AO114" s="593"/>
      <c r="AP114" s="593"/>
      <c r="AQ114" s="593"/>
      <c r="AR114" s="593"/>
      <c r="AT114" s="72" t="s">
        <v>1238</v>
      </c>
      <c r="AU114" s="593"/>
      <c r="AV114" s="593"/>
      <c r="AW114" s="593"/>
      <c r="AX114" s="593"/>
      <c r="AY114" s="593"/>
      <c r="AZ114" s="593"/>
      <c r="BA114" s="593"/>
      <c r="BB114" s="593"/>
      <c r="BC114" s="534">
        <f t="shared" ref="BC114:BC119" si="12">BC75</f>
        <v>0</v>
      </c>
    </row>
    <row r="115" spans="1:55" ht="12.75" customHeight="1" x14ac:dyDescent="0.2">
      <c r="B115" s="275" t="s">
        <v>1113</v>
      </c>
      <c r="C115" s="275">
        <v>2</v>
      </c>
      <c r="D115" s="435"/>
      <c r="E115" s="275" t="s">
        <v>1167</v>
      </c>
      <c r="F115" s="275">
        <v>2</v>
      </c>
      <c r="G115" s="435"/>
      <c r="H115" s="435"/>
      <c r="I115" s="435"/>
      <c r="J115" s="435"/>
      <c r="L115" s="365"/>
      <c r="M115" s="365"/>
      <c r="N115" s="365"/>
      <c r="O115" s="365"/>
      <c r="R115" s="365"/>
      <c r="AA115" s="128"/>
      <c r="AB115" s="128"/>
      <c r="AK115" s="72" t="s">
        <v>410</v>
      </c>
      <c r="AL115" s="593"/>
      <c r="AM115" s="593"/>
      <c r="AN115" s="593"/>
      <c r="AO115" s="593"/>
      <c r="AP115" s="593"/>
      <c r="AQ115" s="593"/>
      <c r="AR115" s="593"/>
      <c r="AT115" s="72" t="s">
        <v>1239</v>
      </c>
      <c r="AU115" s="593"/>
      <c r="AV115" s="593"/>
      <c r="AW115" s="593"/>
      <c r="AX115" s="593"/>
      <c r="AY115" s="593"/>
      <c r="AZ115" s="593"/>
      <c r="BA115" s="593"/>
      <c r="BB115" s="593"/>
      <c r="BC115" s="534">
        <f t="shared" si="12"/>
        <v>0</v>
      </c>
    </row>
    <row r="116" spans="1:55" ht="12.75" customHeight="1" x14ac:dyDescent="0.2">
      <c r="B116" s="275" t="s">
        <v>1114</v>
      </c>
      <c r="C116" s="275">
        <v>3</v>
      </c>
      <c r="D116" s="435"/>
      <c r="E116" s="435"/>
      <c r="F116" s="435"/>
      <c r="G116" s="435"/>
      <c r="H116" s="435"/>
      <c r="I116" s="435"/>
      <c r="J116" s="435"/>
      <c r="L116" s="365"/>
      <c r="M116" s="365"/>
      <c r="N116" s="365"/>
      <c r="O116" s="365"/>
      <c r="R116" s="365"/>
      <c r="AA116" s="128"/>
      <c r="AB116" s="128"/>
      <c r="AK116" s="72" t="s">
        <v>411</v>
      </c>
      <c r="AL116" s="593"/>
      <c r="AM116" s="593"/>
      <c r="AN116" s="593"/>
      <c r="AO116" s="593"/>
      <c r="AP116" s="593"/>
      <c r="AQ116" s="593"/>
      <c r="AR116" s="593"/>
      <c r="AT116" s="72" t="s">
        <v>1240</v>
      </c>
      <c r="AU116" s="593"/>
      <c r="AV116" s="593"/>
      <c r="AW116" s="593"/>
      <c r="AX116" s="593"/>
      <c r="AY116" s="593"/>
      <c r="AZ116" s="593"/>
      <c r="BA116" s="593"/>
      <c r="BB116" s="593"/>
      <c r="BC116" s="534">
        <f t="shared" si="12"/>
        <v>0</v>
      </c>
    </row>
    <row r="117" spans="1:55" ht="12.75" customHeight="1" x14ac:dyDescent="0.2">
      <c r="B117" s="275" t="s">
        <v>1115</v>
      </c>
      <c r="C117" s="275">
        <v>4</v>
      </c>
      <c r="D117" s="435"/>
      <c r="E117" s="435"/>
      <c r="F117" s="435"/>
      <c r="G117" s="435"/>
      <c r="H117" s="435"/>
      <c r="I117" s="435"/>
      <c r="J117" s="435"/>
      <c r="L117" s="365"/>
      <c r="M117" s="365"/>
      <c r="N117" s="365"/>
      <c r="O117" s="365"/>
      <c r="R117" s="365"/>
      <c r="AA117" s="128"/>
      <c r="AB117" s="128"/>
      <c r="AK117" s="72" t="s">
        <v>412</v>
      </c>
      <c r="AL117" s="593"/>
      <c r="AM117" s="593"/>
      <c r="AN117" s="593"/>
      <c r="AO117" s="593"/>
      <c r="AP117" s="593"/>
      <c r="AQ117" s="593"/>
      <c r="AR117" s="593"/>
      <c r="AT117" s="72" t="s">
        <v>1241</v>
      </c>
      <c r="AU117" s="593"/>
      <c r="AV117" s="593"/>
      <c r="AW117" s="593"/>
      <c r="AX117" s="593"/>
      <c r="AY117" s="593"/>
      <c r="AZ117" s="593"/>
      <c r="BA117" s="593"/>
      <c r="BB117" s="593"/>
      <c r="BC117" s="534">
        <f t="shared" si="12"/>
        <v>0</v>
      </c>
    </row>
    <row r="118" spans="1:55" ht="12.75" customHeight="1" x14ac:dyDescent="0.2">
      <c r="B118" s="435"/>
      <c r="C118" s="435"/>
      <c r="D118" s="435"/>
      <c r="E118" s="435"/>
      <c r="F118" s="435"/>
      <c r="G118" s="435"/>
      <c r="H118" s="435"/>
      <c r="I118" s="435"/>
      <c r="J118" s="435"/>
      <c r="AA118" s="128"/>
      <c r="AB118" s="128"/>
      <c r="AK118" s="72" t="s">
        <v>413</v>
      </c>
      <c r="AL118" s="593"/>
      <c r="AM118" s="593"/>
      <c r="AN118" s="593"/>
      <c r="AO118" s="593"/>
      <c r="AP118" s="593"/>
      <c r="AQ118" s="593"/>
      <c r="AR118" s="593"/>
      <c r="AT118" s="72" t="s">
        <v>1242</v>
      </c>
      <c r="AU118" s="593"/>
      <c r="AV118" s="593"/>
      <c r="AW118" s="593"/>
      <c r="AX118" s="593"/>
      <c r="AY118" s="593"/>
      <c r="AZ118" s="593"/>
      <c r="BA118" s="593"/>
      <c r="BB118" s="593"/>
      <c r="BC118" s="534">
        <f t="shared" si="12"/>
        <v>0</v>
      </c>
    </row>
    <row r="119" spans="1:55" ht="12.75" customHeight="1" x14ac:dyDescent="0.2">
      <c r="B119" s="435"/>
      <c r="C119" s="435"/>
      <c r="D119" s="435"/>
      <c r="E119" s="435"/>
      <c r="F119" s="435"/>
      <c r="G119" s="435"/>
      <c r="H119" s="435"/>
      <c r="I119" s="435"/>
      <c r="J119" s="435"/>
      <c r="AA119" s="128"/>
      <c r="AB119" s="128"/>
      <c r="AK119" s="72" t="s">
        <v>415</v>
      </c>
      <c r="AL119" s="533">
        <f t="shared" ref="AL119:AQ119" si="13">SUM(AL89:AL98)</f>
        <v>0</v>
      </c>
      <c r="AM119" s="533">
        <f t="shared" si="13"/>
        <v>0</v>
      </c>
      <c r="AN119" s="533">
        <f t="shared" si="13"/>
        <v>0</v>
      </c>
      <c r="AO119" s="533">
        <f t="shared" si="13"/>
        <v>0</v>
      </c>
      <c r="AP119" s="533">
        <f t="shared" si="13"/>
        <v>0</v>
      </c>
      <c r="AQ119" s="533">
        <f t="shared" si="13"/>
        <v>0</v>
      </c>
      <c r="AR119" s="533" t="str">
        <f>AR80</f>
        <v/>
      </c>
      <c r="AT119" s="72" t="s">
        <v>1243</v>
      </c>
      <c r="AU119" s="533">
        <f ca="1">SUM(AU89:AU118)</f>
        <v>0</v>
      </c>
      <c r="AV119" s="533">
        <f t="shared" ref="AV119:AZ119" ca="1" si="14">SUM(AV89:AV118)</f>
        <v>0</v>
      </c>
      <c r="AW119" s="533">
        <f t="shared" ca="1" si="14"/>
        <v>0</v>
      </c>
      <c r="AX119" s="533">
        <f t="shared" ca="1" si="14"/>
        <v>0</v>
      </c>
      <c r="AY119" s="533">
        <f t="shared" ca="1" si="14"/>
        <v>0</v>
      </c>
      <c r="AZ119" s="533">
        <f t="shared" ca="1" si="14"/>
        <v>0</v>
      </c>
      <c r="BA119" s="533">
        <f>BA80</f>
        <v>0</v>
      </c>
      <c r="BB119" s="533">
        <f ca="1">BB80</f>
        <v>0</v>
      </c>
      <c r="BC119" s="534">
        <f t="shared" ca="1" si="12"/>
        <v>0</v>
      </c>
    </row>
    <row r="120" spans="1:55" ht="12.75" customHeight="1" x14ac:dyDescent="0.2">
      <c r="B120" s="435"/>
      <c r="C120" s="435"/>
      <c r="D120" s="435"/>
      <c r="E120" s="435"/>
      <c r="F120" s="435"/>
      <c r="G120" s="435"/>
      <c r="H120" s="435"/>
      <c r="I120" s="435"/>
      <c r="J120" s="435"/>
      <c r="AA120" s="128"/>
      <c r="AB120" s="128"/>
      <c r="AK120" s="72" t="s">
        <v>416</v>
      </c>
      <c r="AL120" s="533">
        <f t="shared" ref="AL120:AQ120" si="15">SUM(AL99:AL108)</f>
        <v>0</v>
      </c>
      <c r="AM120" s="533">
        <f t="shared" si="15"/>
        <v>0</v>
      </c>
      <c r="AN120" s="533">
        <f t="shared" si="15"/>
        <v>0</v>
      </c>
      <c r="AO120" s="533">
        <f t="shared" si="15"/>
        <v>0</v>
      </c>
      <c r="AP120" s="533">
        <f t="shared" si="15"/>
        <v>0</v>
      </c>
      <c r="AQ120" s="533">
        <f t="shared" si="15"/>
        <v>0</v>
      </c>
      <c r="AR120" s="533" t="str">
        <f t="shared" ref="AR120:AR123" si="16">AR81</f>
        <v/>
      </c>
    </row>
    <row r="121" spans="1:55" ht="12.75" customHeight="1" x14ac:dyDescent="0.2">
      <c r="B121" s="435"/>
      <c r="C121" s="435"/>
      <c r="D121" s="435"/>
      <c r="E121" s="435"/>
      <c r="F121" s="435"/>
      <c r="G121" s="435"/>
      <c r="H121" s="435"/>
      <c r="I121" s="435"/>
      <c r="J121" s="435"/>
      <c r="AA121" s="128"/>
      <c r="AB121" s="128"/>
      <c r="AK121" s="72" t="s">
        <v>1188</v>
      </c>
      <c r="AL121" s="533">
        <f>AL120+AL119</f>
        <v>0</v>
      </c>
      <c r="AM121" s="533">
        <f t="shared" ref="AM121:AQ121" si="17">AM120+AM119</f>
        <v>0</v>
      </c>
      <c r="AN121" s="533">
        <f t="shared" si="17"/>
        <v>0</v>
      </c>
      <c r="AO121" s="533">
        <f t="shared" si="17"/>
        <v>0</v>
      </c>
      <c r="AP121" s="533">
        <f t="shared" si="17"/>
        <v>0</v>
      </c>
      <c r="AQ121" s="533">
        <f t="shared" si="17"/>
        <v>0</v>
      </c>
      <c r="AR121" s="533" t="str">
        <f t="shared" si="16"/>
        <v/>
      </c>
    </row>
    <row r="122" spans="1:55" ht="12.75" customHeight="1" x14ac:dyDescent="0.2">
      <c r="B122" s="435"/>
      <c r="C122" s="435"/>
      <c r="D122" s="435"/>
      <c r="E122" s="435"/>
      <c r="F122" s="435"/>
      <c r="G122" s="435"/>
      <c r="H122" s="435"/>
      <c r="I122" s="435"/>
      <c r="J122" s="435"/>
      <c r="AA122" s="128"/>
      <c r="AB122" s="128"/>
      <c r="AK122" s="72" t="s">
        <v>417</v>
      </c>
      <c r="AL122" s="533">
        <f t="shared" ref="AL122:AQ122" si="18">SUM(AL109:AL118)</f>
        <v>0</v>
      </c>
      <c r="AM122" s="533">
        <f t="shared" si="18"/>
        <v>0</v>
      </c>
      <c r="AN122" s="533">
        <f t="shared" si="18"/>
        <v>0</v>
      </c>
      <c r="AO122" s="533">
        <f t="shared" si="18"/>
        <v>0</v>
      </c>
      <c r="AP122" s="533">
        <f t="shared" si="18"/>
        <v>0</v>
      </c>
      <c r="AQ122" s="533">
        <f t="shared" si="18"/>
        <v>0</v>
      </c>
      <c r="AR122" s="533" t="str">
        <f t="shared" si="16"/>
        <v/>
      </c>
    </row>
    <row r="123" spans="1:55" ht="12.75" customHeight="1" x14ac:dyDescent="0.2">
      <c r="B123" s="435"/>
      <c r="C123" s="435"/>
      <c r="D123" s="435"/>
      <c r="E123" s="435"/>
      <c r="F123" s="435"/>
      <c r="G123" s="435"/>
      <c r="H123" s="435"/>
      <c r="I123" s="435"/>
      <c r="J123" s="435"/>
      <c r="AA123" s="128"/>
      <c r="AB123" s="128"/>
      <c r="AK123" s="72" t="s">
        <v>418</v>
      </c>
      <c r="AL123" s="533">
        <f>AL122+AL121</f>
        <v>0</v>
      </c>
      <c r="AM123" s="533">
        <f t="shared" ref="AM123:AQ123" si="19">AM122+AM121</f>
        <v>0</v>
      </c>
      <c r="AN123" s="533">
        <f t="shared" si="19"/>
        <v>0</v>
      </c>
      <c r="AO123" s="533">
        <f t="shared" si="19"/>
        <v>0</v>
      </c>
      <c r="AP123" s="533">
        <f t="shared" si="19"/>
        <v>0</v>
      </c>
      <c r="AQ123" s="533">
        <f t="shared" si="19"/>
        <v>0</v>
      </c>
      <c r="AR123" s="533" t="str">
        <f t="shared" si="16"/>
        <v/>
      </c>
    </row>
    <row r="124" spans="1:55" ht="12.75" customHeight="1" x14ac:dyDescent="0.2">
      <c r="B124" s="435"/>
      <c r="C124" s="435"/>
      <c r="D124" s="435"/>
      <c r="E124" s="435"/>
      <c r="F124" s="435"/>
      <c r="G124" s="435"/>
      <c r="H124" s="435"/>
      <c r="I124" s="435"/>
      <c r="J124" s="435"/>
      <c r="AA124" s="128"/>
      <c r="AB124" s="128"/>
    </row>
    <row r="125" spans="1:55" ht="12.75" customHeight="1" x14ac:dyDescent="0.2">
      <c r="B125" s="924" t="s">
        <v>199</v>
      </c>
      <c r="C125" s="925"/>
      <c r="D125" s="128"/>
      <c r="E125" s="923" t="s">
        <v>1298</v>
      </c>
      <c r="F125" s="923"/>
      <c r="G125" s="128"/>
      <c r="H125" s="128"/>
      <c r="I125" s="128"/>
      <c r="AA125" s="435"/>
      <c r="AB125" s="435"/>
    </row>
    <row r="126" spans="1:55" ht="12.75" customHeight="1" x14ac:dyDescent="0.2">
      <c r="B126" s="275">
        <v>0</v>
      </c>
      <c r="C126" s="275" t="s">
        <v>593</v>
      </c>
      <c r="D126" s="128"/>
      <c r="E126" s="275" t="s">
        <v>136</v>
      </c>
      <c r="F126" s="275">
        <v>1</v>
      </c>
      <c r="G126" s="128"/>
      <c r="H126" s="128"/>
      <c r="I126" s="128"/>
      <c r="AA126" s="128"/>
      <c r="AB126" s="128"/>
    </row>
    <row r="127" spans="1:55" ht="12.75" customHeight="1" x14ac:dyDescent="0.2">
      <c r="B127" s="275">
        <v>1</v>
      </c>
      <c r="C127" s="275" t="s">
        <v>594</v>
      </c>
      <c r="D127" s="128"/>
      <c r="E127" s="275" t="s">
        <v>137</v>
      </c>
      <c r="F127" s="275">
        <v>2</v>
      </c>
      <c r="G127" s="128"/>
      <c r="H127" s="128"/>
      <c r="I127" s="128"/>
      <c r="AA127" s="128"/>
      <c r="AB127" s="128"/>
    </row>
    <row r="128" spans="1:55" ht="12.75" customHeight="1" x14ac:dyDescent="0.2">
      <c r="B128" s="128"/>
      <c r="C128" s="128"/>
      <c r="D128" s="128"/>
      <c r="G128" s="128"/>
      <c r="H128" s="128"/>
      <c r="I128" s="128"/>
      <c r="AA128" s="128"/>
      <c r="AB128" s="128"/>
    </row>
    <row r="129" spans="2:28" ht="12.75" customHeight="1" x14ac:dyDescent="0.2">
      <c r="B129" s="128"/>
      <c r="C129" s="128"/>
      <c r="D129" s="128"/>
      <c r="G129" s="128"/>
      <c r="H129" s="128"/>
      <c r="I129" s="128"/>
      <c r="AA129" s="128"/>
      <c r="AB129" s="128"/>
    </row>
    <row r="130" spans="2:28" ht="12.75" customHeight="1" x14ac:dyDescent="0.2">
      <c r="G130" s="435"/>
      <c r="H130" s="435"/>
      <c r="I130" s="435"/>
      <c r="J130" s="435"/>
      <c r="AA130" s="128"/>
      <c r="AB130" s="128"/>
    </row>
    <row r="131" spans="2:28" ht="12.75" customHeight="1" x14ac:dyDescent="0.2">
      <c r="G131" s="128"/>
      <c r="H131" s="128"/>
      <c r="I131" s="128"/>
      <c r="J131" s="128"/>
      <c r="AA131" s="128"/>
      <c r="AB131" s="128"/>
    </row>
    <row r="132" spans="2:28" ht="12.75" customHeight="1" x14ac:dyDescent="0.2">
      <c r="G132" s="128"/>
      <c r="H132" s="128"/>
      <c r="I132" s="128"/>
      <c r="J132" s="128"/>
      <c r="AA132" s="128"/>
      <c r="AB132" s="128"/>
    </row>
    <row r="133" spans="2:28" ht="12.75" customHeight="1" x14ac:dyDescent="0.2">
      <c r="G133" s="128"/>
      <c r="H133" s="128"/>
      <c r="I133" s="128"/>
      <c r="J133" s="128"/>
    </row>
    <row r="134" spans="2:28" ht="12.75" customHeight="1" x14ac:dyDescent="0.2">
      <c r="G134" s="128"/>
      <c r="H134" s="128"/>
      <c r="I134" s="128"/>
      <c r="J134" s="128"/>
    </row>
    <row r="135" spans="2:28" ht="12.75" customHeight="1" x14ac:dyDescent="0.2">
      <c r="B135" s="128"/>
      <c r="C135" s="128"/>
      <c r="D135" s="128"/>
      <c r="E135" s="128"/>
      <c r="F135" s="128"/>
      <c r="G135" s="128"/>
      <c r="H135" s="128"/>
      <c r="I135" s="128"/>
      <c r="J135" s="128"/>
    </row>
    <row r="136" spans="2:28" ht="12.75" customHeight="1" x14ac:dyDescent="0.2">
      <c r="B136" s="128"/>
      <c r="C136" s="128"/>
      <c r="D136" s="128"/>
      <c r="E136" s="128"/>
      <c r="F136" s="128"/>
      <c r="G136" s="128"/>
      <c r="H136" s="128"/>
      <c r="I136" s="128"/>
      <c r="J136" s="128"/>
    </row>
    <row r="137" spans="2:28" ht="12.75" customHeight="1" x14ac:dyDescent="0.2">
      <c r="B137" s="924" t="s">
        <v>727</v>
      </c>
      <c r="C137" s="925"/>
      <c r="D137" s="128"/>
      <c r="G137" s="128"/>
      <c r="H137" s="128"/>
      <c r="I137" s="128"/>
      <c r="J137" s="128"/>
    </row>
    <row r="138" spans="2:28" ht="12.75" customHeight="1" x14ac:dyDescent="0.2">
      <c r="B138" s="442" t="s">
        <v>728</v>
      </c>
      <c r="C138" s="442" t="s">
        <v>729</v>
      </c>
      <c r="D138" s="128"/>
      <c r="G138" s="128"/>
      <c r="H138" s="128"/>
      <c r="I138" s="128"/>
      <c r="J138" s="128"/>
    </row>
    <row r="139" spans="2:28" ht="12.75" customHeight="1" x14ac:dyDescent="0.2">
      <c r="B139" s="415" t="str">
        <f>IFERROR(VLOOKUP(B147,TPShortReverse,2,FALSE),"")</f>
        <v/>
      </c>
      <c r="C139" s="415" t="str">
        <f>IFERROR(VLOOKUP(C147,TPShortReverse,2,FALSE),"")</f>
        <v/>
      </c>
      <c r="D139" s="128"/>
      <c r="G139" s="128"/>
      <c r="H139" s="128"/>
      <c r="I139" s="128"/>
      <c r="J139" s="128"/>
    </row>
    <row r="140" spans="2:28" ht="12.75" customHeight="1" x14ac:dyDescent="0.2">
      <c r="B140" s="415" t="str">
        <f>LOWER(B139)</f>
        <v/>
      </c>
      <c r="C140" s="415" t="str">
        <f>LOWER(C139)</f>
        <v/>
      </c>
      <c r="D140" s="128"/>
      <c r="E140" s="128"/>
      <c r="F140" s="128"/>
      <c r="G140" s="128"/>
      <c r="H140" s="128"/>
    </row>
    <row r="141" spans="2:28" ht="12.75" customHeight="1" x14ac:dyDescent="0.2">
      <c r="B141" s="415" t="str">
        <f>IF(TxPhase1&lt;&gt;"",TxPhase1 &amp; " patients (#)","")</f>
        <v/>
      </c>
      <c r="C141" s="415" t="str">
        <f>IF(TxPhase2&lt;&gt;"",TxPhase2 &amp; " patients (#)","")</f>
        <v/>
      </c>
      <c r="D141" s="128"/>
      <c r="E141" s="128"/>
      <c r="F141" s="128"/>
      <c r="G141" s="128"/>
      <c r="H141" s="128"/>
    </row>
    <row r="142" spans="2:28" ht="12.75" customHeight="1" x14ac:dyDescent="0.2">
      <c r="B142" s="415" t="str">
        <f>IF(B140&lt;&gt;"","Total " &amp; B140 &amp; " patients","")</f>
        <v/>
      </c>
      <c r="C142" s="415" t="str">
        <f>IF(C140&lt;&gt;"","Total " &amp; C140 &amp; " patients","")</f>
        <v/>
      </c>
      <c r="D142" s="435"/>
      <c r="E142" s="435"/>
      <c r="F142" s="435"/>
    </row>
    <row r="143" spans="2:28" ht="12.75" customHeight="1" x14ac:dyDescent="0.2">
      <c r="B143" s="415" t="str">
        <f>IF(B140&lt;&gt;"","Total " &amp; B140 &amp; " patient years of treatment","")</f>
        <v/>
      </c>
      <c r="C143" s="415" t="str">
        <f>IF(C140&lt;&gt;"","Total " &amp; C140 &amp; " patient years of treatment","")</f>
        <v/>
      </c>
      <c r="D143" s="128"/>
      <c r="E143" s="128"/>
      <c r="F143" s="128"/>
    </row>
    <row r="144" spans="2:28" ht="12.75" customHeight="1" x14ac:dyDescent="0.2">
      <c r="B144" s="415" t="str">
        <f>IF(TxPhase1&lt;&gt;"",TxPhase1 &amp; " treatment","")</f>
        <v/>
      </c>
      <c r="C144" s="415" t="str">
        <f>IF(TxPhase2&lt;&gt;"",TxPhase2 &amp; " treatment","")</f>
        <v/>
      </c>
      <c r="D144" s="128"/>
      <c r="E144" s="128"/>
      <c r="F144" s="128"/>
    </row>
    <row r="145" spans="2:6" ht="12.75" customHeight="1" x14ac:dyDescent="0.2">
      <c r="B145" s="415" t="str">
        <f>IF(TxPhase1&lt;&gt;"",TxPhase1 &amp; " scripts (#)","")</f>
        <v/>
      </c>
      <c r="C145" s="415" t="str">
        <f>IF(TxPhase2&lt;&gt;"",TxPhase2 &amp; " scripts (#)","")</f>
        <v/>
      </c>
      <c r="D145" s="128"/>
      <c r="E145" s="128"/>
      <c r="F145" s="128"/>
    </row>
    <row r="146" spans="2:6" ht="12.75" customHeight="1" x14ac:dyDescent="0.2">
      <c r="B146" s="415" t="str">
        <f>IF(B140&lt;&gt;"","Total " &amp; B140 &amp; " scripts","")</f>
        <v/>
      </c>
      <c r="C146" s="415" t="str">
        <f>IF(C140&lt;&gt;"","Total " &amp; C140 &amp; " scripts","")</f>
        <v/>
      </c>
      <c r="D146" s="128"/>
      <c r="E146" s="128"/>
      <c r="F146" s="128"/>
    </row>
    <row r="147" spans="2:6" ht="12.75" customHeight="1" x14ac:dyDescent="0.2">
      <c r="B147" s="415" t="str">
        <f>IF(TPInit&gt;0,"I",IF(TPAll&gt;0,"IC",""))</f>
        <v/>
      </c>
      <c r="C147" s="415" t="str">
        <f>IF(AND(TxPhase1Code="I",TPCont&gt;0),"C","")</f>
        <v/>
      </c>
    </row>
  </sheetData>
  <sortState ref="AA22:AB35">
    <sortCondition ref="AA22"/>
  </sortState>
  <mergeCells count="64">
    <mergeCell ref="E125:F125"/>
    <mergeCell ref="AU5:AY5"/>
    <mergeCell ref="B137:C137"/>
    <mergeCell ref="B5:C5"/>
    <mergeCell ref="B29:C29"/>
    <mergeCell ref="B41:C41"/>
    <mergeCell ref="AU48:AZ48"/>
    <mergeCell ref="AU87:AZ87"/>
    <mergeCell ref="B17:C17"/>
    <mergeCell ref="E29:F29"/>
    <mergeCell ref="B125:C125"/>
    <mergeCell ref="E53:F53"/>
    <mergeCell ref="E41:F41"/>
    <mergeCell ref="B53:C53"/>
    <mergeCell ref="B65:C65"/>
    <mergeCell ref="B77:C77"/>
    <mergeCell ref="B36:C36"/>
    <mergeCell ref="E89:F89"/>
    <mergeCell ref="E101:F101"/>
    <mergeCell ref="E77:F77"/>
    <mergeCell ref="B89:C89"/>
    <mergeCell ref="B101:C101"/>
    <mergeCell ref="AL48:AR48"/>
    <mergeCell ref="AL87:AR87"/>
    <mergeCell ref="B113:C113"/>
    <mergeCell ref="E113:F113"/>
    <mergeCell ref="L5:N5"/>
    <mergeCell ref="AA65:AB65"/>
    <mergeCell ref="E65:F65"/>
    <mergeCell ref="AL5:AQ5"/>
    <mergeCell ref="AE21:AH21"/>
    <mergeCell ref="AE5:AH5"/>
    <mergeCell ref="E5:F5"/>
    <mergeCell ref="AA21:AB21"/>
    <mergeCell ref="AA43:AB43"/>
    <mergeCell ref="R5:U5"/>
    <mergeCell ref="E17:F17"/>
    <mergeCell ref="L17:N17"/>
    <mergeCell ref="AE37:AF37"/>
    <mergeCell ref="AE38:AF38"/>
    <mergeCell ref="AE39:AF39"/>
    <mergeCell ref="AE40:AF40"/>
    <mergeCell ref="AE41:AF41"/>
    <mergeCell ref="AE42:AF42"/>
    <mergeCell ref="AE43:AF43"/>
    <mergeCell ref="AE44:AF44"/>
    <mergeCell ref="AE45:AF45"/>
    <mergeCell ref="AE46:AF46"/>
    <mergeCell ref="AE47:AF47"/>
    <mergeCell ref="AE48:AF48"/>
    <mergeCell ref="AE49:AF49"/>
    <mergeCell ref="AE50:AF50"/>
    <mergeCell ref="AE51:AF51"/>
    <mergeCell ref="AE52:AF52"/>
    <mergeCell ref="AE53:AF53"/>
    <mergeCell ref="AE54:AF54"/>
    <mergeCell ref="AE55:AF55"/>
    <mergeCell ref="AE56:AF56"/>
    <mergeCell ref="AE62:AF62"/>
    <mergeCell ref="AE57:AF57"/>
    <mergeCell ref="AE58:AF58"/>
    <mergeCell ref="AE59:AF59"/>
    <mergeCell ref="AE60:AF60"/>
    <mergeCell ref="AE61:AF61"/>
  </mergeCells>
  <pageMargins left="0.7" right="0.7" top="0.75" bottom="0.75" header="0.3" footer="0.3"/>
  <pageSetup paperSize="9" orientation="portrait" horizontalDpi="300" verticalDpi="300" r:id="rId1"/>
  <ignoredErrors>
    <ignoredError sqref="AL122:AQ122 AL83 AM83:AQ83" formula="1"/>
  </ignoredError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5"/>
  </sheetPr>
  <dimension ref="A1:T406"/>
  <sheetViews>
    <sheetView showGridLines="0" zoomScaleNormal="100" workbookViewId="0">
      <pane ySplit="3" topLeftCell="A4" activePane="bottomLeft" state="frozen"/>
      <selection pane="bottomLeft"/>
    </sheetView>
  </sheetViews>
  <sheetFormatPr defaultRowHeight="12.75" customHeight="1" x14ac:dyDescent="0.2"/>
  <cols>
    <col min="1" max="1" width="3.7109375" customWidth="1"/>
    <col min="2" max="2" width="15.7109375" customWidth="1"/>
    <col min="3" max="16" width="9.140625" customWidth="1"/>
  </cols>
  <sheetData>
    <row r="1" spans="1:20" ht="23.25" x14ac:dyDescent="0.2">
      <c r="A1" s="311"/>
      <c r="B1" s="203" t="s">
        <v>32</v>
      </c>
      <c r="C1" s="311"/>
      <c r="D1" s="311"/>
      <c r="E1" s="311"/>
      <c r="F1" s="311"/>
      <c r="G1" s="311"/>
      <c r="H1" s="311"/>
      <c r="I1" s="311"/>
      <c r="J1" s="311"/>
      <c r="K1" s="311"/>
      <c r="L1" s="311"/>
      <c r="M1" s="311"/>
      <c r="N1" s="311"/>
      <c r="O1" s="311"/>
      <c r="P1" s="311"/>
      <c r="Q1" s="311"/>
      <c r="R1" s="311"/>
      <c r="S1" s="311"/>
      <c r="T1" s="311"/>
    </row>
    <row r="2" spans="1:20" ht="15.75" x14ac:dyDescent="0.2">
      <c r="A2" s="312"/>
      <c r="B2" s="313" t="s">
        <v>455</v>
      </c>
      <c r="C2" s="312"/>
      <c r="D2" s="312"/>
      <c r="E2" s="312"/>
      <c r="F2" s="312"/>
      <c r="G2" s="312"/>
      <c r="H2" s="312"/>
      <c r="I2" s="312"/>
      <c r="J2" s="312"/>
      <c r="K2" s="312"/>
      <c r="L2" s="312"/>
      <c r="M2" s="312"/>
      <c r="N2" s="312"/>
      <c r="O2" s="312"/>
      <c r="P2" s="312"/>
      <c r="Q2" s="312"/>
      <c r="R2" s="312"/>
      <c r="S2" s="312"/>
      <c r="T2" s="312"/>
    </row>
    <row r="3" spans="1:20" ht="15.75" x14ac:dyDescent="0.2">
      <c r="A3" s="312"/>
      <c r="B3" s="314" t="str">
        <f>References!H3</f>
        <v>Version 10.81 - 1/8/2021</v>
      </c>
      <c r="C3" s="312"/>
      <c r="D3" s="312"/>
      <c r="E3" s="312"/>
      <c r="F3" s="312"/>
      <c r="G3" s="312"/>
      <c r="H3" s="312"/>
      <c r="I3" s="312"/>
      <c r="J3" s="312"/>
      <c r="K3" s="312"/>
      <c r="L3" s="312"/>
      <c r="M3" s="312"/>
      <c r="N3" s="312"/>
      <c r="O3" s="312"/>
      <c r="P3" s="312"/>
      <c r="Q3" s="312"/>
      <c r="R3" s="312"/>
      <c r="S3" s="312"/>
      <c r="T3" s="312"/>
    </row>
    <row r="4" spans="1:20" ht="15" x14ac:dyDescent="0.2">
      <c r="A4" s="120"/>
      <c r="B4" s="150"/>
    </row>
    <row r="5" spans="1:20" s="416" customFormat="1" ht="20.25" thickBot="1" x14ac:dyDescent="0.25">
      <c r="A5" s="434"/>
      <c r="B5" s="441" t="s">
        <v>1312</v>
      </c>
    </row>
    <row r="6" spans="1:20" s="416" customFormat="1" ht="13.5" thickTop="1" x14ac:dyDescent="0.2">
      <c r="A6" s="434"/>
      <c r="B6" s="417" t="s">
        <v>1313</v>
      </c>
    </row>
    <row r="7" spans="1:20" s="416" customFormat="1" x14ac:dyDescent="0.2">
      <c r="A7" s="434"/>
      <c r="B7" s="417" t="s">
        <v>1314</v>
      </c>
    </row>
    <row r="8" spans="1:20" s="416" customFormat="1" ht="15" x14ac:dyDescent="0.2">
      <c r="A8" s="434"/>
      <c r="B8" s="150"/>
    </row>
    <row r="9" spans="1:20" s="416" customFormat="1" ht="20.25" thickBot="1" x14ac:dyDescent="0.25">
      <c r="A9" s="434"/>
      <c r="B9" s="441" t="s">
        <v>1071</v>
      </c>
    </row>
    <row r="10" spans="1:20" s="416" customFormat="1" ht="13.5" thickTop="1" x14ac:dyDescent="0.2">
      <c r="A10" s="434"/>
      <c r="B10" s="417" t="s">
        <v>1068</v>
      </c>
    </row>
    <row r="11" spans="1:20" s="416" customFormat="1" x14ac:dyDescent="0.2">
      <c r="A11" s="434"/>
      <c r="B11" s="417" t="s">
        <v>1069</v>
      </c>
    </row>
    <row r="12" spans="1:20" s="416" customFormat="1" x14ac:dyDescent="0.2">
      <c r="A12" s="434"/>
      <c r="B12" s="417" t="s">
        <v>1072</v>
      </c>
    </row>
    <row r="13" spans="1:20" s="416" customFormat="1" x14ac:dyDescent="0.2">
      <c r="A13" s="434"/>
      <c r="B13" s="417" t="s">
        <v>1073</v>
      </c>
    </row>
    <row r="14" spans="1:20" s="416" customFormat="1" x14ac:dyDescent="0.2">
      <c r="A14" s="434"/>
      <c r="B14" s="417" t="s">
        <v>1074</v>
      </c>
    </row>
    <row r="15" spans="1:20" s="416" customFormat="1" x14ac:dyDescent="0.2">
      <c r="A15" s="434"/>
      <c r="B15" s="417" t="s">
        <v>1076</v>
      </c>
    </row>
    <row r="16" spans="1:20" s="416" customFormat="1" x14ac:dyDescent="0.2">
      <c r="A16" s="434"/>
      <c r="B16" s="417" t="s">
        <v>1075</v>
      </c>
    </row>
    <row r="17" spans="1:2" s="416" customFormat="1" x14ac:dyDescent="0.2">
      <c r="A17" s="434"/>
      <c r="B17" s="417" t="s">
        <v>1081</v>
      </c>
    </row>
    <row r="18" spans="1:2" s="416" customFormat="1" x14ac:dyDescent="0.2">
      <c r="A18" s="434"/>
      <c r="B18" s="417" t="s">
        <v>1082</v>
      </c>
    </row>
    <row r="19" spans="1:2" s="416" customFormat="1" x14ac:dyDescent="0.2">
      <c r="A19" s="434"/>
      <c r="B19" s="417" t="s">
        <v>1083</v>
      </c>
    </row>
    <row r="20" spans="1:2" s="416" customFormat="1" x14ac:dyDescent="0.2">
      <c r="A20" s="434"/>
      <c r="B20" s="417" t="s">
        <v>1084</v>
      </c>
    </row>
    <row r="21" spans="1:2" s="416" customFormat="1" x14ac:dyDescent="0.2">
      <c r="A21" s="434"/>
      <c r="B21" s="417" t="s">
        <v>1085</v>
      </c>
    </row>
    <row r="22" spans="1:2" s="416" customFormat="1" x14ac:dyDescent="0.2">
      <c r="A22" s="434"/>
      <c r="B22" s="417" t="s">
        <v>1086</v>
      </c>
    </row>
    <row r="23" spans="1:2" s="416" customFormat="1" x14ac:dyDescent="0.2">
      <c r="A23" s="434"/>
      <c r="B23" s="417" t="s">
        <v>1104</v>
      </c>
    </row>
    <row r="24" spans="1:2" s="416" customFormat="1" x14ac:dyDescent="0.2">
      <c r="A24" s="434"/>
      <c r="B24" s="417" t="s">
        <v>1103</v>
      </c>
    </row>
    <row r="25" spans="1:2" s="416" customFormat="1" x14ac:dyDescent="0.2">
      <c r="A25" s="434"/>
      <c r="B25" s="417" t="s">
        <v>1116</v>
      </c>
    </row>
    <row r="26" spans="1:2" s="416" customFormat="1" x14ac:dyDescent="0.2">
      <c r="A26" s="434"/>
      <c r="B26" s="417" t="s">
        <v>1117</v>
      </c>
    </row>
    <row r="27" spans="1:2" s="416" customFormat="1" x14ac:dyDescent="0.2">
      <c r="A27" s="434"/>
      <c r="B27" s="417" t="s">
        <v>1118</v>
      </c>
    </row>
    <row r="28" spans="1:2" s="416" customFormat="1" x14ac:dyDescent="0.2">
      <c r="A28" s="434"/>
      <c r="B28" s="417" t="s">
        <v>1132</v>
      </c>
    </row>
    <row r="29" spans="1:2" s="416" customFormat="1" x14ac:dyDescent="0.2">
      <c r="A29" s="434"/>
      <c r="B29" s="417" t="s">
        <v>1134</v>
      </c>
    </row>
    <row r="30" spans="1:2" s="416" customFormat="1" x14ac:dyDescent="0.2">
      <c r="A30" s="434"/>
      <c r="B30" s="417" t="s">
        <v>1163</v>
      </c>
    </row>
    <row r="31" spans="1:2" s="416" customFormat="1" x14ac:dyDescent="0.2">
      <c r="A31" s="434"/>
      <c r="B31" s="417" t="s">
        <v>1164</v>
      </c>
    </row>
    <row r="32" spans="1:2" s="416" customFormat="1" x14ac:dyDescent="0.2">
      <c r="A32" s="434"/>
      <c r="B32" s="417" t="s">
        <v>1137</v>
      </c>
    </row>
    <row r="33" spans="1:2" s="416" customFormat="1" x14ac:dyDescent="0.2">
      <c r="A33" s="434"/>
      <c r="B33" s="417" t="s">
        <v>1138</v>
      </c>
    </row>
    <row r="34" spans="1:2" s="416" customFormat="1" x14ac:dyDescent="0.2">
      <c r="A34" s="434"/>
      <c r="B34" s="417" t="s">
        <v>1135</v>
      </c>
    </row>
    <row r="35" spans="1:2" s="416" customFormat="1" x14ac:dyDescent="0.2">
      <c r="A35" s="434"/>
      <c r="B35" s="417" t="s">
        <v>1136</v>
      </c>
    </row>
    <row r="36" spans="1:2" s="416" customFormat="1" x14ac:dyDescent="0.2">
      <c r="A36" s="434"/>
      <c r="B36" s="417" t="s">
        <v>1139</v>
      </c>
    </row>
    <row r="37" spans="1:2" s="416" customFormat="1" x14ac:dyDescent="0.2">
      <c r="A37" s="434"/>
      <c r="B37" s="417" t="s">
        <v>1140</v>
      </c>
    </row>
    <row r="38" spans="1:2" s="416" customFormat="1" x14ac:dyDescent="0.2">
      <c r="A38" s="434"/>
      <c r="B38" s="417" t="s">
        <v>1141</v>
      </c>
    </row>
    <row r="39" spans="1:2" s="416" customFormat="1" x14ac:dyDescent="0.2">
      <c r="A39" s="434"/>
      <c r="B39" s="417" t="s">
        <v>1142</v>
      </c>
    </row>
    <row r="40" spans="1:2" s="416" customFormat="1" x14ac:dyDescent="0.2">
      <c r="A40" s="434"/>
      <c r="B40" s="417" t="s">
        <v>1133</v>
      </c>
    </row>
    <row r="41" spans="1:2" s="416" customFormat="1" x14ac:dyDescent="0.2">
      <c r="A41" s="434"/>
      <c r="B41" s="417" t="s">
        <v>1143</v>
      </c>
    </row>
    <row r="42" spans="1:2" s="416" customFormat="1" x14ac:dyDescent="0.2">
      <c r="A42" s="434"/>
      <c r="B42" s="417" t="s">
        <v>1144</v>
      </c>
    </row>
    <row r="43" spans="1:2" s="416" customFormat="1" x14ac:dyDescent="0.2">
      <c r="A43" s="434"/>
      <c r="B43" s="417" t="s">
        <v>1145</v>
      </c>
    </row>
    <row r="44" spans="1:2" s="416" customFormat="1" x14ac:dyDescent="0.2">
      <c r="A44" s="434"/>
      <c r="B44" s="417" t="s">
        <v>1146</v>
      </c>
    </row>
    <row r="45" spans="1:2" s="416" customFormat="1" x14ac:dyDescent="0.2">
      <c r="A45" s="434"/>
      <c r="B45" s="417" t="s">
        <v>1147</v>
      </c>
    </row>
    <row r="46" spans="1:2" s="416" customFormat="1" x14ac:dyDescent="0.2">
      <c r="A46" s="434"/>
      <c r="B46" s="417" t="s">
        <v>1148</v>
      </c>
    </row>
    <row r="47" spans="1:2" s="416" customFormat="1" x14ac:dyDescent="0.2">
      <c r="A47" s="434"/>
      <c r="B47" s="417" t="s">
        <v>1149</v>
      </c>
    </row>
    <row r="48" spans="1:2" s="416" customFormat="1" x14ac:dyDescent="0.2">
      <c r="A48" s="434"/>
      <c r="B48" s="417" t="s">
        <v>1150</v>
      </c>
    </row>
    <row r="49" spans="1:2" s="416" customFormat="1" x14ac:dyDescent="0.2">
      <c r="A49" s="434"/>
      <c r="B49" s="417" t="s">
        <v>1151</v>
      </c>
    </row>
    <row r="50" spans="1:2" s="416" customFormat="1" x14ac:dyDescent="0.2">
      <c r="A50" s="434"/>
      <c r="B50" s="417" t="s">
        <v>1154</v>
      </c>
    </row>
    <row r="51" spans="1:2" s="416" customFormat="1" x14ac:dyDescent="0.2">
      <c r="A51" s="434"/>
      <c r="B51" s="417" t="s">
        <v>1155</v>
      </c>
    </row>
    <row r="52" spans="1:2" s="416" customFormat="1" x14ac:dyDescent="0.2">
      <c r="A52" s="434"/>
      <c r="B52" s="417" t="s">
        <v>1162</v>
      </c>
    </row>
    <row r="53" spans="1:2" s="416" customFormat="1" x14ac:dyDescent="0.2">
      <c r="A53" s="434"/>
      <c r="B53" s="417" t="s">
        <v>1169</v>
      </c>
    </row>
    <row r="54" spans="1:2" s="416" customFormat="1" x14ac:dyDescent="0.2">
      <c r="A54" s="434"/>
      <c r="B54" s="417" t="s">
        <v>1170</v>
      </c>
    </row>
    <row r="55" spans="1:2" s="416" customFormat="1" x14ac:dyDescent="0.2">
      <c r="A55" s="434"/>
      <c r="B55" s="417" t="s">
        <v>1171</v>
      </c>
    </row>
    <row r="56" spans="1:2" s="416" customFormat="1" x14ac:dyDescent="0.2">
      <c r="A56" s="434"/>
      <c r="B56" s="417" t="s">
        <v>1173</v>
      </c>
    </row>
    <row r="57" spans="1:2" s="416" customFormat="1" x14ac:dyDescent="0.2">
      <c r="A57" s="434"/>
      <c r="B57" s="417" t="s">
        <v>1178</v>
      </c>
    </row>
    <row r="58" spans="1:2" s="416" customFormat="1" x14ac:dyDescent="0.2">
      <c r="A58" s="434"/>
      <c r="B58" s="417" t="s">
        <v>1179</v>
      </c>
    </row>
    <row r="59" spans="1:2" s="416" customFormat="1" x14ac:dyDescent="0.2">
      <c r="A59" s="434"/>
      <c r="B59" s="417" t="s">
        <v>1183</v>
      </c>
    </row>
    <row r="60" spans="1:2" s="416" customFormat="1" x14ac:dyDescent="0.2">
      <c r="A60" s="434"/>
      <c r="B60" s="417" t="s">
        <v>1195</v>
      </c>
    </row>
    <row r="61" spans="1:2" s="416" customFormat="1" x14ac:dyDescent="0.2">
      <c r="A61" s="434"/>
      <c r="B61" s="417" t="s">
        <v>1196</v>
      </c>
    </row>
    <row r="62" spans="1:2" s="416" customFormat="1" x14ac:dyDescent="0.2">
      <c r="A62" s="434"/>
      <c r="B62" s="417" t="s">
        <v>1197</v>
      </c>
    </row>
    <row r="63" spans="1:2" s="416" customFormat="1" x14ac:dyDescent="0.2">
      <c r="A63" s="434"/>
      <c r="B63" s="417" t="s">
        <v>1199</v>
      </c>
    </row>
    <row r="64" spans="1:2" s="416" customFormat="1" x14ac:dyDescent="0.2">
      <c r="A64" s="434"/>
      <c r="B64" s="417" t="s">
        <v>1198</v>
      </c>
    </row>
    <row r="65" spans="1:2" s="416" customFormat="1" x14ac:dyDescent="0.2">
      <c r="A65" s="434"/>
      <c r="B65" s="417" t="s">
        <v>1200</v>
      </c>
    </row>
    <row r="66" spans="1:2" s="416" customFormat="1" x14ac:dyDescent="0.2">
      <c r="A66" s="434"/>
      <c r="B66" s="417" t="s">
        <v>1201</v>
      </c>
    </row>
    <row r="67" spans="1:2" s="416" customFormat="1" x14ac:dyDescent="0.2">
      <c r="A67" s="434"/>
      <c r="B67" s="417" t="s">
        <v>1246</v>
      </c>
    </row>
    <row r="68" spans="1:2" s="416" customFormat="1" x14ac:dyDescent="0.2">
      <c r="A68" s="434"/>
      <c r="B68" s="417" t="s">
        <v>1247</v>
      </c>
    </row>
    <row r="69" spans="1:2" s="416" customFormat="1" x14ac:dyDescent="0.2">
      <c r="A69" s="434"/>
      <c r="B69" s="417" t="s">
        <v>1299</v>
      </c>
    </row>
    <row r="70" spans="1:2" s="416" customFormat="1" x14ac:dyDescent="0.2">
      <c r="A70" s="434"/>
      <c r="B70" s="417" t="s">
        <v>1305</v>
      </c>
    </row>
    <row r="71" spans="1:2" s="416" customFormat="1" x14ac:dyDescent="0.2">
      <c r="A71" s="434"/>
      <c r="B71" s="417" t="s">
        <v>1309</v>
      </c>
    </row>
    <row r="72" spans="1:2" s="416" customFormat="1" ht="15" x14ac:dyDescent="0.2">
      <c r="A72" s="434"/>
      <c r="B72" s="150"/>
    </row>
    <row r="73" spans="1:2" s="416" customFormat="1" ht="20.25" thickBot="1" x14ac:dyDescent="0.25">
      <c r="A73" s="434"/>
      <c r="B73" s="441" t="s">
        <v>1036</v>
      </c>
    </row>
    <row r="74" spans="1:2" s="416" customFormat="1" ht="13.5" thickTop="1" x14ac:dyDescent="0.2">
      <c r="A74" s="434"/>
      <c r="B74" s="417" t="s">
        <v>1055</v>
      </c>
    </row>
    <row r="75" spans="1:2" s="416" customFormat="1" x14ac:dyDescent="0.2">
      <c r="A75" s="434"/>
      <c r="B75" s="417" t="s">
        <v>1059</v>
      </c>
    </row>
    <row r="76" spans="1:2" s="416" customFormat="1" x14ac:dyDescent="0.2">
      <c r="A76" s="434"/>
      <c r="B76" s="417" t="s">
        <v>1049</v>
      </c>
    </row>
    <row r="77" spans="1:2" s="416" customFormat="1" x14ac:dyDescent="0.2">
      <c r="A77" s="434"/>
      <c r="B77" s="417" t="s">
        <v>1050</v>
      </c>
    </row>
    <row r="78" spans="1:2" s="416" customFormat="1" x14ac:dyDescent="0.2">
      <c r="A78" s="434"/>
      <c r="B78" s="417" t="s">
        <v>1051</v>
      </c>
    </row>
    <row r="79" spans="1:2" s="416" customFormat="1" x14ac:dyDescent="0.2">
      <c r="A79" s="434"/>
      <c r="B79" s="417" t="s">
        <v>1052</v>
      </c>
    </row>
    <row r="80" spans="1:2" s="416" customFormat="1" x14ac:dyDescent="0.2">
      <c r="A80" s="434"/>
      <c r="B80" s="417" t="s">
        <v>1053</v>
      </c>
    </row>
    <row r="81" spans="1:2" s="416" customFormat="1" x14ac:dyDescent="0.2">
      <c r="A81" s="434"/>
      <c r="B81" s="417" t="s">
        <v>1054</v>
      </c>
    </row>
    <row r="82" spans="1:2" s="416" customFormat="1" x14ac:dyDescent="0.2">
      <c r="A82" s="434"/>
      <c r="B82" s="417" t="s">
        <v>1058</v>
      </c>
    </row>
    <row r="83" spans="1:2" s="416" customFormat="1" x14ac:dyDescent="0.2">
      <c r="A83" s="434"/>
      <c r="B83" s="417" t="s">
        <v>1060</v>
      </c>
    </row>
    <row r="84" spans="1:2" s="416" customFormat="1" x14ac:dyDescent="0.2">
      <c r="A84" s="434"/>
      <c r="B84" s="417" t="s">
        <v>1061</v>
      </c>
    </row>
    <row r="85" spans="1:2" s="416" customFormat="1" x14ac:dyDescent="0.2">
      <c r="A85" s="434"/>
      <c r="B85" s="417" t="s">
        <v>1062</v>
      </c>
    </row>
    <row r="86" spans="1:2" s="416" customFormat="1" x14ac:dyDescent="0.2">
      <c r="A86" s="434"/>
      <c r="B86" s="417" t="s">
        <v>1066</v>
      </c>
    </row>
    <row r="87" spans="1:2" s="416" customFormat="1" ht="15" x14ac:dyDescent="0.2">
      <c r="A87" s="434"/>
      <c r="B87" s="150"/>
    </row>
    <row r="88" spans="1:2" s="416" customFormat="1" ht="20.25" thickBot="1" x14ac:dyDescent="0.25">
      <c r="A88" s="434"/>
      <c r="B88" s="441" t="s">
        <v>986</v>
      </c>
    </row>
    <row r="89" spans="1:2" s="416" customFormat="1" ht="13.5" thickTop="1" x14ac:dyDescent="0.2">
      <c r="A89" s="434"/>
      <c r="B89" s="417" t="s">
        <v>987</v>
      </c>
    </row>
    <row r="90" spans="1:2" s="416" customFormat="1" x14ac:dyDescent="0.2">
      <c r="A90" s="434"/>
      <c r="B90" s="417" t="s">
        <v>988</v>
      </c>
    </row>
    <row r="91" spans="1:2" s="416" customFormat="1" x14ac:dyDescent="0.2">
      <c r="A91" s="434"/>
      <c r="B91" s="417" t="s">
        <v>989</v>
      </c>
    </row>
    <row r="92" spans="1:2" s="416" customFormat="1" x14ac:dyDescent="0.2">
      <c r="A92" s="434"/>
      <c r="B92" s="417" t="s">
        <v>990</v>
      </c>
    </row>
    <row r="93" spans="1:2" s="416" customFormat="1" x14ac:dyDescent="0.2">
      <c r="A93" s="434"/>
      <c r="B93" s="417" t="s">
        <v>1004</v>
      </c>
    </row>
    <row r="94" spans="1:2" s="416" customFormat="1" x14ac:dyDescent="0.2">
      <c r="A94" s="434"/>
      <c r="B94" s="417" t="s">
        <v>991</v>
      </c>
    </row>
    <row r="95" spans="1:2" s="416" customFormat="1" x14ac:dyDescent="0.2">
      <c r="A95" s="434"/>
      <c r="B95" s="417" t="s">
        <v>995</v>
      </c>
    </row>
    <row r="96" spans="1:2" s="416" customFormat="1" x14ac:dyDescent="0.2">
      <c r="A96" s="434"/>
      <c r="B96" s="417" t="s">
        <v>992</v>
      </c>
    </row>
    <row r="97" spans="1:2" s="416" customFormat="1" x14ac:dyDescent="0.2">
      <c r="A97" s="434"/>
      <c r="B97" s="417" t="s">
        <v>993</v>
      </c>
    </row>
    <row r="98" spans="1:2" s="416" customFormat="1" x14ac:dyDescent="0.2">
      <c r="A98" s="434"/>
      <c r="B98" s="417" t="s">
        <v>994</v>
      </c>
    </row>
    <row r="99" spans="1:2" s="416" customFormat="1" x14ac:dyDescent="0.2">
      <c r="A99" s="434"/>
      <c r="B99" s="417" t="s">
        <v>996</v>
      </c>
    </row>
    <row r="100" spans="1:2" s="416" customFormat="1" x14ac:dyDescent="0.2">
      <c r="A100" s="434"/>
      <c r="B100" s="417" t="s">
        <v>997</v>
      </c>
    </row>
    <row r="101" spans="1:2" s="416" customFormat="1" x14ac:dyDescent="0.2">
      <c r="A101" s="434"/>
      <c r="B101" s="417" t="s">
        <v>998</v>
      </c>
    </row>
    <row r="102" spans="1:2" s="416" customFormat="1" x14ac:dyDescent="0.2">
      <c r="A102" s="434"/>
      <c r="B102" s="417" t="s">
        <v>1037</v>
      </c>
    </row>
    <row r="103" spans="1:2" s="416" customFormat="1" x14ac:dyDescent="0.2">
      <c r="A103" s="434"/>
      <c r="B103" s="417" t="s">
        <v>999</v>
      </c>
    </row>
    <row r="104" spans="1:2" s="416" customFormat="1" x14ac:dyDescent="0.2">
      <c r="A104" s="434"/>
      <c r="B104" s="417" t="s">
        <v>1000</v>
      </c>
    </row>
    <row r="105" spans="1:2" s="416" customFormat="1" x14ac:dyDescent="0.2">
      <c r="A105" s="434"/>
      <c r="B105" s="417" t="s">
        <v>1001</v>
      </c>
    </row>
    <row r="106" spans="1:2" s="416" customFormat="1" x14ac:dyDescent="0.2">
      <c r="A106" s="434"/>
      <c r="B106" s="417" t="s">
        <v>1002</v>
      </c>
    </row>
    <row r="107" spans="1:2" s="416" customFormat="1" x14ac:dyDescent="0.2">
      <c r="A107" s="434"/>
      <c r="B107" s="417" t="s">
        <v>1003</v>
      </c>
    </row>
    <row r="108" spans="1:2" s="416" customFormat="1" x14ac:dyDescent="0.2">
      <c r="A108" s="434"/>
      <c r="B108" s="417" t="s">
        <v>1017</v>
      </c>
    </row>
    <row r="109" spans="1:2" s="416" customFormat="1" x14ac:dyDescent="0.2">
      <c r="A109" s="434"/>
      <c r="B109" s="417" t="s">
        <v>1018</v>
      </c>
    </row>
    <row r="110" spans="1:2" s="416" customFormat="1" x14ac:dyDescent="0.2">
      <c r="A110" s="434"/>
      <c r="B110" s="417" t="s">
        <v>1019</v>
      </c>
    </row>
    <row r="111" spans="1:2" s="416" customFormat="1" x14ac:dyDescent="0.2">
      <c r="A111" s="434"/>
      <c r="B111" s="417" t="s">
        <v>1020</v>
      </c>
    </row>
    <row r="112" spans="1:2" s="416" customFormat="1" x14ac:dyDescent="0.2">
      <c r="A112" s="434"/>
      <c r="B112" s="417" t="s">
        <v>1021</v>
      </c>
    </row>
    <row r="113" spans="1:2" s="416" customFormat="1" x14ac:dyDescent="0.2">
      <c r="A113" s="434"/>
      <c r="B113" s="417" t="s">
        <v>1022</v>
      </c>
    </row>
    <row r="114" spans="1:2" s="416" customFormat="1" x14ac:dyDescent="0.2">
      <c r="A114" s="434"/>
      <c r="B114" s="417"/>
    </row>
    <row r="115" spans="1:2" s="416" customFormat="1" ht="20.25" thickBot="1" x14ac:dyDescent="0.25">
      <c r="A115" s="434"/>
      <c r="B115" s="441" t="s">
        <v>975</v>
      </c>
    </row>
    <row r="116" spans="1:2" s="416" customFormat="1" ht="13.5" thickTop="1" x14ac:dyDescent="0.2">
      <c r="A116" s="434"/>
      <c r="B116" s="417" t="s">
        <v>976</v>
      </c>
    </row>
    <row r="117" spans="1:2" s="416" customFormat="1" x14ac:dyDescent="0.2">
      <c r="A117" s="434"/>
      <c r="B117" s="417" t="s">
        <v>977</v>
      </c>
    </row>
    <row r="118" spans="1:2" s="416" customFormat="1" x14ac:dyDescent="0.2">
      <c r="A118" s="434"/>
      <c r="B118" s="417" t="s">
        <v>978</v>
      </c>
    </row>
    <row r="119" spans="1:2" s="416" customFormat="1" x14ac:dyDescent="0.2">
      <c r="A119" s="434"/>
      <c r="B119" s="417" t="s">
        <v>979</v>
      </c>
    </row>
    <row r="120" spans="1:2" s="416" customFormat="1" x14ac:dyDescent="0.2">
      <c r="A120" s="434"/>
      <c r="B120" s="417" t="s">
        <v>980</v>
      </c>
    </row>
    <row r="121" spans="1:2" s="416" customFormat="1" x14ac:dyDescent="0.2">
      <c r="A121" s="434"/>
      <c r="B121" s="417" t="s">
        <v>981</v>
      </c>
    </row>
    <row r="122" spans="1:2" s="416" customFormat="1" x14ac:dyDescent="0.2">
      <c r="A122" s="434"/>
      <c r="B122" s="417" t="s">
        <v>983</v>
      </c>
    </row>
    <row r="123" spans="1:2" s="416" customFormat="1" x14ac:dyDescent="0.2">
      <c r="A123" s="434"/>
      <c r="B123" s="417" t="s">
        <v>984</v>
      </c>
    </row>
    <row r="124" spans="1:2" s="416" customFormat="1" x14ac:dyDescent="0.2">
      <c r="A124" s="434"/>
      <c r="B124" s="417" t="s">
        <v>985</v>
      </c>
    </row>
    <row r="125" spans="1:2" s="416" customFormat="1" x14ac:dyDescent="0.2">
      <c r="A125" s="434"/>
      <c r="B125" s="417"/>
    </row>
    <row r="126" spans="1:2" s="416" customFormat="1" ht="20.25" thickBot="1" x14ac:dyDescent="0.25">
      <c r="A126" s="434"/>
      <c r="B126" s="441" t="s">
        <v>969</v>
      </c>
    </row>
    <row r="127" spans="1:2" s="416" customFormat="1" ht="13.5" thickTop="1" x14ac:dyDescent="0.2">
      <c r="A127" s="434"/>
      <c r="B127" s="417" t="s">
        <v>964</v>
      </c>
    </row>
    <row r="128" spans="1:2" s="416" customFormat="1" x14ac:dyDescent="0.2">
      <c r="A128" s="434"/>
      <c r="B128" s="417" t="s">
        <v>965</v>
      </c>
    </row>
    <row r="129" spans="1:2" s="416" customFormat="1" x14ac:dyDescent="0.2">
      <c r="A129" s="434"/>
      <c r="B129" s="417" t="s">
        <v>966</v>
      </c>
    </row>
    <row r="130" spans="1:2" s="416" customFormat="1" x14ac:dyDescent="0.2">
      <c r="A130" s="434"/>
      <c r="B130" s="417" t="s">
        <v>967</v>
      </c>
    </row>
    <row r="131" spans="1:2" s="416" customFormat="1" x14ac:dyDescent="0.2">
      <c r="A131" s="434"/>
      <c r="B131" s="417" t="s">
        <v>968</v>
      </c>
    </row>
    <row r="132" spans="1:2" s="416" customFormat="1" x14ac:dyDescent="0.2">
      <c r="A132" s="434"/>
      <c r="B132" s="417" t="s">
        <v>970</v>
      </c>
    </row>
    <row r="133" spans="1:2" s="416" customFormat="1" x14ac:dyDescent="0.2">
      <c r="A133" s="434"/>
      <c r="B133" s="417" t="s">
        <v>971</v>
      </c>
    </row>
    <row r="134" spans="1:2" s="416" customFormat="1" x14ac:dyDescent="0.2">
      <c r="A134" s="434"/>
      <c r="B134" s="417" t="s">
        <v>972</v>
      </c>
    </row>
    <row r="135" spans="1:2" s="416" customFormat="1" x14ac:dyDescent="0.2">
      <c r="A135" s="434"/>
      <c r="B135" s="417" t="s">
        <v>973</v>
      </c>
    </row>
    <row r="136" spans="1:2" s="416" customFormat="1" x14ac:dyDescent="0.2">
      <c r="A136" s="434"/>
      <c r="B136" s="417" t="s">
        <v>974</v>
      </c>
    </row>
    <row r="137" spans="1:2" s="416" customFormat="1" x14ac:dyDescent="0.2">
      <c r="A137" s="434"/>
      <c r="B137" s="417"/>
    </row>
    <row r="138" spans="1:2" s="416" customFormat="1" ht="20.25" thickBot="1" x14ac:dyDescent="0.25">
      <c r="A138" s="434"/>
      <c r="B138" s="441" t="s">
        <v>957</v>
      </c>
    </row>
    <row r="139" spans="1:2" s="416" customFormat="1" ht="13.5" thickTop="1" x14ac:dyDescent="0.2">
      <c r="A139" s="434"/>
      <c r="B139" s="417" t="s">
        <v>1038</v>
      </c>
    </row>
    <row r="140" spans="1:2" s="416" customFormat="1" x14ac:dyDescent="0.2">
      <c r="A140" s="434"/>
      <c r="B140" s="417" t="s">
        <v>958</v>
      </c>
    </row>
    <row r="141" spans="1:2" s="416" customFormat="1" x14ac:dyDescent="0.2">
      <c r="A141" s="434"/>
      <c r="B141" s="417" t="s">
        <v>959</v>
      </c>
    </row>
    <row r="142" spans="1:2" s="416" customFormat="1" x14ac:dyDescent="0.2">
      <c r="A142" s="434"/>
      <c r="B142" s="417" t="s">
        <v>960</v>
      </c>
    </row>
    <row r="143" spans="1:2" s="416" customFormat="1" x14ac:dyDescent="0.2">
      <c r="A143" s="434"/>
      <c r="B143" s="417" t="s">
        <v>1039</v>
      </c>
    </row>
    <row r="144" spans="1:2" s="416" customFormat="1" x14ac:dyDescent="0.2">
      <c r="A144" s="434"/>
      <c r="B144" s="417" t="s">
        <v>961</v>
      </c>
    </row>
    <row r="145" spans="1:2" s="416" customFormat="1" x14ac:dyDescent="0.2">
      <c r="A145" s="434"/>
      <c r="B145" s="417" t="s">
        <v>963</v>
      </c>
    </row>
    <row r="146" spans="1:2" s="416" customFormat="1" x14ac:dyDescent="0.2">
      <c r="A146" s="434"/>
      <c r="B146" s="417" t="s">
        <v>1040</v>
      </c>
    </row>
    <row r="147" spans="1:2" s="416" customFormat="1" ht="14.25" x14ac:dyDescent="0.2">
      <c r="A147" s="434"/>
      <c r="B147" s="355"/>
    </row>
    <row r="148" spans="1:2" s="416" customFormat="1" ht="20.25" thickBot="1" x14ac:dyDescent="0.25">
      <c r="A148" s="434"/>
      <c r="B148" s="441" t="s">
        <v>952</v>
      </c>
    </row>
    <row r="149" spans="1:2" s="416" customFormat="1" ht="13.5" thickTop="1" x14ac:dyDescent="0.2">
      <c r="A149" s="434"/>
      <c r="B149" s="417" t="s">
        <v>1041</v>
      </c>
    </row>
    <row r="150" spans="1:2" s="416" customFormat="1" x14ac:dyDescent="0.2">
      <c r="A150" s="434"/>
      <c r="B150" s="417" t="s">
        <v>946</v>
      </c>
    </row>
    <row r="151" spans="1:2" s="416" customFormat="1" x14ac:dyDescent="0.2">
      <c r="A151" s="434"/>
      <c r="B151" s="417" t="s">
        <v>947</v>
      </c>
    </row>
    <row r="152" spans="1:2" s="416" customFormat="1" x14ac:dyDescent="0.2">
      <c r="A152" s="434"/>
      <c r="B152" s="417" t="s">
        <v>948</v>
      </c>
    </row>
    <row r="153" spans="1:2" s="416" customFormat="1" x14ac:dyDescent="0.2">
      <c r="A153" s="434"/>
      <c r="B153" s="417" t="s">
        <v>953</v>
      </c>
    </row>
    <row r="154" spans="1:2" s="416" customFormat="1" x14ac:dyDescent="0.2">
      <c r="A154" s="434"/>
      <c r="B154" s="417" t="s">
        <v>956</v>
      </c>
    </row>
    <row r="155" spans="1:2" s="416" customFormat="1" x14ac:dyDescent="0.2">
      <c r="A155" s="434"/>
      <c r="B155" s="417"/>
    </row>
    <row r="156" spans="1:2" s="416" customFormat="1" ht="20.25" thickBot="1" x14ac:dyDescent="0.25">
      <c r="A156" s="434"/>
      <c r="B156" s="441" t="s">
        <v>950</v>
      </c>
    </row>
    <row r="157" spans="1:2" s="416" customFormat="1" ht="13.5" thickTop="1" x14ac:dyDescent="0.2">
      <c r="A157" s="434"/>
      <c r="B157" s="417" t="s">
        <v>943</v>
      </c>
    </row>
    <row r="158" spans="1:2" s="416" customFormat="1" x14ac:dyDescent="0.2">
      <c r="A158" s="434"/>
      <c r="B158" s="417" t="s">
        <v>944</v>
      </c>
    </row>
    <row r="159" spans="1:2" s="416" customFormat="1" x14ac:dyDescent="0.2">
      <c r="A159" s="434"/>
      <c r="B159" s="417" t="s">
        <v>945</v>
      </c>
    </row>
    <row r="160" spans="1:2" s="416" customFormat="1" ht="15" x14ac:dyDescent="0.2">
      <c r="A160" s="434"/>
      <c r="B160" s="150"/>
    </row>
    <row r="161" spans="1:2" s="416" customFormat="1" ht="20.25" thickBot="1" x14ac:dyDescent="0.25">
      <c r="A161" s="434"/>
      <c r="B161" s="441" t="s">
        <v>766</v>
      </c>
    </row>
    <row r="162" spans="1:2" s="416" customFormat="1" ht="13.5" thickTop="1" x14ac:dyDescent="0.2">
      <c r="A162" s="434"/>
      <c r="B162" s="417" t="s">
        <v>767</v>
      </c>
    </row>
    <row r="163" spans="1:2" s="416" customFormat="1" x14ac:dyDescent="0.2">
      <c r="A163" s="434"/>
      <c r="B163" s="417" t="s">
        <v>768</v>
      </c>
    </row>
    <row r="164" spans="1:2" s="416" customFormat="1" x14ac:dyDescent="0.2">
      <c r="A164" s="434"/>
      <c r="B164" s="417" t="s">
        <v>769</v>
      </c>
    </row>
    <row r="165" spans="1:2" s="416" customFormat="1" x14ac:dyDescent="0.2">
      <c r="A165" s="434"/>
      <c r="B165" s="417" t="s">
        <v>772</v>
      </c>
    </row>
    <row r="166" spans="1:2" s="416" customFormat="1" x14ac:dyDescent="0.2">
      <c r="A166" s="434"/>
      <c r="B166" s="417" t="s">
        <v>770</v>
      </c>
    </row>
    <row r="167" spans="1:2" s="416" customFormat="1" x14ac:dyDescent="0.2">
      <c r="A167" s="434"/>
      <c r="B167" s="417" t="s">
        <v>771</v>
      </c>
    </row>
    <row r="168" spans="1:2" s="416" customFormat="1" x14ac:dyDescent="0.2">
      <c r="A168" s="434"/>
      <c r="B168" s="417" t="s">
        <v>773</v>
      </c>
    </row>
    <row r="169" spans="1:2" s="416" customFormat="1" x14ac:dyDescent="0.2">
      <c r="A169" s="434"/>
      <c r="B169" s="417" t="s">
        <v>775</v>
      </c>
    </row>
    <row r="170" spans="1:2" s="416" customFormat="1" x14ac:dyDescent="0.2">
      <c r="A170" s="434"/>
      <c r="B170" s="417" t="s">
        <v>776</v>
      </c>
    </row>
    <row r="171" spans="1:2" s="416" customFormat="1" x14ac:dyDescent="0.2">
      <c r="A171" s="434"/>
      <c r="B171" s="417" t="s">
        <v>777</v>
      </c>
    </row>
    <row r="172" spans="1:2" s="416" customFormat="1" x14ac:dyDescent="0.2">
      <c r="A172" s="434"/>
      <c r="B172" s="417" t="s">
        <v>778</v>
      </c>
    </row>
    <row r="173" spans="1:2" s="416" customFormat="1" x14ac:dyDescent="0.2">
      <c r="A173" s="434"/>
      <c r="B173" s="417" t="s">
        <v>779</v>
      </c>
    </row>
    <row r="174" spans="1:2" s="416" customFormat="1" x14ac:dyDescent="0.2">
      <c r="A174" s="434"/>
      <c r="B174" s="417" t="s">
        <v>780</v>
      </c>
    </row>
    <row r="175" spans="1:2" s="416" customFormat="1" x14ac:dyDescent="0.2">
      <c r="A175" s="434"/>
      <c r="B175" s="417" t="s">
        <v>783</v>
      </c>
    </row>
    <row r="176" spans="1:2" s="416" customFormat="1" x14ac:dyDescent="0.2">
      <c r="A176" s="434"/>
      <c r="B176" s="417" t="s">
        <v>784</v>
      </c>
    </row>
    <row r="177" spans="1:2" s="416" customFormat="1" x14ac:dyDescent="0.2">
      <c r="A177" s="434"/>
      <c r="B177" s="417" t="s">
        <v>785</v>
      </c>
    </row>
    <row r="178" spans="1:2" s="416" customFormat="1" x14ac:dyDescent="0.2">
      <c r="A178" s="434"/>
      <c r="B178" s="417" t="s">
        <v>786</v>
      </c>
    </row>
    <row r="179" spans="1:2" s="416" customFormat="1" x14ac:dyDescent="0.2">
      <c r="A179" s="434"/>
      <c r="B179" s="417" t="s">
        <v>787</v>
      </c>
    </row>
    <row r="180" spans="1:2" s="416" customFormat="1" x14ac:dyDescent="0.2">
      <c r="A180" s="434"/>
      <c r="B180" s="417" t="s">
        <v>788</v>
      </c>
    </row>
    <row r="181" spans="1:2" s="416" customFormat="1" x14ac:dyDescent="0.2">
      <c r="A181" s="434"/>
      <c r="B181" s="417" t="s">
        <v>789</v>
      </c>
    </row>
    <row r="182" spans="1:2" s="416" customFormat="1" x14ac:dyDescent="0.2">
      <c r="A182" s="434"/>
      <c r="B182" s="417" t="s">
        <v>790</v>
      </c>
    </row>
    <row r="183" spans="1:2" s="416" customFormat="1" x14ac:dyDescent="0.2">
      <c r="A183" s="434"/>
      <c r="B183" s="417" t="s">
        <v>791</v>
      </c>
    </row>
    <row r="184" spans="1:2" s="416" customFormat="1" x14ac:dyDescent="0.2">
      <c r="A184" s="434"/>
      <c r="B184" s="417" t="s">
        <v>796</v>
      </c>
    </row>
    <row r="185" spans="1:2" s="416" customFormat="1" x14ac:dyDescent="0.2">
      <c r="A185" s="434"/>
      <c r="B185" s="417" t="s">
        <v>797</v>
      </c>
    </row>
    <row r="186" spans="1:2" s="416" customFormat="1" x14ac:dyDescent="0.2">
      <c r="A186" s="434"/>
      <c r="B186" s="417" t="s">
        <v>798</v>
      </c>
    </row>
    <row r="187" spans="1:2" s="416" customFormat="1" x14ac:dyDescent="0.2">
      <c r="A187" s="434"/>
      <c r="B187" s="417" t="s">
        <v>800</v>
      </c>
    </row>
    <row r="188" spans="1:2" s="416" customFormat="1" x14ac:dyDescent="0.2">
      <c r="A188" s="434"/>
      <c r="B188" s="417" t="s">
        <v>799</v>
      </c>
    </row>
    <row r="189" spans="1:2" s="416" customFormat="1" x14ac:dyDescent="0.2">
      <c r="A189" s="434"/>
      <c r="B189" s="417" t="s">
        <v>801</v>
      </c>
    </row>
    <row r="190" spans="1:2" s="416" customFormat="1" x14ac:dyDescent="0.2">
      <c r="A190" s="434"/>
      <c r="B190" s="417" t="s">
        <v>802</v>
      </c>
    </row>
    <row r="191" spans="1:2" s="416" customFormat="1" x14ac:dyDescent="0.2">
      <c r="A191" s="434"/>
      <c r="B191" s="417" t="s">
        <v>803</v>
      </c>
    </row>
    <row r="192" spans="1:2" s="416" customFormat="1" x14ac:dyDescent="0.2">
      <c r="A192" s="434"/>
      <c r="B192" s="417"/>
    </row>
    <row r="193" spans="1:2" s="416" customFormat="1" ht="20.25" thickBot="1" x14ac:dyDescent="0.25">
      <c r="A193" s="434"/>
      <c r="B193" s="441" t="s">
        <v>738</v>
      </c>
    </row>
    <row r="194" spans="1:2" s="416" customFormat="1" ht="13.5" thickTop="1" x14ac:dyDescent="0.2">
      <c r="A194" s="434"/>
      <c r="B194" s="417" t="s">
        <v>739</v>
      </c>
    </row>
    <row r="195" spans="1:2" s="416" customFormat="1" x14ac:dyDescent="0.2">
      <c r="A195" s="434"/>
      <c r="B195" s="417" t="s">
        <v>740</v>
      </c>
    </row>
    <row r="196" spans="1:2" s="416" customFormat="1" x14ac:dyDescent="0.2">
      <c r="A196" s="434"/>
      <c r="B196" s="417" t="s">
        <v>741</v>
      </c>
    </row>
    <row r="197" spans="1:2" s="416" customFormat="1" x14ac:dyDescent="0.2">
      <c r="A197" s="434"/>
      <c r="B197" s="417" t="s">
        <v>742</v>
      </c>
    </row>
    <row r="198" spans="1:2" s="416" customFormat="1" x14ac:dyDescent="0.2">
      <c r="A198" s="434"/>
      <c r="B198" s="417" t="s">
        <v>743</v>
      </c>
    </row>
    <row r="199" spans="1:2" s="416" customFormat="1" x14ac:dyDescent="0.2">
      <c r="A199" s="434"/>
      <c r="B199" s="417" t="s">
        <v>744</v>
      </c>
    </row>
    <row r="200" spans="1:2" s="416" customFormat="1" x14ac:dyDescent="0.2">
      <c r="A200" s="434"/>
      <c r="B200" s="417" t="s">
        <v>745</v>
      </c>
    </row>
    <row r="201" spans="1:2" s="416" customFormat="1" x14ac:dyDescent="0.2">
      <c r="A201" s="434"/>
      <c r="B201" s="417" t="s">
        <v>746</v>
      </c>
    </row>
    <row r="202" spans="1:2" s="416" customFormat="1" x14ac:dyDescent="0.2">
      <c r="A202" s="434"/>
      <c r="B202" s="417" t="s">
        <v>747</v>
      </c>
    </row>
    <row r="203" spans="1:2" s="416" customFormat="1" x14ac:dyDescent="0.2">
      <c r="A203" s="434"/>
      <c r="B203" s="417" t="s">
        <v>748</v>
      </c>
    </row>
    <row r="204" spans="1:2" s="416" customFormat="1" x14ac:dyDescent="0.2">
      <c r="A204" s="434"/>
      <c r="B204" s="417" t="s">
        <v>749</v>
      </c>
    </row>
    <row r="205" spans="1:2" s="416" customFormat="1" x14ac:dyDescent="0.2">
      <c r="A205" s="434"/>
      <c r="B205" s="417" t="s">
        <v>750</v>
      </c>
    </row>
    <row r="206" spans="1:2" s="416" customFormat="1" x14ac:dyDescent="0.2">
      <c r="A206" s="434"/>
      <c r="B206" s="417" t="s">
        <v>751</v>
      </c>
    </row>
    <row r="207" spans="1:2" s="416" customFormat="1" x14ac:dyDescent="0.2">
      <c r="A207" s="434"/>
      <c r="B207" s="417" t="s">
        <v>752</v>
      </c>
    </row>
    <row r="208" spans="1:2" s="416" customFormat="1" x14ac:dyDescent="0.2">
      <c r="A208" s="434"/>
      <c r="B208" s="417"/>
    </row>
    <row r="209" spans="1:2" ht="20.25" thickBot="1" x14ac:dyDescent="0.25">
      <c r="A209" s="434"/>
      <c r="B209" s="441" t="s">
        <v>734</v>
      </c>
    </row>
    <row r="210" spans="1:2" ht="13.5" thickTop="1" x14ac:dyDescent="0.2">
      <c r="A210" s="120"/>
      <c r="B210" s="364" t="s">
        <v>702</v>
      </c>
    </row>
    <row r="211" spans="1:2" x14ac:dyDescent="0.2">
      <c r="A211" s="120"/>
      <c r="B211" s="364" t="s">
        <v>701</v>
      </c>
    </row>
    <row r="212" spans="1:2" x14ac:dyDescent="0.2">
      <c r="A212" s="120"/>
      <c r="B212" s="364" t="s">
        <v>703</v>
      </c>
    </row>
    <row r="213" spans="1:2" x14ac:dyDescent="0.2">
      <c r="A213" s="120"/>
      <c r="B213" s="364" t="s">
        <v>705</v>
      </c>
    </row>
    <row r="214" spans="1:2" x14ac:dyDescent="0.2">
      <c r="A214" s="120"/>
      <c r="B214" s="364" t="s">
        <v>707</v>
      </c>
    </row>
    <row r="215" spans="1:2" x14ac:dyDescent="0.2">
      <c r="A215" s="120"/>
      <c r="B215" s="364" t="s">
        <v>708</v>
      </c>
    </row>
    <row r="216" spans="1:2" x14ac:dyDescent="0.2">
      <c r="A216" s="120"/>
      <c r="B216" s="364" t="s">
        <v>709</v>
      </c>
    </row>
    <row r="217" spans="1:2" x14ac:dyDescent="0.2">
      <c r="A217" s="120"/>
      <c r="B217" s="364" t="s">
        <v>710</v>
      </c>
    </row>
    <row r="218" spans="1:2" x14ac:dyDescent="0.2">
      <c r="A218" s="120"/>
      <c r="B218" s="364" t="s">
        <v>711</v>
      </c>
    </row>
    <row r="219" spans="1:2" x14ac:dyDescent="0.2">
      <c r="A219" s="120"/>
      <c r="B219" s="364" t="s">
        <v>712</v>
      </c>
    </row>
    <row r="220" spans="1:2" x14ac:dyDescent="0.2">
      <c r="A220" s="120"/>
      <c r="B220" s="364" t="s">
        <v>713</v>
      </c>
    </row>
    <row r="221" spans="1:2" x14ac:dyDescent="0.2">
      <c r="A221" s="120"/>
      <c r="B221" s="364" t="s">
        <v>714</v>
      </c>
    </row>
    <row r="222" spans="1:2" x14ac:dyDescent="0.2">
      <c r="A222" s="120"/>
      <c r="B222" s="364" t="s">
        <v>715</v>
      </c>
    </row>
    <row r="223" spans="1:2" x14ac:dyDescent="0.2">
      <c r="A223" s="120"/>
      <c r="B223" s="364" t="s">
        <v>716</v>
      </c>
    </row>
    <row r="224" spans="1:2" x14ac:dyDescent="0.2">
      <c r="A224" s="120"/>
      <c r="B224" s="364" t="s">
        <v>719</v>
      </c>
    </row>
    <row r="225" spans="1:2" x14ac:dyDescent="0.2">
      <c r="A225" s="120"/>
      <c r="B225" s="364" t="s">
        <v>718</v>
      </c>
    </row>
    <row r="226" spans="1:2" x14ac:dyDescent="0.2">
      <c r="A226" s="120"/>
      <c r="B226" s="364" t="s">
        <v>720</v>
      </c>
    </row>
    <row r="227" spans="1:2" x14ac:dyDescent="0.2">
      <c r="A227" s="120"/>
      <c r="B227" s="364" t="s">
        <v>721</v>
      </c>
    </row>
    <row r="228" spans="1:2" x14ac:dyDescent="0.2">
      <c r="A228" s="120"/>
      <c r="B228" s="364" t="s">
        <v>724</v>
      </c>
    </row>
    <row r="229" spans="1:2" x14ac:dyDescent="0.2">
      <c r="A229" s="120"/>
      <c r="B229" s="364" t="s">
        <v>725</v>
      </c>
    </row>
    <row r="230" spans="1:2" x14ac:dyDescent="0.2">
      <c r="A230" s="120"/>
      <c r="B230" s="364" t="s">
        <v>726</v>
      </c>
    </row>
    <row r="231" spans="1:2" x14ac:dyDescent="0.2">
      <c r="A231" s="434"/>
      <c r="B231" s="417"/>
    </row>
    <row r="232" spans="1:2" ht="20.25" thickBot="1" x14ac:dyDescent="0.25">
      <c r="A232" s="120"/>
      <c r="B232" s="310" t="s">
        <v>675</v>
      </c>
    </row>
    <row r="233" spans="1:2" ht="13.5" thickTop="1" x14ac:dyDescent="0.2">
      <c r="A233" s="120"/>
      <c r="B233" s="364" t="s">
        <v>676</v>
      </c>
    </row>
    <row r="234" spans="1:2" x14ac:dyDescent="0.2">
      <c r="A234" s="120"/>
      <c r="B234" s="364" t="s">
        <v>678</v>
      </c>
    </row>
    <row r="235" spans="1:2" x14ac:dyDescent="0.2">
      <c r="A235" s="120"/>
      <c r="B235" s="364" t="s">
        <v>677</v>
      </c>
    </row>
    <row r="236" spans="1:2" x14ac:dyDescent="0.2">
      <c r="A236" s="120"/>
      <c r="B236" s="364" t="s">
        <v>680</v>
      </c>
    </row>
    <row r="237" spans="1:2" x14ac:dyDescent="0.2">
      <c r="A237" s="120"/>
      <c r="B237" s="364" t="s">
        <v>681</v>
      </c>
    </row>
    <row r="238" spans="1:2" x14ac:dyDescent="0.2">
      <c r="A238" s="120"/>
      <c r="B238" s="364" t="s">
        <v>687</v>
      </c>
    </row>
    <row r="239" spans="1:2" x14ac:dyDescent="0.2">
      <c r="A239" s="120"/>
      <c r="B239" s="364" t="s">
        <v>688</v>
      </c>
    </row>
    <row r="240" spans="1:2" x14ac:dyDescent="0.2">
      <c r="A240" s="120"/>
      <c r="B240" s="364" t="s">
        <v>689</v>
      </c>
    </row>
    <row r="241" spans="1:2" x14ac:dyDescent="0.2">
      <c r="A241" s="120"/>
      <c r="B241" s="364" t="s">
        <v>690</v>
      </c>
    </row>
    <row r="242" spans="1:2" x14ac:dyDescent="0.2">
      <c r="A242" s="120"/>
      <c r="B242" s="364" t="s">
        <v>691</v>
      </c>
    </row>
    <row r="243" spans="1:2" x14ac:dyDescent="0.2">
      <c r="A243" s="120"/>
      <c r="B243" s="364" t="s">
        <v>692</v>
      </c>
    </row>
    <row r="244" spans="1:2" x14ac:dyDescent="0.2">
      <c r="A244" s="120"/>
      <c r="B244" s="364" t="s">
        <v>693</v>
      </c>
    </row>
    <row r="245" spans="1:2" x14ac:dyDescent="0.2">
      <c r="A245" s="120"/>
      <c r="B245" s="364" t="s">
        <v>694</v>
      </c>
    </row>
    <row r="246" spans="1:2" x14ac:dyDescent="0.2">
      <c r="A246" s="120"/>
      <c r="B246" s="364" t="s">
        <v>695</v>
      </c>
    </row>
    <row r="247" spans="1:2" x14ac:dyDescent="0.2">
      <c r="A247" s="120"/>
      <c r="B247" s="364" t="s">
        <v>696</v>
      </c>
    </row>
    <row r="248" spans="1:2" x14ac:dyDescent="0.2">
      <c r="A248" s="120"/>
      <c r="B248" s="364" t="s">
        <v>697</v>
      </c>
    </row>
    <row r="249" spans="1:2" x14ac:dyDescent="0.2">
      <c r="A249" s="120"/>
      <c r="B249" s="364" t="s">
        <v>699</v>
      </c>
    </row>
    <row r="250" spans="1:2" x14ac:dyDescent="0.2">
      <c r="A250" s="120"/>
      <c r="B250" s="364"/>
    </row>
    <row r="251" spans="1:2" ht="20.25" thickBot="1" x14ac:dyDescent="0.25">
      <c r="A251" s="120"/>
      <c r="B251" s="310" t="s">
        <v>638</v>
      </c>
    </row>
    <row r="252" spans="1:2" ht="13.5" thickTop="1" x14ac:dyDescent="0.2">
      <c r="A252" s="120"/>
      <c r="B252" s="364" t="s">
        <v>648</v>
      </c>
    </row>
    <row r="253" spans="1:2" x14ac:dyDescent="0.2">
      <c r="A253" s="120"/>
      <c r="B253" s="364" t="s">
        <v>650</v>
      </c>
    </row>
    <row r="254" spans="1:2" x14ac:dyDescent="0.2">
      <c r="A254" s="120"/>
      <c r="B254" s="364"/>
    </row>
    <row r="255" spans="1:2" ht="20.25" thickBot="1" x14ac:dyDescent="0.25">
      <c r="A255" s="120"/>
      <c r="B255" s="310" t="s">
        <v>636</v>
      </c>
    </row>
    <row r="256" spans="1:2" ht="13.5" thickTop="1" x14ac:dyDescent="0.2">
      <c r="A256" s="120"/>
      <c r="B256" s="364" t="s">
        <v>630</v>
      </c>
    </row>
    <row r="257" spans="1:2" x14ac:dyDescent="0.2">
      <c r="A257" s="120"/>
      <c r="B257" s="364" t="s">
        <v>629</v>
      </c>
    </row>
    <row r="258" spans="1:2" x14ac:dyDescent="0.2">
      <c r="A258" s="120"/>
      <c r="B258" s="364" t="s">
        <v>631</v>
      </c>
    </row>
    <row r="259" spans="1:2" x14ac:dyDescent="0.2">
      <c r="A259" s="120"/>
      <c r="B259" s="364" t="s">
        <v>632</v>
      </c>
    </row>
    <row r="260" spans="1:2" x14ac:dyDescent="0.2">
      <c r="A260" s="120"/>
      <c r="B260" s="364" t="s">
        <v>635</v>
      </c>
    </row>
    <row r="261" spans="1:2" ht="15" x14ac:dyDescent="0.2">
      <c r="A261" s="120"/>
      <c r="B261" s="150"/>
    </row>
    <row r="262" spans="1:2" ht="20.25" thickBot="1" x14ac:dyDescent="0.25">
      <c r="A262" s="120"/>
      <c r="B262" s="310" t="s">
        <v>608</v>
      </c>
    </row>
    <row r="263" spans="1:2" ht="13.5" thickTop="1" x14ac:dyDescent="0.2">
      <c r="A263" s="120"/>
      <c r="B263" s="364" t="s">
        <v>606</v>
      </c>
    </row>
    <row r="264" spans="1:2" x14ac:dyDescent="0.2">
      <c r="A264" s="120"/>
      <c r="B264" s="364" t="s">
        <v>605</v>
      </c>
    </row>
    <row r="265" spans="1:2" x14ac:dyDescent="0.2">
      <c r="A265" s="120"/>
      <c r="B265" s="364" t="s">
        <v>607</v>
      </c>
    </row>
    <row r="266" spans="1:2" x14ac:dyDescent="0.2">
      <c r="A266" s="120"/>
      <c r="B266" s="364" t="s">
        <v>609</v>
      </c>
    </row>
    <row r="267" spans="1:2" x14ac:dyDescent="0.2">
      <c r="A267" s="120"/>
      <c r="B267" s="364" t="s">
        <v>610</v>
      </c>
    </row>
    <row r="268" spans="1:2" x14ac:dyDescent="0.2">
      <c r="A268" s="120"/>
      <c r="B268" s="364" t="s">
        <v>611</v>
      </c>
    </row>
    <row r="269" spans="1:2" x14ac:dyDescent="0.2">
      <c r="A269" s="120"/>
      <c r="B269" s="364" t="s">
        <v>613</v>
      </c>
    </row>
    <row r="270" spans="1:2" x14ac:dyDescent="0.2">
      <c r="A270" s="120"/>
      <c r="B270" s="364" t="s">
        <v>612</v>
      </c>
    </row>
    <row r="271" spans="1:2" x14ac:dyDescent="0.2">
      <c r="A271" s="120"/>
      <c r="B271" s="364" t="s">
        <v>614</v>
      </c>
    </row>
    <row r="272" spans="1:2" x14ac:dyDescent="0.2">
      <c r="A272" s="120"/>
      <c r="B272" s="364" t="s">
        <v>615</v>
      </c>
    </row>
    <row r="273" spans="1:2" x14ac:dyDescent="0.2">
      <c r="A273" s="120"/>
      <c r="B273" s="364" t="s">
        <v>613</v>
      </c>
    </row>
    <row r="274" spans="1:2" x14ac:dyDescent="0.2">
      <c r="A274" s="120"/>
      <c r="B274" s="364" t="s">
        <v>616</v>
      </c>
    </row>
    <row r="275" spans="1:2" x14ac:dyDescent="0.2">
      <c r="A275" s="120"/>
      <c r="B275" s="364" t="s">
        <v>617</v>
      </c>
    </row>
    <row r="276" spans="1:2" x14ac:dyDescent="0.2">
      <c r="A276" s="120"/>
      <c r="B276" s="364" t="s">
        <v>618</v>
      </c>
    </row>
    <row r="277" spans="1:2" x14ac:dyDescent="0.2">
      <c r="A277" s="120"/>
      <c r="B277" s="364" t="s">
        <v>621</v>
      </c>
    </row>
    <row r="278" spans="1:2" x14ac:dyDescent="0.2">
      <c r="A278" s="120"/>
      <c r="B278" s="364"/>
    </row>
    <row r="279" spans="1:2" ht="20.25" thickBot="1" x14ac:dyDescent="0.25">
      <c r="A279" s="120"/>
      <c r="B279" s="310" t="s">
        <v>595</v>
      </c>
    </row>
    <row r="280" spans="1:2" ht="13.5" thickTop="1" x14ac:dyDescent="0.2">
      <c r="A280" s="120"/>
      <c r="B280" s="364" t="s">
        <v>596</v>
      </c>
    </row>
    <row r="281" spans="1:2" x14ac:dyDescent="0.2">
      <c r="A281" s="120"/>
      <c r="B281" s="364" t="s">
        <v>597</v>
      </c>
    </row>
    <row r="282" spans="1:2" x14ac:dyDescent="0.2">
      <c r="A282" s="120"/>
      <c r="B282" s="364" t="s">
        <v>552</v>
      </c>
    </row>
    <row r="283" spans="1:2" x14ac:dyDescent="0.2">
      <c r="A283" s="120"/>
      <c r="B283" s="364" t="s">
        <v>598</v>
      </c>
    </row>
    <row r="284" spans="1:2" x14ac:dyDescent="0.2">
      <c r="A284" s="120"/>
      <c r="B284" s="364" t="s">
        <v>606</v>
      </c>
    </row>
    <row r="285" spans="1:2" x14ac:dyDescent="0.2">
      <c r="A285" s="120"/>
      <c r="B285" s="364" t="s">
        <v>605</v>
      </c>
    </row>
    <row r="286" spans="1:2" x14ac:dyDescent="0.2">
      <c r="A286" s="120"/>
      <c r="B286" s="364" t="s">
        <v>607</v>
      </c>
    </row>
    <row r="287" spans="1:2" ht="15" x14ac:dyDescent="0.2">
      <c r="A287" s="120"/>
      <c r="B287" s="150"/>
    </row>
    <row r="288" spans="1:2" ht="20.25" thickBot="1" x14ac:dyDescent="0.25">
      <c r="A288" s="120"/>
      <c r="B288" s="310" t="s">
        <v>549</v>
      </c>
    </row>
    <row r="289" spans="1:2" ht="13.5" thickTop="1" x14ac:dyDescent="0.2">
      <c r="A289" s="120"/>
      <c r="B289" s="364" t="s">
        <v>550</v>
      </c>
    </row>
    <row r="290" spans="1:2" x14ac:dyDescent="0.2">
      <c r="A290" s="120"/>
      <c r="B290" s="364" t="s">
        <v>551</v>
      </c>
    </row>
    <row r="291" spans="1:2" x14ac:dyDescent="0.2">
      <c r="A291" s="120"/>
      <c r="B291" s="364" t="s">
        <v>552</v>
      </c>
    </row>
    <row r="292" spans="1:2" ht="15" x14ac:dyDescent="0.2">
      <c r="A292" s="120"/>
      <c r="B292" s="150"/>
    </row>
    <row r="293" spans="1:2" ht="20.25" thickBot="1" x14ac:dyDescent="0.25">
      <c r="A293" s="120"/>
      <c r="B293" s="310" t="s">
        <v>547</v>
      </c>
    </row>
    <row r="294" spans="1:2" ht="13.5" thickTop="1" x14ac:dyDescent="0.2">
      <c r="A294" s="120"/>
      <c r="B294" s="146" t="s">
        <v>548</v>
      </c>
    </row>
    <row r="295" spans="1:2" ht="15" x14ac:dyDescent="0.2">
      <c r="A295" s="120"/>
      <c r="B295" s="150"/>
    </row>
    <row r="296" spans="1:2" ht="20.25" thickBot="1" x14ac:dyDescent="0.25">
      <c r="A296" s="120"/>
      <c r="B296" s="310" t="s">
        <v>541</v>
      </c>
    </row>
    <row r="297" spans="1:2" ht="13.5" thickTop="1" x14ac:dyDescent="0.2">
      <c r="A297" s="120"/>
      <c r="B297" s="146" t="s">
        <v>542</v>
      </c>
    </row>
    <row r="298" spans="1:2" x14ac:dyDescent="0.2">
      <c r="A298" s="120"/>
      <c r="B298" s="146" t="s">
        <v>543</v>
      </c>
    </row>
    <row r="299" spans="1:2" x14ac:dyDescent="0.2">
      <c r="A299" s="120"/>
      <c r="B299" s="146"/>
    </row>
    <row r="300" spans="1:2" ht="20.25" thickBot="1" x14ac:dyDescent="0.25">
      <c r="A300" s="120"/>
      <c r="B300" s="310" t="s">
        <v>539</v>
      </c>
    </row>
    <row r="301" spans="1:2" ht="13.5" thickTop="1" x14ac:dyDescent="0.2">
      <c r="A301" s="120"/>
      <c r="B301" s="146" t="s">
        <v>540</v>
      </c>
    </row>
    <row r="302" spans="1:2" x14ac:dyDescent="0.2">
      <c r="A302" s="120"/>
      <c r="B302" s="146"/>
    </row>
    <row r="303" spans="1:2" ht="20.25" thickBot="1" x14ac:dyDescent="0.25">
      <c r="A303" s="120"/>
      <c r="B303" s="310" t="s">
        <v>529</v>
      </c>
    </row>
    <row r="304" spans="1:2" ht="13.5" thickTop="1" x14ac:dyDescent="0.2">
      <c r="A304" s="120"/>
      <c r="B304" s="146" t="s">
        <v>530</v>
      </c>
    </row>
    <row r="305" spans="1:2" x14ac:dyDescent="0.2">
      <c r="A305" s="120"/>
      <c r="B305" s="146" t="s">
        <v>531</v>
      </c>
    </row>
    <row r="306" spans="1:2" x14ac:dyDescent="0.2">
      <c r="A306" s="120"/>
      <c r="B306" s="146" t="s">
        <v>533</v>
      </c>
    </row>
    <row r="307" spans="1:2" x14ac:dyDescent="0.2">
      <c r="A307" s="120"/>
      <c r="B307" s="146" t="s">
        <v>532</v>
      </c>
    </row>
    <row r="308" spans="1:2" x14ac:dyDescent="0.2">
      <c r="A308" s="120"/>
      <c r="B308" s="146" t="s">
        <v>534</v>
      </c>
    </row>
    <row r="309" spans="1:2" x14ac:dyDescent="0.2">
      <c r="A309" s="120"/>
      <c r="B309" s="146" t="s">
        <v>535</v>
      </c>
    </row>
    <row r="310" spans="1:2" x14ac:dyDescent="0.2">
      <c r="A310" s="120"/>
      <c r="B310" s="146" t="s">
        <v>536</v>
      </c>
    </row>
    <row r="311" spans="1:2" x14ac:dyDescent="0.2">
      <c r="A311" s="120"/>
      <c r="B311" s="146" t="s">
        <v>538</v>
      </c>
    </row>
    <row r="312" spans="1:2" x14ac:dyDescent="0.2">
      <c r="A312" s="120"/>
      <c r="B312" s="146" t="s">
        <v>537</v>
      </c>
    </row>
    <row r="313" spans="1:2" ht="14.25" x14ac:dyDescent="0.2">
      <c r="A313" s="120"/>
      <c r="B313" s="355"/>
    </row>
    <row r="314" spans="1:2" ht="20.25" thickBot="1" x14ac:dyDescent="0.25">
      <c r="A314" s="120"/>
      <c r="B314" s="310" t="s">
        <v>507</v>
      </c>
    </row>
    <row r="315" spans="1:2" ht="13.5" thickTop="1" x14ac:dyDescent="0.2">
      <c r="A315" s="146"/>
      <c r="B315" s="146" t="s">
        <v>508</v>
      </c>
    </row>
    <row r="316" spans="1:2" x14ac:dyDescent="0.2">
      <c r="A316" s="146"/>
      <c r="B316" s="146" t="s">
        <v>509</v>
      </c>
    </row>
    <row r="317" spans="1:2" x14ac:dyDescent="0.2">
      <c r="A317" s="146"/>
      <c r="B317" s="146" t="s">
        <v>510</v>
      </c>
    </row>
    <row r="318" spans="1:2" x14ac:dyDescent="0.2">
      <c r="A318" s="146"/>
      <c r="B318" s="146" t="s">
        <v>511</v>
      </c>
    </row>
    <row r="319" spans="1:2" x14ac:dyDescent="0.2">
      <c r="A319" s="146"/>
      <c r="B319" s="146" t="s">
        <v>512</v>
      </c>
    </row>
    <row r="320" spans="1:2" x14ac:dyDescent="0.2">
      <c r="A320" s="146"/>
      <c r="B320" s="146" t="s">
        <v>513</v>
      </c>
    </row>
    <row r="321" spans="1:2" x14ac:dyDescent="0.2">
      <c r="A321" s="146"/>
      <c r="B321" s="146" t="s">
        <v>514</v>
      </c>
    </row>
    <row r="322" spans="1:2" x14ac:dyDescent="0.2">
      <c r="A322" s="146"/>
      <c r="B322" s="146" t="s">
        <v>515</v>
      </c>
    </row>
    <row r="323" spans="1:2" x14ac:dyDescent="0.2">
      <c r="A323" s="146"/>
      <c r="B323" s="146" t="s">
        <v>516</v>
      </c>
    </row>
    <row r="324" spans="1:2" x14ac:dyDescent="0.2">
      <c r="A324" s="146"/>
      <c r="B324" s="146" t="s">
        <v>517</v>
      </c>
    </row>
    <row r="325" spans="1:2" x14ac:dyDescent="0.2">
      <c r="A325" s="146"/>
      <c r="B325" s="146" t="s">
        <v>518</v>
      </c>
    </row>
    <row r="326" spans="1:2" x14ac:dyDescent="0.2">
      <c r="A326" s="146"/>
      <c r="B326" s="146" t="s">
        <v>520</v>
      </c>
    </row>
    <row r="327" spans="1:2" x14ac:dyDescent="0.2">
      <c r="A327" s="146"/>
      <c r="B327" s="146" t="s">
        <v>525</v>
      </c>
    </row>
    <row r="328" spans="1:2" x14ac:dyDescent="0.2">
      <c r="A328" s="146"/>
      <c r="B328" s="146" t="s">
        <v>524</v>
      </c>
    </row>
    <row r="329" spans="1:2" x14ac:dyDescent="0.2">
      <c r="A329" s="146"/>
      <c r="B329" s="146" t="s">
        <v>523</v>
      </c>
    </row>
    <row r="330" spans="1:2" x14ac:dyDescent="0.2">
      <c r="A330" s="146"/>
      <c r="B330" s="146" t="s">
        <v>522</v>
      </c>
    </row>
    <row r="331" spans="1:2" x14ac:dyDescent="0.2">
      <c r="A331" s="146"/>
      <c r="B331" s="146" t="s">
        <v>521</v>
      </c>
    </row>
    <row r="332" spans="1:2" ht="15" x14ac:dyDescent="0.2">
      <c r="A332" s="120"/>
      <c r="B332" s="150"/>
    </row>
    <row r="333" spans="1:2" ht="20.25" thickBot="1" x14ac:dyDescent="0.25">
      <c r="A333" s="120"/>
      <c r="B333" s="310" t="s">
        <v>505</v>
      </c>
    </row>
    <row r="334" spans="1:2" ht="13.5" thickTop="1" x14ac:dyDescent="0.2">
      <c r="A334" s="146"/>
      <c r="B334" s="146" t="s">
        <v>506</v>
      </c>
    </row>
    <row r="335" spans="1:2" x14ac:dyDescent="0.2">
      <c r="A335" s="146"/>
      <c r="B335" s="146"/>
    </row>
    <row r="336" spans="1:2" ht="20.25" thickBot="1" x14ac:dyDescent="0.25">
      <c r="B336" s="310" t="s">
        <v>494</v>
      </c>
    </row>
    <row r="337" spans="1:2" ht="13.5" thickTop="1" x14ac:dyDescent="0.2">
      <c r="B337" t="s">
        <v>466</v>
      </c>
    </row>
    <row r="338" spans="1:2" x14ac:dyDescent="0.2">
      <c r="B338" t="s">
        <v>469</v>
      </c>
    </row>
    <row r="339" spans="1:2" x14ac:dyDescent="0.2">
      <c r="B339" t="s">
        <v>473</v>
      </c>
    </row>
    <row r="340" spans="1:2" x14ac:dyDescent="0.2">
      <c r="B340" t="s">
        <v>462</v>
      </c>
    </row>
    <row r="341" spans="1:2" x14ac:dyDescent="0.2">
      <c r="B341" t="s">
        <v>482</v>
      </c>
    </row>
    <row r="342" spans="1:2" x14ac:dyDescent="0.2">
      <c r="B342" t="s">
        <v>483</v>
      </c>
    </row>
    <row r="343" spans="1:2" x14ac:dyDescent="0.2">
      <c r="B343" s="323" t="s">
        <v>484</v>
      </c>
    </row>
    <row r="344" spans="1:2" x14ac:dyDescent="0.2">
      <c r="A344" s="323"/>
      <c r="B344" s="323" t="s">
        <v>485</v>
      </c>
    </row>
    <row r="345" spans="1:2" x14ac:dyDescent="0.2">
      <c r="A345" s="323"/>
      <c r="B345" s="323" t="s">
        <v>486</v>
      </c>
    </row>
    <row r="346" spans="1:2" x14ac:dyDescent="0.2">
      <c r="A346" s="323"/>
      <c r="B346" s="323" t="s">
        <v>487</v>
      </c>
    </row>
    <row r="347" spans="1:2" x14ac:dyDescent="0.2">
      <c r="A347" s="323"/>
      <c r="B347" s="323" t="s">
        <v>488</v>
      </c>
    </row>
    <row r="348" spans="1:2" x14ac:dyDescent="0.2">
      <c r="A348" s="323"/>
      <c r="B348" s="323" t="s">
        <v>489</v>
      </c>
    </row>
    <row r="349" spans="1:2" x14ac:dyDescent="0.2">
      <c r="A349" s="323"/>
      <c r="B349" s="323" t="s">
        <v>490</v>
      </c>
    </row>
    <row r="350" spans="1:2" x14ac:dyDescent="0.2">
      <c r="A350" s="323"/>
      <c r="B350" s="323" t="s">
        <v>491</v>
      </c>
    </row>
    <row r="351" spans="1:2" x14ac:dyDescent="0.2">
      <c r="A351" s="323"/>
      <c r="B351" s="323" t="s">
        <v>492</v>
      </c>
    </row>
    <row r="352" spans="1:2" x14ac:dyDescent="0.2">
      <c r="A352" s="323"/>
      <c r="B352" s="323" t="s">
        <v>493</v>
      </c>
    </row>
    <row r="353" spans="1:2" x14ac:dyDescent="0.2">
      <c r="A353" s="323"/>
      <c r="B353" s="323" t="s">
        <v>503</v>
      </c>
    </row>
    <row r="354" spans="1:2" x14ac:dyDescent="0.2">
      <c r="A354" s="323"/>
      <c r="B354" s="323" t="s">
        <v>504</v>
      </c>
    </row>
    <row r="355" spans="1:2" x14ac:dyDescent="0.2">
      <c r="A355" s="323"/>
      <c r="B355" s="323"/>
    </row>
    <row r="356" spans="1:2" ht="20.25" thickBot="1" x14ac:dyDescent="0.25">
      <c r="B356" s="310" t="s">
        <v>495</v>
      </c>
    </row>
    <row r="357" spans="1:2" ht="13.5" thickTop="1" x14ac:dyDescent="0.2">
      <c r="B357" t="s">
        <v>435</v>
      </c>
    </row>
    <row r="358" spans="1:2" x14ac:dyDescent="0.2">
      <c r="B358" t="s">
        <v>436</v>
      </c>
    </row>
    <row r="359" spans="1:2" x14ac:dyDescent="0.2">
      <c r="B359" t="s">
        <v>437</v>
      </c>
    </row>
    <row r="360" spans="1:2" x14ac:dyDescent="0.2">
      <c r="B360" t="s">
        <v>439</v>
      </c>
    </row>
    <row r="361" spans="1:2" x14ac:dyDescent="0.2">
      <c r="B361" t="s">
        <v>440</v>
      </c>
    </row>
    <row r="362" spans="1:2" x14ac:dyDescent="0.2">
      <c r="B362" t="s">
        <v>441</v>
      </c>
    </row>
    <row r="363" spans="1:2" x14ac:dyDescent="0.2">
      <c r="B363" t="s">
        <v>442</v>
      </c>
    </row>
    <row r="364" spans="1:2" x14ac:dyDescent="0.2">
      <c r="B364" t="s">
        <v>438</v>
      </c>
    </row>
    <row r="365" spans="1:2" x14ac:dyDescent="0.2">
      <c r="B365" t="s">
        <v>443</v>
      </c>
    </row>
    <row r="366" spans="1:2" x14ac:dyDescent="0.2">
      <c r="B366" t="s">
        <v>444</v>
      </c>
    </row>
    <row r="367" spans="1:2" x14ac:dyDescent="0.2">
      <c r="B367" t="s">
        <v>445</v>
      </c>
    </row>
    <row r="368" spans="1:2" x14ac:dyDescent="0.2">
      <c r="B368" t="s">
        <v>446</v>
      </c>
    </row>
    <row r="369" spans="2:2" x14ac:dyDescent="0.2">
      <c r="B369" t="s">
        <v>448</v>
      </c>
    </row>
    <row r="370" spans="2:2" x14ac:dyDescent="0.2">
      <c r="B370" t="s">
        <v>447</v>
      </c>
    </row>
    <row r="371" spans="2:2" x14ac:dyDescent="0.2">
      <c r="B371" t="s">
        <v>449</v>
      </c>
    </row>
    <row r="372" spans="2:2" x14ac:dyDescent="0.2">
      <c r="B372" t="s">
        <v>450</v>
      </c>
    </row>
    <row r="373" spans="2:2" x14ac:dyDescent="0.2">
      <c r="B373" t="s">
        <v>451</v>
      </c>
    </row>
    <row r="374" spans="2:2" x14ac:dyDescent="0.2">
      <c r="B374" t="s">
        <v>452</v>
      </c>
    </row>
    <row r="375" spans="2:2" x14ac:dyDescent="0.2">
      <c r="B375" t="s">
        <v>454</v>
      </c>
    </row>
    <row r="376" spans="2:2" x14ac:dyDescent="0.2">
      <c r="B376" t="s">
        <v>453</v>
      </c>
    </row>
    <row r="377" spans="2:2" x14ac:dyDescent="0.2">
      <c r="B377" t="s">
        <v>467</v>
      </c>
    </row>
    <row r="378" spans="2:2" x14ac:dyDescent="0.2">
      <c r="B378" t="s">
        <v>468</v>
      </c>
    </row>
    <row r="380" spans="2:2" ht="20.25" thickBot="1" x14ac:dyDescent="0.25">
      <c r="B380" s="310" t="s">
        <v>496</v>
      </c>
    </row>
    <row r="381" spans="2:2" ht="13.5" thickTop="1" x14ac:dyDescent="0.2">
      <c r="B381" t="s">
        <v>435</v>
      </c>
    </row>
    <row r="382" spans="2:2" x14ac:dyDescent="0.2">
      <c r="B382" t="s">
        <v>436</v>
      </c>
    </row>
    <row r="384" spans="2:2" ht="20.25" thickBot="1" x14ac:dyDescent="0.25">
      <c r="B384" s="310" t="s">
        <v>497</v>
      </c>
    </row>
    <row r="385" spans="2:2" ht="13.5" thickTop="1" x14ac:dyDescent="0.2">
      <c r="B385" t="s">
        <v>456</v>
      </c>
    </row>
    <row r="386" spans="2:2" x14ac:dyDescent="0.2">
      <c r="B386" t="s">
        <v>457</v>
      </c>
    </row>
    <row r="387" spans="2:2" x14ac:dyDescent="0.2">
      <c r="B387" t="s">
        <v>458</v>
      </c>
    </row>
    <row r="388" spans="2:2" x14ac:dyDescent="0.2">
      <c r="B388" t="s">
        <v>1042</v>
      </c>
    </row>
    <row r="389" spans="2:2" x14ac:dyDescent="0.2">
      <c r="B389" t="s">
        <v>459</v>
      </c>
    </row>
    <row r="390" spans="2:2" x14ac:dyDescent="0.2">
      <c r="B390" t="s">
        <v>1043</v>
      </c>
    </row>
    <row r="391" spans="2:2" x14ac:dyDescent="0.2">
      <c r="B391" t="s">
        <v>460</v>
      </c>
    </row>
    <row r="392" spans="2:2" x14ac:dyDescent="0.2">
      <c r="B392" t="s">
        <v>461</v>
      </c>
    </row>
    <row r="394" spans="2:2" ht="20.25" thickBot="1" x14ac:dyDescent="0.25">
      <c r="B394" s="310" t="s">
        <v>498</v>
      </c>
    </row>
    <row r="395" spans="2:2" ht="13.5" thickTop="1" x14ac:dyDescent="0.2">
      <c r="B395" t="s">
        <v>456</v>
      </c>
    </row>
    <row r="396" spans="2:2" x14ac:dyDescent="0.2">
      <c r="B396" t="s">
        <v>457</v>
      </c>
    </row>
    <row r="397" spans="2:2" x14ac:dyDescent="0.2">
      <c r="B397" t="s">
        <v>458</v>
      </c>
    </row>
    <row r="399" spans="2:2" ht="20.25" thickBot="1" x14ac:dyDescent="0.25">
      <c r="B399" s="310" t="s">
        <v>499</v>
      </c>
    </row>
    <row r="400" spans="2:2" ht="13.5" thickTop="1" x14ac:dyDescent="0.2">
      <c r="B400" t="s">
        <v>471</v>
      </c>
    </row>
    <row r="402" spans="2:2" ht="20.25" thickBot="1" x14ac:dyDescent="0.25">
      <c r="B402" s="310" t="s">
        <v>500</v>
      </c>
    </row>
    <row r="403" spans="2:2" ht="13.5" thickTop="1" x14ac:dyDescent="0.2">
      <c r="B403" t="s">
        <v>472</v>
      </c>
    </row>
    <row r="405" spans="2:2" ht="20.25" thickBot="1" x14ac:dyDescent="0.25">
      <c r="B405" s="310" t="s">
        <v>501</v>
      </c>
    </row>
    <row r="406" spans="2:2" ht="13.5" thickTop="1" x14ac:dyDescent="0.2">
      <c r="B406" t="s">
        <v>471</v>
      </c>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theme="6"/>
    <pageSetUpPr fitToPage="1"/>
  </sheetPr>
  <dimension ref="A1:U411"/>
  <sheetViews>
    <sheetView showGridLines="0" zoomScaleNormal="100" workbookViewId="0">
      <pane ySplit="3" topLeftCell="A4" activePane="bottomLeft" state="frozen"/>
      <selection activeCell="B7" sqref="B7:G7"/>
      <selection pane="bottomLeft"/>
    </sheetView>
  </sheetViews>
  <sheetFormatPr defaultRowHeight="12.75" customHeight="1" outlineLevelRow="1" x14ac:dyDescent="0.2"/>
  <cols>
    <col min="1" max="1" width="3.7109375" customWidth="1"/>
    <col min="2" max="2" width="3.7109375" style="416" hidden="1" customWidth="1"/>
    <col min="3" max="3" width="3.7109375" hidden="1" customWidth="1"/>
    <col min="4" max="4" width="45.7109375" customWidth="1"/>
    <col min="5" max="10" width="15.7109375" customWidth="1"/>
    <col min="11" max="11" width="3.7109375" hidden="1" customWidth="1"/>
    <col min="12" max="17" width="12.7109375" hidden="1" customWidth="1"/>
    <col min="18" max="18" width="3.7109375" customWidth="1"/>
    <col min="19" max="19" width="75.7109375" customWidth="1"/>
    <col min="20" max="20" width="3.7109375" customWidth="1"/>
    <col min="21" max="23" width="9.140625" customWidth="1"/>
  </cols>
  <sheetData>
    <row r="1" spans="1:21" ht="23.25" x14ac:dyDescent="0.2">
      <c r="A1" s="107">
        <f>IF((SUM(E14:J14)+SUM(E15:J15)&lt;&gt;0),2,0)</f>
        <v>0</v>
      </c>
      <c r="B1" s="107"/>
      <c r="C1" s="107"/>
      <c r="D1" s="116" t="s">
        <v>325</v>
      </c>
      <c r="E1" s="117"/>
      <c r="F1" s="117"/>
      <c r="G1" s="117"/>
      <c r="H1" s="117"/>
      <c r="I1" s="815"/>
      <c r="J1" s="815"/>
      <c r="K1" s="117"/>
      <c r="L1" s="117"/>
      <c r="M1" s="117"/>
      <c r="N1" s="117"/>
      <c r="O1" s="117"/>
      <c r="P1" s="117"/>
      <c r="Q1" s="117"/>
      <c r="R1" s="118"/>
      <c r="S1" s="119" t="str">
        <f>IF(PxIncident&lt;&gt;1,MsgNotRequired,"")</f>
        <v>** NOT REQUIRED **</v>
      </c>
    </row>
    <row r="2" spans="1:21" ht="15.75" x14ac:dyDescent="0.2">
      <c r="A2" s="117"/>
      <c r="B2" s="117"/>
      <c r="C2" s="117"/>
      <c r="D2" s="110" t="str">
        <f>CONCATENATE("Name of medicine: ",MedicineBrand)</f>
        <v xml:space="preserve">Name of medicine: </v>
      </c>
      <c r="E2" s="117"/>
      <c r="F2" s="117"/>
      <c r="G2" s="117"/>
      <c r="H2" s="117"/>
      <c r="I2" s="117"/>
      <c r="J2" s="117"/>
      <c r="K2" s="117"/>
      <c r="L2" s="117"/>
      <c r="M2" s="117"/>
      <c r="N2" s="117"/>
      <c r="O2" s="117"/>
      <c r="P2" s="117"/>
      <c r="Q2" s="117"/>
      <c r="R2" s="118"/>
      <c r="S2" s="118"/>
    </row>
    <row r="3" spans="1:21" ht="15.75" x14ac:dyDescent="0.2">
      <c r="A3" s="117"/>
      <c r="B3" s="117"/>
      <c r="C3" s="117"/>
      <c r="D3" s="110" t="str">
        <f>CONCATENATE("Indication: ", Indication)</f>
        <v xml:space="preserve">Indication: </v>
      </c>
      <c r="E3" s="117"/>
      <c r="F3" s="117"/>
      <c r="G3" s="117"/>
      <c r="H3" s="117"/>
      <c r="I3" s="117"/>
      <c r="J3" s="117"/>
      <c r="K3" s="117"/>
      <c r="L3" s="117"/>
      <c r="M3" s="117"/>
      <c r="N3" s="117"/>
      <c r="O3" s="117"/>
      <c r="P3" s="117"/>
      <c r="Q3" s="117"/>
      <c r="R3" s="118"/>
      <c r="S3" s="118"/>
    </row>
    <row r="4" spans="1:21" x14ac:dyDescent="0.2">
      <c r="A4" s="125"/>
      <c r="B4" s="125"/>
      <c r="C4" s="125"/>
      <c r="D4" s="125"/>
      <c r="E4" s="162"/>
      <c r="F4" s="162"/>
      <c r="G4" s="162"/>
      <c r="H4" s="162"/>
      <c r="I4" s="162"/>
      <c r="J4" s="162"/>
      <c r="K4" s="125"/>
      <c r="L4" s="125"/>
      <c r="M4" s="125"/>
      <c r="N4" s="125"/>
      <c r="O4" s="125"/>
      <c r="P4" s="125"/>
      <c r="Q4" s="125"/>
      <c r="R4" s="125"/>
      <c r="S4" s="125"/>
      <c r="T4" s="615"/>
    </row>
    <row r="5" spans="1:21" ht="15.75" x14ac:dyDescent="0.2">
      <c r="A5" s="122"/>
      <c r="B5" s="122"/>
      <c r="C5" s="122"/>
      <c r="D5" s="123" t="s">
        <v>2</v>
      </c>
      <c r="E5" s="124"/>
      <c r="F5" s="124"/>
      <c r="G5" s="124"/>
      <c r="H5" s="124"/>
      <c r="I5" s="124"/>
      <c r="J5" s="124"/>
      <c r="K5" s="124"/>
      <c r="L5" s="124"/>
      <c r="M5" s="124"/>
      <c r="N5" s="124"/>
      <c r="O5" s="124"/>
      <c r="P5" s="124"/>
      <c r="Q5" s="124"/>
      <c r="R5" s="124"/>
      <c r="S5" s="124"/>
    </row>
    <row r="6" spans="1:21" x14ac:dyDescent="0.2">
      <c r="A6" s="125"/>
      <c r="B6" s="125"/>
      <c r="C6" s="125"/>
      <c r="D6" s="125"/>
      <c r="E6" s="162"/>
      <c r="F6" s="162"/>
      <c r="G6" s="162"/>
      <c r="H6" s="162"/>
      <c r="I6" s="162"/>
      <c r="J6" s="162"/>
      <c r="K6" s="162"/>
      <c r="L6" s="162"/>
      <c r="M6" s="162"/>
      <c r="N6" s="162"/>
      <c r="O6" s="162"/>
      <c r="P6" s="162"/>
      <c r="Q6" s="162"/>
      <c r="R6" s="125"/>
      <c r="S6" s="125"/>
      <c r="T6" s="615"/>
    </row>
    <row r="7" spans="1:21" x14ac:dyDescent="0.2">
      <c r="A7" s="125"/>
      <c r="B7" s="125"/>
      <c r="C7" s="125"/>
      <c r="D7" s="162" t="s">
        <v>837</v>
      </c>
      <c r="E7" s="162"/>
      <c r="F7" s="162"/>
      <c r="G7" s="615"/>
      <c r="H7" s="615"/>
      <c r="I7" s="615"/>
      <c r="J7" s="615"/>
      <c r="K7" s="125"/>
      <c r="L7" s="162"/>
      <c r="M7" s="162"/>
      <c r="N7" s="162"/>
      <c r="O7" s="162"/>
      <c r="P7" s="162"/>
      <c r="Q7" s="125"/>
      <c r="R7" s="125"/>
      <c r="S7" s="125"/>
      <c r="T7" s="615"/>
    </row>
    <row r="8" spans="1:21" x14ac:dyDescent="0.2">
      <c r="A8" s="125"/>
      <c r="B8" s="125"/>
      <c r="C8" s="125"/>
      <c r="D8" s="162"/>
      <c r="E8" s="162"/>
      <c r="F8" s="162"/>
      <c r="G8" s="615"/>
      <c r="H8" s="162"/>
      <c r="I8" s="162"/>
      <c r="J8" s="125"/>
      <c r="K8" s="125"/>
      <c r="L8" s="125"/>
      <c r="M8" s="125"/>
      <c r="N8" s="125"/>
      <c r="O8" s="125"/>
      <c r="P8" s="125"/>
      <c r="Q8" s="125"/>
      <c r="R8" s="125"/>
      <c r="S8" s="125"/>
      <c r="T8" s="615"/>
    </row>
    <row r="9" spans="1:21" ht="15.75" x14ac:dyDescent="0.2">
      <c r="A9" s="125"/>
      <c r="B9" s="125"/>
      <c r="C9" s="125"/>
      <c r="D9" s="123" t="s">
        <v>859</v>
      </c>
      <c r="E9" s="126"/>
      <c r="F9" s="126"/>
      <c r="G9" s="126"/>
      <c r="H9" s="126"/>
      <c r="I9" s="126"/>
      <c r="J9" s="127"/>
      <c r="K9" s="127"/>
      <c r="L9" s="127"/>
      <c r="M9" s="127"/>
      <c r="N9" s="127"/>
      <c r="O9" s="127"/>
      <c r="P9" s="127"/>
      <c r="Q9" s="127"/>
      <c r="R9" s="124"/>
      <c r="S9" s="124"/>
    </row>
    <row r="10" spans="1:21" x14ac:dyDescent="0.2">
      <c r="A10" s="162"/>
      <c r="B10" s="162"/>
      <c r="C10" s="162"/>
      <c r="D10" s="162"/>
      <c r="E10" s="162"/>
      <c r="F10" s="162"/>
      <c r="G10" s="162"/>
      <c r="H10" s="162"/>
      <c r="I10" s="162"/>
      <c r="J10" s="162"/>
      <c r="K10" s="162"/>
      <c r="L10" s="162"/>
      <c r="M10" s="162"/>
      <c r="N10" s="162"/>
      <c r="O10" s="162"/>
      <c r="P10" s="162"/>
      <c r="Q10" s="162"/>
      <c r="R10" s="162"/>
      <c r="S10" s="162"/>
      <c r="T10" s="615"/>
    </row>
    <row r="11" spans="1:21" x14ac:dyDescent="0.2">
      <c r="A11" s="162"/>
      <c r="B11" s="162"/>
      <c r="C11" s="162"/>
      <c r="D11" s="162" t="s">
        <v>982</v>
      </c>
      <c r="E11" s="162"/>
      <c r="F11" s="162"/>
      <c r="G11" s="162"/>
      <c r="H11" s="162"/>
      <c r="I11" s="162"/>
      <c r="J11" s="162"/>
      <c r="K11" s="162"/>
      <c r="L11" s="162"/>
      <c r="M11" s="162"/>
      <c r="N11" s="162"/>
      <c r="O11" s="162"/>
      <c r="P11" s="162"/>
      <c r="Q11" s="162"/>
      <c r="R11" s="162"/>
      <c r="S11" s="162"/>
      <c r="T11" s="615"/>
    </row>
    <row r="12" spans="1:21" x14ac:dyDescent="0.2">
      <c r="A12" s="162"/>
      <c r="B12" s="162"/>
      <c r="C12" s="162"/>
      <c r="D12" s="615"/>
      <c r="E12" s="162"/>
      <c r="F12" s="162"/>
      <c r="G12" s="162"/>
      <c r="H12" s="162"/>
      <c r="I12" s="162"/>
      <c r="J12" s="162"/>
      <c r="K12" s="162"/>
      <c r="L12" s="162"/>
      <c r="M12" s="162"/>
      <c r="N12" s="162"/>
      <c r="O12" s="162"/>
      <c r="P12" s="162"/>
      <c r="Q12" s="162"/>
      <c r="R12" s="162"/>
      <c r="S12" s="162"/>
      <c r="T12" s="615"/>
      <c r="U12" s="615"/>
    </row>
    <row r="13" spans="1:21" x14ac:dyDescent="0.2">
      <c r="A13" s="162"/>
      <c r="B13" s="162"/>
      <c r="C13" s="162"/>
      <c r="D13" s="495"/>
      <c r="E13" s="81">
        <f>FirstYear</f>
        <v>2021</v>
      </c>
      <c r="F13" s="81">
        <f>E13+1</f>
        <v>2022</v>
      </c>
      <c r="G13" s="81">
        <f>F13+1</f>
        <v>2023</v>
      </c>
      <c r="H13" s="81">
        <f>G13+1</f>
        <v>2024</v>
      </c>
      <c r="I13" s="81">
        <f>H13+1</f>
        <v>2025</v>
      </c>
      <c r="J13" s="81">
        <f>I13+1</f>
        <v>2026</v>
      </c>
      <c r="K13" s="162"/>
      <c r="L13" s="162"/>
      <c r="M13" s="162"/>
      <c r="N13" s="642"/>
      <c r="O13" s="162"/>
      <c r="P13" s="162"/>
      <c r="Q13" s="162"/>
      <c r="R13" s="162"/>
      <c r="S13" s="162"/>
      <c r="T13" s="615"/>
      <c r="U13" s="615"/>
    </row>
    <row r="14" spans="1:21" x14ac:dyDescent="0.2">
      <c r="A14" s="162"/>
      <c r="B14" s="162"/>
      <c r="C14" s="162"/>
      <c r="D14" s="59" t="str">
        <f>TxPhase1PxTotal</f>
        <v/>
      </c>
      <c r="E14" s="32">
        <f t="shared" ref="E14:J14" si="0">IF(OR(ScriptSourceCode=1,ScriptSourceCode=3),E52+E90+E128+E166+E204+E242+E280+E318+E356+E394,0)</f>
        <v>0</v>
      </c>
      <c r="F14" s="32">
        <f t="shared" si="0"/>
        <v>0</v>
      </c>
      <c r="G14" s="32">
        <f t="shared" si="0"/>
        <v>0</v>
      </c>
      <c r="H14" s="32">
        <f t="shared" si="0"/>
        <v>0</v>
      </c>
      <c r="I14" s="32">
        <f t="shared" si="0"/>
        <v>0</v>
      </c>
      <c r="J14" s="32">
        <f t="shared" si="0"/>
        <v>0</v>
      </c>
      <c r="K14" s="162"/>
      <c r="L14" s="162"/>
      <c r="M14" s="162"/>
      <c r="N14" s="642"/>
      <c r="O14" s="162"/>
      <c r="P14" s="162"/>
      <c r="Q14" s="162"/>
      <c r="R14" s="162"/>
      <c r="S14" s="162"/>
      <c r="T14" s="615"/>
      <c r="U14" s="615"/>
    </row>
    <row r="15" spans="1:21" x14ac:dyDescent="0.2">
      <c r="A15" s="162"/>
      <c r="B15" s="162"/>
      <c r="C15" s="162"/>
      <c r="D15" s="59" t="str">
        <f>TxPhase2PxTotal</f>
        <v/>
      </c>
      <c r="E15" s="32">
        <f t="shared" ref="E15:J15" si="1">IF(OR(ScriptSourceCode=1,ScriptSourceCode=3),IF(TPCont&gt;0,E53+E91+E129+E167+E205+E243+E281+E319+E357+E395,0),0)</f>
        <v>0</v>
      </c>
      <c r="F15" s="32">
        <f t="shared" si="1"/>
        <v>0</v>
      </c>
      <c r="G15" s="32">
        <f t="shared" si="1"/>
        <v>0</v>
      </c>
      <c r="H15" s="32">
        <f t="shared" si="1"/>
        <v>0</v>
      </c>
      <c r="I15" s="32">
        <f t="shared" si="1"/>
        <v>0</v>
      </c>
      <c r="J15" s="32">
        <f t="shared" si="1"/>
        <v>0</v>
      </c>
      <c r="K15" s="162"/>
      <c r="L15" s="129"/>
      <c r="M15" s="129"/>
      <c r="N15" s="129"/>
      <c r="O15" s="129"/>
      <c r="P15" s="129"/>
      <c r="Q15" s="129"/>
      <c r="R15" s="162"/>
      <c r="S15" s="162"/>
      <c r="T15" s="615"/>
      <c r="U15" s="615"/>
    </row>
    <row r="16" spans="1:21" ht="12.75" customHeight="1" x14ac:dyDescent="0.2">
      <c r="A16" s="615"/>
      <c r="B16" s="615"/>
      <c r="C16" s="615"/>
      <c r="D16" s="615"/>
      <c r="E16" s="615"/>
      <c r="F16" s="615"/>
      <c r="G16" s="615"/>
      <c r="H16" s="615"/>
      <c r="I16" s="615"/>
      <c r="J16" s="615"/>
      <c r="K16" s="615"/>
      <c r="L16" s="615"/>
      <c r="M16" s="615"/>
      <c r="N16" s="615"/>
      <c r="O16" s="615"/>
      <c r="P16" s="615"/>
      <c r="Q16" s="615"/>
      <c r="R16" s="615"/>
      <c r="S16" s="615"/>
      <c r="T16" s="615"/>
      <c r="U16" s="615"/>
    </row>
    <row r="17" spans="1:21" x14ac:dyDescent="0.2">
      <c r="A17" s="162"/>
      <c r="B17" s="162"/>
      <c r="C17" s="162"/>
      <c r="D17" s="162"/>
      <c r="E17" s="162"/>
      <c r="F17" s="162"/>
      <c r="G17" s="162"/>
      <c r="H17" s="162"/>
      <c r="I17" s="162"/>
      <c r="J17" s="162"/>
      <c r="K17" s="162"/>
      <c r="L17" s="162"/>
      <c r="M17" s="162"/>
      <c r="N17" s="162"/>
      <c r="O17" s="162"/>
      <c r="P17" s="162"/>
      <c r="Q17" s="162"/>
      <c r="R17" s="162"/>
      <c r="S17" s="162"/>
      <c r="T17" s="615"/>
      <c r="U17" s="615"/>
    </row>
    <row r="18" spans="1:21" ht="15.75" x14ac:dyDescent="0.2">
      <c r="A18" s="131"/>
      <c r="B18" s="131"/>
      <c r="C18" s="131"/>
      <c r="D18" s="123" t="s">
        <v>914</v>
      </c>
      <c r="E18" s="132"/>
      <c r="F18" s="132"/>
      <c r="G18" s="132"/>
      <c r="H18" s="132"/>
      <c r="I18" s="133"/>
      <c r="J18" s="133"/>
      <c r="K18" s="133"/>
      <c r="L18" s="133"/>
      <c r="M18" s="133"/>
      <c r="N18" s="133"/>
      <c r="O18" s="133"/>
      <c r="P18" s="133"/>
      <c r="Q18" s="133"/>
      <c r="R18" s="133"/>
      <c r="S18" s="133"/>
    </row>
    <row r="19" spans="1:21" x14ac:dyDescent="0.2">
      <c r="A19" s="162"/>
      <c r="B19" s="162"/>
      <c r="C19" s="162"/>
      <c r="D19" s="162"/>
      <c r="E19" s="162"/>
      <c r="F19" s="162"/>
      <c r="G19" s="162"/>
      <c r="H19" s="162"/>
      <c r="I19" s="162"/>
      <c r="J19" s="162"/>
      <c r="K19" s="162"/>
      <c r="L19" s="162"/>
      <c r="M19" s="162"/>
      <c r="N19" s="162"/>
      <c r="O19" s="162"/>
      <c r="P19" s="162"/>
      <c r="Q19" s="162"/>
      <c r="R19" s="162"/>
      <c r="S19" s="162"/>
      <c r="T19" s="615"/>
      <c r="U19" s="615"/>
    </row>
    <row r="20" spans="1:21" ht="15.75" x14ac:dyDescent="0.2">
      <c r="A20" s="162"/>
      <c r="B20" s="162"/>
      <c r="C20" s="573">
        <v>1</v>
      </c>
      <c r="D20" s="79" t="str">
        <f>IF(E24&lt;&gt;"",CONCATENATE("Incident ",C20,": ",G24,L20),MsgNotUsed)</f>
        <v>** NOT USED **</v>
      </c>
      <c r="E20" s="132"/>
      <c r="F20" s="132"/>
      <c r="G20" s="132"/>
      <c r="H20" s="132"/>
      <c r="I20" s="134"/>
      <c r="J20" s="134"/>
      <c r="K20" s="325"/>
      <c r="L20" s="325" t="str">
        <f>IF(S24&lt;&gt;"",CONCATENATE(" (",S24,")"),"")</f>
        <v/>
      </c>
      <c r="M20" s="325"/>
      <c r="N20" s="325"/>
      <c r="O20" s="325"/>
      <c r="P20" s="325"/>
      <c r="Q20" s="325"/>
      <c r="R20" s="133"/>
      <c r="S20" s="133"/>
    </row>
    <row r="21" spans="1:21" hidden="1" outlineLevel="1" x14ac:dyDescent="0.2">
      <c r="A21" s="129"/>
      <c r="B21" s="129"/>
      <c r="C21" s="129"/>
      <c r="D21" s="616"/>
      <c r="E21" s="129"/>
      <c r="F21" s="129"/>
      <c r="G21" s="129"/>
      <c r="H21" s="129"/>
      <c r="I21" s="129"/>
      <c r="J21" s="129"/>
      <c r="K21" s="129"/>
      <c r="L21" s="129"/>
      <c r="M21" s="129"/>
      <c r="N21" s="129"/>
      <c r="O21" s="129"/>
      <c r="P21" s="129"/>
      <c r="Q21" s="129"/>
      <c r="R21" s="129"/>
      <c r="S21" s="129"/>
    </row>
    <row r="22" spans="1:21" hidden="1" outlineLevel="1" x14ac:dyDescent="0.2">
      <c r="A22" s="129"/>
      <c r="B22" s="129"/>
      <c r="C22" s="129"/>
      <c r="D22" s="162" t="s">
        <v>839</v>
      </c>
      <c r="E22" s="129"/>
      <c r="F22" s="129"/>
      <c r="G22" s="615"/>
      <c r="H22" s="615"/>
      <c r="I22" s="615"/>
      <c r="J22" s="615"/>
      <c r="K22" s="162"/>
      <c r="L22" s="162"/>
      <c r="M22" s="162"/>
      <c r="N22" s="162"/>
      <c r="O22" s="162"/>
      <c r="P22" s="162"/>
      <c r="Q22" s="162"/>
      <c r="R22" s="129"/>
      <c r="S22" s="615"/>
    </row>
    <row r="23" spans="1:21" hidden="1" outlineLevel="1" x14ac:dyDescent="0.2">
      <c r="A23" s="129"/>
      <c r="B23" s="129"/>
      <c r="C23" s="129"/>
      <c r="D23" s="616"/>
      <c r="E23" s="129"/>
      <c r="F23" s="129"/>
      <c r="G23" s="129"/>
      <c r="H23" s="129"/>
      <c r="I23" s="129"/>
      <c r="J23" s="129"/>
      <c r="K23" s="162"/>
      <c r="L23" s="162"/>
      <c r="M23" s="162"/>
      <c r="N23" s="162"/>
      <c r="O23" s="162"/>
      <c r="P23" s="162"/>
      <c r="Q23" s="162"/>
      <c r="R23" s="129"/>
      <c r="S23" s="36" t="s">
        <v>424</v>
      </c>
    </row>
    <row r="24" spans="1:21" hidden="1" outlineLevel="1" x14ac:dyDescent="0.2">
      <c r="A24" s="129"/>
      <c r="B24" s="291">
        <f>IF(E24&lt;&gt;"",MATCH(E24,EPISource,0)-1,0)</f>
        <v>0</v>
      </c>
      <c r="C24" s="291">
        <f ca="1">IF(G24&lt;&gt;"",MATCH(G24,OFFSET(References!$AE$7,0,B24,PxPopMaxCount),0),0)</f>
        <v>0</v>
      </c>
      <c r="D24" s="12" t="s">
        <v>113</v>
      </c>
      <c r="E24" s="401"/>
      <c r="F24" s="135"/>
      <c r="G24" s="812"/>
      <c r="H24" s="813"/>
      <c r="I24" s="813"/>
      <c r="J24" s="813"/>
      <c r="K24" s="270"/>
      <c r="L24" s="162"/>
      <c r="M24" s="162"/>
      <c r="N24" s="162"/>
      <c r="O24" s="162"/>
      <c r="P24" s="162"/>
      <c r="Q24" s="162"/>
      <c r="R24" s="129"/>
      <c r="S24" s="274"/>
    </row>
    <row r="25" spans="1:21" hidden="1" outlineLevel="1" x14ac:dyDescent="0.2">
      <c r="A25" s="129"/>
      <c r="B25" s="291">
        <f>INDEX(PxPopValid,,B24+1)</f>
        <v>0</v>
      </c>
      <c r="C25" s="291">
        <f ca="1">(B24*PxPopMaxCount)+C24</f>
        <v>0</v>
      </c>
      <c r="D25" s="616"/>
      <c r="E25" s="650">
        <v>1</v>
      </c>
      <c r="F25" s="650">
        <v>2</v>
      </c>
      <c r="G25" s="650">
        <v>3</v>
      </c>
      <c r="H25" s="650">
        <v>4</v>
      </c>
      <c r="I25" s="650">
        <v>5</v>
      </c>
      <c r="J25" s="650">
        <v>6</v>
      </c>
      <c r="K25" s="270"/>
      <c r="L25" s="162"/>
      <c r="M25" s="162"/>
      <c r="N25" s="162"/>
      <c r="O25" s="162"/>
      <c r="P25" s="162"/>
      <c r="Q25" s="162"/>
      <c r="R25" s="129"/>
      <c r="S25" s="129"/>
    </row>
    <row r="26" spans="1:21" ht="15" hidden="1" customHeight="1" outlineLevel="1" x14ac:dyDescent="0.2">
      <c r="A26" s="129"/>
      <c r="B26" s="129"/>
      <c r="C26" s="129"/>
      <c r="D26" s="616"/>
      <c r="E26" s="814" t="s">
        <v>10</v>
      </c>
      <c r="F26" s="814"/>
      <c r="G26" s="814"/>
      <c r="H26" s="814"/>
      <c r="I26" s="814"/>
      <c r="J26" s="814"/>
      <c r="K26" s="270"/>
      <c r="L26" s="162"/>
      <c r="M26" s="162"/>
      <c r="N26" s="162"/>
      <c r="O26" s="162"/>
      <c r="P26" s="162"/>
      <c r="Q26" s="162"/>
      <c r="R26" s="129"/>
      <c r="S26" s="636" t="str">
        <f ca="1">IF(ISERROR($C25)=TRUE,MsgError &amp; VLOOKUP("BadPop",ErrorMessages,2,FALSE),IF(RIGHT(G24,12)="(Prevalence)",MsgError &amp; VLOOKUP("BadPrevPop",ErrorMessages,2,FALSE),""))</f>
        <v/>
      </c>
    </row>
    <row r="27" spans="1:21" hidden="1" outlineLevel="1" x14ac:dyDescent="0.2">
      <c r="A27" s="129"/>
      <c r="B27" s="129"/>
      <c r="C27" s="129"/>
      <c r="D27" s="643"/>
      <c r="E27" s="402">
        <f>FirstYear</f>
        <v>2021</v>
      </c>
      <c r="F27" s="402">
        <f>E27+1</f>
        <v>2022</v>
      </c>
      <c r="G27" s="402">
        <f>F27+1</f>
        <v>2023</v>
      </c>
      <c r="H27" s="402">
        <f>G27+1</f>
        <v>2024</v>
      </c>
      <c r="I27" s="402">
        <f>H27+1</f>
        <v>2025</v>
      </c>
      <c r="J27" s="402">
        <f>I27+1</f>
        <v>2026</v>
      </c>
      <c r="K27" s="270"/>
      <c r="L27" s="162"/>
      <c r="M27" s="162"/>
      <c r="N27" s="162"/>
      <c r="O27" s="162"/>
      <c r="P27" s="162"/>
      <c r="Q27" s="162"/>
      <c r="R27" s="129"/>
      <c r="S27" s="162"/>
    </row>
    <row r="28" spans="1:21" ht="12.75" hidden="1" customHeight="1" outlineLevel="1" x14ac:dyDescent="0.2">
      <c r="A28" s="162"/>
      <c r="B28" s="162"/>
      <c r="C28" s="162"/>
      <c r="D28" s="721" t="s">
        <v>342</v>
      </c>
      <c r="E28" s="136">
        <f t="shared" ref="E28:J28" ca="1" si="2">IF(AND(ISERROR($C25)&lt;&gt;TRUE,$G24&lt;&gt;""),INDEX(PxPopNumbers,$C25,E25),0)</f>
        <v>0</v>
      </c>
      <c r="F28" s="437">
        <f t="shared" ca="1" si="2"/>
        <v>0</v>
      </c>
      <c r="G28" s="437">
        <f t="shared" ca="1" si="2"/>
        <v>0</v>
      </c>
      <c r="H28" s="437">
        <f t="shared" ca="1" si="2"/>
        <v>0</v>
      </c>
      <c r="I28" s="437">
        <f t="shared" ca="1" si="2"/>
        <v>0</v>
      </c>
      <c r="J28" s="437">
        <f t="shared" ca="1" si="2"/>
        <v>0</v>
      </c>
      <c r="K28" s="270"/>
      <c r="L28" s="162"/>
      <c r="M28" s="162"/>
      <c r="N28" s="162"/>
      <c r="O28" s="162"/>
      <c r="P28" s="162"/>
      <c r="Q28" s="162"/>
      <c r="R28" s="616"/>
      <c r="S28" s="162"/>
    </row>
    <row r="29" spans="1:21" ht="12.75" hidden="1" customHeight="1" outlineLevel="1" x14ac:dyDescent="0.2">
      <c r="A29" s="162"/>
      <c r="B29" s="162"/>
      <c r="C29" s="162"/>
      <c r="D29" s="162"/>
      <c r="E29" s="270"/>
      <c r="F29" s="270"/>
      <c r="G29" s="270"/>
      <c r="H29" s="270"/>
      <c r="I29" s="270"/>
      <c r="J29" s="270"/>
      <c r="K29" s="270"/>
      <c r="L29" s="162"/>
      <c r="M29" s="162"/>
      <c r="N29" s="162"/>
      <c r="O29" s="162"/>
      <c r="P29" s="162"/>
      <c r="Q29" s="162"/>
      <c r="R29" s="162"/>
      <c r="S29" s="162"/>
    </row>
    <row r="30" spans="1:21" ht="12.75" hidden="1" customHeight="1" outlineLevel="1" x14ac:dyDescent="0.2">
      <c r="A30" s="162"/>
      <c r="B30" s="162"/>
      <c r="C30" s="162"/>
      <c r="D30" s="720" t="s">
        <v>205</v>
      </c>
      <c r="E30" s="270"/>
      <c r="F30" s="270"/>
      <c r="G30" s="270"/>
      <c r="H30" s="270"/>
      <c r="I30" s="270"/>
      <c r="J30" s="270"/>
      <c r="K30" s="270"/>
      <c r="L30" s="162"/>
      <c r="M30" s="162"/>
      <c r="N30" s="162"/>
      <c r="O30" s="162"/>
      <c r="P30" s="162"/>
      <c r="Q30" s="162"/>
      <c r="R30" s="162"/>
      <c r="S30" s="36" t="s">
        <v>258</v>
      </c>
    </row>
    <row r="31" spans="1:21" hidden="1" outlineLevel="1" x14ac:dyDescent="0.2">
      <c r="A31" s="162"/>
      <c r="B31" s="162"/>
      <c r="C31" s="162"/>
      <c r="D31" s="432"/>
      <c r="E31" s="443"/>
      <c r="F31" s="443"/>
      <c r="G31" s="443"/>
      <c r="H31" s="443"/>
      <c r="I31" s="443"/>
      <c r="J31" s="443"/>
      <c r="K31" s="270"/>
      <c r="L31" s="45">
        <f t="shared" ref="L31:Q40" si="3">IF(E31="",1,E31)</f>
        <v>1</v>
      </c>
      <c r="M31" s="45">
        <f t="shared" si="3"/>
        <v>1</v>
      </c>
      <c r="N31" s="45">
        <f t="shared" si="3"/>
        <v>1</v>
      </c>
      <c r="O31" s="45">
        <f t="shared" si="3"/>
        <v>1</v>
      </c>
      <c r="P31" s="45">
        <f t="shared" si="3"/>
        <v>1</v>
      </c>
      <c r="Q31" s="45">
        <f t="shared" si="3"/>
        <v>1</v>
      </c>
      <c r="R31" s="162"/>
      <c r="S31" s="432"/>
    </row>
    <row r="32" spans="1:21" hidden="1" outlineLevel="1" x14ac:dyDescent="0.2">
      <c r="A32" s="162"/>
      <c r="B32" s="162"/>
      <c r="C32" s="162"/>
      <c r="D32" s="432"/>
      <c r="E32" s="412"/>
      <c r="F32" s="412"/>
      <c r="G32" s="412"/>
      <c r="H32" s="412"/>
      <c r="I32" s="412"/>
      <c r="J32" s="412"/>
      <c r="K32" s="270"/>
      <c r="L32" s="45">
        <f t="shared" si="3"/>
        <v>1</v>
      </c>
      <c r="M32" s="45">
        <f t="shared" si="3"/>
        <v>1</v>
      </c>
      <c r="N32" s="45">
        <f t="shared" si="3"/>
        <v>1</v>
      </c>
      <c r="O32" s="45">
        <f t="shared" si="3"/>
        <v>1</v>
      </c>
      <c r="P32" s="45">
        <f t="shared" si="3"/>
        <v>1</v>
      </c>
      <c r="Q32" s="45">
        <f t="shared" si="3"/>
        <v>1</v>
      </c>
      <c r="R32" s="162"/>
      <c r="S32" s="432"/>
    </row>
    <row r="33" spans="1:19" hidden="1" outlineLevel="1" x14ac:dyDescent="0.2">
      <c r="A33" s="162"/>
      <c r="B33" s="162"/>
      <c r="C33" s="162"/>
      <c r="D33" s="432"/>
      <c r="E33" s="412"/>
      <c r="F33" s="412"/>
      <c r="G33" s="412"/>
      <c r="H33" s="412"/>
      <c r="I33" s="412"/>
      <c r="J33" s="412"/>
      <c r="K33" s="270"/>
      <c r="L33" s="45">
        <f t="shared" si="3"/>
        <v>1</v>
      </c>
      <c r="M33" s="45">
        <f t="shared" si="3"/>
        <v>1</v>
      </c>
      <c r="N33" s="45">
        <f t="shared" si="3"/>
        <v>1</v>
      </c>
      <c r="O33" s="45">
        <f t="shared" si="3"/>
        <v>1</v>
      </c>
      <c r="P33" s="45">
        <f t="shared" si="3"/>
        <v>1</v>
      </c>
      <c r="Q33" s="45">
        <f t="shared" si="3"/>
        <v>1</v>
      </c>
      <c r="R33" s="162"/>
      <c r="S33" s="432"/>
    </row>
    <row r="34" spans="1:19" hidden="1" outlineLevel="1" x14ac:dyDescent="0.2">
      <c r="A34" s="162"/>
      <c r="B34" s="162"/>
      <c r="C34" s="162"/>
      <c r="D34" s="432"/>
      <c r="E34" s="412"/>
      <c r="F34" s="412"/>
      <c r="G34" s="412"/>
      <c r="H34" s="412"/>
      <c r="I34" s="412"/>
      <c r="J34" s="412"/>
      <c r="K34" s="270"/>
      <c r="L34" s="45">
        <f t="shared" si="3"/>
        <v>1</v>
      </c>
      <c r="M34" s="45">
        <f t="shared" si="3"/>
        <v>1</v>
      </c>
      <c r="N34" s="45">
        <f t="shared" si="3"/>
        <v>1</v>
      </c>
      <c r="O34" s="45">
        <f t="shared" si="3"/>
        <v>1</v>
      </c>
      <c r="P34" s="45">
        <f t="shared" si="3"/>
        <v>1</v>
      </c>
      <c r="Q34" s="45">
        <f t="shared" si="3"/>
        <v>1</v>
      </c>
      <c r="R34" s="162"/>
      <c r="S34" s="432"/>
    </row>
    <row r="35" spans="1:19" hidden="1" outlineLevel="1" x14ac:dyDescent="0.2">
      <c r="A35" s="162"/>
      <c r="B35" s="162"/>
      <c r="C35" s="162"/>
      <c r="D35" s="432"/>
      <c r="E35" s="412"/>
      <c r="F35" s="412"/>
      <c r="G35" s="412"/>
      <c r="H35" s="412"/>
      <c r="I35" s="412"/>
      <c r="J35" s="412"/>
      <c r="K35" s="270"/>
      <c r="L35" s="45">
        <f t="shared" si="3"/>
        <v>1</v>
      </c>
      <c r="M35" s="45">
        <f t="shared" si="3"/>
        <v>1</v>
      </c>
      <c r="N35" s="45">
        <f t="shared" si="3"/>
        <v>1</v>
      </c>
      <c r="O35" s="45">
        <f t="shared" si="3"/>
        <v>1</v>
      </c>
      <c r="P35" s="45">
        <f t="shared" si="3"/>
        <v>1</v>
      </c>
      <c r="Q35" s="45">
        <f t="shared" si="3"/>
        <v>1</v>
      </c>
      <c r="R35" s="162"/>
      <c r="S35" s="432"/>
    </row>
    <row r="36" spans="1:19" hidden="1" outlineLevel="1" x14ac:dyDescent="0.2">
      <c r="A36" s="162"/>
      <c r="B36" s="162"/>
      <c r="C36" s="162"/>
      <c r="D36" s="432"/>
      <c r="E36" s="412"/>
      <c r="F36" s="412"/>
      <c r="G36" s="412"/>
      <c r="H36" s="412"/>
      <c r="I36" s="412"/>
      <c r="J36" s="412"/>
      <c r="K36" s="270"/>
      <c r="L36" s="45">
        <f t="shared" si="3"/>
        <v>1</v>
      </c>
      <c r="M36" s="45">
        <f t="shared" si="3"/>
        <v>1</v>
      </c>
      <c r="N36" s="45">
        <f t="shared" si="3"/>
        <v>1</v>
      </c>
      <c r="O36" s="45">
        <f t="shared" si="3"/>
        <v>1</v>
      </c>
      <c r="P36" s="45">
        <f t="shared" si="3"/>
        <v>1</v>
      </c>
      <c r="Q36" s="45">
        <f t="shared" si="3"/>
        <v>1</v>
      </c>
      <c r="R36" s="162"/>
      <c r="S36" s="432"/>
    </row>
    <row r="37" spans="1:19" hidden="1" outlineLevel="1" x14ac:dyDescent="0.2">
      <c r="A37" s="162"/>
      <c r="B37" s="162"/>
      <c r="C37" s="162"/>
      <c r="D37" s="432"/>
      <c r="E37" s="412"/>
      <c r="F37" s="412"/>
      <c r="G37" s="412"/>
      <c r="H37" s="412"/>
      <c r="I37" s="412"/>
      <c r="J37" s="412"/>
      <c r="K37" s="270"/>
      <c r="L37" s="45">
        <f t="shared" si="3"/>
        <v>1</v>
      </c>
      <c r="M37" s="45">
        <f t="shared" si="3"/>
        <v>1</v>
      </c>
      <c r="N37" s="45">
        <f t="shared" si="3"/>
        <v>1</v>
      </c>
      <c r="O37" s="45">
        <f t="shared" si="3"/>
        <v>1</v>
      </c>
      <c r="P37" s="45">
        <f t="shared" si="3"/>
        <v>1</v>
      </c>
      <c r="Q37" s="45">
        <f t="shared" si="3"/>
        <v>1</v>
      </c>
      <c r="R37" s="162"/>
      <c r="S37" s="432"/>
    </row>
    <row r="38" spans="1:19" hidden="1" outlineLevel="1" x14ac:dyDescent="0.2">
      <c r="A38" s="162"/>
      <c r="B38" s="162"/>
      <c r="C38" s="162"/>
      <c r="D38" s="432"/>
      <c r="E38" s="412"/>
      <c r="F38" s="412"/>
      <c r="G38" s="412"/>
      <c r="H38" s="412"/>
      <c r="I38" s="412"/>
      <c r="J38" s="412"/>
      <c r="K38" s="270"/>
      <c r="L38" s="45">
        <f t="shared" si="3"/>
        <v>1</v>
      </c>
      <c r="M38" s="45">
        <f t="shared" si="3"/>
        <v>1</v>
      </c>
      <c r="N38" s="45">
        <f t="shared" si="3"/>
        <v>1</v>
      </c>
      <c r="O38" s="45">
        <f t="shared" si="3"/>
        <v>1</v>
      </c>
      <c r="P38" s="45">
        <f t="shared" si="3"/>
        <v>1</v>
      </c>
      <c r="Q38" s="45">
        <f t="shared" si="3"/>
        <v>1</v>
      </c>
      <c r="R38" s="162"/>
      <c r="S38" s="432"/>
    </row>
    <row r="39" spans="1:19" hidden="1" outlineLevel="1" x14ac:dyDescent="0.2">
      <c r="A39" s="162"/>
      <c r="B39" s="162"/>
      <c r="C39" s="162"/>
      <c r="D39" s="432"/>
      <c r="E39" s="412"/>
      <c r="F39" s="412"/>
      <c r="G39" s="412"/>
      <c r="H39" s="412"/>
      <c r="I39" s="412"/>
      <c r="J39" s="412"/>
      <c r="K39" s="270"/>
      <c r="L39" s="45">
        <f t="shared" si="3"/>
        <v>1</v>
      </c>
      <c r="M39" s="45">
        <f t="shared" si="3"/>
        <v>1</v>
      </c>
      <c r="N39" s="45">
        <f t="shared" si="3"/>
        <v>1</v>
      </c>
      <c r="O39" s="45">
        <f t="shared" si="3"/>
        <v>1</v>
      </c>
      <c r="P39" s="45">
        <f t="shared" si="3"/>
        <v>1</v>
      </c>
      <c r="Q39" s="45">
        <f t="shared" si="3"/>
        <v>1</v>
      </c>
      <c r="R39" s="162"/>
      <c r="S39" s="432"/>
    </row>
    <row r="40" spans="1:19" hidden="1" outlineLevel="1" x14ac:dyDescent="0.2">
      <c r="A40" s="162"/>
      <c r="B40" s="162"/>
      <c r="C40" s="162"/>
      <c r="D40" s="432"/>
      <c r="E40" s="412"/>
      <c r="F40" s="412"/>
      <c r="G40" s="412"/>
      <c r="H40" s="412"/>
      <c r="I40" s="412"/>
      <c r="J40" s="412"/>
      <c r="K40" s="270"/>
      <c r="L40" s="45">
        <f>IF(E40="",1,E40)</f>
        <v>1</v>
      </c>
      <c r="M40" s="45">
        <f t="shared" si="3"/>
        <v>1</v>
      </c>
      <c r="N40" s="45">
        <f t="shared" si="3"/>
        <v>1</v>
      </c>
      <c r="O40" s="45">
        <f t="shared" si="3"/>
        <v>1</v>
      </c>
      <c r="P40" s="45">
        <f t="shared" si="3"/>
        <v>1</v>
      </c>
      <c r="Q40" s="45">
        <f t="shared" si="3"/>
        <v>1</v>
      </c>
      <c r="R40" s="162"/>
      <c r="S40" s="432"/>
    </row>
    <row r="41" spans="1:19" hidden="1" outlineLevel="1" x14ac:dyDescent="0.2">
      <c r="A41" s="162"/>
      <c r="B41" s="162"/>
      <c r="C41" s="162"/>
      <c r="D41" s="24" t="s">
        <v>213</v>
      </c>
      <c r="E41" s="413">
        <f t="shared" ref="E41:J41" si="4">L31*L32*L33*L34*L40*L35*L36*L37*L38*L39</f>
        <v>1</v>
      </c>
      <c r="F41" s="413">
        <f t="shared" si="4"/>
        <v>1</v>
      </c>
      <c r="G41" s="413">
        <f t="shared" si="4"/>
        <v>1</v>
      </c>
      <c r="H41" s="413">
        <f t="shared" si="4"/>
        <v>1</v>
      </c>
      <c r="I41" s="413">
        <f t="shared" si="4"/>
        <v>1</v>
      </c>
      <c r="J41" s="413">
        <f t="shared" si="4"/>
        <v>1</v>
      </c>
      <c r="K41" s="162"/>
      <c r="L41" s="162"/>
      <c r="M41" s="162"/>
      <c r="N41" s="638"/>
      <c r="O41" s="162"/>
      <c r="P41" s="162"/>
      <c r="Q41" s="162"/>
      <c r="R41" s="162"/>
      <c r="S41" s="162"/>
    </row>
    <row r="42" spans="1:19" hidden="1" outlineLevel="1" x14ac:dyDescent="0.2">
      <c r="A42" s="638"/>
      <c r="B42" s="638"/>
      <c r="C42" s="638"/>
      <c r="D42" s="6" t="s">
        <v>90</v>
      </c>
      <c r="E42" s="292">
        <f t="shared" ref="E42:J42" ca="1" si="5">IF(ISNUMBER(E28),E28*E41,"")</f>
        <v>0</v>
      </c>
      <c r="F42" s="292">
        <f t="shared" ca="1" si="5"/>
        <v>0</v>
      </c>
      <c r="G42" s="292">
        <f t="shared" ca="1" si="5"/>
        <v>0</v>
      </c>
      <c r="H42" s="292">
        <f t="shared" ca="1" si="5"/>
        <v>0</v>
      </c>
      <c r="I42" s="292">
        <f t="shared" ca="1" si="5"/>
        <v>0</v>
      </c>
      <c r="J42" s="292">
        <f t="shared" ca="1" si="5"/>
        <v>0</v>
      </c>
      <c r="K42" s="162"/>
      <c r="L42" s="638"/>
      <c r="M42" s="162"/>
      <c r="N42" s="162"/>
      <c r="O42" s="162"/>
      <c r="P42" s="162"/>
      <c r="Q42" s="162"/>
      <c r="R42" s="162"/>
      <c r="S42" s="162"/>
    </row>
    <row r="43" spans="1:19" hidden="1" outlineLevel="1" x14ac:dyDescent="0.2">
      <c r="A43" s="162"/>
      <c r="B43" s="162"/>
      <c r="C43" s="162"/>
      <c r="D43" s="270"/>
      <c r="E43" s="162"/>
      <c r="F43" s="162"/>
      <c r="G43" s="162"/>
      <c r="H43" s="162"/>
      <c r="I43" s="162"/>
      <c r="J43" s="162"/>
      <c r="K43" s="162"/>
      <c r="L43" s="162"/>
      <c r="M43" s="162"/>
      <c r="N43" s="162"/>
      <c r="O43" s="162"/>
      <c r="P43" s="641"/>
      <c r="Q43" s="641"/>
      <c r="R43" s="162"/>
      <c r="S43" s="162"/>
    </row>
    <row r="44" spans="1:19" hidden="1" outlineLevel="1" x14ac:dyDescent="0.2">
      <c r="A44" s="162"/>
      <c r="B44" s="162"/>
      <c r="C44" s="162"/>
      <c r="D44" s="60" t="str">
        <f>TxPhase1Tx</f>
        <v/>
      </c>
      <c r="E44" s="495"/>
      <c r="F44" s="162"/>
      <c r="G44" s="162"/>
      <c r="H44" s="162"/>
      <c r="I44" s="162"/>
      <c r="J44" s="162"/>
      <c r="K44" s="615"/>
      <c r="L44" s="615"/>
      <c r="M44" s="615"/>
      <c r="N44" s="615"/>
      <c r="O44" s="641"/>
      <c r="P44" s="641"/>
      <c r="Q44" s="641"/>
      <c r="R44" s="162"/>
      <c r="S44" s="36" t="s">
        <v>258</v>
      </c>
    </row>
    <row r="45" spans="1:19" hidden="1" outlineLevel="1" x14ac:dyDescent="0.2">
      <c r="A45" s="162"/>
      <c r="B45" s="162"/>
      <c r="C45" s="162"/>
      <c r="D45" s="60" t="s">
        <v>91</v>
      </c>
      <c r="E45" s="54"/>
      <c r="F45" s="54"/>
      <c r="G45" s="54"/>
      <c r="H45" s="54"/>
      <c r="I45" s="54"/>
      <c r="J45" s="54"/>
      <c r="K45" s="615"/>
      <c r="L45" s="615"/>
      <c r="M45" s="615"/>
      <c r="N45" s="615"/>
      <c r="O45" s="162"/>
      <c r="P45" s="641"/>
      <c r="Q45" s="641"/>
      <c r="R45" s="162"/>
      <c r="S45" s="426"/>
    </row>
    <row r="46" spans="1:19" hidden="1" outlineLevel="1" x14ac:dyDescent="0.2">
      <c r="A46" s="162"/>
      <c r="B46" s="162"/>
      <c r="C46" s="162"/>
      <c r="D46" s="270"/>
      <c r="E46" s="162"/>
      <c r="F46" s="162"/>
      <c r="G46" s="162"/>
      <c r="H46" s="162"/>
      <c r="I46" s="162"/>
      <c r="J46" s="162"/>
      <c r="K46" s="615"/>
      <c r="L46" s="615"/>
      <c r="M46" s="615"/>
      <c r="N46" s="615"/>
      <c r="O46" s="162"/>
      <c r="P46" s="641"/>
      <c r="Q46" s="641"/>
      <c r="R46" s="162"/>
      <c r="S46" s="162"/>
    </row>
    <row r="47" spans="1:19" hidden="1" outlineLevel="1" x14ac:dyDescent="0.2">
      <c r="A47" s="162"/>
      <c r="B47" s="162"/>
      <c r="C47" s="162"/>
      <c r="D47" s="90" t="str">
        <f>TXPhase2Tx</f>
        <v/>
      </c>
      <c r="E47" s="495"/>
      <c r="F47" s="162"/>
      <c r="G47" s="162"/>
      <c r="H47" s="162"/>
      <c r="I47" s="162"/>
      <c r="J47" s="162"/>
      <c r="K47" s="615"/>
      <c r="L47" s="615"/>
      <c r="M47" s="615"/>
      <c r="N47" s="615"/>
      <c r="O47" s="162"/>
      <c r="P47" s="641"/>
      <c r="Q47" s="641"/>
      <c r="R47" s="162"/>
      <c r="S47" s="36" t="s">
        <v>258</v>
      </c>
    </row>
    <row r="48" spans="1:19" hidden="1" outlineLevel="1" x14ac:dyDescent="0.2">
      <c r="A48" s="162"/>
      <c r="B48" s="162"/>
      <c r="C48" s="162"/>
      <c r="D48" s="90" t="str">
        <f>IF(D47&lt;&gt;"","Patients electing treatment (%)","")</f>
        <v/>
      </c>
      <c r="E48" s="54"/>
      <c r="F48" s="428"/>
      <c r="G48" s="428"/>
      <c r="H48" s="428"/>
      <c r="I48" s="428"/>
      <c r="J48" s="428"/>
      <c r="K48" s="615"/>
      <c r="L48" s="615"/>
      <c r="M48" s="615"/>
      <c r="N48" s="615"/>
      <c r="O48" s="162"/>
      <c r="P48" s="641"/>
      <c r="Q48" s="641"/>
      <c r="R48" s="162"/>
      <c r="S48" s="426"/>
    </row>
    <row r="49" spans="1:20" hidden="1" outlineLevel="1" x14ac:dyDescent="0.2">
      <c r="A49" s="162"/>
      <c r="B49" s="162"/>
      <c r="C49" s="162"/>
      <c r="D49" s="270"/>
      <c r="E49" s="270"/>
      <c r="F49" s="270"/>
      <c r="G49" s="270"/>
      <c r="H49" s="270"/>
      <c r="I49" s="270"/>
      <c r="J49" s="270"/>
      <c r="K49" s="615"/>
      <c r="L49" s="615"/>
      <c r="M49" s="615"/>
      <c r="N49" s="615"/>
      <c r="O49" s="641"/>
      <c r="P49" s="641"/>
      <c r="Q49" s="641"/>
      <c r="R49" s="162"/>
      <c r="S49" s="162"/>
    </row>
    <row r="50" spans="1:20" s="416" customFormat="1" hidden="1" outlineLevel="1" x14ac:dyDescent="0.2">
      <c r="A50" s="162"/>
      <c r="B50" s="162"/>
      <c r="C50" s="475">
        <f>IFERROR(VLOOKUP(E50,TxPhase2SourceCode,2,FALSE),0)</f>
        <v>1</v>
      </c>
      <c r="D50" s="429" t="s">
        <v>1165</v>
      </c>
      <c r="E50" s="263" t="s">
        <v>1166</v>
      </c>
      <c r="F50" s="435"/>
      <c r="G50" s="435"/>
      <c r="H50" s="435"/>
      <c r="I50" s="435"/>
      <c r="J50" s="435"/>
      <c r="K50" s="615"/>
      <c r="L50" s="615"/>
      <c r="M50" s="615"/>
      <c r="N50" s="615"/>
      <c r="O50" s="641"/>
      <c r="P50" s="641"/>
      <c r="Q50" s="641"/>
      <c r="R50" s="162"/>
      <c r="S50" s="162"/>
    </row>
    <row r="51" spans="1:20" s="416" customFormat="1" hidden="1" outlineLevel="1" x14ac:dyDescent="0.2">
      <c r="A51" s="162"/>
      <c r="B51" s="162"/>
      <c r="C51" s="162"/>
      <c r="D51" s="435"/>
      <c r="E51" s="435"/>
      <c r="F51" s="435"/>
      <c r="G51" s="435"/>
      <c r="H51" s="435"/>
      <c r="I51" s="435"/>
      <c r="J51" s="435"/>
      <c r="K51" s="615"/>
      <c r="L51" s="615"/>
      <c r="M51" s="615"/>
      <c r="N51" s="615"/>
      <c r="O51" s="641"/>
      <c r="P51" s="641"/>
      <c r="Q51" s="641"/>
      <c r="R51" s="162"/>
      <c r="S51" s="162"/>
    </row>
    <row r="52" spans="1:20" s="416" customFormat="1" hidden="1" outlineLevel="1" x14ac:dyDescent="0.2">
      <c r="A52" s="162"/>
      <c r="B52" s="162"/>
      <c r="C52" s="162"/>
      <c r="D52" s="60" t="str">
        <f>TxPhase1Px</f>
        <v/>
      </c>
      <c r="E52" s="292">
        <f t="shared" ref="E52:J52" si="6">IF(TxPhase1&lt;&gt;"",E42*E45,0)</f>
        <v>0</v>
      </c>
      <c r="F52" s="292">
        <f t="shared" si="6"/>
        <v>0</v>
      </c>
      <c r="G52" s="292">
        <f t="shared" si="6"/>
        <v>0</v>
      </c>
      <c r="H52" s="292">
        <f t="shared" si="6"/>
        <v>0</v>
      </c>
      <c r="I52" s="292">
        <f t="shared" si="6"/>
        <v>0</v>
      </c>
      <c r="J52" s="292">
        <f t="shared" si="6"/>
        <v>0</v>
      </c>
      <c r="K52" s="615"/>
      <c r="L52" s="615"/>
      <c r="M52" s="615"/>
      <c r="N52" s="615"/>
      <c r="O52" s="641"/>
      <c r="P52" s="641"/>
      <c r="Q52" s="641"/>
      <c r="R52" s="162"/>
      <c r="S52" s="162"/>
    </row>
    <row r="53" spans="1:20" hidden="1" outlineLevel="1" x14ac:dyDescent="0.2">
      <c r="A53" s="162"/>
      <c r="B53" s="162"/>
      <c r="C53" s="162"/>
      <c r="D53" s="60" t="str">
        <f>TxPhase2Px</f>
        <v/>
      </c>
      <c r="E53" s="292">
        <f t="shared" ref="E53:J53" si="7">IF(TxPhase2&lt;&gt;"",IF($C50=1,E52,IF($C50=2,E42,0))*E48,0)</f>
        <v>0</v>
      </c>
      <c r="F53" s="440">
        <f t="shared" si="7"/>
        <v>0</v>
      </c>
      <c r="G53" s="440">
        <f t="shared" si="7"/>
        <v>0</v>
      </c>
      <c r="H53" s="440">
        <f t="shared" si="7"/>
        <v>0</v>
      </c>
      <c r="I53" s="440">
        <f t="shared" si="7"/>
        <v>0</v>
      </c>
      <c r="J53" s="440">
        <f t="shared" si="7"/>
        <v>0</v>
      </c>
      <c r="K53" s="615"/>
      <c r="L53" s="615"/>
      <c r="M53" s="615"/>
      <c r="N53" s="615"/>
      <c r="O53" s="162"/>
      <c r="P53" s="641"/>
      <c r="Q53" s="641"/>
      <c r="R53" s="162"/>
      <c r="S53" s="162"/>
    </row>
    <row r="54" spans="1:20" hidden="1" outlineLevel="1" x14ac:dyDescent="0.2">
      <c r="A54" s="162"/>
      <c r="B54" s="162"/>
      <c r="C54" s="162"/>
      <c r="D54" s="162"/>
      <c r="E54" s="162"/>
      <c r="F54" s="162"/>
      <c r="G54" s="162"/>
      <c r="H54" s="162"/>
      <c r="I54" s="162"/>
      <c r="J54" s="162"/>
      <c r="K54" s="162"/>
      <c r="L54" s="162"/>
      <c r="M54" s="162"/>
      <c r="N54" s="638"/>
      <c r="O54" s="162"/>
      <c r="P54" s="641"/>
      <c r="Q54" s="641"/>
      <c r="R54" s="162"/>
      <c r="S54" s="162"/>
    </row>
    <row r="55" spans="1:20" s="416" customFormat="1" hidden="1" outlineLevel="1" x14ac:dyDescent="0.2">
      <c r="A55" s="162"/>
      <c r="B55" s="162"/>
      <c r="C55" s="291" t="str">
        <f>IF(E55&lt;&gt;"",E55,"")</f>
        <v/>
      </c>
      <c r="D55" s="89" t="s">
        <v>756</v>
      </c>
      <c r="E55" s="263"/>
      <c r="F55" s="162"/>
      <c r="G55" s="162"/>
      <c r="H55" s="162"/>
      <c r="I55" s="162"/>
      <c r="J55" s="162"/>
      <c r="K55" s="162"/>
      <c r="L55" s="162"/>
      <c r="M55" s="162"/>
      <c r="N55" s="638"/>
      <c r="O55" s="162"/>
      <c r="P55" s="641"/>
      <c r="Q55" s="641"/>
      <c r="R55" s="162"/>
      <c r="S55" s="162"/>
    </row>
    <row r="56" spans="1:20" hidden="1" outlineLevel="1" x14ac:dyDescent="0.2">
      <c r="A56" s="615"/>
      <c r="B56" s="615"/>
      <c r="C56" s="615"/>
      <c r="D56" s="615"/>
      <c r="E56" s="615"/>
      <c r="F56" s="615"/>
      <c r="G56" s="615"/>
      <c r="H56" s="615"/>
      <c r="I56" s="615"/>
      <c r="J56" s="615"/>
      <c r="K56" s="615"/>
      <c r="L56" s="615"/>
      <c r="M56" s="615"/>
      <c r="N56" s="615"/>
      <c r="O56" s="615"/>
      <c r="P56" s="615"/>
      <c r="Q56" s="615"/>
      <c r="R56" s="615"/>
      <c r="S56" s="615"/>
      <c r="T56" s="615"/>
    </row>
    <row r="57" spans="1:20" collapsed="1" x14ac:dyDescent="0.2">
      <c r="A57" s="162"/>
      <c r="B57" s="162"/>
      <c r="C57" s="162"/>
      <c r="D57" s="162"/>
      <c r="E57" s="162"/>
      <c r="F57" s="162"/>
      <c r="G57" s="162"/>
      <c r="H57" s="162"/>
      <c r="I57" s="162"/>
      <c r="J57" s="162"/>
      <c r="K57" s="162"/>
      <c r="L57" s="162"/>
      <c r="M57" s="162"/>
      <c r="N57" s="162"/>
      <c r="O57" s="162"/>
      <c r="P57" s="162"/>
      <c r="Q57" s="162"/>
      <c r="R57" s="162"/>
      <c r="S57" s="162"/>
      <c r="T57" s="615"/>
    </row>
    <row r="58" spans="1:20" ht="15.75" x14ac:dyDescent="0.2">
      <c r="A58" s="162"/>
      <c r="B58" s="162"/>
      <c r="C58" s="573">
        <v>2</v>
      </c>
      <c r="D58" s="79" t="str">
        <f>IF(E62&lt;&gt;"",CONCATENATE("Incident ",C58,": ",G62,L58),MsgNotUsed)</f>
        <v>** NOT USED **</v>
      </c>
      <c r="E58" s="132"/>
      <c r="F58" s="132"/>
      <c r="G58" s="132"/>
      <c r="H58" s="132"/>
      <c r="I58" s="134"/>
      <c r="J58" s="134"/>
      <c r="K58" s="325"/>
      <c r="L58" s="325" t="str">
        <f>IF(S62&lt;&gt;"",CONCATENATE(" (",S62,")"),"")</f>
        <v/>
      </c>
      <c r="M58" s="325"/>
      <c r="N58" s="325"/>
      <c r="O58" s="325"/>
      <c r="P58" s="325"/>
      <c r="Q58" s="325"/>
      <c r="R58" s="133"/>
      <c r="S58" s="133"/>
    </row>
    <row r="59" spans="1:20" hidden="1" outlineLevel="1" x14ac:dyDescent="0.2">
      <c r="A59" s="129"/>
      <c r="B59" s="129"/>
      <c r="C59" s="129"/>
      <c r="D59" s="616"/>
      <c r="E59" s="129"/>
      <c r="F59" s="129"/>
      <c r="G59" s="129"/>
      <c r="H59" s="129"/>
      <c r="I59" s="129"/>
      <c r="J59" s="129"/>
      <c r="K59" s="129"/>
      <c r="L59" s="129"/>
      <c r="M59" s="129"/>
      <c r="N59" s="129"/>
      <c r="O59" s="129"/>
      <c r="P59" s="129"/>
      <c r="Q59" s="129"/>
      <c r="R59" s="129"/>
      <c r="S59" s="129"/>
    </row>
    <row r="60" spans="1:20" hidden="1" outlineLevel="1" x14ac:dyDescent="0.2">
      <c r="A60" s="129"/>
      <c r="B60" s="129"/>
      <c r="C60" s="129"/>
      <c r="D60" s="162" t="s">
        <v>839</v>
      </c>
      <c r="E60" s="129"/>
      <c r="F60" s="129"/>
      <c r="G60" s="129"/>
      <c r="H60" s="615"/>
      <c r="I60" s="615"/>
      <c r="J60" s="615"/>
      <c r="K60" s="162"/>
      <c r="L60" s="162"/>
      <c r="M60" s="162"/>
      <c r="N60" s="162"/>
      <c r="O60" s="162"/>
      <c r="P60" s="162"/>
      <c r="Q60" s="162"/>
      <c r="R60" s="129"/>
      <c r="S60" s="615"/>
    </row>
    <row r="61" spans="1:20" hidden="1" outlineLevel="1" x14ac:dyDescent="0.2">
      <c r="A61" s="129"/>
      <c r="B61" s="129"/>
      <c r="C61" s="129"/>
      <c r="D61" s="616"/>
      <c r="E61" s="129"/>
      <c r="F61" s="129"/>
      <c r="G61" s="129"/>
      <c r="H61" s="129"/>
      <c r="I61" s="129"/>
      <c r="J61" s="129"/>
      <c r="K61" s="162"/>
      <c r="L61" s="162"/>
      <c r="M61" s="162"/>
      <c r="N61" s="162"/>
      <c r="O61" s="162"/>
      <c r="P61" s="162"/>
      <c r="Q61" s="162"/>
      <c r="R61" s="129"/>
      <c r="S61" s="36" t="s">
        <v>424</v>
      </c>
    </row>
    <row r="62" spans="1:20" hidden="1" outlineLevel="1" x14ac:dyDescent="0.2">
      <c r="A62" s="129"/>
      <c r="B62" s="291">
        <f>IF(E62&lt;&gt;"",MATCH(E62,EPISource,0)-1,0)</f>
        <v>0</v>
      </c>
      <c r="C62" s="291">
        <f ca="1">IF(G62&lt;&gt;"",MATCH(G62,OFFSET(References!$AE$7,0,B62,PxPopMaxCount),0),0)</f>
        <v>0</v>
      </c>
      <c r="D62" s="12" t="s">
        <v>113</v>
      </c>
      <c r="E62" s="401"/>
      <c r="F62" s="135"/>
      <c r="G62" s="812"/>
      <c r="H62" s="813"/>
      <c r="I62" s="813"/>
      <c r="J62" s="813"/>
      <c r="K62" s="435"/>
      <c r="L62" s="162"/>
      <c r="M62" s="162"/>
      <c r="N62" s="162"/>
      <c r="O62" s="162"/>
      <c r="P62" s="162"/>
      <c r="Q62" s="162"/>
      <c r="R62" s="129"/>
      <c r="S62" s="274"/>
    </row>
    <row r="63" spans="1:20" hidden="1" outlineLevel="1" x14ac:dyDescent="0.2">
      <c r="A63" s="129"/>
      <c r="B63" s="291">
        <f>INDEX(PxPopValid,,B62+1)</f>
        <v>0</v>
      </c>
      <c r="C63" s="291">
        <f ca="1">(B62*PxPopMaxCount)+C62</f>
        <v>0</v>
      </c>
      <c r="D63" s="616"/>
      <c r="E63" s="650">
        <v>1</v>
      </c>
      <c r="F63" s="650">
        <v>2</v>
      </c>
      <c r="G63" s="650">
        <v>3</v>
      </c>
      <c r="H63" s="650">
        <v>4</v>
      </c>
      <c r="I63" s="650">
        <v>5</v>
      </c>
      <c r="J63" s="650">
        <v>6</v>
      </c>
      <c r="K63" s="435"/>
      <c r="L63" s="162"/>
      <c r="M63" s="162"/>
      <c r="N63" s="162"/>
      <c r="O63" s="162"/>
      <c r="P63" s="162"/>
      <c r="Q63" s="162"/>
      <c r="R63" s="129"/>
      <c r="S63" s="162"/>
    </row>
    <row r="64" spans="1:20" ht="15" hidden="1" customHeight="1" outlineLevel="1" x14ac:dyDescent="0.2">
      <c r="A64" s="129"/>
      <c r="B64" s="129"/>
      <c r="C64" s="129"/>
      <c r="D64" s="616"/>
      <c r="E64" s="814" t="s">
        <v>10</v>
      </c>
      <c r="F64" s="814"/>
      <c r="G64" s="814"/>
      <c r="H64" s="814"/>
      <c r="I64" s="814"/>
      <c r="J64" s="814"/>
      <c r="K64" s="435"/>
      <c r="L64" s="162"/>
      <c r="M64" s="162"/>
      <c r="N64" s="162"/>
      <c r="O64" s="162"/>
      <c r="P64" s="162"/>
      <c r="Q64" s="162"/>
      <c r="R64" s="129"/>
      <c r="S64" s="636" t="str">
        <f ca="1">IF(ISERROR($C63)=TRUE,MsgError &amp; VLOOKUP("BadPop",ErrorMessages,2,FALSE),IF(RIGHT(G62,12)="(Prevalence)",MsgError &amp; VLOOKUP("BadPrevPop",ErrorMessages,2,FALSE),""))</f>
        <v/>
      </c>
    </row>
    <row r="65" spans="1:19" hidden="1" outlineLevel="1" x14ac:dyDescent="0.2">
      <c r="A65" s="129"/>
      <c r="B65" s="129"/>
      <c r="C65" s="129"/>
      <c r="D65" s="643"/>
      <c r="E65" s="402">
        <f>FirstYear</f>
        <v>2021</v>
      </c>
      <c r="F65" s="402">
        <f>E65+1</f>
        <v>2022</v>
      </c>
      <c r="G65" s="402">
        <f>F65+1</f>
        <v>2023</v>
      </c>
      <c r="H65" s="402">
        <f>G65+1</f>
        <v>2024</v>
      </c>
      <c r="I65" s="402">
        <f>H65+1</f>
        <v>2025</v>
      </c>
      <c r="J65" s="402">
        <f>I65+1</f>
        <v>2026</v>
      </c>
      <c r="K65" s="435"/>
      <c r="L65" s="162"/>
      <c r="M65" s="162"/>
      <c r="N65" s="162"/>
      <c r="O65" s="162"/>
      <c r="P65" s="162"/>
      <c r="Q65" s="162"/>
      <c r="R65" s="129"/>
      <c r="S65" s="162"/>
    </row>
    <row r="66" spans="1:19" ht="12.75" hidden="1" customHeight="1" outlineLevel="1" x14ac:dyDescent="0.2">
      <c r="A66" s="162"/>
      <c r="B66" s="162"/>
      <c r="C66" s="162"/>
      <c r="D66" s="721" t="s">
        <v>342</v>
      </c>
      <c r="E66" s="437">
        <f t="shared" ref="E66:J66" ca="1" si="8">IF(AND(ISERROR($C63)&lt;&gt;TRUE,$G62&lt;&gt;""),INDEX(PxPopNumbers,$C63,E63),0)</f>
        <v>0</v>
      </c>
      <c r="F66" s="437">
        <f t="shared" ca="1" si="8"/>
        <v>0</v>
      </c>
      <c r="G66" s="437">
        <f t="shared" ca="1" si="8"/>
        <v>0</v>
      </c>
      <c r="H66" s="437">
        <f t="shared" ca="1" si="8"/>
        <v>0</v>
      </c>
      <c r="I66" s="437">
        <f t="shared" ca="1" si="8"/>
        <v>0</v>
      </c>
      <c r="J66" s="437">
        <f t="shared" ca="1" si="8"/>
        <v>0</v>
      </c>
      <c r="K66" s="435"/>
      <c r="L66" s="162"/>
      <c r="M66" s="162"/>
      <c r="N66" s="162"/>
      <c r="O66" s="162"/>
      <c r="P66" s="162"/>
      <c r="Q66" s="162"/>
      <c r="R66" s="616"/>
      <c r="S66" s="162"/>
    </row>
    <row r="67" spans="1:19" ht="12.75" hidden="1" customHeight="1" outlineLevel="1" x14ac:dyDescent="0.2">
      <c r="A67" s="162"/>
      <c r="B67" s="162"/>
      <c r="C67" s="162"/>
      <c r="D67" s="162"/>
      <c r="E67" s="270"/>
      <c r="F67" s="270"/>
      <c r="G67" s="270"/>
      <c r="H67" s="270"/>
      <c r="I67" s="270"/>
      <c r="J67" s="270"/>
      <c r="K67" s="435"/>
      <c r="L67" s="162"/>
      <c r="M67" s="162"/>
      <c r="N67" s="162"/>
      <c r="O67" s="162"/>
      <c r="P67" s="162"/>
      <c r="Q67" s="162"/>
      <c r="R67" s="162"/>
      <c r="S67" s="162"/>
    </row>
    <row r="68" spans="1:19" ht="12.75" hidden="1" customHeight="1" outlineLevel="1" x14ac:dyDescent="0.2">
      <c r="A68" s="162"/>
      <c r="B68" s="162"/>
      <c r="C68" s="162"/>
      <c r="D68" s="720" t="s">
        <v>205</v>
      </c>
      <c r="E68" s="270"/>
      <c r="F68" s="270"/>
      <c r="G68" s="270"/>
      <c r="H68" s="270"/>
      <c r="I68" s="270"/>
      <c r="J68" s="270"/>
      <c r="K68" s="435"/>
      <c r="L68" s="162"/>
      <c r="M68" s="162"/>
      <c r="N68" s="162"/>
      <c r="O68" s="162"/>
      <c r="P68" s="162"/>
      <c r="Q68" s="162"/>
      <c r="R68" s="162"/>
      <c r="S68" s="36" t="s">
        <v>258</v>
      </c>
    </row>
    <row r="69" spans="1:19" hidden="1" outlineLevel="1" x14ac:dyDescent="0.2">
      <c r="A69" s="162"/>
      <c r="B69" s="162"/>
      <c r="C69" s="162"/>
      <c r="D69" s="432"/>
      <c r="E69" s="34"/>
      <c r="F69" s="34"/>
      <c r="G69" s="34"/>
      <c r="H69" s="34"/>
      <c r="I69" s="34"/>
      <c r="J69" s="34"/>
      <c r="K69" s="435"/>
      <c r="L69" s="425">
        <f t="shared" ref="L69:Q78" si="9">IF(E69="",1,E69)</f>
        <v>1</v>
      </c>
      <c r="M69" s="425">
        <f t="shared" si="9"/>
        <v>1</v>
      </c>
      <c r="N69" s="425">
        <f t="shared" si="9"/>
        <v>1</v>
      </c>
      <c r="O69" s="425">
        <f t="shared" si="9"/>
        <v>1</v>
      </c>
      <c r="P69" s="425">
        <f t="shared" si="9"/>
        <v>1</v>
      </c>
      <c r="Q69" s="425">
        <f t="shared" si="9"/>
        <v>1</v>
      </c>
      <c r="R69" s="162"/>
      <c r="S69" s="432"/>
    </row>
    <row r="70" spans="1:19" hidden="1" outlineLevel="1" x14ac:dyDescent="0.2">
      <c r="A70" s="162"/>
      <c r="B70" s="162"/>
      <c r="C70" s="162"/>
      <c r="D70" s="432"/>
      <c r="E70" s="34"/>
      <c r="F70" s="34"/>
      <c r="G70" s="34"/>
      <c r="H70" s="34"/>
      <c r="I70" s="34"/>
      <c r="J70" s="34"/>
      <c r="K70" s="435"/>
      <c r="L70" s="425">
        <f t="shared" si="9"/>
        <v>1</v>
      </c>
      <c r="M70" s="425">
        <f t="shared" si="9"/>
        <v>1</v>
      </c>
      <c r="N70" s="425">
        <f t="shared" si="9"/>
        <v>1</v>
      </c>
      <c r="O70" s="425">
        <f t="shared" si="9"/>
        <v>1</v>
      </c>
      <c r="P70" s="425">
        <f t="shared" si="9"/>
        <v>1</v>
      </c>
      <c r="Q70" s="425">
        <f t="shared" si="9"/>
        <v>1</v>
      </c>
      <c r="R70" s="162"/>
      <c r="S70" s="432"/>
    </row>
    <row r="71" spans="1:19" ht="12.75" hidden="1" customHeight="1" outlineLevel="1" x14ac:dyDescent="0.2">
      <c r="A71" s="162"/>
      <c r="B71" s="162"/>
      <c r="C71" s="162"/>
      <c r="D71" s="432"/>
      <c r="E71" s="34"/>
      <c r="F71" s="34"/>
      <c r="G71" s="34"/>
      <c r="H71" s="34"/>
      <c r="I71" s="34"/>
      <c r="J71" s="34"/>
      <c r="K71" s="435"/>
      <c r="L71" s="425">
        <f t="shared" si="9"/>
        <v>1</v>
      </c>
      <c r="M71" s="425">
        <f t="shared" si="9"/>
        <v>1</v>
      </c>
      <c r="N71" s="425">
        <f t="shared" si="9"/>
        <v>1</v>
      </c>
      <c r="O71" s="425">
        <f t="shared" si="9"/>
        <v>1</v>
      </c>
      <c r="P71" s="425">
        <f t="shared" si="9"/>
        <v>1</v>
      </c>
      <c r="Q71" s="425">
        <f t="shared" si="9"/>
        <v>1</v>
      </c>
      <c r="R71" s="162"/>
      <c r="S71" s="432"/>
    </row>
    <row r="72" spans="1:19" ht="12.75" hidden="1" customHeight="1" outlineLevel="1" x14ac:dyDescent="0.2">
      <c r="A72" s="162"/>
      <c r="B72" s="162"/>
      <c r="C72" s="162"/>
      <c r="D72" s="432"/>
      <c r="E72" s="34"/>
      <c r="F72" s="34"/>
      <c r="G72" s="34"/>
      <c r="H72" s="34"/>
      <c r="I72" s="34"/>
      <c r="J72" s="34"/>
      <c r="K72" s="435"/>
      <c r="L72" s="425">
        <f t="shared" si="9"/>
        <v>1</v>
      </c>
      <c r="M72" s="425">
        <f t="shared" si="9"/>
        <v>1</v>
      </c>
      <c r="N72" s="425">
        <f t="shared" si="9"/>
        <v>1</v>
      </c>
      <c r="O72" s="425">
        <f t="shared" si="9"/>
        <v>1</v>
      </c>
      <c r="P72" s="425">
        <f t="shared" si="9"/>
        <v>1</v>
      </c>
      <c r="Q72" s="425">
        <f t="shared" si="9"/>
        <v>1</v>
      </c>
      <c r="R72" s="162"/>
      <c r="S72" s="432"/>
    </row>
    <row r="73" spans="1:19" ht="12.75" hidden="1" customHeight="1" outlineLevel="1" x14ac:dyDescent="0.2">
      <c r="A73" s="162"/>
      <c r="B73" s="162"/>
      <c r="C73" s="162"/>
      <c r="D73" s="432"/>
      <c r="E73" s="34"/>
      <c r="F73" s="34"/>
      <c r="G73" s="34"/>
      <c r="H73" s="34"/>
      <c r="I73" s="34"/>
      <c r="J73" s="34"/>
      <c r="K73" s="435"/>
      <c r="L73" s="425">
        <f t="shared" si="9"/>
        <v>1</v>
      </c>
      <c r="M73" s="425">
        <f t="shared" si="9"/>
        <v>1</v>
      </c>
      <c r="N73" s="425">
        <f t="shared" si="9"/>
        <v>1</v>
      </c>
      <c r="O73" s="425">
        <f t="shared" si="9"/>
        <v>1</v>
      </c>
      <c r="P73" s="425">
        <f t="shared" si="9"/>
        <v>1</v>
      </c>
      <c r="Q73" s="425">
        <f t="shared" si="9"/>
        <v>1</v>
      </c>
      <c r="R73" s="162"/>
      <c r="S73" s="432"/>
    </row>
    <row r="74" spans="1:19" ht="12.75" hidden="1" customHeight="1" outlineLevel="1" x14ac:dyDescent="0.2">
      <c r="A74" s="162"/>
      <c r="B74" s="162"/>
      <c r="C74" s="162"/>
      <c r="D74" s="432"/>
      <c r="E74" s="34"/>
      <c r="F74" s="34"/>
      <c r="G74" s="34"/>
      <c r="H74" s="34"/>
      <c r="I74" s="34"/>
      <c r="J74" s="34"/>
      <c r="K74" s="435"/>
      <c r="L74" s="425">
        <f t="shared" si="9"/>
        <v>1</v>
      </c>
      <c r="M74" s="425">
        <f t="shared" si="9"/>
        <v>1</v>
      </c>
      <c r="N74" s="425">
        <f t="shared" si="9"/>
        <v>1</v>
      </c>
      <c r="O74" s="425">
        <f t="shared" si="9"/>
        <v>1</v>
      </c>
      <c r="P74" s="425">
        <f t="shared" si="9"/>
        <v>1</v>
      </c>
      <c r="Q74" s="425">
        <f t="shared" si="9"/>
        <v>1</v>
      </c>
      <c r="R74" s="162"/>
      <c r="S74" s="432"/>
    </row>
    <row r="75" spans="1:19" hidden="1" outlineLevel="1" x14ac:dyDescent="0.2">
      <c r="A75" s="162"/>
      <c r="B75" s="162"/>
      <c r="C75" s="162"/>
      <c r="D75" s="432"/>
      <c r="E75" s="34"/>
      <c r="F75" s="34"/>
      <c r="G75" s="34"/>
      <c r="H75" s="34"/>
      <c r="I75" s="34"/>
      <c r="J75" s="34"/>
      <c r="K75" s="435"/>
      <c r="L75" s="425">
        <f t="shared" si="9"/>
        <v>1</v>
      </c>
      <c r="M75" s="425">
        <f t="shared" si="9"/>
        <v>1</v>
      </c>
      <c r="N75" s="425">
        <f t="shared" si="9"/>
        <v>1</v>
      </c>
      <c r="O75" s="425">
        <f t="shared" si="9"/>
        <v>1</v>
      </c>
      <c r="P75" s="425">
        <f t="shared" si="9"/>
        <v>1</v>
      </c>
      <c r="Q75" s="425">
        <f t="shared" si="9"/>
        <v>1</v>
      </c>
      <c r="R75" s="162"/>
      <c r="S75" s="432"/>
    </row>
    <row r="76" spans="1:19" hidden="1" outlineLevel="1" x14ac:dyDescent="0.2">
      <c r="A76" s="162"/>
      <c r="B76" s="162"/>
      <c r="C76" s="162"/>
      <c r="D76" s="432"/>
      <c r="E76" s="34"/>
      <c r="F76" s="34"/>
      <c r="G76" s="34"/>
      <c r="H76" s="34"/>
      <c r="I76" s="34"/>
      <c r="J76" s="34"/>
      <c r="K76" s="435"/>
      <c r="L76" s="425">
        <f t="shared" si="9"/>
        <v>1</v>
      </c>
      <c r="M76" s="425">
        <f t="shared" si="9"/>
        <v>1</v>
      </c>
      <c r="N76" s="425">
        <f t="shared" si="9"/>
        <v>1</v>
      </c>
      <c r="O76" s="425">
        <f t="shared" si="9"/>
        <v>1</v>
      </c>
      <c r="P76" s="425">
        <f t="shared" si="9"/>
        <v>1</v>
      </c>
      <c r="Q76" s="425">
        <f t="shared" si="9"/>
        <v>1</v>
      </c>
      <c r="R76" s="162"/>
      <c r="S76" s="432"/>
    </row>
    <row r="77" spans="1:19" hidden="1" outlineLevel="1" x14ac:dyDescent="0.2">
      <c r="A77" s="162"/>
      <c r="B77" s="162"/>
      <c r="C77" s="162"/>
      <c r="D77" s="432"/>
      <c r="E77" s="34"/>
      <c r="F77" s="34"/>
      <c r="G77" s="34"/>
      <c r="H77" s="34"/>
      <c r="I77" s="34"/>
      <c r="J77" s="34"/>
      <c r="K77" s="435"/>
      <c r="L77" s="425">
        <f t="shared" si="9"/>
        <v>1</v>
      </c>
      <c r="M77" s="425">
        <f t="shared" si="9"/>
        <v>1</v>
      </c>
      <c r="N77" s="425">
        <f t="shared" si="9"/>
        <v>1</v>
      </c>
      <c r="O77" s="425">
        <f t="shared" si="9"/>
        <v>1</v>
      </c>
      <c r="P77" s="425">
        <f t="shared" si="9"/>
        <v>1</v>
      </c>
      <c r="Q77" s="425">
        <f t="shared" si="9"/>
        <v>1</v>
      </c>
      <c r="R77" s="162"/>
      <c r="S77" s="432"/>
    </row>
    <row r="78" spans="1:19" hidden="1" outlineLevel="1" x14ac:dyDescent="0.2">
      <c r="A78" s="162"/>
      <c r="B78" s="162"/>
      <c r="C78" s="162"/>
      <c r="D78" s="432"/>
      <c r="E78" s="34"/>
      <c r="F78" s="34"/>
      <c r="G78" s="34"/>
      <c r="H78" s="34"/>
      <c r="I78" s="34"/>
      <c r="J78" s="34"/>
      <c r="K78" s="435"/>
      <c r="L78" s="425">
        <f>IF(E78="",1,E78)</f>
        <v>1</v>
      </c>
      <c r="M78" s="425">
        <f t="shared" si="9"/>
        <v>1</v>
      </c>
      <c r="N78" s="425">
        <f t="shared" si="9"/>
        <v>1</v>
      </c>
      <c r="O78" s="425">
        <f t="shared" si="9"/>
        <v>1</v>
      </c>
      <c r="P78" s="425">
        <f t="shared" si="9"/>
        <v>1</v>
      </c>
      <c r="Q78" s="425">
        <f t="shared" si="9"/>
        <v>1</v>
      </c>
      <c r="R78" s="162"/>
      <c r="S78" s="432"/>
    </row>
    <row r="79" spans="1:19" hidden="1" outlineLevel="1" x14ac:dyDescent="0.2">
      <c r="A79" s="162"/>
      <c r="B79" s="162"/>
      <c r="C79" s="162"/>
      <c r="D79" s="24" t="s">
        <v>213</v>
      </c>
      <c r="E79" s="33">
        <f t="shared" ref="E79:J79" si="10">L69*L70*L71*L72*L78*L73*L74*L75*L76*L77</f>
        <v>1</v>
      </c>
      <c r="F79" s="33">
        <f t="shared" si="10"/>
        <v>1</v>
      </c>
      <c r="G79" s="33">
        <f t="shared" si="10"/>
        <v>1</v>
      </c>
      <c r="H79" s="33">
        <f t="shared" si="10"/>
        <v>1</v>
      </c>
      <c r="I79" s="33">
        <f t="shared" si="10"/>
        <v>1</v>
      </c>
      <c r="J79" s="33">
        <f t="shared" si="10"/>
        <v>1</v>
      </c>
      <c r="K79" s="162"/>
      <c r="L79" s="162"/>
      <c r="M79" s="162"/>
      <c r="N79" s="638"/>
      <c r="O79" s="162"/>
      <c r="P79" s="162"/>
      <c r="Q79" s="162"/>
      <c r="R79" s="162"/>
      <c r="S79" s="162"/>
    </row>
    <row r="80" spans="1:19" hidden="1" outlineLevel="1" x14ac:dyDescent="0.2">
      <c r="A80" s="638"/>
      <c r="B80" s="638"/>
      <c r="C80" s="638"/>
      <c r="D80" s="6" t="s">
        <v>90</v>
      </c>
      <c r="E80" s="32">
        <f t="shared" ref="E80:J80" ca="1" si="11">IF(ISNUMBER(E66),E66*E79,"")</f>
        <v>0</v>
      </c>
      <c r="F80" s="32">
        <f t="shared" ca="1" si="11"/>
        <v>0</v>
      </c>
      <c r="G80" s="32">
        <f t="shared" ca="1" si="11"/>
        <v>0</v>
      </c>
      <c r="H80" s="32">
        <f t="shared" ca="1" si="11"/>
        <v>0</v>
      </c>
      <c r="I80" s="32">
        <f t="shared" ca="1" si="11"/>
        <v>0</v>
      </c>
      <c r="J80" s="32">
        <f t="shared" ca="1" si="11"/>
        <v>0</v>
      </c>
      <c r="K80" s="162"/>
      <c r="L80" s="638"/>
      <c r="M80" s="162"/>
      <c r="N80" s="162"/>
      <c r="O80" s="162"/>
      <c r="P80" s="162"/>
      <c r="Q80" s="162"/>
      <c r="R80" s="162"/>
      <c r="S80" s="162"/>
    </row>
    <row r="81" spans="1:19" ht="14.25" hidden="1" outlineLevel="1" x14ac:dyDescent="0.2">
      <c r="A81" s="162"/>
      <c r="B81" s="162"/>
      <c r="C81" s="162"/>
      <c r="D81" s="121"/>
      <c r="E81" s="125"/>
      <c r="F81" s="155"/>
      <c r="G81" s="125"/>
      <c r="H81" s="125"/>
      <c r="I81" s="125"/>
      <c r="J81" s="125"/>
      <c r="K81" s="162"/>
      <c r="L81" s="162"/>
      <c r="M81" s="162"/>
      <c r="N81" s="162"/>
      <c r="O81" s="162"/>
      <c r="P81" s="641"/>
      <c r="Q81" s="641"/>
      <c r="R81" s="162"/>
      <c r="S81" s="125"/>
    </row>
    <row r="82" spans="1:19" hidden="1" outlineLevel="1" x14ac:dyDescent="0.2">
      <c r="A82" s="162"/>
      <c r="B82" s="162"/>
      <c r="C82" s="162"/>
      <c r="D82" s="60" t="str">
        <f>TxPhase1Tx</f>
        <v/>
      </c>
      <c r="E82" s="650"/>
      <c r="F82" s="650"/>
      <c r="G82" s="125"/>
      <c r="H82" s="125"/>
      <c r="I82" s="125"/>
      <c r="J82" s="125"/>
      <c r="K82" s="615"/>
      <c r="L82" s="615"/>
      <c r="M82" s="615"/>
      <c r="N82" s="615"/>
      <c r="O82" s="641"/>
      <c r="P82" s="641"/>
      <c r="Q82" s="641"/>
      <c r="R82" s="162"/>
      <c r="S82" s="36" t="s">
        <v>258</v>
      </c>
    </row>
    <row r="83" spans="1:19" hidden="1" outlineLevel="1" x14ac:dyDescent="0.2">
      <c r="A83" s="162"/>
      <c r="B83" s="162"/>
      <c r="C83" s="162"/>
      <c r="D83" s="60" t="s">
        <v>91</v>
      </c>
      <c r="E83" s="54"/>
      <c r="F83" s="54"/>
      <c r="G83" s="54"/>
      <c r="H83" s="54"/>
      <c r="I83" s="54"/>
      <c r="J83" s="54"/>
      <c r="K83" s="615"/>
      <c r="L83" s="615"/>
      <c r="M83" s="615"/>
      <c r="N83" s="615"/>
      <c r="O83" s="162"/>
      <c r="P83" s="641"/>
      <c r="Q83" s="641"/>
      <c r="R83" s="162"/>
      <c r="S83" s="426"/>
    </row>
    <row r="84" spans="1:19" ht="14.25" hidden="1" outlineLevel="1" x14ac:dyDescent="0.2">
      <c r="A84" s="162"/>
      <c r="B84" s="162"/>
      <c r="C84" s="162"/>
      <c r="D84" s="270"/>
      <c r="E84" s="125"/>
      <c r="F84" s="155"/>
      <c r="G84" s="125"/>
      <c r="H84" s="125"/>
      <c r="I84" s="125"/>
      <c r="J84" s="125"/>
      <c r="K84" s="615"/>
      <c r="L84" s="615"/>
      <c r="M84" s="615"/>
      <c r="N84" s="615"/>
      <c r="O84" s="162"/>
      <c r="P84" s="641"/>
      <c r="Q84" s="641"/>
      <c r="R84" s="162"/>
      <c r="S84" s="125"/>
    </row>
    <row r="85" spans="1:19" hidden="1" outlineLevel="1" x14ac:dyDescent="0.2">
      <c r="A85" s="162"/>
      <c r="B85" s="162"/>
      <c r="C85" s="162"/>
      <c r="D85" s="90" t="str">
        <f>TXPhase2Tx</f>
        <v/>
      </c>
      <c r="E85" s="650"/>
      <c r="F85" s="650"/>
      <c r="G85" s="125"/>
      <c r="H85" s="125"/>
      <c r="I85" s="125"/>
      <c r="J85" s="125"/>
      <c r="K85" s="615"/>
      <c r="L85" s="615"/>
      <c r="M85" s="615"/>
      <c r="N85" s="615"/>
      <c r="O85" s="162"/>
      <c r="P85" s="641"/>
      <c r="Q85" s="641"/>
      <c r="R85" s="162"/>
      <c r="S85" s="36" t="s">
        <v>258</v>
      </c>
    </row>
    <row r="86" spans="1:19" hidden="1" outlineLevel="1" x14ac:dyDescent="0.2">
      <c r="A86" s="162"/>
      <c r="B86" s="162"/>
      <c r="C86" s="162"/>
      <c r="D86" s="90" t="str">
        <f>IF(D85&lt;&gt;"","Patients electing treatment (%)","")</f>
        <v/>
      </c>
      <c r="E86" s="54"/>
      <c r="F86" s="54"/>
      <c r="G86" s="54"/>
      <c r="H86" s="54"/>
      <c r="I86" s="54"/>
      <c r="J86" s="54"/>
      <c r="K86" s="615"/>
      <c r="L86" s="615"/>
      <c r="M86" s="615"/>
      <c r="N86" s="615"/>
      <c r="O86" s="162"/>
      <c r="P86" s="641"/>
      <c r="Q86" s="641"/>
      <c r="R86" s="162"/>
      <c r="S86" s="426"/>
    </row>
    <row r="87" spans="1:19" hidden="1" outlineLevel="1" x14ac:dyDescent="0.2">
      <c r="A87" s="162"/>
      <c r="B87" s="162"/>
      <c r="C87" s="162"/>
      <c r="D87" s="270"/>
      <c r="E87" s="121"/>
      <c r="F87" s="121"/>
      <c r="G87" s="121"/>
      <c r="H87" s="121"/>
      <c r="I87" s="121"/>
      <c r="J87" s="121"/>
      <c r="K87" s="615"/>
      <c r="L87" s="615"/>
      <c r="M87" s="615"/>
      <c r="N87" s="615"/>
      <c r="O87" s="641"/>
      <c r="P87" s="641"/>
      <c r="Q87" s="641"/>
      <c r="R87" s="162"/>
      <c r="S87" s="125"/>
    </row>
    <row r="88" spans="1:19" s="416" customFormat="1" hidden="1" outlineLevel="1" x14ac:dyDescent="0.2">
      <c r="A88" s="162"/>
      <c r="B88" s="162"/>
      <c r="C88" s="475">
        <f>IFERROR(VLOOKUP(E88,TxPhase2SourceCode,2,FALSE),0)</f>
        <v>0</v>
      </c>
      <c r="D88" s="429" t="s">
        <v>1165</v>
      </c>
      <c r="E88" s="263"/>
      <c r="F88" s="361"/>
      <c r="G88" s="361"/>
      <c r="H88" s="361"/>
      <c r="I88" s="361"/>
      <c r="J88" s="361"/>
      <c r="K88" s="615"/>
      <c r="L88" s="615"/>
      <c r="M88" s="615"/>
      <c r="N88" s="615"/>
      <c r="O88" s="641"/>
      <c r="P88" s="641"/>
      <c r="Q88" s="641"/>
      <c r="R88" s="162"/>
      <c r="S88" s="125"/>
    </row>
    <row r="89" spans="1:19" s="416" customFormat="1" hidden="1" outlineLevel="1" x14ac:dyDescent="0.2">
      <c r="A89" s="162"/>
      <c r="B89" s="162"/>
      <c r="C89" s="162"/>
      <c r="D89" s="435"/>
      <c r="E89" s="361"/>
      <c r="F89" s="361"/>
      <c r="G89" s="361"/>
      <c r="H89" s="361"/>
      <c r="I89" s="361"/>
      <c r="J89" s="361"/>
      <c r="K89" s="615"/>
      <c r="L89" s="615"/>
      <c r="M89" s="615"/>
      <c r="N89" s="615"/>
      <c r="O89" s="641"/>
      <c r="P89" s="641"/>
      <c r="Q89" s="641"/>
      <c r="R89" s="162"/>
      <c r="S89" s="125"/>
    </row>
    <row r="90" spans="1:19" s="420" customFormat="1" hidden="1" outlineLevel="1" x14ac:dyDescent="0.2">
      <c r="A90" s="162"/>
      <c r="B90" s="162"/>
      <c r="C90" s="162"/>
      <c r="D90" s="429" t="str">
        <f>TxPhase1Px</f>
        <v/>
      </c>
      <c r="E90" s="440">
        <f t="shared" ref="E90:J90" si="12">IF(TxPhase1&lt;&gt;"",E80*E83,0)</f>
        <v>0</v>
      </c>
      <c r="F90" s="440">
        <f t="shared" si="12"/>
        <v>0</v>
      </c>
      <c r="G90" s="440">
        <f t="shared" si="12"/>
        <v>0</v>
      </c>
      <c r="H90" s="440">
        <f t="shared" si="12"/>
        <v>0</v>
      </c>
      <c r="I90" s="440">
        <f t="shared" si="12"/>
        <v>0</v>
      </c>
      <c r="J90" s="440">
        <f t="shared" si="12"/>
        <v>0</v>
      </c>
      <c r="K90" s="615"/>
      <c r="L90" s="615"/>
      <c r="M90" s="615"/>
      <c r="N90" s="615"/>
      <c r="O90" s="641"/>
      <c r="P90" s="641"/>
      <c r="Q90" s="641"/>
      <c r="R90" s="162"/>
      <c r="S90" s="162"/>
    </row>
    <row r="91" spans="1:19" hidden="1" outlineLevel="1" x14ac:dyDescent="0.2">
      <c r="A91" s="162"/>
      <c r="B91" s="162"/>
      <c r="C91" s="162"/>
      <c r="D91" s="429" t="str">
        <f>TxPhase2Px</f>
        <v/>
      </c>
      <c r="E91" s="440">
        <f t="shared" ref="E91:J91" si="13">IF(TxPhase2&lt;&gt;"",IF($C88=1,E90,IF($C88=2,E80,0))*E86,0)</f>
        <v>0</v>
      </c>
      <c r="F91" s="440">
        <f t="shared" si="13"/>
        <v>0</v>
      </c>
      <c r="G91" s="440">
        <f t="shared" si="13"/>
        <v>0</v>
      </c>
      <c r="H91" s="440">
        <f t="shared" si="13"/>
        <v>0</v>
      </c>
      <c r="I91" s="440">
        <f t="shared" si="13"/>
        <v>0</v>
      </c>
      <c r="J91" s="440">
        <f t="shared" si="13"/>
        <v>0</v>
      </c>
      <c r="K91" s="615"/>
      <c r="L91" s="615"/>
      <c r="M91" s="615"/>
      <c r="N91" s="615"/>
      <c r="O91" s="162"/>
      <c r="P91" s="641"/>
      <c r="Q91" s="641"/>
      <c r="R91" s="162"/>
      <c r="S91" s="162"/>
    </row>
    <row r="92" spans="1:19" s="416" customFormat="1" hidden="1" outlineLevel="1" x14ac:dyDescent="0.2">
      <c r="A92" s="162"/>
      <c r="B92" s="162"/>
      <c r="C92" s="162"/>
      <c r="D92" s="417"/>
      <c r="E92" s="417"/>
      <c r="F92" s="162"/>
      <c r="G92" s="162"/>
      <c r="H92" s="162"/>
      <c r="I92" s="162"/>
      <c r="J92" s="162"/>
      <c r="K92" s="162"/>
      <c r="L92" s="162"/>
      <c r="M92" s="162"/>
      <c r="N92" s="638"/>
      <c r="O92" s="162"/>
      <c r="P92" s="641"/>
      <c r="Q92" s="641"/>
      <c r="R92" s="162"/>
      <c r="S92" s="162"/>
    </row>
    <row r="93" spans="1:19" s="416" customFormat="1" hidden="1" outlineLevel="1" x14ac:dyDescent="0.2">
      <c r="A93" s="162"/>
      <c r="B93" s="162"/>
      <c r="C93" s="291" t="str">
        <f>IF(E93&lt;&gt;"",E93,"")</f>
        <v/>
      </c>
      <c r="D93" s="89" t="s">
        <v>756</v>
      </c>
      <c r="E93" s="263"/>
      <c r="F93" s="162"/>
      <c r="G93" s="162"/>
      <c r="H93" s="162"/>
      <c r="I93" s="162"/>
      <c r="J93" s="162"/>
      <c r="K93" s="162"/>
      <c r="L93" s="162"/>
      <c r="M93" s="162"/>
      <c r="N93" s="638"/>
      <c r="O93" s="162"/>
      <c r="P93" s="641"/>
      <c r="Q93" s="641"/>
      <c r="R93" s="162"/>
      <c r="S93" s="162"/>
    </row>
    <row r="94" spans="1:19" hidden="1" outlineLevel="1" x14ac:dyDescent="0.2">
      <c r="A94" s="615"/>
      <c r="B94" s="615"/>
      <c r="C94" s="615"/>
      <c r="D94" s="162"/>
      <c r="E94" s="162"/>
      <c r="F94" s="615"/>
      <c r="G94" s="615"/>
      <c r="H94" s="615"/>
      <c r="I94" s="615"/>
      <c r="J94" s="615"/>
      <c r="K94" s="615"/>
      <c r="L94" s="615"/>
      <c r="M94" s="615"/>
      <c r="N94" s="615"/>
      <c r="O94" s="615"/>
      <c r="P94" s="615"/>
      <c r="Q94" s="615"/>
      <c r="R94" s="615"/>
      <c r="S94" s="162"/>
    </row>
    <row r="95" spans="1:19" collapsed="1" x14ac:dyDescent="0.2">
      <c r="A95" s="162"/>
      <c r="B95" s="162"/>
      <c r="C95" s="162"/>
      <c r="D95" s="162"/>
      <c r="E95" s="162"/>
      <c r="F95" s="162"/>
      <c r="G95" s="162"/>
      <c r="H95" s="162"/>
      <c r="I95" s="162"/>
      <c r="J95" s="162"/>
      <c r="K95" s="162"/>
      <c r="L95" s="162"/>
      <c r="M95" s="162"/>
      <c r="N95" s="162"/>
      <c r="O95" s="162"/>
      <c r="P95" s="162"/>
      <c r="Q95" s="162"/>
      <c r="R95" s="162"/>
      <c r="S95" s="162"/>
    </row>
    <row r="96" spans="1:19" ht="15.75" x14ac:dyDescent="0.2">
      <c r="A96" s="162"/>
      <c r="B96" s="162"/>
      <c r="C96" s="573">
        <v>3</v>
      </c>
      <c r="D96" s="79" t="str">
        <f>IF(E100&lt;&gt;"",CONCATENATE("Incident ",C96,": ",G100,L96),MsgNotUsed)</f>
        <v>** NOT USED **</v>
      </c>
      <c r="E96" s="132"/>
      <c r="F96" s="132"/>
      <c r="G96" s="132"/>
      <c r="H96" s="132"/>
      <c r="I96" s="134"/>
      <c r="J96" s="134"/>
      <c r="K96" s="325"/>
      <c r="L96" s="325" t="str">
        <f>IF(S100&lt;&gt;"",CONCATENATE(" (",S100,")"),"")</f>
        <v/>
      </c>
      <c r="M96" s="325"/>
      <c r="N96" s="325"/>
      <c r="O96" s="325"/>
      <c r="P96" s="325"/>
      <c r="Q96" s="325"/>
      <c r="R96" s="133"/>
      <c r="S96" s="133"/>
    </row>
    <row r="97" spans="1:19" hidden="1" outlineLevel="1" x14ac:dyDescent="0.2">
      <c r="A97" s="129"/>
      <c r="B97" s="129"/>
      <c r="C97" s="129"/>
      <c r="D97" s="616"/>
      <c r="E97" s="129"/>
      <c r="F97" s="129"/>
      <c r="G97" s="129"/>
      <c r="H97" s="129"/>
      <c r="I97" s="129"/>
      <c r="J97" s="129"/>
      <c r="K97" s="129"/>
      <c r="L97" s="129"/>
      <c r="M97" s="129"/>
      <c r="N97" s="129"/>
      <c r="O97" s="129"/>
      <c r="P97" s="129"/>
      <c r="Q97" s="129"/>
      <c r="R97" s="129"/>
      <c r="S97" s="129"/>
    </row>
    <row r="98" spans="1:19" hidden="1" outlineLevel="1" x14ac:dyDescent="0.2">
      <c r="A98" s="129"/>
      <c r="B98" s="129"/>
      <c r="C98" s="129"/>
      <c r="D98" s="162" t="s">
        <v>839</v>
      </c>
      <c r="E98" s="129"/>
      <c r="F98" s="129"/>
      <c r="G98" s="129"/>
      <c r="H98" s="615"/>
      <c r="I98" s="615"/>
      <c r="J98" s="615"/>
      <c r="K98" s="162"/>
      <c r="L98" s="162"/>
      <c r="M98" s="162"/>
      <c r="N98" s="162"/>
      <c r="O98" s="162"/>
      <c r="P98" s="162"/>
      <c r="Q98" s="162"/>
      <c r="R98" s="129"/>
      <c r="S98" s="615"/>
    </row>
    <row r="99" spans="1:19" hidden="1" outlineLevel="1" x14ac:dyDescent="0.2">
      <c r="A99" s="129"/>
      <c r="B99" s="129"/>
      <c r="C99" s="129"/>
      <c r="D99" s="616"/>
      <c r="E99" s="129"/>
      <c r="F99" s="129"/>
      <c r="G99" s="129"/>
      <c r="H99" s="129"/>
      <c r="I99" s="129"/>
      <c r="J99" s="129"/>
      <c r="K99" s="162"/>
      <c r="L99" s="162"/>
      <c r="M99" s="162"/>
      <c r="N99" s="162"/>
      <c r="O99" s="162"/>
      <c r="P99" s="162"/>
      <c r="Q99" s="162"/>
      <c r="R99" s="129"/>
      <c r="S99" s="36" t="s">
        <v>424</v>
      </c>
    </row>
    <row r="100" spans="1:19" hidden="1" outlineLevel="1" x14ac:dyDescent="0.2">
      <c r="A100" s="129"/>
      <c r="B100" s="291">
        <f>IF(E100&lt;&gt;"",MATCH(E100,EPISource,0)-1,0)</f>
        <v>0</v>
      </c>
      <c r="C100" s="291">
        <f ca="1">IF(G100&lt;&gt;"",MATCH(G100,OFFSET(References!$AE$7,0,B100,PxPopMaxCount),0),0)</f>
        <v>0</v>
      </c>
      <c r="D100" s="423" t="s">
        <v>113</v>
      </c>
      <c r="E100" s="438"/>
      <c r="F100" s="436"/>
      <c r="G100" s="816"/>
      <c r="H100" s="817"/>
      <c r="I100" s="817"/>
      <c r="J100" s="818"/>
      <c r="K100" s="435"/>
      <c r="L100" s="162"/>
      <c r="M100" s="162"/>
      <c r="N100" s="162"/>
      <c r="O100" s="162"/>
      <c r="P100" s="162"/>
      <c r="Q100" s="162"/>
      <c r="R100" s="129"/>
      <c r="S100" s="439"/>
    </row>
    <row r="101" spans="1:19" hidden="1" outlineLevel="1" x14ac:dyDescent="0.2">
      <c r="A101" s="129"/>
      <c r="B101" s="291">
        <f>INDEX(PxPopValid,,B100+1)</f>
        <v>0</v>
      </c>
      <c r="C101" s="291">
        <f ca="1">(B100*PxPopMaxCount)+C100</f>
        <v>0</v>
      </c>
      <c r="D101" s="616"/>
      <c r="E101" s="650">
        <v>1</v>
      </c>
      <c r="F101" s="650">
        <v>2</v>
      </c>
      <c r="G101" s="650">
        <v>3</v>
      </c>
      <c r="H101" s="650">
        <v>4</v>
      </c>
      <c r="I101" s="650">
        <v>5</v>
      </c>
      <c r="J101" s="650">
        <v>6</v>
      </c>
      <c r="K101" s="435"/>
      <c r="L101" s="162"/>
      <c r="M101" s="162"/>
      <c r="N101" s="162"/>
      <c r="O101" s="162"/>
      <c r="P101" s="162"/>
      <c r="Q101" s="162"/>
      <c r="R101" s="129"/>
      <c r="S101" s="162"/>
    </row>
    <row r="102" spans="1:19" ht="15" hidden="1" customHeight="1" outlineLevel="1" x14ac:dyDescent="0.2">
      <c r="A102" s="129"/>
      <c r="B102" s="129"/>
      <c r="C102" s="129"/>
      <c r="D102" s="616"/>
      <c r="E102" s="814" t="s">
        <v>10</v>
      </c>
      <c r="F102" s="814"/>
      <c r="G102" s="814"/>
      <c r="H102" s="814"/>
      <c r="I102" s="814"/>
      <c r="J102" s="814"/>
      <c r="K102" s="435"/>
      <c r="L102" s="162"/>
      <c r="M102" s="162"/>
      <c r="N102" s="162"/>
      <c r="O102" s="162"/>
      <c r="P102" s="162"/>
      <c r="Q102" s="162"/>
      <c r="R102" s="129"/>
      <c r="S102" s="636" t="str">
        <f ca="1">IF(ISERROR($C101)=TRUE,MsgError &amp; VLOOKUP("BadPop",ErrorMessages,2,FALSE),IF(RIGHT(G100,12)="(Prevalence)",MsgError &amp; VLOOKUP("BadPrevPop",ErrorMessages,2,FALSE),""))</f>
        <v/>
      </c>
    </row>
    <row r="103" spans="1:19" hidden="1" outlineLevel="1" x14ac:dyDescent="0.2">
      <c r="A103" s="129"/>
      <c r="B103" s="129"/>
      <c r="C103" s="129"/>
      <c r="D103" s="643"/>
      <c r="E103" s="431">
        <f>FirstYear</f>
        <v>2021</v>
      </c>
      <c r="F103" s="431">
        <f>E103+1</f>
        <v>2022</v>
      </c>
      <c r="G103" s="431">
        <f>F103+1</f>
        <v>2023</v>
      </c>
      <c r="H103" s="431">
        <f>G103+1</f>
        <v>2024</v>
      </c>
      <c r="I103" s="431">
        <f>H103+1</f>
        <v>2025</v>
      </c>
      <c r="J103" s="431">
        <f>I103+1</f>
        <v>2026</v>
      </c>
      <c r="K103" s="435"/>
      <c r="L103" s="162"/>
      <c r="M103" s="162"/>
      <c r="N103" s="162"/>
      <c r="O103" s="162"/>
      <c r="P103" s="162"/>
      <c r="Q103" s="162"/>
      <c r="R103" s="129"/>
      <c r="S103" s="162"/>
    </row>
    <row r="104" spans="1:19" ht="12.75" hidden="1" customHeight="1" outlineLevel="1" x14ac:dyDescent="0.2">
      <c r="A104" s="162"/>
      <c r="B104" s="162"/>
      <c r="C104" s="162"/>
      <c r="D104" s="721" t="s">
        <v>342</v>
      </c>
      <c r="E104" s="437">
        <f t="shared" ref="E104:J104" ca="1" si="14">IF(AND(ISERROR($C101)&lt;&gt;TRUE,$G100&lt;&gt;""),INDEX(PxPopNumbers,$C101,E101),0)</f>
        <v>0</v>
      </c>
      <c r="F104" s="437">
        <f t="shared" ca="1" si="14"/>
        <v>0</v>
      </c>
      <c r="G104" s="437">
        <f t="shared" ca="1" si="14"/>
        <v>0</v>
      </c>
      <c r="H104" s="437">
        <f t="shared" ca="1" si="14"/>
        <v>0</v>
      </c>
      <c r="I104" s="437">
        <f t="shared" ca="1" si="14"/>
        <v>0</v>
      </c>
      <c r="J104" s="437">
        <f t="shared" ca="1" si="14"/>
        <v>0</v>
      </c>
      <c r="K104" s="435"/>
      <c r="L104" s="162"/>
      <c r="M104" s="162"/>
      <c r="N104" s="162"/>
      <c r="O104" s="162"/>
      <c r="P104" s="162"/>
      <c r="Q104" s="162"/>
      <c r="R104" s="616"/>
      <c r="S104" s="162"/>
    </row>
    <row r="105" spans="1:19" ht="12.75" hidden="1" customHeight="1" outlineLevel="1" x14ac:dyDescent="0.2">
      <c r="A105" s="162"/>
      <c r="B105" s="162"/>
      <c r="C105" s="162"/>
      <c r="D105" s="162"/>
      <c r="E105" s="435"/>
      <c r="F105" s="435"/>
      <c r="G105" s="435"/>
      <c r="H105" s="435"/>
      <c r="I105" s="435"/>
      <c r="J105" s="435"/>
      <c r="K105" s="435"/>
      <c r="L105" s="162"/>
      <c r="M105" s="162"/>
      <c r="N105" s="162"/>
      <c r="O105" s="162"/>
      <c r="P105" s="162"/>
      <c r="Q105" s="162"/>
      <c r="R105" s="162"/>
      <c r="S105" s="162"/>
    </row>
    <row r="106" spans="1:19" ht="12.75" hidden="1" customHeight="1" outlineLevel="1" x14ac:dyDescent="0.2">
      <c r="A106" s="162"/>
      <c r="B106" s="162"/>
      <c r="C106" s="162"/>
      <c r="D106" s="720" t="s">
        <v>205</v>
      </c>
      <c r="E106" s="435"/>
      <c r="F106" s="435"/>
      <c r="G106" s="435"/>
      <c r="H106" s="435"/>
      <c r="I106" s="435"/>
      <c r="J106" s="435"/>
      <c r="K106" s="435"/>
      <c r="L106" s="162"/>
      <c r="M106" s="162"/>
      <c r="N106" s="162"/>
      <c r="O106" s="162"/>
      <c r="P106" s="162"/>
      <c r="Q106" s="162"/>
      <c r="R106" s="162"/>
      <c r="S106" s="36" t="s">
        <v>258</v>
      </c>
    </row>
    <row r="107" spans="1:19" hidden="1" outlineLevel="1" x14ac:dyDescent="0.2">
      <c r="A107" s="162"/>
      <c r="B107" s="162"/>
      <c r="C107" s="162"/>
      <c r="D107" s="432"/>
      <c r="E107" s="443"/>
      <c r="F107" s="443"/>
      <c r="G107" s="443"/>
      <c r="H107" s="443"/>
      <c r="I107" s="443"/>
      <c r="J107" s="443"/>
      <c r="K107" s="435"/>
      <c r="L107" s="425">
        <f t="shared" ref="L107:Q116" si="15">IF(E107="",1,E107)</f>
        <v>1</v>
      </c>
      <c r="M107" s="425">
        <f t="shared" si="15"/>
        <v>1</v>
      </c>
      <c r="N107" s="425">
        <f t="shared" si="15"/>
        <v>1</v>
      </c>
      <c r="O107" s="425">
        <f t="shared" si="15"/>
        <v>1</v>
      </c>
      <c r="P107" s="425">
        <f t="shared" si="15"/>
        <v>1</v>
      </c>
      <c r="Q107" s="425">
        <f t="shared" si="15"/>
        <v>1</v>
      </c>
      <c r="R107" s="162"/>
      <c r="S107" s="432"/>
    </row>
    <row r="108" spans="1:19" hidden="1" outlineLevel="1" x14ac:dyDescent="0.2">
      <c r="A108" s="162"/>
      <c r="B108" s="162"/>
      <c r="C108" s="162"/>
      <c r="D108" s="432"/>
      <c r="E108" s="443"/>
      <c r="F108" s="443"/>
      <c r="G108" s="443"/>
      <c r="H108" s="443"/>
      <c r="I108" s="443"/>
      <c r="J108" s="443"/>
      <c r="K108" s="435"/>
      <c r="L108" s="425">
        <f t="shared" si="15"/>
        <v>1</v>
      </c>
      <c r="M108" s="425">
        <f t="shared" si="15"/>
        <v>1</v>
      </c>
      <c r="N108" s="425">
        <f t="shared" si="15"/>
        <v>1</v>
      </c>
      <c r="O108" s="425">
        <f t="shared" si="15"/>
        <v>1</v>
      </c>
      <c r="P108" s="425">
        <f t="shared" si="15"/>
        <v>1</v>
      </c>
      <c r="Q108" s="425">
        <f t="shared" si="15"/>
        <v>1</v>
      </c>
      <c r="R108" s="162"/>
      <c r="S108" s="432"/>
    </row>
    <row r="109" spans="1:19" ht="12.75" hidden="1" customHeight="1" outlineLevel="1" x14ac:dyDescent="0.2">
      <c r="A109" s="162"/>
      <c r="B109" s="162"/>
      <c r="C109" s="162"/>
      <c r="D109" s="432"/>
      <c r="E109" s="443"/>
      <c r="F109" s="443"/>
      <c r="G109" s="443"/>
      <c r="H109" s="443"/>
      <c r="I109" s="443"/>
      <c r="J109" s="443"/>
      <c r="K109" s="435"/>
      <c r="L109" s="425">
        <f t="shared" si="15"/>
        <v>1</v>
      </c>
      <c r="M109" s="425">
        <f t="shared" si="15"/>
        <v>1</v>
      </c>
      <c r="N109" s="425">
        <f t="shared" si="15"/>
        <v>1</v>
      </c>
      <c r="O109" s="425">
        <f t="shared" si="15"/>
        <v>1</v>
      </c>
      <c r="P109" s="425">
        <f t="shared" si="15"/>
        <v>1</v>
      </c>
      <c r="Q109" s="425">
        <f t="shared" si="15"/>
        <v>1</v>
      </c>
      <c r="R109" s="162"/>
      <c r="S109" s="432"/>
    </row>
    <row r="110" spans="1:19" ht="12.75" hidden="1" customHeight="1" outlineLevel="1" x14ac:dyDescent="0.2">
      <c r="A110" s="162"/>
      <c r="B110" s="162"/>
      <c r="C110" s="162"/>
      <c r="D110" s="432"/>
      <c r="E110" s="443"/>
      <c r="F110" s="443"/>
      <c r="G110" s="443"/>
      <c r="H110" s="443"/>
      <c r="I110" s="443"/>
      <c r="J110" s="443"/>
      <c r="K110" s="435"/>
      <c r="L110" s="425">
        <f t="shared" si="15"/>
        <v>1</v>
      </c>
      <c r="M110" s="425">
        <f t="shared" si="15"/>
        <v>1</v>
      </c>
      <c r="N110" s="425">
        <f t="shared" si="15"/>
        <v>1</v>
      </c>
      <c r="O110" s="425">
        <f t="shared" si="15"/>
        <v>1</v>
      </c>
      <c r="P110" s="425">
        <f t="shared" si="15"/>
        <v>1</v>
      </c>
      <c r="Q110" s="425">
        <f t="shared" si="15"/>
        <v>1</v>
      </c>
      <c r="R110" s="162"/>
      <c r="S110" s="432"/>
    </row>
    <row r="111" spans="1:19" ht="12.75" hidden="1" customHeight="1" outlineLevel="1" x14ac:dyDescent="0.2">
      <c r="A111" s="162"/>
      <c r="B111" s="162"/>
      <c r="C111" s="162"/>
      <c r="D111" s="432"/>
      <c r="E111" s="443"/>
      <c r="F111" s="443"/>
      <c r="G111" s="443"/>
      <c r="H111" s="443"/>
      <c r="I111" s="443"/>
      <c r="J111" s="443"/>
      <c r="K111" s="435"/>
      <c r="L111" s="425">
        <f t="shared" si="15"/>
        <v>1</v>
      </c>
      <c r="M111" s="425">
        <f t="shared" si="15"/>
        <v>1</v>
      </c>
      <c r="N111" s="425">
        <f t="shared" si="15"/>
        <v>1</v>
      </c>
      <c r="O111" s="425">
        <f t="shared" si="15"/>
        <v>1</v>
      </c>
      <c r="P111" s="425">
        <f t="shared" si="15"/>
        <v>1</v>
      </c>
      <c r="Q111" s="425">
        <f t="shared" si="15"/>
        <v>1</v>
      </c>
      <c r="R111" s="162"/>
      <c r="S111" s="432"/>
    </row>
    <row r="112" spans="1:19" ht="12.75" hidden="1" customHeight="1" outlineLevel="1" x14ac:dyDescent="0.2">
      <c r="A112" s="162"/>
      <c r="B112" s="162"/>
      <c r="C112" s="162"/>
      <c r="D112" s="432"/>
      <c r="E112" s="443"/>
      <c r="F112" s="443"/>
      <c r="G112" s="443"/>
      <c r="H112" s="443"/>
      <c r="I112" s="443"/>
      <c r="J112" s="443"/>
      <c r="K112" s="435"/>
      <c r="L112" s="425">
        <f t="shared" si="15"/>
        <v>1</v>
      </c>
      <c r="M112" s="425">
        <f t="shared" si="15"/>
        <v>1</v>
      </c>
      <c r="N112" s="425">
        <f t="shared" si="15"/>
        <v>1</v>
      </c>
      <c r="O112" s="425">
        <f t="shared" si="15"/>
        <v>1</v>
      </c>
      <c r="P112" s="425">
        <f t="shared" si="15"/>
        <v>1</v>
      </c>
      <c r="Q112" s="425">
        <f t="shared" si="15"/>
        <v>1</v>
      </c>
      <c r="R112" s="162"/>
      <c r="S112" s="432"/>
    </row>
    <row r="113" spans="1:19" hidden="1" outlineLevel="1" x14ac:dyDescent="0.2">
      <c r="A113" s="162"/>
      <c r="B113" s="162"/>
      <c r="C113" s="162"/>
      <c r="D113" s="432"/>
      <c r="E113" s="443"/>
      <c r="F113" s="443"/>
      <c r="G113" s="443"/>
      <c r="H113" s="443"/>
      <c r="I113" s="443"/>
      <c r="J113" s="443"/>
      <c r="K113" s="435"/>
      <c r="L113" s="425">
        <f t="shared" si="15"/>
        <v>1</v>
      </c>
      <c r="M113" s="425">
        <f t="shared" si="15"/>
        <v>1</v>
      </c>
      <c r="N113" s="425">
        <f t="shared" si="15"/>
        <v>1</v>
      </c>
      <c r="O113" s="425">
        <f t="shared" si="15"/>
        <v>1</v>
      </c>
      <c r="P113" s="425">
        <f t="shared" si="15"/>
        <v>1</v>
      </c>
      <c r="Q113" s="425">
        <f t="shared" si="15"/>
        <v>1</v>
      </c>
      <c r="R113" s="162"/>
      <c r="S113" s="432"/>
    </row>
    <row r="114" spans="1:19" hidden="1" outlineLevel="1" x14ac:dyDescent="0.2">
      <c r="A114" s="162"/>
      <c r="B114" s="162"/>
      <c r="C114" s="162"/>
      <c r="D114" s="432"/>
      <c r="E114" s="443"/>
      <c r="F114" s="443"/>
      <c r="G114" s="443"/>
      <c r="H114" s="443"/>
      <c r="I114" s="443"/>
      <c r="J114" s="443"/>
      <c r="K114" s="435"/>
      <c r="L114" s="425">
        <f t="shared" si="15"/>
        <v>1</v>
      </c>
      <c r="M114" s="425">
        <f t="shared" si="15"/>
        <v>1</v>
      </c>
      <c r="N114" s="425">
        <f t="shared" si="15"/>
        <v>1</v>
      </c>
      <c r="O114" s="425">
        <f t="shared" si="15"/>
        <v>1</v>
      </c>
      <c r="P114" s="425">
        <f t="shared" si="15"/>
        <v>1</v>
      </c>
      <c r="Q114" s="425">
        <f t="shared" si="15"/>
        <v>1</v>
      </c>
      <c r="R114" s="162"/>
      <c r="S114" s="432"/>
    </row>
    <row r="115" spans="1:19" hidden="1" outlineLevel="1" x14ac:dyDescent="0.2">
      <c r="A115" s="162"/>
      <c r="B115" s="162"/>
      <c r="C115" s="162"/>
      <c r="D115" s="432"/>
      <c r="E115" s="443"/>
      <c r="F115" s="443"/>
      <c r="G115" s="443"/>
      <c r="H115" s="443"/>
      <c r="I115" s="443"/>
      <c r="J115" s="443"/>
      <c r="K115" s="435"/>
      <c r="L115" s="425">
        <f t="shared" si="15"/>
        <v>1</v>
      </c>
      <c r="M115" s="425">
        <f t="shared" si="15"/>
        <v>1</v>
      </c>
      <c r="N115" s="425">
        <f t="shared" si="15"/>
        <v>1</v>
      </c>
      <c r="O115" s="425">
        <f t="shared" si="15"/>
        <v>1</v>
      </c>
      <c r="P115" s="425">
        <f t="shared" si="15"/>
        <v>1</v>
      </c>
      <c r="Q115" s="425">
        <f t="shared" si="15"/>
        <v>1</v>
      </c>
      <c r="R115" s="162"/>
      <c r="S115" s="432"/>
    </row>
    <row r="116" spans="1:19" hidden="1" outlineLevel="1" x14ac:dyDescent="0.2">
      <c r="A116" s="162"/>
      <c r="B116" s="162"/>
      <c r="C116" s="162"/>
      <c r="D116" s="432"/>
      <c r="E116" s="443"/>
      <c r="F116" s="443"/>
      <c r="G116" s="443"/>
      <c r="H116" s="443"/>
      <c r="I116" s="443"/>
      <c r="J116" s="443"/>
      <c r="K116" s="435"/>
      <c r="L116" s="425">
        <f>IF(E116="",1,E116)</f>
        <v>1</v>
      </c>
      <c r="M116" s="425">
        <f t="shared" si="15"/>
        <v>1</v>
      </c>
      <c r="N116" s="425">
        <f t="shared" si="15"/>
        <v>1</v>
      </c>
      <c r="O116" s="425">
        <f t="shared" si="15"/>
        <v>1</v>
      </c>
      <c r="P116" s="425">
        <f t="shared" si="15"/>
        <v>1</v>
      </c>
      <c r="Q116" s="425">
        <f t="shared" si="15"/>
        <v>1</v>
      </c>
      <c r="R116" s="162"/>
      <c r="S116" s="432"/>
    </row>
    <row r="117" spans="1:19" hidden="1" outlineLevel="1" x14ac:dyDescent="0.2">
      <c r="A117" s="162"/>
      <c r="B117" s="162"/>
      <c r="C117" s="162"/>
      <c r="D117" s="424" t="s">
        <v>213</v>
      </c>
      <c r="E117" s="444">
        <f t="shared" ref="E117:J117" si="16">L107*L108*L109*L110*L116*L111*L112*L113*L114*L115</f>
        <v>1</v>
      </c>
      <c r="F117" s="444">
        <f t="shared" si="16"/>
        <v>1</v>
      </c>
      <c r="G117" s="444">
        <f t="shared" si="16"/>
        <v>1</v>
      </c>
      <c r="H117" s="444">
        <f t="shared" si="16"/>
        <v>1</v>
      </c>
      <c r="I117" s="444">
        <f t="shared" si="16"/>
        <v>1</v>
      </c>
      <c r="J117" s="444">
        <f t="shared" si="16"/>
        <v>1</v>
      </c>
      <c r="K117" s="162"/>
      <c r="L117" s="162"/>
      <c r="M117" s="162"/>
      <c r="N117" s="638"/>
      <c r="O117" s="162"/>
      <c r="P117" s="162"/>
      <c r="Q117" s="162"/>
      <c r="R117" s="162"/>
      <c r="S117" s="162"/>
    </row>
    <row r="118" spans="1:19" hidden="1" outlineLevel="1" x14ac:dyDescent="0.2">
      <c r="A118" s="638"/>
      <c r="B118" s="638"/>
      <c r="C118" s="638"/>
      <c r="D118" s="419" t="s">
        <v>90</v>
      </c>
      <c r="E118" s="440">
        <f t="shared" ref="E118:J118" ca="1" si="17">IF(ISNUMBER(E104),E104*E117,"")</f>
        <v>0</v>
      </c>
      <c r="F118" s="440">
        <f t="shared" ca="1" si="17"/>
        <v>0</v>
      </c>
      <c r="G118" s="440">
        <f t="shared" ca="1" si="17"/>
        <v>0</v>
      </c>
      <c r="H118" s="440">
        <f t="shared" ca="1" si="17"/>
        <v>0</v>
      </c>
      <c r="I118" s="440">
        <f t="shared" ca="1" si="17"/>
        <v>0</v>
      </c>
      <c r="J118" s="440">
        <f t="shared" ca="1" si="17"/>
        <v>0</v>
      </c>
      <c r="K118" s="162"/>
      <c r="L118" s="638"/>
      <c r="M118" s="162"/>
      <c r="N118" s="162"/>
      <c r="O118" s="162"/>
      <c r="P118" s="162"/>
      <c r="Q118" s="162"/>
      <c r="R118" s="162"/>
      <c r="S118" s="162"/>
    </row>
    <row r="119" spans="1:19" hidden="1" outlineLevel="1" x14ac:dyDescent="0.2">
      <c r="A119" s="162"/>
      <c r="B119" s="162"/>
      <c r="C119" s="162"/>
      <c r="D119" s="435"/>
      <c r="E119" s="125"/>
      <c r="F119" s="125"/>
      <c r="G119" s="125"/>
      <c r="H119" s="125"/>
      <c r="I119" s="125"/>
      <c r="J119" s="125"/>
      <c r="K119" s="162"/>
      <c r="L119" s="162"/>
      <c r="M119" s="162"/>
      <c r="N119" s="162"/>
      <c r="O119" s="162"/>
      <c r="P119" s="641"/>
      <c r="Q119" s="641"/>
      <c r="R119" s="162"/>
      <c r="S119" s="125"/>
    </row>
    <row r="120" spans="1:19" hidden="1" outlineLevel="1" x14ac:dyDescent="0.2">
      <c r="A120" s="162"/>
      <c r="B120" s="162"/>
      <c r="C120" s="162"/>
      <c r="D120" s="429" t="str">
        <f>TxPhase1Tx</f>
        <v/>
      </c>
      <c r="E120" s="495"/>
      <c r="F120" s="125"/>
      <c r="G120" s="125"/>
      <c r="H120" s="125"/>
      <c r="I120" s="125"/>
      <c r="J120" s="125"/>
      <c r="K120" s="615"/>
      <c r="L120" s="615"/>
      <c r="M120" s="615"/>
      <c r="N120" s="615"/>
      <c r="O120" s="641"/>
      <c r="P120" s="641"/>
      <c r="Q120" s="641"/>
      <c r="R120" s="162"/>
      <c r="S120" s="36" t="s">
        <v>258</v>
      </c>
    </row>
    <row r="121" spans="1:19" hidden="1" outlineLevel="1" x14ac:dyDescent="0.2">
      <c r="A121" s="162"/>
      <c r="B121" s="162"/>
      <c r="C121" s="162"/>
      <c r="D121" s="429" t="s">
        <v>91</v>
      </c>
      <c r="E121" s="428"/>
      <c r="F121" s="428"/>
      <c r="G121" s="428"/>
      <c r="H121" s="428"/>
      <c r="I121" s="428"/>
      <c r="J121" s="428"/>
      <c r="K121" s="615"/>
      <c r="L121" s="615"/>
      <c r="M121" s="615"/>
      <c r="N121" s="615"/>
      <c r="O121" s="162"/>
      <c r="P121" s="641"/>
      <c r="Q121" s="641"/>
      <c r="R121" s="162"/>
      <c r="S121" s="426"/>
    </row>
    <row r="122" spans="1:19" hidden="1" outlineLevel="1" x14ac:dyDescent="0.2">
      <c r="A122" s="162"/>
      <c r="B122" s="162"/>
      <c r="C122" s="162"/>
      <c r="D122" s="435"/>
      <c r="E122" s="125"/>
      <c r="F122" s="125"/>
      <c r="G122" s="125"/>
      <c r="H122" s="125"/>
      <c r="I122" s="125"/>
      <c r="J122" s="125"/>
      <c r="K122" s="615"/>
      <c r="L122" s="615"/>
      <c r="M122" s="615"/>
      <c r="N122" s="615"/>
      <c r="O122" s="162"/>
      <c r="P122" s="641"/>
      <c r="Q122" s="641"/>
      <c r="R122" s="162"/>
      <c r="S122" s="125"/>
    </row>
    <row r="123" spans="1:19" hidden="1" outlineLevel="1" x14ac:dyDescent="0.2">
      <c r="A123" s="162"/>
      <c r="B123" s="162"/>
      <c r="C123" s="162"/>
      <c r="D123" s="433" t="str">
        <f>TXPhase2Tx</f>
        <v/>
      </c>
      <c r="E123" s="495"/>
      <c r="F123" s="125"/>
      <c r="G123" s="125"/>
      <c r="H123" s="125"/>
      <c r="I123" s="125"/>
      <c r="J123" s="125"/>
      <c r="K123" s="615"/>
      <c r="L123" s="615"/>
      <c r="M123" s="615"/>
      <c r="N123" s="615"/>
      <c r="O123" s="162"/>
      <c r="P123" s="641"/>
      <c r="Q123" s="641"/>
      <c r="R123" s="162"/>
      <c r="S123" s="36" t="s">
        <v>258</v>
      </c>
    </row>
    <row r="124" spans="1:19" hidden="1" outlineLevel="1" x14ac:dyDescent="0.2">
      <c r="A124" s="162"/>
      <c r="B124" s="162"/>
      <c r="C124" s="162"/>
      <c r="D124" s="433" t="str">
        <f>IF(D123&lt;&gt;"","Patients electing treatment (%)","")</f>
        <v/>
      </c>
      <c r="E124" s="428"/>
      <c r="F124" s="428"/>
      <c r="G124" s="428"/>
      <c r="H124" s="428"/>
      <c r="I124" s="428"/>
      <c r="J124" s="428"/>
      <c r="K124" s="615"/>
      <c r="L124" s="615"/>
      <c r="M124" s="615"/>
      <c r="N124" s="615"/>
      <c r="O124" s="162"/>
      <c r="P124" s="641"/>
      <c r="Q124" s="641"/>
      <c r="R124" s="162"/>
      <c r="S124" s="426"/>
    </row>
    <row r="125" spans="1:19" hidden="1" outlineLevel="1" x14ac:dyDescent="0.2">
      <c r="A125" s="162"/>
      <c r="B125" s="162"/>
      <c r="C125" s="162"/>
      <c r="D125" s="435"/>
      <c r="E125" s="435"/>
      <c r="F125" s="435"/>
      <c r="G125" s="435"/>
      <c r="H125" s="435"/>
      <c r="I125" s="435"/>
      <c r="J125" s="435"/>
      <c r="K125" s="615"/>
      <c r="L125" s="615"/>
      <c r="M125" s="615"/>
      <c r="N125" s="615"/>
      <c r="O125" s="641"/>
      <c r="P125" s="641"/>
      <c r="Q125" s="641"/>
      <c r="R125" s="162"/>
      <c r="S125" s="125"/>
    </row>
    <row r="126" spans="1:19" s="416" customFormat="1" hidden="1" outlineLevel="1" x14ac:dyDescent="0.2">
      <c r="A126" s="162"/>
      <c r="B126" s="162"/>
      <c r="C126" s="475">
        <f>IFERROR(VLOOKUP(E126,TxPhase2SourceCode,2,FALSE),0)</f>
        <v>1</v>
      </c>
      <c r="D126" s="429" t="s">
        <v>1165</v>
      </c>
      <c r="E126" s="263" t="s">
        <v>1166</v>
      </c>
      <c r="F126" s="435"/>
      <c r="G126" s="435"/>
      <c r="H126" s="435"/>
      <c r="I126" s="435"/>
      <c r="J126" s="435"/>
      <c r="K126" s="615"/>
      <c r="L126" s="615"/>
      <c r="M126" s="615"/>
      <c r="N126" s="615"/>
      <c r="O126" s="641"/>
      <c r="P126" s="641"/>
      <c r="Q126" s="641"/>
      <c r="R126" s="162"/>
      <c r="S126" s="125"/>
    </row>
    <row r="127" spans="1:19" s="416" customFormat="1" hidden="1" outlineLevel="1" x14ac:dyDescent="0.2">
      <c r="A127" s="162"/>
      <c r="B127" s="162"/>
      <c r="C127" s="162"/>
      <c r="D127" s="435"/>
      <c r="E127" s="435"/>
      <c r="F127" s="435"/>
      <c r="G127" s="435"/>
      <c r="H127" s="435"/>
      <c r="I127" s="435"/>
      <c r="J127" s="435"/>
      <c r="K127" s="615"/>
      <c r="L127" s="615"/>
      <c r="M127" s="615"/>
      <c r="N127" s="615"/>
      <c r="O127" s="641"/>
      <c r="P127" s="641"/>
      <c r="Q127" s="641"/>
      <c r="R127" s="162"/>
      <c r="S127" s="125"/>
    </row>
    <row r="128" spans="1:19" hidden="1" outlineLevel="1" x14ac:dyDescent="0.2">
      <c r="A128" s="162"/>
      <c r="B128" s="162"/>
      <c r="C128" s="162"/>
      <c r="D128" s="429" t="str">
        <f>TxPhase1Px</f>
        <v/>
      </c>
      <c r="E128" s="440">
        <f t="shared" ref="E128:J128" si="18">IF(TxPhase1&lt;&gt;"",E118*E121,0)</f>
        <v>0</v>
      </c>
      <c r="F128" s="440">
        <f t="shared" si="18"/>
        <v>0</v>
      </c>
      <c r="G128" s="440">
        <f t="shared" si="18"/>
        <v>0</v>
      </c>
      <c r="H128" s="440">
        <f t="shared" si="18"/>
        <v>0</v>
      </c>
      <c r="I128" s="440">
        <f t="shared" si="18"/>
        <v>0</v>
      </c>
      <c r="J128" s="440">
        <f t="shared" si="18"/>
        <v>0</v>
      </c>
      <c r="K128" s="615"/>
      <c r="L128" s="615"/>
      <c r="M128" s="615"/>
      <c r="N128" s="615"/>
      <c r="O128" s="641"/>
      <c r="P128" s="641"/>
      <c r="Q128" s="641"/>
      <c r="R128" s="162"/>
      <c r="S128" s="162"/>
    </row>
    <row r="129" spans="1:19" hidden="1" outlineLevel="1" x14ac:dyDescent="0.2">
      <c r="A129" s="162"/>
      <c r="B129" s="162"/>
      <c r="C129" s="162"/>
      <c r="D129" s="429" t="str">
        <f>TxPhase2Px</f>
        <v/>
      </c>
      <c r="E129" s="440">
        <f t="shared" ref="E129:J129" si="19">IF(TxPhase2&lt;&gt;"",IF($C126=1,E128,IF($C126=2,E118,0))*E124,0)</f>
        <v>0</v>
      </c>
      <c r="F129" s="440">
        <f t="shared" si="19"/>
        <v>0</v>
      </c>
      <c r="G129" s="440">
        <f t="shared" si="19"/>
        <v>0</v>
      </c>
      <c r="H129" s="440">
        <f t="shared" si="19"/>
        <v>0</v>
      </c>
      <c r="I129" s="440">
        <f t="shared" si="19"/>
        <v>0</v>
      </c>
      <c r="J129" s="440">
        <f t="shared" si="19"/>
        <v>0</v>
      </c>
      <c r="K129" s="615"/>
      <c r="L129" s="615"/>
      <c r="M129" s="615"/>
      <c r="N129" s="615"/>
      <c r="O129" s="162"/>
      <c r="P129" s="641"/>
      <c r="Q129" s="641"/>
      <c r="R129" s="162"/>
      <c r="S129" s="162"/>
    </row>
    <row r="130" spans="1:19" s="416" customFormat="1" hidden="1" outlineLevel="1" x14ac:dyDescent="0.2">
      <c r="A130" s="162"/>
      <c r="B130" s="162"/>
      <c r="C130" s="162"/>
      <c r="D130" s="417"/>
      <c r="E130" s="417"/>
      <c r="F130" s="162"/>
      <c r="G130" s="162"/>
      <c r="H130" s="162"/>
      <c r="I130" s="162"/>
      <c r="J130" s="162"/>
      <c r="K130" s="162"/>
      <c r="L130" s="162"/>
      <c r="M130" s="162"/>
      <c r="N130" s="638"/>
      <c r="O130" s="162"/>
      <c r="P130" s="641"/>
      <c r="Q130" s="641"/>
      <c r="R130" s="162"/>
      <c r="S130" s="162"/>
    </row>
    <row r="131" spans="1:19" s="416" customFormat="1" hidden="1" outlineLevel="1" x14ac:dyDescent="0.2">
      <c r="A131" s="162"/>
      <c r="B131" s="162"/>
      <c r="C131" s="291" t="str">
        <f>IF(E131&lt;&gt;"",E131,"")</f>
        <v/>
      </c>
      <c r="D131" s="89" t="s">
        <v>756</v>
      </c>
      <c r="E131" s="263"/>
      <c r="F131" s="162"/>
      <c r="G131" s="162"/>
      <c r="H131" s="162"/>
      <c r="I131" s="162"/>
      <c r="J131" s="162"/>
      <c r="K131" s="162"/>
      <c r="L131" s="162"/>
      <c r="M131" s="162"/>
      <c r="N131" s="638"/>
      <c r="O131" s="162"/>
      <c r="P131" s="641"/>
      <c r="Q131" s="641"/>
      <c r="R131" s="162"/>
      <c r="S131" s="162"/>
    </row>
    <row r="132" spans="1:19" hidden="1" outlineLevel="1" x14ac:dyDescent="0.2">
      <c r="A132" s="615"/>
      <c r="B132" s="615"/>
      <c r="C132" s="615"/>
      <c r="D132" s="162"/>
      <c r="E132" s="162"/>
      <c r="F132" s="615"/>
      <c r="G132" s="615"/>
      <c r="H132" s="615"/>
      <c r="I132" s="615"/>
      <c r="J132" s="615"/>
      <c r="K132" s="615"/>
      <c r="L132" s="615"/>
      <c r="M132" s="615"/>
      <c r="N132" s="615"/>
      <c r="O132" s="615"/>
      <c r="P132" s="615"/>
      <c r="Q132" s="615"/>
      <c r="R132" s="615"/>
      <c r="S132" s="162"/>
    </row>
    <row r="133" spans="1:19" collapsed="1" x14ac:dyDescent="0.2">
      <c r="A133" s="162"/>
      <c r="B133" s="162"/>
      <c r="C133" s="162"/>
      <c r="D133" s="162"/>
      <c r="E133" s="162"/>
      <c r="F133" s="162"/>
      <c r="G133" s="162"/>
      <c r="H133" s="162"/>
      <c r="I133" s="162"/>
      <c r="J133" s="162"/>
      <c r="K133" s="162"/>
      <c r="L133" s="162"/>
      <c r="M133" s="162"/>
      <c r="N133" s="162"/>
      <c r="O133" s="162"/>
      <c r="P133" s="162"/>
      <c r="Q133" s="162"/>
      <c r="R133" s="162"/>
      <c r="S133" s="162"/>
    </row>
    <row r="134" spans="1:19" ht="15.75" x14ac:dyDescent="0.2">
      <c r="A134" s="162"/>
      <c r="B134" s="162"/>
      <c r="C134" s="573">
        <v>4</v>
      </c>
      <c r="D134" s="79" t="str">
        <f>IF(E138&lt;&gt;"",CONCATENATE("Incident ",C134,": ",G138,L134),MsgNotUsed)</f>
        <v>** NOT USED **</v>
      </c>
      <c r="E134" s="132"/>
      <c r="F134" s="132"/>
      <c r="G134" s="132"/>
      <c r="H134" s="132"/>
      <c r="I134" s="134"/>
      <c r="J134" s="134"/>
      <c r="K134" s="325"/>
      <c r="L134" s="325" t="str">
        <f>IF(S138&lt;&gt;"",CONCATENATE(" (",S138,")"),"")</f>
        <v/>
      </c>
      <c r="M134" s="325"/>
      <c r="N134" s="325"/>
      <c r="O134" s="325"/>
      <c r="P134" s="325"/>
      <c r="Q134" s="325"/>
      <c r="R134" s="133"/>
      <c r="S134" s="133"/>
    </row>
    <row r="135" spans="1:19" hidden="1" outlineLevel="1" x14ac:dyDescent="0.2">
      <c r="A135" s="129"/>
      <c r="B135" s="129"/>
      <c r="C135" s="129"/>
      <c r="D135" s="616"/>
      <c r="E135" s="129"/>
      <c r="F135" s="129"/>
      <c r="G135" s="129"/>
      <c r="H135" s="129"/>
      <c r="I135" s="129"/>
      <c r="J135" s="129"/>
      <c r="K135" s="129"/>
      <c r="L135" s="129"/>
      <c r="M135" s="129"/>
      <c r="N135" s="129"/>
      <c r="O135" s="129"/>
      <c r="P135" s="129"/>
      <c r="Q135" s="129"/>
      <c r="R135" s="129"/>
      <c r="S135" s="129"/>
    </row>
    <row r="136" spans="1:19" hidden="1" outlineLevel="1" x14ac:dyDescent="0.2">
      <c r="A136" s="129"/>
      <c r="B136" s="129"/>
      <c r="C136" s="129"/>
      <c r="D136" s="162" t="s">
        <v>839</v>
      </c>
      <c r="E136" s="129"/>
      <c r="F136" s="129"/>
      <c r="G136" s="129"/>
      <c r="H136" s="615"/>
      <c r="I136" s="615"/>
      <c r="J136" s="615"/>
      <c r="K136" s="162"/>
      <c r="L136" s="162"/>
      <c r="M136" s="162"/>
      <c r="N136" s="162"/>
      <c r="O136" s="162"/>
      <c r="P136" s="162"/>
      <c r="Q136" s="162"/>
      <c r="R136" s="129"/>
      <c r="S136" s="615"/>
    </row>
    <row r="137" spans="1:19" hidden="1" outlineLevel="1" x14ac:dyDescent="0.2">
      <c r="A137" s="129"/>
      <c r="B137" s="129"/>
      <c r="C137" s="129"/>
      <c r="D137" s="616"/>
      <c r="E137" s="129"/>
      <c r="F137" s="129"/>
      <c r="G137" s="129"/>
      <c r="H137" s="129"/>
      <c r="I137" s="129"/>
      <c r="J137" s="129"/>
      <c r="K137" s="162"/>
      <c r="L137" s="162"/>
      <c r="M137" s="162"/>
      <c r="N137" s="162"/>
      <c r="O137" s="162"/>
      <c r="P137" s="162"/>
      <c r="Q137" s="162"/>
      <c r="R137" s="129"/>
      <c r="S137" s="36" t="s">
        <v>424</v>
      </c>
    </row>
    <row r="138" spans="1:19" hidden="1" outlineLevel="1" x14ac:dyDescent="0.2">
      <c r="A138" s="129"/>
      <c r="B138" s="291">
        <f>IF(E138&lt;&gt;"",MATCH(E138,EPISource,0)-1,0)</f>
        <v>0</v>
      </c>
      <c r="C138" s="291">
        <f ca="1">IF(G138&lt;&gt;"",MATCH(G138,OFFSET(References!$AE$7,0,B138,PxPopMaxCount),0),0)</f>
        <v>0</v>
      </c>
      <c r="D138" s="423" t="s">
        <v>113</v>
      </c>
      <c r="E138" s="438"/>
      <c r="F138" s="436"/>
      <c r="G138" s="812"/>
      <c r="H138" s="813"/>
      <c r="I138" s="813"/>
      <c r="J138" s="813"/>
      <c r="K138" s="435"/>
      <c r="L138" s="162"/>
      <c r="M138" s="162"/>
      <c r="N138" s="162"/>
      <c r="O138" s="162"/>
      <c r="P138" s="162"/>
      <c r="Q138" s="162"/>
      <c r="R138" s="129"/>
      <c r="S138" s="439"/>
    </row>
    <row r="139" spans="1:19" hidden="1" outlineLevel="1" x14ac:dyDescent="0.2">
      <c r="A139" s="129"/>
      <c r="B139" s="291">
        <f>INDEX(PxPopValid,,B138+1)</f>
        <v>0</v>
      </c>
      <c r="C139" s="291">
        <f ca="1">(B138*PxPopMaxCount)+C138</f>
        <v>0</v>
      </c>
      <c r="D139" s="616"/>
      <c r="E139" s="650">
        <v>1</v>
      </c>
      <c r="F139" s="650">
        <v>2</v>
      </c>
      <c r="G139" s="650">
        <v>3</v>
      </c>
      <c r="H139" s="650">
        <v>4</v>
      </c>
      <c r="I139" s="650">
        <v>5</v>
      </c>
      <c r="J139" s="650">
        <v>6</v>
      </c>
      <c r="K139" s="435"/>
      <c r="L139" s="162"/>
      <c r="M139" s="162"/>
      <c r="N139" s="162"/>
      <c r="O139" s="162"/>
      <c r="P139" s="162"/>
      <c r="Q139" s="162"/>
      <c r="R139" s="129"/>
      <c r="S139" s="162"/>
    </row>
    <row r="140" spans="1:19" ht="15" hidden="1" customHeight="1" outlineLevel="1" x14ac:dyDescent="0.2">
      <c r="A140" s="129"/>
      <c r="B140" s="129"/>
      <c r="C140" s="129"/>
      <c r="D140" s="616"/>
      <c r="E140" s="814" t="s">
        <v>10</v>
      </c>
      <c r="F140" s="814"/>
      <c r="G140" s="814"/>
      <c r="H140" s="814"/>
      <c r="I140" s="814"/>
      <c r="J140" s="814"/>
      <c r="K140" s="435"/>
      <c r="L140" s="162"/>
      <c r="M140" s="162"/>
      <c r="N140" s="162"/>
      <c r="O140" s="162"/>
      <c r="P140" s="162"/>
      <c r="Q140" s="162"/>
      <c r="R140" s="129"/>
      <c r="S140" s="636" t="str">
        <f ca="1">IF(ISERROR($C139)=TRUE,MsgError &amp; VLOOKUP("BadPop",ErrorMessages,2,FALSE),IF(RIGHT(G138,12)="(Prevalence)",MsgError &amp; VLOOKUP("BadPrevPop",ErrorMessages,2,FALSE),""))</f>
        <v/>
      </c>
    </row>
    <row r="141" spans="1:19" hidden="1" outlineLevel="1" x14ac:dyDescent="0.2">
      <c r="A141" s="129"/>
      <c r="B141" s="129"/>
      <c r="C141" s="129"/>
      <c r="D141" s="643"/>
      <c r="E141" s="431">
        <f>FirstYear</f>
        <v>2021</v>
      </c>
      <c r="F141" s="431">
        <f>E141+1</f>
        <v>2022</v>
      </c>
      <c r="G141" s="431">
        <f>F141+1</f>
        <v>2023</v>
      </c>
      <c r="H141" s="431">
        <f>G141+1</f>
        <v>2024</v>
      </c>
      <c r="I141" s="431">
        <f>H141+1</f>
        <v>2025</v>
      </c>
      <c r="J141" s="431">
        <f>I141+1</f>
        <v>2026</v>
      </c>
      <c r="K141" s="435"/>
      <c r="L141" s="162"/>
      <c r="M141" s="162"/>
      <c r="N141" s="162"/>
      <c r="O141" s="162"/>
      <c r="P141" s="162"/>
      <c r="Q141" s="162"/>
      <c r="R141" s="129"/>
      <c r="S141" s="162"/>
    </row>
    <row r="142" spans="1:19" ht="12.75" hidden="1" customHeight="1" outlineLevel="1" x14ac:dyDescent="0.2">
      <c r="A142" s="162"/>
      <c r="B142" s="162"/>
      <c r="C142" s="162"/>
      <c r="D142" s="721" t="s">
        <v>342</v>
      </c>
      <c r="E142" s="437">
        <f t="shared" ref="E142:J142" ca="1" si="20">IF(AND(ISERROR($C139)&lt;&gt;TRUE,$G138&lt;&gt;""),INDEX(PxPopNumbers,$C139,E139),0)</f>
        <v>0</v>
      </c>
      <c r="F142" s="437">
        <f t="shared" ca="1" si="20"/>
        <v>0</v>
      </c>
      <c r="G142" s="437">
        <f t="shared" ca="1" si="20"/>
        <v>0</v>
      </c>
      <c r="H142" s="437">
        <f t="shared" ca="1" si="20"/>
        <v>0</v>
      </c>
      <c r="I142" s="437">
        <f t="shared" ca="1" si="20"/>
        <v>0</v>
      </c>
      <c r="J142" s="437">
        <f t="shared" ca="1" si="20"/>
        <v>0</v>
      </c>
      <c r="K142" s="435"/>
      <c r="L142" s="162"/>
      <c r="M142" s="162"/>
      <c r="N142" s="162"/>
      <c r="O142" s="162"/>
      <c r="P142" s="162"/>
      <c r="Q142" s="162"/>
      <c r="R142" s="616"/>
      <c r="S142" s="162"/>
    </row>
    <row r="143" spans="1:19" ht="12.75" hidden="1" customHeight="1" outlineLevel="1" x14ac:dyDescent="0.2">
      <c r="A143" s="162"/>
      <c r="B143" s="162"/>
      <c r="C143" s="162"/>
      <c r="D143" s="162"/>
      <c r="E143" s="435"/>
      <c r="F143" s="435"/>
      <c r="G143" s="435"/>
      <c r="H143" s="435"/>
      <c r="I143" s="435"/>
      <c r="J143" s="435"/>
      <c r="K143" s="435"/>
      <c r="L143" s="162"/>
      <c r="M143" s="162"/>
      <c r="N143" s="162"/>
      <c r="O143" s="162"/>
      <c r="P143" s="162"/>
      <c r="Q143" s="162"/>
      <c r="R143" s="162"/>
      <c r="S143" s="162"/>
    </row>
    <row r="144" spans="1:19" ht="12.75" hidden="1" customHeight="1" outlineLevel="1" x14ac:dyDescent="0.2">
      <c r="A144" s="162"/>
      <c r="B144" s="162"/>
      <c r="C144" s="162"/>
      <c r="D144" s="720" t="s">
        <v>205</v>
      </c>
      <c r="E144" s="435"/>
      <c r="F144" s="435"/>
      <c r="G144" s="435"/>
      <c r="H144" s="435"/>
      <c r="I144" s="435"/>
      <c r="J144" s="435"/>
      <c r="K144" s="435"/>
      <c r="L144" s="162"/>
      <c r="M144" s="162"/>
      <c r="N144" s="162"/>
      <c r="O144" s="162"/>
      <c r="P144" s="162"/>
      <c r="Q144" s="162"/>
      <c r="R144" s="162"/>
      <c r="S144" s="36" t="s">
        <v>258</v>
      </c>
    </row>
    <row r="145" spans="1:19" hidden="1" outlineLevel="1" x14ac:dyDescent="0.2">
      <c r="A145" s="162"/>
      <c r="B145" s="162"/>
      <c r="C145" s="162"/>
      <c r="D145" s="432"/>
      <c r="E145" s="443"/>
      <c r="F145" s="443"/>
      <c r="G145" s="443"/>
      <c r="H145" s="443"/>
      <c r="I145" s="443"/>
      <c r="J145" s="443"/>
      <c r="K145" s="435"/>
      <c r="L145" s="425">
        <f t="shared" ref="L145:Q154" si="21">IF(E145="",1,E145)</f>
        <v>1</v>
      </c>
      <c r="M145" s="425">
        <f t="shared" si="21"/>
        <v>1</v>
      </c>
      <c r="N145" s="425">
        <f t="shared" si="21"/>
        <v>1</v>
      </c>
      <c r="O145" s="425">
        <f t="shared" si="21"/>
        <v>1</v>
      </c>
      <c r="P145" s="425">
        <f t="shared" si="21"/>
        <v>1</v>
      </c>
      <c r="Q145" s="425">
        <f t="shared" si="21"/>
        <v>1</v>
      </c>
      <c r="R145" s="162"/>
      <c r="S145" s="432"/>
    </row>
    <row r="146" spans="1:19" hidden="1" outlineLevel="1" x14ac:dyDescent="0.2">
      <c r="A146" s="162"/>
      <c r="B146" s="162"/>
      <c r="C146" s="162"/>
      <c r="D146" s="432"/>
      <c r="E146" s="443"/>
      <c r="F146" s="443"/>
      <c r="G146" s="443"/>
      <c r="H146" s="443"/>
      <c r="I146" s="443"/>
      <c r="J146" s="443"/>
      <c r="K146" s="435"/>
      <c r="L146" s="425">
        <f t="shared" si="21"/>
        <v>1</v>
      </c>
      <c r="M146" s="425">
        <f t="shared" si="21"/>
        <v>1</v>
      </c>
      <c r="N146" s="425">
        <f t="shared" si="21"/>
        <v>1</v>
      </c>
      <c r="O146" s="425">
        <f t="shared" si="21"/>
        <v>1</v>
      </c>
      <c r="P146" s="425">
        <f t="shared" si="21"/>
        <v>1</v>
      </c>
      <c r="Q146" s="425">
        <f t="shared" si="21"/>
        <v>1</v>
      </c>
      <c r="R146" s="162"/>
      <c r="S146" s="432"/>
    </row>
    <row r="147" spans="1:19" ht="12.75" hidden="1" customHeight="1" outlineLevel="1" x14ac:dyDescent="0.2">
      <c r="A147" s="162"/>
      <c r="B147" s="162"/>
      <c r="C147" s="162"/>
      <c r="D147" s="432"/>
      <c r="E147" s="443"/>
      <c r="F147" s="443"/>
      <c r="G147" s="443"/>
      <c r="H147" s="443"/>
      <c r="I147" s="443"/>
      <c r="J147" s="443"/>
      <c r="K147" s="435"/>
      <c r="L147" s="425">
        <f t="shared" si="21"/>
        <v>1</v>
      </c>
      <c r="M147" s="425">
        <f t="shared" si="21"/>
        <v>1</v>
      </c>
      <c r="N147" s="425">
        <f t="shared" si="21"/>
        <v>1</v>
      </c>
      <c r="O147" s="425">
        <f t="shared" si="21"/>
        <v>1</v>
      </c>
      <c r="P147" s="425">
        <f t="shared" si="21"/>
        <v>1</v>
      </c>
      <c r="Q147" s="425">
        <f t="shared" si="21"/>
        <v>1</v>
      </c>
      <c r="R147" s="162"/>
      <c r="S147" s="432"/>
    </row>
    <row r="148" spans="1:19" ht="12.75" hidden="1" customHeight="1" outlineLevel="1" x14ac:dyDescent="0.2">
      <c r="A148" s="162"/>
      <c r="B148" s="162"/>
      <c r="C148" s="162"/>
      <c r="D148" s="432"/>
      <c r="E148" s="443"/>
      <c r="F148" s="443"/>
      <c r="G148" s="443"/>
      <c r="H148" s="443"/>
      <c r="I148" s="443"/>
      <c r="J148" s="443"/>
      <c r="K148" s="435"/>
      <c r="L148" s="425">
        <f t="shared" si="21"/>
        <v>1</v>
      </c>
      <c r="M148" s="425">
        <f t="shared" si="21"/>
        <v>1</v>
      </c>
      <c r="N148" s="425">
        <f t="shared" si="21"/>
        <v>1</v>
      </c>
      <c r="O148" s="425">
        <f t="shared" si="21"/>
        <v>1</v>
      </c>
      <c r="P148" s="425">
        <f t="shared" si="21"/>
        <v>1</v>
      </c>
      <c r="Q148" s="425">
        <f t="shared" si="21"/>
        <v>1</v>
      </c>
      <c r="R148" s="162"/>
      <c r="S148" s="432"/>
    </row>
    <row r="149" spans="1:19" ht="12.75" hidden="1" customHeight="1" outlineLevel="1" x14ac:dyDescent="0.2">
      <c r="A149" s="162"/>
      <c r="B149" s="162"/>
      <c r="C149" s="162"/>
      <c r="D149" s="432"/>
      <c r="E149" s="443"/>
      <c r="F149" s="443"/>
      <c r="G149" s="443"/>
      <c r="H149" s="443"/>
      <c r="I149" s="443"/>
      <c r="J149" s="443"/>
      <c r="K149" s="435"/>
      <c r="L149" s="425">
        <f t="shared" si="21"/>
        <v>1</v>
      </c>
      <c r="M149" s="425">
        <f t="shared" si="21"/>
        <v>1</v>
      </c>
      <c r="N149" s="425">
        <f t="shared" si="21"/>
        <v>1</v>
      </c>
      <c r="O149" s="425">
        <f t="shared" si="21"/>
        <v>1</v>
      </c>
      <c r="P149" s="425">
        <f t="shared" si="21"/>
        <v>1</v>
      </c>
      <c r="Q149" s="425">
        <f t="shared" si="21"/>
        <v>1</v>
      </c>
      <c r="R149" s="162"/>
      <c r="S149" s="432"/>
    </row>
    <row r="150" spans="1:19" ht="12.75" hidden="1" customHeight="1" outlineLevel="1" x14ac:dyDescent="0.2">
      <c r="A150" s="162"/>
      <c r="B150" s="162"/>
      <c r="C150" s="162"/>
      <c r="D150" s="432"/>
      <c r="E150" s="443"/>
      <c r="F150" s="443"/>
      <c r="G150" s="443"/>
      <c r="H150" s="443"/>
      <c r="I150" s="443"/>
      <c r="J150" s="443"/>
      <c r="K150" s="435"/>
      <c r="L150" s="425">
        <f t="shared" si="21"/>
        <v>1</v>
      </c>
      <c r="M150" s="425">
        <f t="shared" si="21"/>
        <v>1</v>
      </c>
      <c r="N150" s="425">
        <f t="shared" si="21"/>
        <v>1</v>
      </c>
      <c r="O150" s="425">
        <f t="shared" si="21"/>
        <v>1</v>
      </c>
      <c r="P150" s="425">
        <f t="shared" si="21"/>
        <v>1</v>
      </c>
      <c r="Q150" s="425">
        <f t="shared" si="21"/>
        <v>1</v>
      </c>
      <c r="R150" s="162"/>
      <c r="S150" s="432"/>
    </row>
    <row r="151" spans="1:19" hidden="1" outlineLevel="1" x14ac:dyDescent="0.2">
      <c r="A151" s="162"/>
      <c r="B151" s="162"/>
      <c r="C151" s="162"/>
      <c r="D151" s="432"/>
      <c r="E151" s="443"/>
      <c r="F151" s="443"/>
      <c r="G151" s="443"/>
      <c r="H151" s="443"/>
      <c r="I151" s="443"/>
      <c r="J151" s="443"/>
      <c r="K151" s="435"/>
      <c r="L151" s="425">
        <f t="shared" si="21"/>
        <v>1</v>
      </c>
      <c r="M151" s="425">
        <f t="shared" si="21"/>
        <v>1</v>
      </c>
      <c r="N151" s="425">
        <f t="shared" si="21"/>
        <v>1</v>
      </c>
      <c r="O151" s="425">
        <f t="shared" si="21"/>
        <v>1</v>
      </c>
      <c r="P151" s="425">
        <f t="shared" si="21"/>
        <v>1</v>
      </c>
      <c r="Q151" s="425">
        <f t="shared" si="21"/>
        <v>1</v>
      </c>
      <c r="R151" s="162"/>
      <c r="S151" s="432"/>
    </row>
    <row r="152" spans="1:19" hidden="1" outlineLevel="1" x14ac:dyDescent="0.2">
      <c r="A152" s="162"/>
      <c r="B152" s="162"/>
      <c r="C152" s="162"/>
      <c r="D152" s="432"/>
      <c r="E152" s="443"/>
      <c r="F152" s="443"/>
      <c r="G152" s="443"/>
      <c r="H152" s="443"/>
      <c r="I152" s="443"/>
      <c r="J152" s="443"/>
      <c r="K152" s="435"/>
      <c r="L152" s="425">
        <f t="shared" si="21"/>
        <v>1</v>
      </c>
      <c r="M152" s="425">
        <f t="shared" si="21"/>
        <v>1</v>
      </c>
      <c r="N152" s="425">
        <f t="shared" si="21"/>
        <v>1</v>
      </c>
      <c r="O152" s="425">
        <f t="shared" si="21"/>
        <v>1</v>
      </c>
      <c r="P152" s="425">
        <f t="shared" si="21"/>
        <v>1</v>
      </c>
      <c r="Q152" s="425">
        <f t="shared" si="21"/>
        <v>1</v>
      </c>
      <c r="R152" s="162"/>
      <c r="S152" s="432"/>
    </row>
    <row r="153" spans="1:19" hidden="1" outlineLevel="1" x14ac:dyDescent="0.2">
      <c r="A153" s="162"/>
      <c r="B153" s="162"/>
      <c r="C153" s="162"/>
      <c r="D153" s="432"/>
      <c r="E153" s="443"/>
      <c r="F153" s="443"/>
      <c r="G153" s="443"/>
      <c r="H153" s="443"/>
      <c r="I153" s="443"/>
      <c r="J153" s="443"/>
      <c r="K153" s="435"/>
      <c r="L153" s="425">
        <f t="shared" si="21"/>
        <v>1</v>
      </c>
      <c r="M153" s="425">
        <f t="shared" si="21"/>
        <v>1</v>
      </c>
      <c r="N153" s="425">
        <f t="shared" si="21"/>
        <v>1</v>
      </c>
      <c r="O153" s="425">
        <f t="shared" si="21"/>
        <v>1</v>
      </c>
      <c r="P153" s="425">
        <f t="shared" si="21"/>
        <v>1</v>
      </c>
      <c r="Q153" s="425">
        <f t="shared" si="21"/>
        <v>1</v>
      </c>
      <c r="R153" s="162"/>
      <c r="S153" s="432"/>
    </row>
    <row r="154" spans="1:19" hidden="1" outlineLevel="1" x14ac:dyDescent="0.2">
      <c r="A154" s="162"/>
      <c r="B154" s="162"/>
      <c r="C154" s="162"/>
      <c r="D154" s="432"/>
      <c r="E154" s="443"/>
      <c r="F154" s="443"/>
      <c r="G154" s="443"/>
      <c r="H154" s="443"/>
      <c r="I154" s="443"/>
      <c r="J154" s="443"/>
      <c r="K154" s="435"/>
      <c r="L154" s="425">
        <f>IF(E154="",1,E154)</f>
        <v>1</v>
      </c>
      <c r="M154" s="425">
        <f t="shared" si="21"/>
        <v>1</v>
      </c>
      <c r="N154" s="425">
        <f t="shared" si="21"/>
        <v>1</v>
      </c>
      <c r="O154" s="425">
        <f t="shared" si="21"/>
        <v>1</v>
      </c>
      <c r="P154" s="425">
        <f t="shared" si="21"/>
        <v>1</v>
      </c>
      <c r="Q154" s="425">
        <f t="shared" si="21"/>
        <v>1</v>
      </c>
      <c r="R154" s="162"/>
      <c r="S154" s="432"/>
    </row>
    <row r="155" spans="1:19" hidden="1" outlineLevel="1" x14ac:dyDescent="0.2">
      <c r="A155" s="162"/>
      <c r="B155" s="162"/>
      <c r="C155" s="162"/>
      <c r="D155" s="424" t="s">
        <v>213</v>
      </c>
      <c r="E155" s="444">
        <f t="shared" ref="E155:J155" si="22">L145*L146*L147*L148*L154*L149*L150*L151*L152*L153</f>
        <v>1</v>
      </c>
      <c r="F155" s="444">
        <f t="shared" si="22"/>
        <v>1</v>
      </c>
      <c r="G155" s="444">
        <f t="shared" si="22"/>
        <v>1</v>
      </c>
      <c r="H155" s="444">
        <f t="shared" si="22"/>
        <v>1</v>
      </c>
      <c r="I155" s="444">
        <f t="shared" si="22"/>
        <v>1</v>
      </c>
      <c r="J155" s="444">
        <f t="shared" si="22"/>
        <v>1</v>
      </c>
      <c r="K155" s="162"/>
      <c r="L155" s="162"/>
      <c r="M155" s="162"/>
      <c r="N155" s="638"/>
      <c r="O155" s="162"/>
      <c r="P155" s="162"/>
      <c r="Q155" s="162"/>
      <c r="R155" s="162"/>
      <c r="S155" s="162"/>
    </row>
    <row r="156" spans="1:19" hidden="1" outlineLevel="1" x14ac:dyDescent="0.2">
      <c r="A156" s="638"/>
      <c r="B156" s="638"/>
      <c r="C156" s="638"/>
      <c r="D156" s="419" t="s">
        <v>90</v>
      </c>
      <c r="E156" s="440">
        <f t="shared" ref="E156:J156" ca="1" si="23">IF(ISNUMBER(E142),E142*E155,"")</f>
        <v>0</v>
      </c>
      <c r="F156" s="440">
        <f t="shared" ca="1" si="23"/>
        <v>0</v>
      </c>
      <c r="G156" s="440">
        <f t="shared" ca="1" si="23"/>
        <v>0</v>
      </c>
      <c r="H156" s="440">
        <f t="shared" ca="1" si="23"/>
        <v>0</v>
      </c>
      <c r="I156" s="440">
        <f t="shared" ca="1" si="23"/>
        <v>0</v>
      </c>
      <c r="J156" s="440">
        <f t="shared" ca="1" si="23"/>
        <v>0</v>
      </c>
      <c r="K156" s="162"/>
      <c r="L156" s="638"/>
      <c r="M156" s="162"/>
      <c r="N156" s="162"/>
      <c r="O156" s="162"/>
      <c r="P156" s="162"/>
      <c r="Q156" s="162"/>
      <c r="R156" s="162"/>
      <c r="S156" s="162"/>
    </row>
    <row r="157" spans="1:19" hidden="1" outlineLevel="1" x14ac:dyDescent="0.2">
      <c r="A157" s="162"/>
      <c r="B157" s="162"/>
      <c r="C157" s="162"/>
      <c r="D157" s="435"/>
      <c r="E157" s="125"/>
      <c r="F157" s="125"/>
      <c r="G157" s="125"/>
      <c r="H157" s="125"/>
      <c r="I157" s="125"/>
      <c r="J157" s="125"/>
      <c r="K157" s="162"/>
      <c r="L157" s="162"/>
      <c r="M157" s="162"/>
      <c r="N157" s="162"/>
      <c r="O157" s="162"/>
      <c r="P157" s="641"/>
      <c r="Q157" s="641"/>
      <c r="R157" s="162"/>
      <c r="S157" s="125"/>
    </row>
    <row r="158" spans="1:19" hidden="1" outlineLevel="1" x14ac:dyDescent="0.2">
      <c r="A158" s="162"/>
      <c r="B158" s="162"/>
      <c r="C158" s="162"/>
      <c r="D158" s="429" t="str">
        <f>TxPhase1Tx</f>
        <v/>
      </c>
      <c r="E158" s="495"/>
      <c r="F158" s="125"/>
      <c r="G158" s="125"/>
      <c r="H158" s="125"/>
      <c r="I158" s="125"/>
      <c r="J158" s="125"/>
      <c r="K158" s="615"/>
      <c r="L158" s="615"/>
      <c r="M158" s="615"/>
      <c r="N158" s="615"/>
      <c r="O158" s="641"/>
      <c r="P158" s="641"/>
      <c r="Q158" s="641"/>
      <c r="R158" s="162"/>
      <c r="S158" s="36" t="s">
        <v>258</v>
      </c>
    </row>
    <row r="159" spans="1:19" hidden="1" outlineLevel="1" x14ac:dyDescent="0.2">
      <c r="A159" s="162"/>
      <c r="B159" s="162"/>
      <c r="C159" s="162"/>
      <c r="D159" s="429" t="s">
        <v>91</v>
      </c>
      <c r="E159" s="428"/>
      <c r="F159" s="428"/>
      <c r="G159" s="428"/>
      <c r="H159" s="428"/>
      <c r="I159" s="428"/>
      <c r="J159" s="428"/>
      <c r="K159" s="615"/>
      <c r="L159" s="615"/>
      <c r="M159" s="615"/>
      <c r="N159" s="615"/>
      <c r="O159" s="162"/>
      <c r="P159" s="641"/>
      <c r="Q159" s="641"/>
      <c r="R159" s="162"/>
      <c r="S159" s="426"/>
    </row>
    <row r="160" spans="1:19" hidden="1" outlineLevel="1" x14ac:dyDescent="0.2">
      <c r="A160" s="162"/>
      <c r="B160" s="162"/>
      <c r="C160" s="162"/>
      <c r="D160" s="435"/>
      <c r="E160" s="125"/>
      <c r="F160" s="125"/>
      <c r="G160" s="125"/>
      <c r="H160" s="125"/>
      <c r="I160" s="125"/>
      <c r="J160" s="125"/>
      <c r="K160" s="615"/>
      <c r="L160" s="615"/>
      <c r="M160" s="615"/>
      <c r="N160" s="615"/>
      <c r="O160" s="162"/>
      <c r="P160" s="641"/>
      <c r="Q160" s="641"/>
      <c r="R160" s="162"/>
      <c r="S160" s="125"/>
    </row>
    <row r="161" spans="1:19" hidden="1" outlineLevel="1" x14ac:dyDescent="0.2">
      <c r="A161" s="162"/>
      <c r="B161" s="162"/>
      <c r="C161" s="162"/>
      <c r="D161" s="433" t="str">
        <f>TXPhase2Tx</f>
        <v/>
      </c>
      <c r="E161" s="495"/>
      <c r="F161" s="125"/>
      <c r="G161" s="125"/>
      <c r="H161" s="125"/>
      <c r="I161" s="125"/>
      <c r="J161" s="125"/>
      <c r="K161" s="615"/>
      <c r="L161" s="615"/>
      <c r="M161" s="615"/>
      <c r="N161" s="615"/>
      <c r="O161" s="162"/>
      <c r="P161" s="641"/>
      <c r="Q161" s="641"/>
      <c r="R161" s="162"/>
      <c r="S161" s="36" t="s">
        <v>258</v>
      </c>
    </row>
    <row r="162" spans="1:19" hidden="1" outlineLevel="1" x14ac:dyDescent="0.2">
      <c r="A162" s="162"/>
      <c r="B162" s="162"/>
      <c r="C162" s="162"/>
      <c r="D162" s="433" t="str">
        <f>IF(D161&lt;&gt;"","Patients electing treatment (%)","")</f>
        <v/>
      </c>
      <c r="E162" s="428"/>
      <c r="F162" s="428"/>
      <c r="G162" s="428"/>
      <c r="H162" s="428"/>
      <c r="I162" s="428"/>
      <c r="J162" s="428"/>
      <c r="K162" s="615"/>
      <c r="L162" s="615"/>
      <c r="M162" s="615"/>
      <c r="N162" s="615"/>
      <c r="O162" s="162"/>
      <c r="P162" s="641"/>
      <c r="Q162" s="641"/>
      <c r="R162" s="162"/>
      <c r="S162" s="426"/>
    </row>
    <row r="163" spans="1:19" hidden="1" outlineLevel="1" x14ac:dyDescent="0.2">
      <c r="A163" s="162"/>
      <c r="B163" s="162"/>
      <c r="C163" s="162"/>
      <c r="D163" s="435"/>
      <c r="E163" s="435"/>
      <c r="F163" s="435"/>
      <c r="G163" s="435"/>
      <c r="H163" s="435"/>
      <c r="I163" s="435"/>
      <c r="J163" s="435"/>
      <c r="K163" s="615"/>
      <c r="L163" s="615"/>
      <c r="M163" s="615"/>
      <c r="N163" s="615"/>
      <c r="O163" s="641"/>
      <c r="P163" s="641"/>
      <c r="Q163" s="641"/>
      <c r="R163" s="162"/>
      <c r="S163" s="125"/>
    </row>
    <row r="164" spans="1:19" s="416" customFormat="1" hidden="1" outlineLevel="1" x14ac:dyDescent="0.2">
      <c r="A164" s="162"/>
      <c r="B164" s="162"/>
      <c r="C164" s="475">
        <f>IFERROR(VLOOKUP(E164,TxPhase2SourceCode,2,FALSE),0)</f>
        <v>1</v>
      </c>
      <c r="D164" s="429" t="s">
        <v>1165</v>
      </c>
      <c r="E164" s="263" t="s">
        <v>1166</v>
      </c>
      <c r="F164" s="435"/>
      <c r="G164" s="435"/>
      <c r="H164" s="435"/>
      <c r="I164" s="435"/>
      <c r="J164" s="435"/>
      <c r="K164" s="615"/>
      <c r="L164" s="615"/>
      <c r="M164" s="615"/>
      <c r="N164" s="615"/>
      <c r="O164" s="641"/>
      <c r="P164" s="641"/>
      <c r="Q164" s="641"/>
      <c r="R164" s="162"/>
      <c r="S164" s="125"/>
    </row>
    <row r="165" spans="1:19" s="416" customFormat="1" hidden="1" outlineLevel="1" x14ac:dyDescent="0.2">
      <c r="A165" s="162"/>
      <c r="B165" s="162"/>
      <c r="C165" s="162"/>
      <c r="D165" s="435"/>
      <c r="E165" s="435"/>
      <c r="F165" s="435"/>
      <c r="G165" s="435"/>
      <c r="H165" s="435"/>
      <c r="I165" s="435"/>
      <c r="J165" s="435"/>
      <c r="K165" s="615"/>
      <c r="L165" s="615"/>
      <c r="M165" s="615"/>
      <c r="N165" s="615"/>
      <c r="O165" s="641"/>
      <c r="P165" s="641"/>
      <c r="Q165" s="641"/>
      <c r="R165" s="162"/>
      <c r="S165" s="125"/>
    </row>
    <row r="166" spans="1:19" hidden="1" outlineLevel="1" x14ac:dyDescent="0.2">
      <c r="A166" s="162"/>
      <c r="B166" s="162"/>
      <c r="C166" s="162"/>
      <c r="D166" s="429" t="str">
        <f>TxPhase1Px</f>
        <v/>
      </c>
      <c r="E166" s="440">
        <f t="shared" ref="E166:J166" si="24">IF(TxPhase1&lt;&gt;"",E156*E159,0)</f>
        <v>0</v>
      </c>
      <c r="F166" s="440">
        <f t="shared" si="24"/>
        <v>0</v>
      </c>
      <c r="G166" s="440">
        <f t="shared" si="24"/>
        <v>0</v>
      </c>
      <c r="H166" s="440">
        <f t="shared" si="24"/>
        <v>0</v>
      </c>
      <c r="I166" s="440">
        <f t="shared" si="24"/>
        <v>0</v>
      </c>
      <c r="J166" s="440">
        <f t="shared" si="24"/>
        <v>0</v>
      </c>
      <c r="K166" s="615"/>
      <c r="L166" s="615"/>
      <c r="M166" s="615"/>
      <c r="N166" s="615"/>
      <c r="O166" s="641"/>
      <c r="P166" s="641"/>
      <c r="Q166" s="641"/>
      <c r="R166" s="162"/>
      <c r="S166" s="162"/>
    </row>
    <row r="167" spans="1:19" hidden="1" outlineLevel="1" x14ac:dyDescent="0.2">
      <c r="A167" s="162"/>
      <c r="B167" s="162"/>
      <c r="C167" s="162"/>
      <c r="D167" s="429" t="str">
        <f>TxPhase2Px</f>
        <v/>
      </c>
      <c r="E167" s="440">
        <f t="shared" ref="E167:J167" si="25">IF(TxPhase2&lt;&gt;"",IF($C164=1,E166,IF($C164=2,E156,0))*E162,0)</f>
        <v>0</v>
      </c>
      <c r="F167" s="440">
        <f t="shared" si="25"/>
        <v>0</v>
      </c>
      <c r="G167" s="440">
        <f t="shared" si="25"/>
        <v>0</v>
      </c>
      <c r="H167" s="440">
        <f t="shared" si="25"/>
        <v>0</v>
      </c>
      <c r="I167" s="440">
        <f t="shared" si="25"/>
        <v>0</v>
      </c>
      <c r="J167" s="440">
        <f t="shared" si="25"/>
        <v>0</v>
      </c>
      <c r="K167" s="615"/>
      <c r="L167" s="615"/>
      <c r="M167" s="615"/>
      <c r="N167" s="615"/>
      <c r="O167" s="162"/>
      <c r="P167" s="641"/>
      <c r="Q167" s="641"/>
      <c r="R167" s="162"/>
      <c r="S167" s="162"/>
    </row>
    <row r="168" spans="1:19" s="416" customFormat="1" hidden="1" outlineLevel="1" x14ac:dyDescent="0.2">
      <c r="A168" s="162"/>
      <c r="B168" s="162"/>
      <c r="C168" s="162"/>
      <c r="D168" s="417"/>
      <c r="E168" s="417"/>
      <c r="F168" s="162"/>
      <c r="G168" s="162"/>
      <c r="H168" s="162"/>
      <c r="I168" s="162"/>
      <c r="J168" s="162"/>
      <c r="K168" s="162"/>
      <c r="L168" s="162"/>
      <c r="M168" s="162"/>
      <c r="N168" s="638"/>
      <c r="O168" s="162"/>
      <c r="P168" s="641"/>
      <c r="Q168" s="641"/>
      <c r="R168" s="162"/>
      <c r="S168" s="162"/>
    </row>
    <row r="169" spans="1:19" s="416" customFormat="1" hidden="1" outlineLevel="1" x14ac:dyDescent="0.2">
      <c r="A169" s="162"/>
      <c r="B169" s="162"/>
      <c r="C169" s="291" t="str">
        <f>IF(E169&lt;&gt;"",E169,"")</f>
        <v/>
      </c>
      <c r="D169" s="89" t="s">
        <v>756</v>
      </c>
      <c r="E169" s="263"/>
      <c r="F169" s="162"/>
      <c r="G169" s="162"/>
      <c r="H169" s="162"/>
      <c r="I169" s="162"/>
      <c r="J169" s="162"/>
      <c r="K169" s="162"/>
      <c r="L169" s="162"/>
      <c r="M169" s="162"/>
      <c r="N169" s="638"/>
      <c r="O169" s="162"/>
      <c r="P169" s="641"/>
      <c r="Q169" s="641"/>
      <c r="R169" s="162"/>
      <c r="S169" s="162"/>
    </row>
    <row r="170" spans="1:19" hidden="1" outlineLevel="1" x14ac:dyDescent="0.2">
      <c r="A170" s="615"/>
      <c r="B170" s="615"/>
      <c r="C170" s="615"/>
      <c r="D170" s="162"/>
      <c r="E170" s="162"/>
      <c r="F170" s="615"/>
      <c r="G170" s="615"/>
      <c r="H170" s="615"/>
      <c r="I170" s="615"/>
      <c r="J170" s="615"/>
      <c r="K170" s="615"/>
      <c r="L170" s="615"/>
      <c r="M170" s="615"/>
      <c r="N170" s="615"/>
      <c r="O170" s="615"/>
      <c r="P170" s="615"/>
      <c r="Q170" s="615"/>
      <c r="R170" s="615"/>
      <c r="S170" s="162"/>
    </row>
    <row r="171" spans="1:19" collapsed="1" x14ac:dyDescent="0.2">
      <c r="A171" s="162"/>
      <c r="B171" s="162"/>
      <c r="C171" s="162"/>
      <c r="D171" s="162"/>
      <c r="E171" s="162"/>
      <c r="F171" s="162"/>
      <c r="G171" s="162"/>
      <c r="H171" s="162"/>
      <c r="I171" s="162"/>
      <c r="J171" s="162"/>
      <c r="K171" s="162"/>
      <c r="L171" s="162"/>
      <c r="M171" s="162"/>
      <c r="N171" s="162"/>
      <c r="O171" s="162"/>
      <c r="P171" s="162"/>
      <c r="Q171" s="162"/>
      <c r="R171" s="162"/>
      <c r="S171" s="162"/>
    </row>
    <row r="172" spans="1:19" ht="15.75" x14ac:dyDescent="0.2">
      <c r="A172" s="162"/>
      <c r="B172" s="162"/>
      <c r="C172" s="573">
        <v>5</v>
      </c>
      <c r="D172" s="79" t="str">
        <f>IF(E176&lt;&gt;"",CONCATENATE("Incident ",C172,": ",G176,L172),MsgNotUsed)</f>
        <v>** NOT USED **</v>
      </c>
      <c r="E172" s="132"/>
      <c r="F172" s="132"/>
      <c r="G172" s="132"/>
      <c r="H172" s="132"/>
      <c r="I172" s="134"/>
      <c r="J172" s="134"/>
      <c r="K172" s="325"/>
      <c r="L172" s="325" t="str">
        <f>IF(S176&lt;&gt;"",CONCATENATE(" (",S176,")"),"")</f>
        <v/>
      </c>
      <c r="M172" s="325"/>
      <c r="N172" s="325"/>
      <c r="O172" s="325"/>
      <c r="P172" s="325"/>
      <c r="Q172" s="325"/>
      <c r="R172" s="133"/>
      <c r="S172" s="133"/>
    </row>
    <row r="173" spans="1:19" hidden="1" outlineLevel="1" x14ac:dyDescent="0.2">
      <c r="A173" s="129"/>
      <c r="B173" s="129"/>
      <c r="C173" s="129"/>
      <c r="D173" s="616"/>
      <c r="E173" s="129"/>
      <c r="F173" s="129"/>
      <c r="G173" s="129"/>
      <c r="H173" s="129"/>
      <c r="I173" s="129"/>
      <c r="J173" s="129"/>
      <c r="K173" s="129"/>
      <c r="L173" s="129"/>
      <c r="M173" s="129"/>
      <c r="N173" s="129"/>
      <c r="O173" s="129"/>
      <c r="P173" s="129"/>
      <c r="Q173" s="129"/>
      <c r="R173" s="129"/>
      <c r="S173" s="129"/>
    </row>
    <row r="174" spans="1:19" hidden="1" outlineLevel="1" x14ac:dyDescent="0.2">
      <c r="A174" s="129"/>
      <c r="B174" s="129"/>
      <c r="C174" s="129"/>
      <c r="D174" s="162" t="s">
        <v>839</v>
      </c>
      <c r="E174" s="129"/>
      <c r="F174" s="129"/>
      <c r="G174" s="129"/>
      <c r="H174" s="615"/>
      <c r="I174" s="615"/>
      <c r="J174" s="615"/>
      <c r="K174" s="162"/>
      <c r="L174" s="162"/>
      <c r="M174" s="162"/>
      <c r="N174" s="162"/>
      <c r="O174" s="162"/>
      <c r="P174" s="162"/>
      <c r="Q174" s="162"/>
      <c r="R174" s="129"/>
      <c r="S174" s="615"/>
    </row>
    <row r="175" spans="1:19" hidden="1" outlineLevel="1" x14ac:dyDescent="0.2">
      <c r="A175" s="129"/>
      <c r="B175" s="129"/>
      <c r="C175" s="129"/>
      <c r="D175" s="616"/>
      <c r="E175" s="129"/>
      <c r="F175" s="129"/>
      <c r="G175" s="129"/>
      <c r="H175" s="129"/>
      <c r="I175" s="129"/>
      <c r="J175" s="129"/>
      <c r="K175" s="162"/>
      <c r="L175" s="162"/>
      <c r="M175" s="162"/>
      <c r="N175" s="162"/>
      <c r="O175" s="162"/>
      <c r="P175" s="162"/>
      <c r="Q175" s="162"/>
      <c r="R175" s="129"/>
      <c r="S175" s="36" t="s">
        <v>424</v>
      </c>
    </row>
    <row r="176" spans="1:19" hidden="1" outlineLevel="1" x14ac:dyDescent="0.2">
      <c r="A176" s="129"/>
      <c r="B176" s="291">
        <f>IF(E176&lt;&gt;"",MATCH(E176,EPISource,0)-1,0)</f>
        <v>0</v>
      </c>
      <c r="C176" s="291">
        <f ca="1">IF(G176&lt;&gt;"",MATCH(G176,OFFSET(References!$AE$7,0,B176,PxPopMaxCount),0),0)</f>
        <v>0</v>
      </c>
      <c r="D176" s="423" t="s">
        <v>113</v>
      </c>
      <c r="E176" s="438"/>
      <c r="F176" s="436"/>
      <c r="G176" s="812"/>
      <c r="H176" s="813"/>
      <c r="I176" s="813"/>
      <c r="J176" s="813"/>
      <c r="K176" s="435"/>
      <c r="L176" s="162"/>
      <c r="M176" s="162"/>
      <c r="N176" s="162"/>
      <c r="O176" s="162"/>
      <c r="P176" s="162"/>
      <c r="Q176" s="162"/>
      <c r="R176" s="129"/>
      <c r="S176" s="439"/>
    </row>
    <row r="177" spans="1:19" hidden="1" outlineLevel="1" x14ac:dyDescent="0.2">
      <c r="A177" s="129"/>
      <c r="B177" s="291">
        <f>INDEX(PxPopValid,,B176+1)</f>
        <v>0</v>
      </c>
      <c r="C177" s="291">
        <f ca="1">(B176*PxPopMaxCount)+C176</f>
        <v>0</v>
      </c>
      <c r="D177" s="616"/>
      <c r="E177" s="650">
        <v>1</v>
      </c>
      <c r="F177" s="650">
        <v>2</v>
      </c>
      <c r="G177" s="650">
        <v>3</v>
      </c>
      <c r="H177" s="650">
        <v>4</v>
      </c>
      <c r="I177" s="650">
        <v>5</v>
      </c>
      <c r="J177" s="650">
        <v>6</v>
      </c>
      <c r="K177" s="435"/>
      <c r="L177" s="162"/>
      <c r="M177" s="162"/>
      <c r="N177" s="162"/>
      <c r="O177" s="162"/>
      <c r="P177" s="162"/>
      <c r="Q177" s="162"/>
      <c r="R177" s="129"/>
      <c r="S177" s="162"/>
    </row>
    <row r="178" spans="1:19" ht="15" hidden="1" customHeight="1" outlineLevel="1" x14ac:dyDescent="0.2">
      <c r="A178" s="129"/>
      <c r="B178" s="129"/>
      <c r="C178" s="129"/>
      <c r="D178" s="616"/>
      <c r="E178" s="814" t="s">
        <v>10</v>
      </c>
      <c r="F178" s="814"/>
      <c r="G178" s="814"/>
      <c r="H178" s="814"/>
      <c r="I178" s="814"/>
      <c r="J178" s="814"/>
      <c r="K178" s="435"/>
      <c r="L178" s="162"/>
      <c r="M178" s="162"/>
      <c r="N178" s="162"/>
      <c r="O178" s="162"/>
      <c r="P178" s="162"/>
      <c r="Q178" s="162"/>
      <c r="R178" s="129"/>
      <c r="S178" s="636" t="str">
        <f ca="1">IF(ISERROR($C177)=TRUE,MsgError &amp; VLOOKUP("BadPop",ErrorMessages,2,FALSE),IF(RIGHT(G176,12)="(Prevalence)",MsgError &amp; VLOOKUP("BadPrevPop",ErrorMessages,2,FALSE),""))</f>
        <v/>
      </c>
    </row>
    <row r="179" spans="1:19" hidden="1" outlineLevel="1" x14ac:dyDescent="0.2">
      <c r="A179" s="129"/>
      <c r="B179" s="129"/>
      <c r="C179" s="129"/>
      <c r="D179" s="643"/>
      <c r="E179" s="431">
        <f>FirstYear</f>
        <v>2021</v>
      </c>
      <c r="F179" s="431">
        <f>E179+1</f>
        <v>2022</v>
      </c>
      <c r="G179" s="431">
        <f>F179+1</f>
        <v>2023</v>
      </c>
      <c r="H179" s="431">
        <f>G179+1</f>
        <v>2024</v>
      </c>
      <c r="I179" s="431">
        <f>H179+1</f>
        <v>2025</v>
      </c>
      <c r="J179" s="431">
        <f>I179+1</f>
        <v>2026</v>
      </c>
      <c r="K179" s="435"/>
      <c r="L179" s="162"/>
      <c r="M179" s="162"/>
      <c r="N179" s="162"/>
      <c r="O179" s="162"/>
      <c r="P179" s="162"/>
      <c r="Q179" s="162"/>
      <c r="R179" s="129"/>
      <c r="S179" s="162"/>
    </row>
    <row r="180" spans="1:19" ht="12.75" hidden="1" customHeight="1" outlineLevel="1" x14ac:dyDescent="0.2">
      <c r="A180" s="162"/>
      <c r="B180" s="162"/>
      <c r="C180" s="162"/>
      <c r="D180" s="721" t="s">
        <v>342</v>
      </c>
      <c r="E180" s="437">
        <f t="shared" ref="E180:J180" ca="1" si="26">IF(AND(ISERROR($C177)&lt;&gt;TRUE,$G176&lt;&gt;""),INDEX(PxPopNumbers,$C177,E177),0)</f>
        <v>0</v>
      </c>
      <c r="F180" s="437">
        <f t="shared" ca="1" si="26"/>
        <v>0</v>
      </c>
      <c r="G180" s="437">
        <f t="shared" ca="1" si="26"/>
        <v>0</v>
      </c>
      <c r="H180" s="437">
        <f t="shared" ca="1" si="26"/>
        <v>0</v>
      </c>
      <c r="I180" s="437">
        <f t="shared" ca="1" si="26"/>
        <v>0</v>
      </c>
      <c r="J180" s="437">
        <f t="shared" ca="1" si="26"/>
        <v>0</v>
      </c>
      <c r="K180" s="435"/>
      <c r="L180" s="162"/>
      <c r="M180" s="162"/>
      <c r="N180" s="162"/>
      <c r="O180" s="162"/>
      <c r="P180" s="162"/>
      <c r="Q180" s="162"/>
      <c r="R180" s="616"/>
      <c r="S180" s="162"/>
    </row>
    <row r="181" spans="1:19" ht="12.75" hidden="1" customHeight="1" outlineLevel="1" x14ac:dyDescent="0.2">
      <c r="A181" s="162"/>
      <c r="B181" s="162"/>
      <c r="C181" s="162"/>
      <c r="D181" s="162"/>
      <c r="E181" s="435"/>
      <c r="F181" s="435"/>
      <c r="G181" s="435"/>
      <c r="H181" s="435"/>
      <c r="I181" s="435"/>
      <c r="J181" s="435"/>
      <c r="K181" s="435"/>
      <c r="L181" s="162"/>
      <c r="M181" s="162"/>
      <c r="N181" s="162"/>
      <c r="O181" s="162"/>
      <c r="P181" s="162"/>
      <c r="Q181" s="162"/>
      <c r="R181" s="162"/>
      <c r="S181" s="162"/>
    </row>
    <row r="182" spans="1:19" ht="12.75" hidden="1" customHeight="1" outlineLevel="1" x14ac:dyDescent="0.2">
      <c r="A182" s="162"/>
      <c r="B182" s="162"/>
      <c r="C182" s="162"/>
      <c r="D182" s="720" t="s">
        <v>205</v>
      </c>
      <c r="E182" s="435"/>
      <c r="F182" s="435"/>
      <c r="G182" s="435"/>
      <c r="H182" s="435"/>
      <c r="I182" s="435"/>
      <c r="J182" s="435"/>
      <c r="K182" s="435"/>
      <c r="L182" s="162"/>
      <c r="M182" s="162"/>
      <c r="N182" s="162"/>
      <c r="O182" s="162"/>
      <c r="P182" s="162"/>
      <c r="Q182" s="162"/>
      <c r="R182" s="162"/>
      <c r="S182" s="36" t="s">
        <v>258</v>
      </c>
    </row>
    <row r="183" spans="1:19" hidden="1" outlineLevel="1" x14ac:dyDescent="0.2">
      <c r="A183" s="162"/>
      <c r="B183" s="162"/>
      <c r="C183" s="162"/>
      <c r="D183" s="432"/>
      <c r="E183" s="443"/>
      <c r="F183" s="443"/>
      <c r="G183" s="443"/>
      <c r="H183" s="443"/>
      <c r="I183" s="443"/>
      <c r="J183" s="443"/>
      <c r="K183" s="435"/>
      <c r="L183" s="425">
        <f t="shared" ref="L183:Q192" si="27">IF(E183="",1,E183)</f>
        <v>1</v>
      </c>
      <c r="M183" s="425">
        <f t="shared" si="27"/>
        <v>1</v>
      </c>
      <c r="N183" s="425">
        <f t="shared" si="27"/>
        <v>1</v>
      </c>
      <c r="O183" s="425">
        <f t="shared" si="27"/>
        <v>1</v>
      </c>
      <c r="P183" s="425">
        <f t="shared" si="27"/>
        <v>1</v>
      </c>
      <c r="Q183" s="425">
        <f t="shared" si="27"/>
        <v>1</v>
      </c>
      <c r="R183" s="162"/>
      <c r="S183" s="432"/>
    </row>
    <row r="184" spans="1:19" hidden="1" outlineLevel="1" x14ac:dyDescent="0.2">
      <c r="A184" s="162"/>
      <c r="B184" s="162"/>
      <c r="C184" s="162"/>
      <c r="D184" s="432"/>
      <c r="E184" s="443"/>
      <c r="F184" s="443"/>
      <c r="G184" s="443"/>
      <c r="H184" s="443"/>
      <c r="I184" s="443"/>
      <c r="J184" s="443"/>
      <c r="K184" s="435"/>
      <c r="L184" s="425">
        <f t="shared" si="27"/>
        <v>1</v>
      </c>
      <c r="M184" s="425">
        <f t="shared" si="27"/>
        <v>1</v>
      </c>
      <c r="N184" s="425">
        <f t="shared" si="27"/>
        <v>1</v>
      </c>
      <c r="O184" s="425">
        <f t="shared" si="27"/>
        <v>1</v>
      </c>
      <c r="P184" s="425">
        <f t="shared" si="27"/>
        <v>1</v>
      </c>
      <c r="Q184" s="425">
        <f t="shared" si="27"/>
        <v>1</v>
      </c>
      <c r="R184" s="162"/>
      <c r="S184" s="432"/>
    </row>
    <row r="185" spans="1:19" hidden="1" outlineLevel="1" x14ac:dyDescent="0.2">
      <c r="A185" s="162"/>
      <c r="B185" s="162"/>
      <c r="C185" s="162"/>
      <c r="D185" s="432"/>
      <c r="E185" s="443"/>
      <c r="F185" s="443"/>
      <c r="G185" s="443"/>
      <c r="H185" s="443"/>
      <c r="I185" s="443"/>
      <c r="J185" s="443"/>
      <c r="K185" s="435"/>
      <c r="L185" s="425">
        <f t="shared" si="27"/>
        <v>1</v>
      </c>
      <c r="M185" s="425">
        <f t="shared" si="27"/>
        <v>1</v>
      </c>
      <c r="N185" s="425">
        <f t="shared" si="27"/>
        <v>1</v>
      </c>
      <c r="O185" s="425">
        <f t="shared" si="27"/>
        <v>1</v>
      </c>
      <c r="P185" s="425">
        <f t="shared" si="27"/>
        <v>1</v>
      </c>
      <c r="Q185" s="425">
        <f t="shared" si="27"/>
        <v>1</v>
      </c>
      <c r="R185" s="162"/>
      <c r="S185" s="432"/>
    </row>
    <row r="186" spans="1:19" hidden="1" outlineLevel="1" x14ac:dyDescent="0.2">
      <c r="A186" s="162"/>
      <c r="B186" s="162"/>
      <c r="C186" s="162"/>
      <c r="D186" s="432"/>
      <c r="E186" s="443"/>
      <c r="F186" s="443"/>
      <c r="G186" s="443"/>
      <c r="H186" s="443"/>
      <c r="I186" s="443"/>
      <c r="J186" s="443"/>
      <c r="K186" s="435"/>
      <c r="L186" s="425">
        <f t="shared" si="27"/>
        <v>1</v>
      </c>
      <c r="M186" s="425">
        <f t="shared" si="27"/>
        <v>1</v>
      </c>
      <c r="N186" s="425">
        <f t="shared" si="27"/>
        <v>1</v>
      </c>
      <c r="O186" s="425">
        <f t="shared" si="27"/>
        <v>1</v>
      </c>
      <c r="P186" s="425">
        <f t="shared" si="27"/>
        <v>1</v>
      </c>
      <c r="Q186" s="425">
        <f t="shared" si="27"/>
        <v>1</v>
      </c>
      <c r="R186" s="162"/>
      <c r="S186" s="432"/>
    </row>
    <row r="187" spans="1:19" hidden="1" outlineLevel="1" x14ac:dyDescent="0.2">
      <c r="A187" s="162"/>
      <c r="B187" s="162"/>
      <c r="C187" s="162"/>
      <c r="D187" s="432"/>
      <c r="E187" s="443"/>
      <c r="F187" s="443"/>
      <c r="G187" s="443"/>
      <c r="H187" s="443"/>
      <c r="I187" s="443"/>
      <c r="J187" s="443"/>
      <c r="K187" s="435"/>
      <c r="L187" s="425">
        <f t="shared" si="27"/>
        <v>1</v>
      </c>
      <c r="M187" s="425">
        <f t="shared" si="27"/>
        <v>1</v>
      </c>
      <c r="N187" s="425">
        <f t="shared" si="27"/>
        <v>1</v>
      </c>
      <c r="O187" s="425">
        <f t="shared" si="27"/>
        <v>1</v>
      </c>
      <c r="P187" s="425">
        <f t="shared" si="27"/>
        <v>1</v>
      </c>
      <c r="Q187" s="425">
        <f t="shared" si="27"/>
        <v>1</v>
      </c>
      <c r="R187" s="162"/>
      <c r="S187" s="432"/>
    </row>
    <row r="188" spans="1:19" hidden="1" outlineLevel="1" x14ac:dyDescent="0.2">
      <c r="A188" s="162"/>
      <c r="B188" s="162"/>
      <c r="C188" s="162"/>
      <c r="D188" s="432"/>
      <c r="E188" s="443"/>
      <c r="F188" s="443"/>
      <c r="G188" s="443"/>
      <c r="H188" s="443"/>
      <c r="I188" s="443"/>
      <c r="J188" s="443"/>
      <c r="K188" s="435"/>
      <c r="L188" s="425">
        <f t="shared" si="27"/>
        <v>1</v>
      </c>
      <c r="M188" s="425">
        <f t="shared" si="27"/>
        <v>1</v>
      </c>
      <c r="N188" s="425">
        <f t="shared" si="27"/>
        <v>1</v>
      </c>
      <c r="O188" s="425">
        <f t="shared" si="27"/>
        <v>1</v>
      </c>
      <c r="P188" s="425">
        <f t="shared" si="27"/>
        <v>1</v>
      </c>
      <c r="Q188" s="425">
        <f t="shared" si="27"/>
        <v>1</v>
      </c>
      <c r="R188" s="162"/>
      <c r="S188" s="432"/>
    </row>
    <row r="189" spans="1:19" hidden="1" outlineLevel="1" x14ac:dyDescent="0.2">
      <c r="A189" s="162"/>
      <c r="B189" s="162"/>
      <c r="C189" s="162"/>
      <c r="D189" s="432"/>
      <c r="E189" s="443"/>
      <c r="F189" s="443"/>
      <c r="G189" s="443"/>
      <c r="H189" s="443"/>
      <c r="I189" s="443"/>
      <c r="J189" s="443"/>
      <c r="K189" s="435"/>
      <c r="L189" s="425">
        <f t="shared" si="27"/>
        <v>1</v>
      </c>
      <c r="M189" s="425">
        <f t="shared" si="27"/>
        <v>1</v>
      </c>
      <c r="N189" s="425">
        <f t="shared" si="27"/>
        <v>1</v>
      </c>
      <c r="O189" s="425">
        <f t="shared" si="27"/>
        <v>1</v>
      </c>
      <c r="P189" s="425">
        <f t="shared" si="27"/>
        <v>1</v>
      </c>
      <c r="Q189" s="425">
        <f t="shared" si="27"/>
        <v>1</v>
      </c>
      <c r="R189" s="162"/>
      <c r="S189" s="432"/>
    </row>
    <row r="190" spans="1:19" hidden="1" outlineLevel="1" x14ac:dyDescent="0.2">
      <c r="A190" s="162"/>
      <c r="B190" s="162"/>
      <c r="C190" s="162"/>
      <c r="D190" s="432"/>
      <c r="E190" s="443"/>
      <c r="F190" s="443"/>
      <c r="G190" s="443"/>
      <c r="H190" s="443"/>
      <c r="I190" s="443"/>
      <c r="J190" s="443"/>
      <c r="K190" s="435"/>
      <c r="L190" s="425">
        <f t="shared" si="27"/>
        <v>1</v>
      </c>
      <c r="M190" s="425">
        <f t="shared" si="27"/>
        <v>1</v>
      </c>
      <c r="N190" s="425">
        <f t="shared" si="27"/>
        <v>1</v>
      </c>
      <c r="O190" s="425">
        <f t="shared" si="27"/>
        <v>1</v>
      </c>
      <c r="P190" s="425">
        <f t="shared" si="27"/>
        <v>1</v>
      </c>
      <c r="Q190" s="425">
        <f t="shared" si="27"/>
        <v>1</v>
      </c>
      <c r="R190" s="162"/>
      <c r="S190" s="432"/>
    </row>
    <row r="191" spans="1:19" hidden="1" outlineLevel="1" x14ac:dyDescent="0.2">
      <c r="A191" s="162"/>
      <c r="B191" s="162"/>
      <c r="C191" s="162"/>
      <c r="D191" s="432"/>
      <c r="E191" s="443"/>
      <c r="F191" s="443"/>
      <c r="G191" s="443"/>
      <c r="H191" s="443"/>
      <c r="I191" s="443"/>
      <c r="J191" s="443"/>
      <c r="K191" s="435"/>
      <c r="L191" s="425">
        <f t="shared" si="27"/>
        <v>1</v>
      </c>
      <c r="M191" s="425">
        <f t="shared" si="27"/>
        <v>1</v>
      </c>
      <c r="N191" s="425">
        <f t="shared" si="27"/>
        <v>1</v>
      </c>
      <c r="O191" s="425">
        <f t="shared" si="27"/>
        <v>1</v>
      </c>
      <c r="P191" s="425">
        <f t="shared" si="27"/>
        <v>1</v>
      </c>
      <c r="Q191" s="425">
        <f t="shared" si="27"/>
        <v>1</v>
      </c>
      <c r="R191" s="162"/>
      <c r="S191" s="432"/>
    </row>
    <row r="192" spans="1:19" hidden="1" outlineLevel="1" x14ac:dyDescent="0.2">
      <c r="A192" s="162"/>
      <c r="B192" s="162"/>
      <c r="C192" s="162"/>
      <c r="D192" s="432"/>
      <c r="E192" s="443"/>
      <c r="F192" s="443"/>
      <c r="G192" s="443"/>
      <c r="H192" s="443"/>
      <c r="I192" s="443"/>
      <c r="J192" s="443"/>
      <c r="K192" s="435"/>
      <c r="L192" s="425">
        <f>IF(E192="",1,E192)</f>
        <v>1</v>
      </c>
      <c r="M192" s="425">
        <f t="shared" si="27"/>
        <v>1</v>
      </c>
      <c r="N192" s="425">
        <f t="shared" si="27"/>
        <v>1</v>
      </c>
      <c r="O192" s="425">
        <f t="shared" si="27"/>
        <v>1</v>
      </c>
      <c r="P192" s="425">
        <f t="shared" si="27"/>
        <v>1</v>
      </c>
      <c r="Q192" s="425">
        <f t="shared" si="27"/>
        <v>1</v>
      </c>
      <c r="R192" s="162"/>
      <c r="S192" s="432"/>
    </row>
    <row r="193" spans="1:19" hidden="1" outlineLevel="1" x14ac:dyDescent="0.2">
      <c r="A193" s="162"/>
      <c r="B193" s="162"/>
      <c r="C193" s="162"/>
      <c r="D193" s="424" t="s">
        <v>213</v>
      </c>
      <c r="E193" s="444">
        <f t="shared" ref="E193:J193" si="28">L183*L184*L185*L186*L192*L187*L188*L189*L190*L191</f>
        <v>1</v>
      </c>
      <c r="F193" s="444">
        <f t="shared" si="28"/>
        <v>1</v>
      </c>
      <c r="G193" s="444">
        <f t="shared" si="28"/>
        <v>1</v>
      </c>
      <c r="H193" s="444">
        <f t="shared" si="28"/>
        <v>1</v>
      </c>
      <c r="I193" s="444">
        <f t="shared" si="28"/>
        <v>1</v>
      </c>
      <c r="J193" s="444">
        <f t="shared" si="28"/>
        <v>1</v>
      </c>
      <c r="K193" s="162"/>
      <c r="L193" s="162"/>
      <c r="M193" s="162"/>
      <c r="N193" s="638"/>
      <c r="O193" s="162"/>
      <c r="P193" s="162"/>
      <c r="Q193" s="162"/>
      <c r="R193" s="162"/>
      <c r="S193" s="162"/>
    </row>
    <row r="194" spans="1:19" hidden="1" outlineLevel="1" x14ac:dyDescent="0.2">
      <c r="A194" s="638"/>
      <c r="B194" s="638"/>
      <c r="C194" s="638"/>
      <c r="D194" s="419" t="s">
        <v>90</v>
      </c>
      <c r="E194" s="440">
        <f t="shared" ref="E194:J194" ca="1" si="29">IF(ISNUMBER(E180),E180*E193,"")</f>
        <v>0</v>
      </c>
      <c r="F194" s="440">
        <f t="shared" ca="1" si="29"/>
        <v>0</v>
      </c>
      <c r="G194" s="440">
        <f t="shared" ca="1" si="29"/>
        <v>0</v>
      </c>
      <c r="H194" s="440">
        <f t="shared" ca="1" si="29"/>
        <v>0</v>
      </c>
      <c r="I194" s="440">
        <f t="shared" ca="1" si="29"/>
        <v>0</v>
      </c>
      <c r="J194" s="440">
        <f t="shared" ca="1" si="29"/>
        <v>0</v>
      </c>
      <c r="K194" s="162"/>
      <c r="L194" s="638"/>
      <c r="M194" s="162"/>
      <c r="N194" s="162"/>
      <c r="O194" s="162"/>
      <c r="P194" s="162"/>
      <c r="Q194" s="162"/>
      <c r="R194" s="162"/>
      <c r="S194" s="162"/>
    </row>
    <row r="195" spans="1:19" hidden="1" outlineLevel="1" x14ac:dyDescent="0.2">
      <c r="A195" s="162"/>
      <c r="B195" s="162"/>
      <c r="C195" s="162"/>
      <c r="D195" s="435"/>
      <c r="E195" s="125"/>
      <c r="F195" s="125"/>
      <c r="G195" s="125"/>
      <c r="H195" s="125"/>
      <c r="I195" s="125"/>
      <c r="J195" s="125"/>
      <c r="K195" s="162"/>
      <c r="L195" s="162"/>
      <c r="M195" s="162"/>
      <c r="N195" s="162"/>
      <c r="O195" s="162"/>
      <c r="P195" s="641"/>
      <c r="Q195" s="641"/>
      <c r="R195" s="162"/>
      <c r="S195" s="125"/>
    </row>
    <row r="196" spans="1:19" hidden="1" outlineLevel="1" x14ac:dyDescent="0.2">
      <c r="A196" s="162"/>
      <c r="B196" s="162"/>
      <c r="C196" s="162"/>
      <c r="D196" s="429" t="str">
        <f>TxPhase1Tx</f>
        <v/>
      </c>
      <c r="E196" s="495"/>
      <c r="F196" s="125"/>
      <c r="G196" s="125"/>
      <c r="H196" s="125"/>
      <c r="I196" s="125"/>
      <c r="J196" s="125"/>
      <c r="K196" s="615"/>
      <c r="L196" s="615"/>
      <c r="M196" s="615"/>
      <c r="N196" s="615"/>
      <c r="O196" s="641"/>
      <c r="P196" s="641"/>
      <c r="Q196" s="641"/>
      <c r="R196" s="162"/>
      <c r="S196" s="36" t="s">
        <v>258</v>
      </c>
    </row>
    <row r="197" spans="1:19" hidden="1" outlineLevel="1" x14ac:dyDescent="0.2">
      <c r="A197" s="162"/>
      <c r="B197" s="162"/>
      <c r="C197" s="162"/>
      <c r="D197" s="429" t="s">
        <v>91</v>
      </c>
      <c r="E197" s="428"/>
      <c r="F197" s="428"/>
      <c r="G197" s="428"/>
      <c r="H197" s="428"/>
      <c r="I197" s="428"/>
      <c r="J197" s="428"/>
      <c r="K197" s="615"/>
      <c r="L197" s="615"/>
      <c r="M197" s="615"/>
      <c r="N197" s="615"/>
      <c r="O197" s="162"/>
      <c r="P197" s="641"/>
      <c r="Q197" s="641"/>
      <c r="R197" s="162"/>
      <c r="S197" s="426"/>
    </row>
    <row r="198" spans="1:19" hidden="1" outlineLevel="1" x14ac:dyDescent="0.2">
      <c r="A198" s="162"/>
      <c r="B198" s="162"/>
      <c r="C198" s="162"/>
      <c r="D198" s="435"/>
      <c r="E198" s="125"/>
      <c r="F198" s="125"/>
      <c r="G198" s="125"/>
      <c r="H198" s="125"/>
      <c r="I198" s="125"/>
      <c r="J198" s="125"/>
      <c r="K198" s="615"/>
      <c r="L198" s="615"/>
      <c r="M198" s="615"/>
      <c r="N198" s="615"/>
      <c r="O198" s="162"/>
      <c r="P198" s="641"/>
      <c r="Q198" s="641"/>
      <c r="R198" s="162"/>
      <c r="S198" s="125"/>
    </row>
    <row r="199" spans="1:19" hidden="1" outlineLevel="1" x14ac:dyDescent="0.2">
      <c r="A199" s="162"/>
      <c r="B199" s="162"/>
      <c r="C199" s="162"/>
      <c r="D199" s="433" t="str">
        <f>TXPhase2Tx</f>
        <v/>
      </c>
      <c r="E199" s="495"/>
      <c r="F199" s="125"/>
      <c r="G199" s="125"/>
      <c r="H199" s="125"/>
      <c r="I199" s="125"/>
      <c r="J199" s="125"/>
      <c r="K199" s="615"/>
      <c r="L199" s="615"/>
      <c r="M199" s="615"/>
      <c r="N199" s="615"/>
      <c r="O199" s="162"/>
      <c r="P199" s="641"/>
      <c r="Q199" s="641"/>
      <c r="R199" s="162"/>
      <c r="S199" s="36" t="s">
        <v>258</v>
      </c>
    </row>
    <row r="200" spans="1:19" hidden="1" outlineLevel="1" x14ac:dyDescent="0.2">
      <c r="A200" s="162"/>
      <c r="B200" s="162"/>
      <c r="C200" s="162"/>
      <c r="D200" s="433" t="str">
        <f>IF(D199&lt;&gt;"","Patients electing treatment (%)","")</f>
        <v/>
      </c>
      <c r="E200" s="428"/>
      <c r="F200" s="428"/>
      <c r="G200" s="428"/>
      <c r="H200" s="428"/>
      <c r="I200" s="428"/>
      <c r="J200" s="428"/>
      <c r="K200" s="615"/>
      <c r="L200" s="615"/>
      <c r="M200" s="615"/>
      <c r="N200" s="615"/>
      <c r="O200" s="162"/>
      <c r="P200" s="641"/>
      <c r="Q200" s="641"/>
      <c r="R200" s="162"/>
      <c r="S200" s="426"/>
    </row>
    <row r="201" spans="1:19" hidden="1" outlineLevel="1" x14ac:dyDescent="0.2">
      <c r="A201" s="162"/>
      <c r="B201" s="162"/>
      <c r="C201" s="162"/>
      <c r="D201" s="435"/>
      <c r="E201" s="435"/>
      <c r="F201" s="435"/>
      <c r="G201" s="435"/>
      <c r="H201" s="435"/>
      <c r="I201" s="435"/>
      <c r="J201" s="435"/>
      <c r="K201" s="615"/>
      <c r="L201" s="615"/>
      <c r="M201" s="615"/>
      <c r="N201" s="615"/>
      <c r="O201" s="641"/>
      <c r="P201" s="641"/>
      <c r="Q201" s="641"/>
      <c r="R201" s="162"/>
      <c r="S201" s="125"/>
    </row>
    <row r="202" spans="1:19" s="416" customFormat="1" hidden="1" outlineLevel="1" x14ac:dyDescent="0.2">
      <c r="A202" s="162"/>
      <c r="B202" s="162"/>
      <c r="C202" s="475">
        <f>IFERROR(VLOOKUP(E202,TxPhase2SourceCode,2,FALSE),0)</f>
        <v>1</v>
      </c>
      <c r="D202" s="429" t="s">
        <v>1165</v>
      </c>
      <c r="E202" s="263" t="s">
        <v>1166</v>
      </c>
      <c r="F202" s="435"/>
      <c r="G202" s="435"/>
      <c r="H202" s="435"/>
      <c r="I202" s="435"/>
      <c r="J202" s="435"/>
      <c r="K202" s="615"/>
      <c r="L202" s="615"/>
      <c r="M202" s="615"/>
      <c r="N202" s="615"/>
      <c r="O202" s="641"/>
      <c r="P202" s="641"/>
      <c r="Q202" s="641"/>
      <c r="R202" s="162"/>
      <c r="S202" s="125"/>
    </row>
    <row r="203" spans="1:19" s="416" customFormat="1" hidden="1" outlineLevel="1" x14ac:dyDescent="0.2">
      <c r="A203" s="162"/>
      <c r="B203" s="162"/>
      <c r="C203" s="162"/>
      <c r="D203" s="435"/>
      <c r="E203" s="435"/>
      <c r="F203" s="435"/>
      <c r="G203" s="435"/>
      <c r="H203" s="435"/>
      <c r="I203" s="435"/>
      <c r="J203" s="435"/>
      <c r="K203" s="615"/>
      <c r="L203" s="615"/>
      <c r="M203" s="615"/>
      <c r="N203" s="615"/>
      <c r="O203" s="641"/>
      <c r="P203" s="641"/>
      <c r="Q203" s="641"/>
      <c r="R203" s="162"/>
      <c r="S203" s="125"/>
    </row>
    <row r="204" spans="1:19" hidden="1" outlineLevel="1" x14ac:dyDescent="0.2">
      <c r="A204" s="162"/>
      <c r="B204" s="162"/>
      <c r="C204" s="162"/>
      <c r="D204" s="429" t="str">
        <f>IF(TxPhase1&lt;&gt;"",TxPhase1 &amp; " patients (#)","")</f>
        <v/>
      </c>
      <c r="E204" s="440">
        <f t="shared" ref="E204:J204" si="30">IF(TxPhase1&lt;&gt;"",E194*E197,0)</f>
        <v>0</v>
      </c>
      <c r="F204" s="440">
        <f t="shared" si="30"/>
        <v>0</v>
      </c>
      <c r="G204" s="440">
        <f t="shared" si="30"/>
        <v>0</v>
      </c>
      <c r="H204" s="440">
        <f t="shared" si="30"/>
        <v>0</v>
      </c>
      <c r="I204" s="440">
        <f t="shared" si="30"/>
        <v>0</v>
      </c>
      <c r="J204" s="440">
        <f t="shared" si="30"/>
        <v>0</v>
      </c>
      <c r="K204" s="615"/>
      <c r="L204" s="615"/>
      <c r="M204" s="615"/>
      <c r="N204" s="615"/>
      <c r="O204" s="641"/>
      <c r="P204" s="641"/>
      <c r="Q204" s="641"/>
      <c r="R204" s="162"/>
      <c r="S204" s="162"/>
    </row>
    <row r="205" spans="1:19" hidden="1" outlineLevel="1" x14ac:dyDescent="0.2">
      <c r="A205" s="162"/>
      <c r="B205" s="162"/>
      <c r="C205" s="162"/>
      <c r="D205" s="429" t="str">
        <f>IF(TxPhase2&lt;&gt;"",TxPhase2 &amp; " patients (#)","")</f>
        <v/>
      </c>
      <c r="E205" s="440">
        <f t="shared" ref="E205:J205" si="31">IF(TxPhase2&lt;&gt;"",IF($C202=1,E204,IF($C202=2,E194,0))*E200,0)</f>
        <v>0</v>
      </c>
      <c r="F205" s="440">
        <f t="shared" si="31"/>
        <v>0</v>
      </c>
      <c r="G205" s="440">
        <f t="shared" si="31"/>
        <v>0</v>
      </c>
      <c r="H205" s="440">
        <f t="shared" si="31"/>
        <v>0</v>
      </c>
      <c r="I205" s="440">
        <f t="shared" si="31"/>
        <v>0</v>
      </c>
      <c r="J205" s="440">
        <f t="shared" si="31"/>
        <v>0</v>
      </c>
      <c r="K205" s="615"/>
      <c r="L205" s="615"/>
      <c r="M205" s="615"/>
      <c r="N205" s="615"/>
      <c r="O205" s="162"/>
      <c r="P205" s="641"/>
      <c r="Q205" s="641"/>
      <c r="R205" s="162"/>
      <c r="S205" s="162"/>
    </row>
    <row r="206" spans="1:19" s="416" customFormat="1" hidden="1" outlineLevel="1" x14ac:dyDescent="0.2">
      <c r="A206" s="162"/>
      <c r="B206" s="162"/>
      <c r="C206" s="162"/>
      <c r="D206" s="417"/>
      <c r="E206" s="417"/>
      <c r="F206" s="162"/>
      <c r="G206" s="162"/>
      <c r="H206" s="162"/>
      <c r="I206" s="162"/>
      <c r="J206" s="162"/>
      <c r="K206" s="162"/>
      <c r="L206" s="162"/>
      <c r="M206" s="162"/>
      <c r="N206" s="638"/>
      <c r="O206" s="162"/>
      <c r="P206" s="641"/>
      <c r="Q206" s="641"/>
      <c r="R206" s="162"/>
      <c r="S206" s="162"/>
    </row>
    <row r="207" spans="1:19" s="416" customFormat="1" hidden="1" outlineLevel="1" x14ac:dyDescent="0.2">
      <c r="A207" s="162"/>
      <c r="B207" s="162"/>
      <c r="C207" s="291" t="str">
        <f>IF(E207&lt;&gt;"",E207,"")</f>
        <v/>
      </c>
      <c r="D207" s="89" t="s">
        <v>756</v>
      </c>
      <c r="E207" s="263"/>
      <c r="F207" s="162"/>
      <c r="G207" s="162"/>
      <c r="H207" s="162"/>
      <c r="I207" s="162"/>
      <c r="J207" s="162"/>
      <c r="K207" s="162"/>
      <c r="L207" s="162"/>
      <c r="M207" s="162"/>
      <c r="N207" s="638"/>
      <c r="O207" s="162"/>
      <c r="P207" s="641"/>
      <c r="Q207" s="641"/>
      <c r="R207" s="162"/>
      <c r="S207" s="162"/>
    </row>
    <row r="208" spans="1:19" hidden="1" outlineLevel="1" x14ac:dyDescent="0.2">
      <c r="A208" s="615"/>
      <c r="B208" s="615"/>
      <c r="C208" s="615"/>
      <c r="D208" s="162"/>
      <c r="E208" s="162"/>
      <c r="F208" s="615"/>
      <c r="G208" s="615"/>
      <c r="H208" s="615"/>
      <c r="I208" s="615"/>
      <c r="J208" s="615"/>
      <c r="K208" s="615"/>
      <c r="L208" s="615"/>
      <c r="M208" s="615"/>
      <c r="N208" s="615"/>
      <c r="O208" s="615"/>
      <c r="P208" s="615"/>
      <c r="Q208" s="615"/>
      <c r="R208" s="615"/>
      <c r="S208" s="162"/>
    </row>
    <row r="209" spans="1:19" collapsed="1" x14ac:dyDescent="0.2">
      <c r="A209" s="162"/>
      <c r="B209" s="162"/>
      <c r="C209" s="162"/>
      <c r="D209" s="162"/>
      <c r="E209" s="162"/>
      <c r="F209" s="162"/>
      <c r="G209" s="162"/>
      <c r="H209" s="162"/>
      <c r="I209" s="162"/>
      <c r="J209" s="162"/>
      <c r="K209" s="162"/>
      <c r="L209" s="162"/>
      <c r="M209" s="162"/>
      <c r="N209" s="162"/>
      <c r="O209" s="162"/>
      <c r="P209" s="162"/>
      <c r="Q209" s="162"/>
      <c r="R209" s="162"/>
      <c r="S209" s="162"/>
    </row>
    <row r="210" spans="1:19" ht="15.75" x14ac:dyDescent="0.2">
      <c r="A210" s="162"/>
      <c r="B210" s="162"/>
      <c r="C210" s="573">
        <v>6</v>
      </c>
      <c r="D210" s="79" t="str">
        <f>IF(E214&lt;&gt;"",CONCATENATE("Incident ",C210,": ",G214,L210),MsgNotUsed)</f>
        <v>** NOT USED **</v>
      </c>
      <c r="E210" s="132"/>
      <c r="F210" s="132"/>
      <c r="G210" s="132"/>
      <c r="H210" s="132"/>
      <c r="I210" s="134"/>
      <c r="J210" s="134"/>
      <c r="K210" s="325"/>
      <c r="L210" s="325" t="str">
        <f>IF(S214&lt;&gt;"",CONCATENATE(" (",S214,")"),"")</f>
        <v/>
      </c>
      <c r="M210" s="325"/>
      <c r="N210" s="325"/>
      <c r="O210" s="325"/>
      <c r="P210" s="325"/>
      <c r="Q210" s="325"/>
      <c r="R210" s="133"/>
      <c r="S210" s="133"/>
    </row>
    <row r="211" spans="1:19" hidden="1" outlineLevel="1" x14ac:dyDescent="0.2">
      <c r="A211" s="129"/>
      <c r="B211" s="129"/>
      <c r="C211" s="129"/>
      <c r="D211" s="616"/>
      <c r="E211" s="129"/>
      <c r="F211" s="129"/>
      <c r="G211" s="129"/>
      <c r="H211" s="129"/>
      <c r="I211" s="129"/>
      <c r="J211" s="129"/>
      <c r="K211" s="129"/>
      <c r="L211" s="129"/>
      <c r="M211" s="129"/>
      <c r="N211" s="129"/>
      <c r="O211" s="129"/>
      <c r="P211" s="129"/>
      <c r="Q211" s="129"/>
      <c r="R211" s="129"/>
      <c r="S211" s="129"/>
    </row>
    <row r="212" spans="1:19" hidden="1" outlineLevel="1" x14ac:dyDescent="0.2">
      <c r="A212" s="129"/>
      <c r="B212" s="129"/>
      <c r="C212" s="129"/>
      <c r="D212" s="162" t="s">
        <v>839</v>
      </c>
      <c r="E212" s="129"/>
      <c r="F212" s="129"/>
      <c r="G212" s="129"/>
      <c r="H212" s="615"/>
      <c r="I212" s="615"/>
      <c r="J212" s="615"/>
      <c r="K212" s="162"/>
      <c r="L212" s="162"/>
      <c r="M212" s="162"/>
      <c r="N212" s="162"/>
      <c r="O212" s="162"/>
      <c r="P212" s="162"/>
      <c r="Q212" s="162"/>
      <c r="R212" s="129"/>
      <c r="S212" s="615"/>
    </row>
    <row r="213" spans="1:19" hidden="1" outlineLevel="1" x14ac:dyDescent="0.2">
      <c r="A213" s="129"/>
      <c r="B213" s="129"/>
      <c r="C213" s="129"/>
      <c r="D213" s="616"/>
      <c r="E213" s="129"/>
      <c r="F213" s="129"/>
      <c r="G213" s="129"/>
      <c r="H213" s="129"/>
      <c r="I213" s="129"/>
      <c r="J213" s="129"/>
      <c r="K213" s="162"/>
      <c r="L213" s="162"/>
      <c r="M213" s="162"/>
      <c r="N213" s="162"/>
      <c r="O213" s="162"/>
      <c r="P213" s="162"/>
      <c r="Q213" s="162"/>
      <c r="R213" s="129"/>
      <c r="S213" s="36" t="s">
        <v>424</v>
      </c>
    </row>
    <row r="214" spans="1:19" hidden="1" outlineLevel="1" x14ac:dyDescent="0.2">
      <c r="A214" s="129"/>
      <c r="B214" s="291">
        <f>IF(E214&lt;&gt;"",MATCH(E214,EPISource,0)-1,0)</f>
        <v>0</v>
      </c>
      <c r="C214" s="291">
        <f ca="1">IF(G214&lt;&gt;"",MATCH(G214,OFFSET(References!$AE$7,0,B214,PxPopMaxCount),0),0)</f>
        <v>0</v>
      </c>
      <c r="D214" s="423" t="s">
        <v>113</v>
      </c>
      <c r="E214" s="438"/>
      <c r="F214" s="436"/>
      <c r="G214" s="812"/>
      <c r="H214" s="813"/>
      <c r="I214" s="813"/>
      <c r="J214" s="813"/>
      <c r="K214" s="435"/>
      <c r="L214" s="162"/>
      <c r="M214" s="162"/>
      <c r="N214" s="162"/>
      <c r="O214" s="162"/>
      <c r="P214" s="162"/>
      <c r="Q214" s="162"/>
      <c r="R214" s="129"/>
      <c r="S214" s="439"/>
    </row>
    <row r="215" spans="1:19" hidden="1" outlineLevel="1" x14ac:dyDescent="0.2">
      <c r="A215" s="129"/>
      <c r="B215" s="291">
        <f>INDEX(PxPopValid,,B214+1)</f>
        <v>0</v>
      </c>
      <c r="C215" s="291">
        <f ca="1">(B214*PxPopMaxCount)+C214</f>
        <v>0</v>
      </c>
      <c r="D215" s="616"/>
      <c r="E215" s="650">
        <v>1</v>
      </c>
      <c r="F215" s="650">
        <v>2</v>
      </c>
      <c r="G215" s="650">
        <v>3</v>
      </c>
      <c r="H215" s="650">
        <v>4</v>
      </c>
      <c r="I215" s="650">
        <v>5</v>
      </c>
      <c r="J215" s="650">
        <v>6</v>
      </c>
      <c r="K215" s="435"/>
      <c r="L215" s="162"/>
      <c r="M215" s="162"/>
      <c r="N215" s="162"/>
      <c r="O215" s="162"/>
      <c r="P215" s="162"/>
      <c r="Q215" s="162"/>
      <c r="R215" s="129"/>
      <c r="S215" s="162"/>
    </row>
    <row r="216" spans="1:19" ht="15" hidden="1" customHeight="1" outlineLevel="1" x14ac:dyDescent="0.2">
      <c r="A216" s="129"/>
      <c r="B216" s="129"/>
      <c r="C216" s="129"/>
      <c r="D216" s="616"/>
      <c r="E216" s="814" t="s">
        <v>10</v>
      </c>
      <c r="F216" s="814"/>
      <c r="G216" s="814"/>
      <c r="H216" s="814"/>
      <c r="I216" s="814"/>
      <c r="J216" s="814"/>
      <c r="K216" s="435"/>
      <c r="L216" s="162"/>
      <c r="M216" s="162"/>
      <c r="N216" s="162"/>
      <c r="O216" s="162"/>
      <c r="P216" s="162"/>
      <c r="Q216" s="162"/>
      <c r="R216" s="129"/>
      <c r="S216" s="636" t="str">
        <f ca="1">IF(ISERROR($C215)=TRUE,MsgError &amp; VLOOKUP("BadPop",ErrorMessages,2,FALSE),IF(RIGHT(G214,12)="(Prevalence)",MsgError &amp; VLOOKUP("BadPrevPop",ErrorMessages,2,FALSE),""))</f>
        <v/>
      </c>
    </row>
    <row r="217" spans="1:19" hidden="1" outlineLevel="1" x14ac:dyDescent="0.2">
      <c r="A217" s="129"/>
      <c r="B217" s="129"/>
      <c r="C217" s="129"/>
      <c r="D217" s="643"/>
      <c r="E217" s="431">
        <f>FirstYear</f>
        <v>2021</v>
      </c>
      <c r="F217" s="431">
        <f>E217+1</f>
        <v>2022</v>
      </c>
      <c r="G217" s="431">
        <f>F217+1</f>
        <v>2023</v>
      </c>
      <c r="H217" s="431">
        <f>G217+1</f>
        <v>2024</v>
      </c>
      <c r="I217" s="431">
        <f>H217+1</f>
        <v>2025</v>
      </c>
      <c r="J217" s="431">
        <f>I217+1</f>
        <v>2026</v>
      </c>
      <c r="K217" s="435"/>
      <c r="L217" s="162"/>
      <c r="M217" s="162"/>
      <c r="N217" s="162"/>
      <c r="O217" s="162"/>
      <c r="P217" s="162"/>
      <c r="Q217" s="162"/>
      <c r="R217" s="129"/>
      <c r="S217" s="162"/>
    </row>
    <row r="218" spans="1:19" ht="12.75" hidden="1" customHeight="1" outlineLevel="1" x14ac:dyDescent="0.2">
      <c r="A218" s="162"/>
      <c r="B218" s="162"/>
      <c r="C218" s="162"/>
      <c r="D218" s="721" t="s">
        <v>342</v>
      </c>
      <c r="E218" s="437">
        <f t="shared" ref="E218:J218" ca="1" si="32">IF(AND(ISERROR($C215)&lt;&gt;TRUE,$G214&lt;&gt;""),INDEX(PxPopNumbers,$C215,E215),0)</f>
        <v>0</v>
      </c>
      <c r="F218" s="437">
        <f t="shared" ca="1" si="32"/>
        <v>0</v>
      </c>
      <c r="G218" s="437">
        <f t="shared" ca="1" si="32"/>
        <v>0</v>
      </c>
      <c r="H218" s="437">
        <f t="shared" ca="1" si="32"/>
        <v>0</v>
      </c>
      <c r="I218" s="437">
        <f t="shared" ca="1" si="32"/>
        <v>0</v>
      </c>
      <c r="J218" s="437">
        <f t="shared" ca="1" si="32"/>
        <v>0</v>
      </c>
      <c r="K218" s="435"/>
      <c r="L218" s="162"/>
      <c r="M218" s="162"/>
      <c r="N218" s="162"/>
      <c r="O218" s="162"/>
      <c r="P218" s="162"/>
      <c r="Q218" s="162"/>
      <c r="R218" s="616"/>
      <c r="S218" s="162"/>
    </row>
    <row r="219" spans="1:19" ht="12.75" hidden="1" customHeight="1" outlineLevel="1" x14ac:dyDescent="0.2">
      <c r="A219" s="162"/>
      <c r="B219" s="162"/>
      <c r="C219" s="162"/>
      <c r="D219" s="162"/>
      <c r="E219" s="435"/>
      <c r="F219" s="435"/>
      <c r="G219" s="435"/>
      <c r="H219" s="435"/>
      <c r="I219" s="435"/>
      <c r="J219" s="435"/>
      <c r="K219" s="435"/>
      <c r="L219" s="162"/>
      <c r="M219" s="162"/>
      <c r="N219" s="162"/>
      <c r="O219" s="162"/>
      <c r="P219" s="162"/>
      <c r="Q219" s="162"/>
      <c r="R219" s="162"/>
      <c r="S219" s="162"/>
    </row>
    <row r="220" spans="1:19" ht="12.75" hidden="1" customHeight="1" outlineLevel="1" x14ac:dyDescent="0.2">
      <c r="A220" s="162"/>
      <c r="B220" s="162"/>
      <c r="C220" s="162"/>
      <c r="D220" s="720" t="s">
        <v>205</v>
      </c>
      <c r="E220" s="435"/>
      <c r="F220" s="435"/>
      <c r="G220" s="435"/>
      <c r="H220" s="435"/>
      <c r="I220" s="435"/>
      <c r="J220" s="435"/>
      <c r="K220" s="435"/>
      <c r="L220" s="162"/>
      <c r="M220" s="162"/>
      <c r="N220" s="162"/>
      <c r="O220" s="162"/>
      <c r="P220" s="162"/>
      <c r="Q220" s="162"/>
      <c r="R220" s="162"/>
      <c r="S220" s="36" t="s">
        <v>258</v>
      </c>
    </row>
    <row r="221" spans="1:19" hidden="1" outlineLevel="1" x14ac:dyDescent="0.2">
      <c r="A221" s="162"/>
      <c r="B221" s="162"/>
      <c r="C221" s="162"/>
      <c r="D221" s="432"/>
      <c r="E221" s="443"/>
      <c r="F221" s="443"/>
      <c r="G221" s="443"/>
      <c r="H221" s="443"/>
      <c r="I221" s="443"/>
      <c r="J221" s="443"/>
      <c r="K221" s="435"/>
      <c r="L221" s="425">
        <f t="shared" ref="L221:L229" si="33">IF(E221="",1,E221)</f>
        <v>1</v>
      </c>
      <c r="M221" s="425">
        <f t="shared" ref="M221:M230" si="34">IF(F221="",1,F221)</f>
        <v>1</v>
      </c>
      <c r="N221" s="425">
        <f t="shared" ref="N221:N230" si="35">IF(G221="",1,G221)</f>
        <v>1</v>
      </c>
      <c r="O221" s="425">
        <f t="shared" ref="O221:O230" si="36">IF(H221="",1,H221)</f>
        <v>1</v>
      </c>
      <c r="P221" s="425">
        <f t="shared" ref="P221:P230" si="37">IF(I221="",1,I221)</f>
        <v>1</v>
      </c>
      <c r="Q221" s="425">
        <f t="shared" ref="Q221:Q230" si="38">IF(J221="",1,J221)</f>
        <v>1</v>
      </c>
      <c r="R221" s="162"/>
      <c r="S221" s="432"/>
    </row>
    <row r="222" spans="1:19" hidden="1" outlineLevel="1" x14ac:dyDescent="0.2">
      <c r="A222" s="162"/>
      <c r="B222" s="162"/>
      <c r="C222" s="162"/>
      <c r="D222" s="432"/>
      <c r="E222" s="443"/>
      <c r="F222" s="443"/>
      <c r="G222" s="443"/>
      <c r="H222" s="443"/>
      <c r="I222" s="443"/>
      <c r="J222" s="443"/>
      <c r="K222" s="435"/>
      <c r="L222" s="425">
        <f t="shared" si="33"/>
        <v>1</v>
      </c>
      <c r="M222" s="425">
        <f t="shared" si="34"/>
        <v>1</v>
      </c>
      <c r="N222" s="425">
        <f t="shared" si="35"/>
        <v>1</v>
      </c>
      <c r="O222" s="425">
        <f t="shared" si="36"/>
        <v>1</v>
      </c>
      <c r="P222" s="425">
        <f t="shared" si="37"/>
        <v>1</v>
      </c>
      <c r="Q222" s="425">
        <f t="shared" si="38"/>
        <v>1</v>
      </c>
      <c r="R222" s="162"/>
      <c r="S222" s="432"/>
    </row>
    <row r="223" spans="1:19" hidden="1" outlineLevel="1" x14ac:dyDescent="0.2">
      <c r="A223" s="162"/>
      <c r="B223" s="162"/>
      <c r="C223" s="162"/>
      <c r="D223" s="432"/>
      <c r="E223" s="443"/>
      <c r="F223" s="443"/>
      <c r="G223" s="443"/>
      <c r="H223" s="443"/>
      <c r="I223" s="443"/>
      <c r="J223" s="443"/>
      <c r="K223" s="435"/>
      <c r="L223" s="425">
        <f t="shared" si="33"/>
        <v>1</v>
      </c>
      <c r="M223" s="425">
        <f t="shared" si="34"/>
        <v>1</v>
      </c>
      <c r="N223" s="425">
        <f t="shared" si="35"/>
        <v>1</v>
      </c>
      <c r="O223" s="425">
        <f t="shared" si="36"/>
        <v>1</v>
      </c>
      <c r="P223" s="425">
        <f t="shared" si="37"/>
        <v>1</v>
      </c>
      <c r="Q223" s="425">
        <f t="shared" si="38"/>
        <v>1</v>
      </c>
      <c r="R223" s="162"/>
      <c r="S223" s="432"/>
    </row>
    <row r="224" spans="1:19" hidden="1" outlineLevel="1" x14ac:dyDescent="0.2">
      <c r="A224" s="162"/>
      <c r="B224" s="162"/>
      <c r="C224" s="162"/>
      <c r="D224" s="432"/>
      <c r="E224" s="443"/>
      <c r="F224" s="443"/>
      <c r="G224" s="443"/>
      <c r="H224" s="443"/>
      <c r="I224" s="443"/>
      <c r="J224" s="443"/>
      <c r="K224" s="435"/>
      <c r="L224" s="425">
        <f t="shared" si="33"/>
        <v>1</v>
      </c>
      <c r="M224" s="425">
        <f t="shared" si="34"/>
        <v>1</v>
      </c>
      <c r="N224" s="425">
        <f t="shared" si="35"/>
        <v>1</v>
      </c>
      <c r="O224" s="425">
        <f t="shared" si="36"/>
        <v>1</v>
      </c>
      <c r="P224" s="425">
        <f t="shared" si="37"/>
        <v>1</v>
      </c>
      <c r="Q224" s="425">
        <f t="shared" si="38"/>
        <v>1</v>
      </c>
      <c r="R224" s="162"/>
      <c r="S224" s="432"/>
    </row>
    <row r="225" spans="1:19" hidden="1" outlineLevel="1" x14ac:dyDescent="0.2">
      <c r="A225" s="162"/>
      <c r="B225" s="162"/>
      <c r="C225" s="162"/>
      <c r="D225" s="432"/>
      <c r="E225" s="443"/>
      <c r="F225" s="443"/>
      <c r="G225" s="443"/>
      <c r="H225" s="443"/>
      <c r="I225" s="443"/>
      <c r="J225" s="443"/>
      <c r="K225" s="435"/>
      <c r="L225" s="425">
        <f t="shared" si="33"/>
        <v>1</v>
      </c>
      <c r="M225" s="425">
        <f t="shared" si="34"/>
        <v>1</v>
      </c>
      <c r="N225" s="425">
        <f t="shared" si="35"/>
        <v>1</v>
      </c>
      <c r="O225" s="425">
        <f t="shared" si="36"/>
        <v>1</v>
      </c>
      <c r="P225" s="425">
        <f t="shared" si="37"/>
        <v>1</v>
      </c>
      <c r="Q225" s="425">
        <f t="shared" si="38"/>
        <v>1</v>
      </c>
      <c r="R225" s="162"/>
      <c r="S225" s="432"/>
    </row>
    <row r="226" spans="1:19" hidden="1" outlineLevel="1" x14ac:dyDescent="0.2">
      <c r="A226" s="162"/>
      <c r="B226" s="162"/>
      <c r="C226" s="162"/>
      <c r="D226" s="432"/>
      <c r="E226" s="443"/>
      <c r="F226" s="443"/>
      <c r="G226" s="443"/>
      <c r="H226" s="443"/>
      <c r="I226" s="443"/>
      <c r="J226" s="443"/>
      <c r="K226" s="435"/>
      <c r="L226" s="425">
        <f t="shared" si="33"/>
        <v>1</v>
      </c>
      <c r="M226" s="425">
        <f t="shared" si="34"/>
        <v>1</v>
      </c>
      <c r="N226" s="425">
        <f t="shared" si="35"/>
        <v>1</v>
      </c>
      <c r="O226" s="425">
        <f t="shared" si="36"/>
        <v>1</v>
      </c>
      <c r="P226" s="425">
        <f t="shared" si="37"/>
        <v>1</v>
      </c>
      <c r="Q226" s="425">
        <f t="shared" si="38"/>
        <v>1</v>
      </c>
      <c r="R226" s="162"/>
      <c r="S226" s="432"/>
    </row>
    <row r="227" spans="1:19" hidden="1" outlineLevel="1" x14ac:dyDescent="0.2">
      <c r="A227" s="162"/>
      <c r="B227" s="162"/>
      <c r="C227" s="162"/>
      <c r="D227" s="432"/>
      <c r="E227" s="443"/>
      <c r="F227" s="443"/>
      <c r="G227" s="443"/>
      <c r="H227" s="443"/>
      <c r="I227" s="443"/>
      <c r="J227" s="443"/>
      <c r="K227" s="435"/>
      <c r="L227" s="425">
        <f t="shared" si="33"/>
        <v>1</v>
      </c>
      <c r="M227" s="425">
        <f t="shared" si="34"/>
        <v>1</v>
      </c>
      <c r="N227" s="425">
        <f t="shared" si="35"/>
        <v>1</v>
      </c>
      <c r="O227" s="425">
        <f t="shared" si="36"/>
        <v>1</v>
      </c>
      <c r="P227" s="425">
        <f t="shared" si="37"/>
        <v>1</v>
      </c>
      <c r="Q227" s="425">
        <f t="shared" si="38"/>
        <v>1</v>
      </c>
      <c r="R227" s="162"/>
      <c r="S227" s="432"/>
    </row>
    <row r="228" spans="1:19" hidden="1" outlineLevel="1" x14ac:dyDescent="0.2">
      <c r="A228" s="162"/>
      <c r="B228" s="162"/>
      <c r="C228" s="162"/>
      <c r="D228" s="432"/>
      <c r="E228" s="443"/>
      <c r="F228" s="443"/>
      <c r="G228" s="443"/>
      <c r="H228" s="443"/>
      <c r="I228" s="443"/>
      <c r="J228" s="443"/>
      <c r="K228" s="435"/>
      <c r="L228" s="425">
        <f t="shared" si="33"/>
        <v>1</v>
      </c>
      <c r="M228" s="425">
        <f t="shared" si="34"/>
        <v>1</v>
      </c>
      <c r="N228" s="425">
        <f t="shared" si="35"/>
        <v>1</v>
      </c>
      <c r="O228" s="425">
        <f t="shared" si="36"/>
        <v>1</v>
      </c>
      <c r="P228" s="425">
        <f t="shared" si="37"/>
        <v>1</v>
      </c>
      <c r="Q228" s="425">
        <f t="shared" si="38"/>
        <v>1</v>
      </c>
      <c r="R228" s="162"/>
      <c r="S228" s="432"/>
    </row>
    <row r="229" spans="1:19" hidden="1" outlineLevel="1" x14ac:dyDescent="0.2">
      <c r="A229" s="162"/>
      <c r="B229" s="162"/>
      <c r="C229" s="162"/>
      <c r="D229" s="432"/>
      <c r="E229" s="443"/>
      <c r="F229" s="443"/>
      <c r="G229" s="443"/>
      <c r="H229" s="443"/>
      <c r="I229" s="443"/>
      <c r="J229" s="443"/>
      <c r="K229" s="435"/>
      <c r="L229" s="425">
        <f t="shared" si="33"/>
        <v>1</v>
      </c>
      <c r="M229" s="425">
        <f t="shared" si="34"/>
        <v>1</v>
      </c>
      <c r="N229" s="425">
        <f t="shared" si="35"/>
        <v>1</v>
      </c>
      <c r="O229" s="425">
        <f t="shared" si="36"/>
        <v>1</v>
      </c>
      <c r="P229" s="425">
        <f t="shared" si="37"/>
        <v>1</v>
      </c>
      <c r="Q229" s="425">
        <f t="shared" si="38"/>
        <v>1</v>
      </c>
      <c r="R229" s="162"/>
      <c r="S229" s="432"/>
    </row>
    <row r="230" spans="1:19" hidden="1" outlineLevel="1" x14ac:dyDescent="0.2">
      <c r="A230" s="162"/>
      <c r="B230" s="162"/>
      <c r="C230" s="162"/>
      <c r="D230" s="432"/>
      <c r="E230" s="443"/>
      <c r="F230" s="443"/>
      <c r="G230" s="443"/>
      <c r="H230" s="443"/>
      <c r="I230" s="443"/>
      <c r="J230" s="443"/>
      <c r="K230" s="435"/>
      <c r="L230" s="425">
        <f>IF(E230="",1,E230)</f>
        <v>1</v>
      </c>
      <c r="M230" s="425">
        <f t="shared" si="34"/>
        <v>1</v>
      </c>
      <c r="N230" s="425">
        <f t="shared" si="35"/>
        <v>1</v>
      </c>
      <c r="O230" s="425">
        <f t="shared" si="36"/>
        <v>1</v>
      </c>
      <c r="P230" s="425">
        <f t="shared" si="37"/>
        <v>1</v>
      </c>
      <c r="Q230" s="425">
        <f t="shared" si="38"/>
        <v>1</v>
      </c>
      <c r="R230" s="162"/>
      <c r="S230" s="432"/>
    </row>
    <row r="231" spans="1:19" hidden="1" outlineLevel="1" x14ac:dyDescent="0.2">
      <c r="A231" s="162"/>
      <c r="B231" s="162"/>
      <c r="C231" s="162"/>
      <c r="D231" s="424" t="s">
        <v>213</v>
      </c>
      <c r="E231" s="444">
        <f t="shared" ref="E231:J231" si="39">L221*L222*L223*L224*L230*L225*L226*L227*L228*L229</f>
        <v>1</v>
      </c>
      <c r="F231" s="444">
        <f t="shared" si="39"/>
        <v>1</v>
      </c>
      <c r="G231" s="444">
        <f t="shared" si="39"/>
        <v>1</v>
      </c>
      <c r="H231" s="444">
        <f t="shared" si="39"/>
        <v>1</v>
      </c>
      <c r="I231" s="444">
        <f t="shared" si="39"/>
        <v>1</v>
      </c>
      <c r="J231" s="444">
        <f t="shared" si="39"/>
        <v>1</v>
      </c>
      <c r="K231" s="162"/>
      <c r="L231" s="162"/>
      <c r="M231" s="162"/>
      <c r="N231" s="638"/>
      <c r="O231" s="162"/>
      <c r="P231" s="162"/>
      <c r="Q231" s="162"/>
      <c r="R231" s="162"/>
      <c r="S231" s="162"/>
    </row>
    <row r="232" spans="1:19" hidden="1" outlineLevel="1" x14ac:dyDescent="0.2">
      <c r="A232" s="638"/>
      <c r="B232" s="638"/>
      <c r="C232" s="638"/>
      <c r="D232" s="419" t="s">
        <v>90</v>
      </c>
      <c r="E232" s="440">
        <f t="shared" ref="E232:J232" ca="1" si="40">IF(ISNUMBER(E218),E218*E231,"")</f>
        <v>0</v>
      </c>
      <c r="F232" s="440">
        <f t="shared" ca="1" si="40"/>
        <v>0</v>
      </c>
      <c r="G232" s="440">
        <f t="shared" ca="1" si="40"/>
        <v>0</v>
      </c>
      <c r="H232" s="440">
        <f t="shared" ca="1" si="40"/>
        <v>0</v>
      </c>
      <c r="I232" s="440">
        <f t="shared" ca="1" si="40"/>
        <v>0</v>
      </c>
      <c r="J232" s="440">
        <f t="shared" ca="1" si="40"/>
        <v>0</v>
      </c>
      <c r="K232" s="162"/>
      <c r="L232" s="638"/>
      <c r="M232" s="162"/>
      <c r="N232" s="162"/>
      <c r="O232" s="162"/>
      <c r="P232" s="162"/>
      <c r="Q232" s="162"/>
      <c r="R232" s="162"/>
      <c r="S232" s="162"/>
    </row>
    <row r="233" spans="1:19" hidden="1" outlineLevel="1" x14ac:dyDescent="0.2">
      <c r="A233" s="162"/>
      <c r="B233" s="162"/>
      <c r="C233" s="162"/>
      <c r="D233" s="435"/>
      <c r="E233" s="125"/>
      <c r="F233" s="125"/>
      <c r="G233" s="125"/>
      <c r="H233" s="125"/>
      <c r="I233" s="125"/>
      <c r="J233" s="125"/>
      <c r="K233" s="162"/>
      <c r="L233" s="162"/>
      <c r="M233" s="162"/>
      <c r="N233" s="162"/>
      <c r="O233" s="162"/>
      <c r="P233" s="641"/>
      <c r="Q233" s="641"/>
      <c r="R233" s="162"/>
      <c r="S233" s="125"/>
    </row>
    <row r="234" spans="1:19" hidden="1" outlineLevel="1" x14ac:dyDescent="0.2">
      <c r="A234" s="162"/>
      <c r="B234" s="162"/>
      <c r="C234" s="162"/>
      <c r="D234" s="429" t="str">
        <f>TxPhase1Tx</f>
        <v/>
      </c>
      <c r="E234" s="495"/>
      <c r="F234" s="125"/>
      <c r="G234" s="125"/>
      <c r="H234" s="125"/>
      <c r="I234" s="125"/>
      <c r="J234" s="125"/>
      <c r="K234" s="615"/>
      <c r="L234" s="615"/>
      <c r="M234" s="615"/>
      <c r="N234" s="615"/>
      <c r="O234" s="641"/>
      <c r="P234" s="641"/>
      <c r="Q234" s="641"/>
      <c r="R234" s="162"/>
      <c r="S234" s="36" t="s">
        <v>258</v>
      </c>
    </row>
    <row r="235" spans="1:19" hidden="1" outlineLevel="1" x14ac:dyDescent="0.2">
      <c r="A235" s="162"/>
      <c r="B235" s="162"/>
      <c r="C235" s="162"/>
      <c r="D235" s="429" t="s">
        <v>91</v>
      </c>
      <c r="E235" s="428"/>
      <c r="F235" s="428"/>
      <c r="G235" s="428"/>
      <c r="H235" s="428"/>
      <c r="I235" s="428"/>
      <c r="J235" s="428"/>
      <c r="K235" s="615"/>
      <c r="L235" s="615"/>
      <c r="M235" s="615"/>
      <c r="N235" s="615"/>
      <c r="O235" s="162"/>
      <c r="P235" s="641"/>
      <c r="Q235" s="641"/>
      <c r="R235" s="162"/>
      <c r="S235" s="426"/>
    </row>
    <row r="236" spans="1:19" hidden="1" outlineLevel="1" x14ac:dyDescent="0.2">
      <c r="A236" s="162"/>
      <c r="B236" s="162"/>
      <c r="C236" s="162"/>
      <c r="D236" s="435"/>
      <c r="E236" s="125"/>
      <c r="F236" s="125"/>
      <c r="G236" s="125"/>
      <c r="H236" s="125"/>
      <c r="I236" s="125"/>
      <c r="J236" s="125"/>
      <c r="K236" s="615"/>
      <c r="L236" s="615"/>
      <c r="M236" s="615"/>
      <c r="N236" s="615"/>
      <c r="O236" s="162"/>
      <c r="P236" s="641"/>
      <c r="Q236" s="641"/>
      <c r="R236" s="162"/>
      <c r="S236" s="125"/>
    </row>
    <row r="237" spans="1:19" hidden="1" outlineLevel="1" x14ac:dyDescent="0.2">
      <c r="A237" s="162"/>
      <c r="B237" s="162"/>
      <c r="C237" s="162"/>
      <c r="D237" s="433" t="str">
        <f>TXPhase2Tx</f>
        <v/>
      </c>
      <c r="E237" s="495"/>
      <c r="F237" s="125"/>
      <c r="G237" s="125"/>
      <c r="H237" s="125"/>
      <c r="I237" s="125"/>
      <c r="J237" s="125"/>
      <c r="K237" s="615"/>
      <c r="L237" s="615"/>
      <c r="M237" s="615"/>
      <c r="N237" s="615"/>
      <c r="O237" s="162"/>
      <c r="P237" s="641"/>
      <c r="Q237" s="641"/>
      <c r="R237" s="162"/>
      <c r="S237" s="36" t="s">
        <v>258</v>
      </c>
    </row>
    <row r="238" spans="1:19" hidden="1" outlineLevel="1" x14ac:dyDescent="0.2">
      <c r="A238" s="162"/>
      <c r="B238" s="162"/>
      <c r="C238" s="162"/>
      <c r="D238" s="433" t="str">
        <f>IF(D237&lt;&gt;"","Patients electing treatment (%)","")</f>
        <v/>
      </c>
      <c r="E238" s="428"/>
      <c r="F238" s="428"/>
      <c r="G238" s="428"/>
      <c r="H238" s="428"/>
      <c r="I238" s="428"/>
      <c r="J238" s="428"/>
      <c r="K238" s="615"/>
      <c r="L238" s="615"/>
      <c r="M238" s="615"/>
      <c r="N238" s="615"/>
      <c r="O238" s="162"/>
      <c r="P238" s="641"/>
      <c r="Q238" s="641"/>
      <c r="R238" s="162"/>
      <c r="S238" s="426"/>
    </row>
    <row r="239" spans="1:19" hidden="1" outlineLevel="1" x14ac:dyDescent="0.2">
      <c r="A239" s="162"/>
      <c r="B239" s="162"/>
      <c r="C239" s="162"/>
      <c r="D239" s="435"/>
      <c r="E239" s="435"/>
      <c r="F239" s="435"/>
      <c r="G239" s="435"/>
      <c r="H239" s="435"/>
      <c r="I239" s="435"/>
      <c r="J239" s="435"/>
      <c r="K239" s="615"/>
      <c r="L239" s="615"/>
      <c r="M239" s="615"/>
      <c r="N239" s="615"/>
      <c r="O239" s="641"/>
      <c r="P239" s="641"/>
      <c r="Q239" s="641"/>
      <c r="R239" s="162"/>
      <c r="S239" s="125"/>
    </row>
    <row r="240" spans="1:19" s="416" customFormat="1" hidden="1" outlineLevel="1" x14ac:dyDescent="0.2">
      <c r="A240" s="162"/>
      <c r="B240" s="162"/>
      <c r="C240" s="475">
        <f>IFERROR(VLOOKUP(E240,TxPhase2SourceCode,2,FALSE),0)</f>
        <v>1</v>
      </c>
      <c r="D240" s="429" t="s">
        <v>1165</v>
      </c>
      <c r="E240" s="263" t="s">
        <v>1166</v>
      </c>
      <c r="F240" s="435"/>
      <c r="G240" s="435"/>
      <c r="H240" s="435"/>
      <c r="I240" s="435"/>
      <c r="J240" s="435"/>
      <c r="K240" s="615"/>
      <c r="L240" s="615"/>
      <c r="M240" s="615"/>
      <c r="N240" s="615"/>
      <c r="O240" s="641"/>
      <c r="P240" s="641"/>
      <c r="Q240" s="641"/>
      <c r="R240" s="162"/>
      <c r="S240" s="125"/>
    </row>
    <row r="241" spans="1:19" s="416" customFormat="1" hidden="1" outlineLevel="1" x14ac:dyDescent="0.2">
      <c r="A241" s="162"/>
      <c r="B241" s="162"/>
      <c r="C241" s="162"/>
      <c r="D241" s="435"/>
      <c r="E241" s="435"/>
      <c r="F241" s="435"/>
      <c r="G241" s="435"/>
      <c r="H241" s="435"/>
      <c r="I241" s="435"/>
      <c r="J241" s="435"/>
      <c r="K241" s="615"/>
      <c r="L241" s="615"/>
      <c r="M241" s="615"/>
      <c r="N241" s="615"/>
      <c r="O241" s="641"/>
      <c r="P241" s="641"/>
      <c r="Q241" s="641"/>
      <c r="R241" s="162"/>
      <c r="S241" s="125"/>
    </row>
    <row r="242" spans="1:19" hidden="1" outlineLevel="1" x14ac:dyDescent="0.2">
      <c r="A242" s="162"/>
      <c r="B242" s="162"/>
      <c r="C242" s="162"/>
      <c r="D242" s="429" t="str">
        <f>TxPhase1Px</f>
        <v/>
      </c>
      <c r="E242" s="440">
        <f t="shared" ref="E242:J242" si="41">IF(TxPhase1&lt;&gt;"",E232*E235,0)</f>
        <v>0</v>
      </c>
      <c r="F242" s="440">
        <f t="shared" si="41"/>
        <v>0</v>
      </c>
      <c r="G242" s="440">
        <f t="shared" si="41"/>
        <v>0</v>
      </c>
      <c r="H242" s="440">
        <f t="shared" si="41"/>
        <v>0</v>
      </c>
      <c r="I242" s="440">
        <f t="shared" si="41"/>
        <v>0</v>
      </c>
      <c r="J242" s="440">
        <f t="shared" si="41"/>
        <v>0</v>
      </c>
      <c r="K242" s="615"/>
      <c r="L242" s="615"/>
      <c r="M242" s="615"/>
      <c r="N242" s="615"/>
      <c r="O242" s="641"/>
      <c r="P242" s="641"/>
      <c r="Q242" s="641"/>
      <c r="R242" s="162"/>
      <c r="S242" s="162"/>
    </row>
    <row r="243" spans="1:19" hidden="1" outlineLevel="1" x14ac:dyDescent="0.2">
      <c r="A243" s="162"/>
      <c r="B243" s="162"/>
      <c r="C243" s="162"/>
      <c r="D243" s="429" t="str">
        <f>TxPhase2Px</f>
        <v/>
      </c>
      <c r="E243" s="440">
        <f t="shared" ref="E243:J243" si="42">IF(TxPhase2&lt;&gt;"",IF($C240=1,E242,IF($C240=2,E232,0))*E238,0)</f>
        <v>0</v>
      </c>
      <c r="F243" s="440">
        <f t="shared" si="42"/>
        <v>0</v>
      </c>
      <c r="G243" s="440">
        <f t="shared" si="42"/>
        <v>0</v>
      </c>
      <c r="H243" s="440">
        <f t="shared" si="42"/>
        <v>0</v>
      </c>
      <c r="I243" s="440">
        <f t="shared" si="42"/>
        <v>0</v>
      </c>
      <c r="J243" s="440">
        <f t="shared" si="42"/>
        <v>0</v>
      </c>
      <c r="K243" s="615"/>
      <c r="L243" s="615"/>
      <c r="M243" s="615"/>
      <c r="N243" s="615"/>
      <c r="O243" s="162"/>
      <c r="P243" s="641"/>
      <c r="Q243" s="641"/>
      <c r="R243" s="162"/>
      <c r="S243" s="162"/>
    </row>
    <row r="244" spans="1:19" s="416" customFormat="1" hidden="1" outlineLevel="1" x14ac:dyDescent="0.2">
      <c r="A244" s="162"/>
      <c r="B244" s="162"/>
      <c r="C244" s="162"/>
      <c r="D244" s="417"/>
      <c r="E244" s="417"/>
      <c r="F244" s="162"/>
      <c r="G244" s="162"/>
      <c r="H244" s="162"/>
      <c r="I244" s="162"/>
      <c r="J244" s="162"/>
      <c r="K244" s="162"/>
      <c r="L244" s="162"/>
      <c r="M244" s="162"/>
      <c r="N244" s="638"/>
      <c r="O244" s="162"/>
      <c r="P244" s="641"/>
      <c r="Q244" s="641"/>
      <c r="R244" s="162"/>
      <c r="S244" s="162"/>
    </row>
    <row r="245" spans="1:19" s="416" customFormat="1" hidden="1" outlineLevel="1" x14ac:dyDescent="0.2">
      <c r="A245" s="162"/>
      <c r="B245" s="162"/>
      <c r="C245" s="291" t="str">
        <f>IF(E245&lt;&gt;"",E245,"")</f>
        <v/>
      </c>
      <c r="D245" s="89" t="s">
        <v>756</v>
      </c>
      <c r="E245" s="263"/>
      <c r="F245" s="162"/>
      <c r="G245" s="162"/>
      <c r="H245" s="162"/>
      <c r="I245" s="162"/>
      <c r="J245" s="162"/>
      <c r="K245" s="162"/>
      <c r="L245" s="162"/>
      <c r="M245" s="162"/>
      <c r="N245" s="638"/>
      <c r="O245" s="162"/>
      <c r="P245" s="641"/>
      <c r="Q245" s="641"/>
      <c r="R245" s="162"/>
      <c r="S245" s="162"/>
    </row>
    <row r="246" spans="1:19" hidden="1" outlineLevel="1" x14ac:dyDescent="0.2">
      <c r="A246" s="615"/>
      <c r="B246" s="615"/>
      <c r="C246" s="615"/>
      <c r="D246" s="162"/>
      <c r="E246" s="162"/>
      <c r="F246" s="615"/>
      <c r="G246" s="615"/>
      <c r="H246" s="615"/>
      <c r="I246" s="615"/>
      <c r="J246" s="615"/>
      <c r="K246" s="615"/>
      <c r="L246" s="615"/>
      <c r="M246" s="615"/>
      <c r="N246" s="615"/>
      <c r="O246" s="615"/>
      <c r="P246" s="615"/>
      <c r="Q246" s="615"/>
      <c r="R246" s="615"/>
      <c r="S246" s="162"/>
    </row>
    <row r="247" spans="1:19" collapsed="1" x14ac:dyDescent="0.2">
      <c r="A247" s="162"/>
      <c r="B247" s="162"/>
      <c r="C247" s="162"/>
      <c r="D247" s="162"/>
      <c r="E247" s="162"/>
      <c r="F247" s="162"/>
      <c r="G247" s="162"/>
      <c r="H247" s="162"/>
      <c r="I247" s="162"/>
      <c r="J247" s="162"/>
      <c r="K247" s="162"/>
      <c r="L247" s="162"/>
      <c r="M247" s="162"/>
      <c r="N247" s="162"/>
      <c r="O247" s="162"/>
      <c r="P247" s="162"/>
      <c r="Q247" s="162"/>
      <c r="R247" s="162"/>
      <c r="S247" s="162"/>
    </row>
    <row r="248" spans="1:19" ht="15.75" x14ac:dyDescent="0.2">
      <c r="A248" s="162"/>
      <c r="B248" s="162"/>
      <c r="C248" s="573">
        <v>7</v>
      </c>
      <c r="D248" s="79" t="str">
        <f>IF(E252&lt;&gt;"",CONCATENATE("Incident ",C248,": ",G252,L248),MsgNotUsed)</f>
        <v>** NOT USED **</v>
      </c>
      <c r="E248" s="132"/>
      <c r="F248" s="132"/>
      <c r="G248" s="132"/>
      <c r="H248" s="132"/>
      <c r="I248" s="134"/>
      <c r="J248" s="134"/>
      <c r="K248" s="325"/>
      <c r="L248" s="325" t="str">
        <f>IF(S252&lt;&gt;"",CONCATENATE(" (",S252,")"),"")</f>
        <v/>
      </c>
      <c r="M248" s="325"/>
      <c r="N248" s="325"/>
      <c r="O248" s="325"/>
      <c r="P248" s="325"/>
      <c r="Q248" s="325"/>
      <c r="R248" s="133"/>
      <c r="S248" s="133"/>
    </row>
    <row r="249" spans="1:19" hidden="1" outlineLevel="1" x14ac:dyDescent="0.2">
      <c r="A249" s="129"/>
      <c r="B249" s="129"/>
      <c r="C249" s="129"/>
      <c r="D249" s="616"/>
      <c r="E249" s="129"/>
      <c r="F249" s="129"/>
      <c r="G249" s="129"/>
      <c r="H249" s="129"/>
      <c r="I249" s="129"/>
      <c r="J249" s="129"/>
      <c r="K249" s="129"/>
      <c r="L249" s="129"/>
      <c r="M249" s="129"/>
      <c r="N249" s="129"/>
      <c r="O249" s="129"/>
      <c r="P249" s="129"/>
      <c r="Q249" s="129"/>
      <c r="R249" s="129"/>
      <c r="S249" s="129"/>
    </row>
    <row r="250" spans="1:19" hidden="1" outlineLevel="1" x14ac:dyDescent="0.2">
      <c r="A250" s="129"/>
      <c r="B250" s="129"/>
      <c r="C250" s="129"/>
      <c r="D250" s="162" t="s">
        <v>839</v>
      </c>
      <c r="E250" s="129"/>
      <c r="F250" s="129"/>
      <c r="G250" s="129"/>
      <c r="H250" s="615"/>
      <c r="I250" s="615"/>
      <c r="J250" s="615"/>
      <c r="K250" s="162"/>
      <c r="L250" s="162"/>
      <c r="M250" s="162"/>
      <c r="N250" s="162"/>
      <c r="O250" s="162"/>
      <c r="P250" s="162"/>
      <c r="Q250" s="162"/>
      <c r="R250" s="129"/>
      <c r="S250" s="615"/>
    </row>
    <row r="251" spans="1:19" hidden="1" outlineLevel="1" x14ac:dyDescent="0.2">
      <c r="A251" s="129"/>
      <c r="B251" s="129"/>
      <c r="C251" s="129"/>
      <c r="D251" s="616"/>
      <c r="E251" s="129"/>
      <c r="F251" s="129"/>
      <c r="G251" s="129"/>
      <c r="H251" s="129"/>
      <c r="I251" s="129"/>
      <c r="J251" s="129"/>
      <c r="K251" s="162"/>
      <c r="L251" s="162"/>
      <c r="M251" s="162"/>
      <c r="N251" s="162"/>
      <c r="O251" s="162"/>
      <c r="P251" s="162"/>
      <c r="Q251" s="162"/>
      <c r="R251" s="129"/>
      <c r="S251" s="36" t="s">
        <v>424</v>
      </c>
    </row>
    <row r="252" spans="1:19" hidden="1" outlineLevel="1" x14ac:dyDescent="0.2">
      <c r="A252" s="129"/>
      <c r="B252" s="291">
        <f>IF(E252&lt;&gt;"",MATCH(E252,EPISource,0)-1,0)</f>
        <v>0</v>
      </c>
      <c r="C252" s="291">
        <f ca="1">IF(G252&lt;&gt;"",MATCH(G252,OFFSET(References!$AE$7,0,B252,PxPopMaxCount),0),0)</f>
        <v>0</v>
      </c>
      <c r="D252" s="423" t="s">
        <v>113</v>
      </c>
      <c r="E252" s="438"/>
      <c r="F252" s="436"/>
      <c r="G252" s="812"/>
      <c r="H252" s="813"/>
      <c r="I252" s="813"/>
      <c r="J252" s="813"/>
      <c r="K252" s="435"/>
      <c r="L252" s="162"/>
      <c r="M252" s="162"/>
      <c r="N252" s="162"/>
      <c r="O252" s="162"/>
      <c r="P252" s="162"/>
      <c r="Q252" s="162"/>
      <c r="R252" s="129"/>
      <c r="S252" s="439"/>
    </row>
    <row r="253" spans="1:19" hidden="1" outlineLevel="1" x14ac:dyDescent="0.2">
      <c r="A253" s="129"/>
      <c r="B253" s="291">
        <f>INDEX(PxPopValid,,B252+1)</f>
        <v>0</v>
      </c>
      <c r="C253" s="291">
        <f ca="1">(B252*PxPopMaxCount)+C252</f>
        <v>0</v>
      </c>
      <c r="D253" s="616"/>
      <c r="E253" s="650">
        <v>1</v>
      </c>
      <c r="F253" s="650">
        <v>2</v>
      </c>
      <c r="G253" s="650">
        <v>3</v>
      </c>
      <c r="H253" s="650">
        <v>4</v>
      </c>
      <c r="I253" s="650">
        <v>5</v>
      </c>
      <c r="J253" s="650">
        <v>6</v>
      </c>
      <c r="K253" s="435"/>
      <c r="L253" s="162"/>
      <c r="M253" s="162"/>
      <c r="N253" s="162"/>
      <c r="O253" s="162"/>
      <c r="P253" s="162"/>
      <c r="Q253" s="162"/>
      <c r="R253" s="129"/>
      <c r="S253" s="162"/>
    </row>
    <row r="254" spans="1:19" ht="15" hidden="1" customHeight="1" outlineLevel="1" x14ac:dyDescent="0.2">
      <c r="A254" s="129"/>
      <c r="B254" s="129"/>
      <c r="C254" s="129"/>
      <c r="D254" s="616"/>
      <c r="E254" s="814" t="s">
        <v>10</v>
      </c>
      <c r="F254" s="814"/>
      <c r="G254" s="814"/>
      <c r="H254" s="814"/>
      <c r="I254" s="814"/>
      <c r="J254" s="814"/>
      <c r="K254" s="435"/>
      <c r="L254" s="162"/>
      <c r="M254" s="162"/>
      <c r="N254" s="162"/>
      <c r="O254" s="162"/>
      <c r="P254" s="162"/>
      <c r="Q254" s="162"/>
      <c r="R254" s="129"/>
      <c r="S254" s="636" t="str">
        <f ca="1">IF(ISERROR($C253)=TRUE,MsgError &amp; VLOOKUP("BadPop",ErrorMessages,2,FALSE),IF(RIGHT(G252,12)="(Prevalence)",MsgError &amp; VLOOKUP("BadPrevPop",ErrorMessages,2,FALSE),""))</f>
        <v/>
      </c>
    </row>
    <row r="255" spans="1:19" hidden="1" outlineLevel="1" x14ac:dyDescent="0.2">
      <c r="A255" s="129"/>
      <c r="B255" s="129"/>
      <c r="C255" s="129"/>
      <c r="D255" s="643"/>
      <c r="E255" s="431">
        <f>FirstYear</f>
        <v>2021</v>
      </c>
      <c r="F255" s="431">
        <f>E255+1</f>
        <v>2022</v>
      </c>
      <c r="G255" s="431">
        <f>F255+1</f>
        <v>2023</v>
      </c>
      <c r="H255" s="431">
        <f>G255+1</f>
        <v>2024</v>
      </c>
      <c r="I255" s="431">
        <f>H255+1</f>
        <v>2025</v>
      </c>
      <c r="J255" s="431">
        <f>I255+1</f>
        <v>2026</v>
      </c>
      <c r="K255" s="435"/>
      <c r="L255" s="162"/>
      <c r="M255" s="162"/>
      <c r="N255" s="162"/>
      <c r="O255" s="162"/>
      <c r="P255" s="162"/>
      <c r="Q255" s="162"/>
      <c r="R255" s="129"/>
      <c r="S255" s="162"/>
    </row>
    <row r="256" spans="1:19" ht="12.75" hidden="1" customHeight="1" outlineLevel="1" x14ac:dyDescent="0.2">
      <c r="A256" s="162"/>
      <c r="B256" s="162"/>
      <c r="C256" s="162"/>
      <c r="D256" s="721" t="s">
        <v>342</v>
      </c>
      <c r="E256" s="437">
        <f t="shared" ref="E256:J256" ca="1" si="43">IF(AND(ISERROR($C253)&lt;&gt;TRUE,$G252&lt;&gt;""),INDEX(PxPopNumbers,$C253,E253),0)</f>
        <v>0</v>
      </c>
      <c r="F256" s="437">
        <f t="shared" ca="1" si="43"/>
        <v>0</v>
      </c>
      <c r="G256" s="437">
        <f t="shared" ca="1" si="43"/>
        <v>0</v>
      </c>
      <c r="H256" s="437">
        <f t="shared" ca="1" si="43"/>
        <v>0</v>
      </c>
      <c r="I256" s="437">
        <f t="shared" ca="1" si="43"/>
        <v>0</v>
      </c>
      <c r="J256" s="437">
        <f t="shared" ca="1" si="43"/>
        <v>0</v>
      </c>
      <c r="K256" s="435"/>
      <c r="L256" s="162"/>
      <c r="M256" s="162"/>
      <c r="N256" s="162"/>
      <c r="O256" s="162"/>
      <c r="P256" s="162"/>
      <c r="Q256" s="162"/>
      <c r="R256" s="616"/>
      <c r="S256" s="162"/>
    </row>
    <row r="257" spans="1:19" ht="12.75" hidden="1" customHeight="1" outlineLevel="1" x14ac:dyDescent="0.2">
      <c r="A257" s="162"/>
      <c r="B257" s="162"/>
      <c r="C257" s="162"/>
      <c r="D257" s="162"/>
      <c r="E257" s="435"/>
      <c r="F257" s="435"/>
      <c r="G257" s="435"/>
      <c r="H257" s="435"/>
      <c r="I257" s="435"/>
      <c r="J257" s="435"/>
      <c r="K257" s="435"/>
      <c r="L257" s="162"/>
      <c r="M257" s="162"/>
      <c r="N257" s="162"/>
      <c r="O257" s="162"/>
      <c r="P257" s="162"/>
      <c r="Q257" s="162"/>
      <c r="R257" s="162"/>
      <c r="S257" s="162"/>
    </row>
    <row r="258" spans="1:19" ht="12.75" hidden="1" customHeight="1" outlineLevel="1" x14ac:dyDescent="0.2">
      <c r="A258" s="162"/>
      <c r="B258" s="162"/>
      <c r="C258" s="162"/>
      <c r="D258" s="720" t="s">
        <v>205</v>
      </c>
      <c r="E258" s="435"/>
      <c r="F258" s="435"/>
      <c r="G258" s="435"/>
      <c r="H258" s="435"/>
      <c r="I258" s="435"/>
      <c r="J258" s="435"/>
      <c r="K258" s="435"/>
      <c r="L258" s="162"/>
      <c r="M258" s="162"/>
      <c r="N258" s="162"/>
      <c r="O258" s="162"/>
      <c r="P258" s="162"/>
      <c r="Q258" s="162"/>
      <c r="R258" s="162"/>
      <c r="S258" s="36" t="s">
        <v>258</v>
      </c>
    </row>
    <row r="259" spans="1:19" hidden="1" outlineLevel="1" x14ac:dyDescent="0.2">
      <c r="A259" s="162"/>
      <c r="B259" s="162"/>
      <c r="C259" s="162"/>
      <c r="D259" s="432"/>
      <c r="E259" s="443"/>
      <c r="F259" s="443"/>
      <c r="G259" s="443"/>
      <c r="H259" s="443"/>
      <c r="I259" s="443"/>
      <c r="J259" s="443"/>
      <c r="K259" s="435"/>
      <c r="L259" s="425">
        <f t="shared" ref="L259:L267" si="44">IF(E259="",1,E259)</f>
        <v>1</v>
      </c>
      <c r="M259" s="425">
        <f t="shared" ref="M259:M268" si="45">IF(F259="",1,F259)</f>
        <v>1</v>
      </c>
      <c r="N259" s="425">
        <f t="shared" ref="N259:N268" si="46">IF(G259="",1,G259)</f>
        <v>1</v>
      </c>
      <c r="O259" s="425">
        <f t="shared" ref="O259:O268" si="47">IF(H259="",1,H259)</f>
        <v>1</v>
      </c>
      <c r="P259" s="425">
        <f t="shared" ref="P259:P268" si="48">IF(I259="",1,I259)</f>
        <v>1</v>
      </c>
      <c r="Q259" s="425">
        <f t="shared" ref="Q259:Q268" si="49">IF(J259="",1,J259)</f>
        <v>1</v>
      </c>
      <c r="R259" s="162"/>
      <c r="S259" s="432"/>
    </row>
    <row r="260" spans="1:19" hidden="1" outlineLevel="1" x14ac:dyDescent="0.2">
      <c r="A260" s="162"/>
      <c r="B260" s="162"/>
      <c r="C260" s="162"/>
      <c r="D260" s="432"/>
      <c r="E260" s="443"/>
      <c r="F260" s="443"/>
      <c r="G260" s="443"/>
      <c r="H260" s="443"/>
      <c r="I260" s="443"/>
      <c r="J260" s="443"/>
      <c r="K260" s="435"/>
      <c r="L260" s="425">
        <f t="shared" si="44"/>
        <v>1</v>
      </c>
      <c r="M260" s="425">
        <f t="shared" si="45"/>
        <v>1</v>
      </c>
      <c r="N260" s="425">
        <f t="shared" si="46"/>
        <v>1</v>
      </c>
      <c r="O260" s="425">
        <f t="shared" si="47"/>
        <v>1</v>
      </c>
      <c r="P260" s="425">
        <f t="shared" si="48"/>
        <v>1</v>
      </c>
      <c r="Q260" s="425">
        <f t="shared" si="49"/>
        <v>1</v>
      </c>
      <c r="R260" s="162"/>
      <c r="S260" s="432"/>
    </row>
    <row r="261" spans="1:19" hidden="1" outlineLevel="1" x14ac:dyDescent="0.2">
      <c r="A261" s="162"/>
      <c r="B261" s="162"/>
      <c r="C261" s="162"/>
      <c r="D261" s="432"/>
      <c r="E261" s="443"/>
      <c r="F261" s="443"/>
      <c r="G261" s="443"/>
      <c r="H261" s="443"/>
      <c r="I261" s="443"/>
      <c r="J261" s="443"/>
      <c r="K261" s="435"/>
      <c r="L261" s="425">
        <f t="shared" si="44"/>
        <v>1</v>
      </c>
      <c r="M261" s="425">
        <f t="shared" si="45"/>
        <v>1</v>
      </c>
      <c r="N261" s="425">
        <f t="shared" si="46"/>
        <v>1</v>
      </c>
      <c r="O261" s="425">
        <f t="shared" si="47"/>
        <v>1</v>
      </c>
      <c r="P261" s="425">
        <f t="shared" si="48"/>
        <v>1</v>
      </c>
      <c r="Q261" s="425">
        <f t="shared" si="49"/>
        <v>1</v>
      </c>
      <c r="R261" s="162"/>
      <c r="S261" s="432"/>
    </row>
    <row r="262" spans="1:19" hidden="1" outlineLevel="1" x14ac:dyDescent="0.2">
      <c r="A262" s="162"/>
      <c r="B262" s="162"/>
      <c r="C262" s="162"/>
      <c r="D262" s="432"/>
      <c r="E262" s="443"/>
      <c r="F262" s="443"/>
      <c r="G262" s="443"/>
      <c r="H262" s="443"/>
      <c r="I262" s="443"/>
      <c r="J262" s="443"/>
      <c r="K262" s="435"/>
      <c r="L262" s="425">
        <f t="shared" si="44"/>
        <v>1</v>
      </c>
      <c r="M262" s="425">
        <f t="shared" si="45"/>
        <v>1</v>
      </c>
      <c r="N262" s="425">
        <f t="shared" si="46"/>
        <v>1</v>
      </c>
      <c r="O262" s="425">
        <f t="shared" si="47"/>
        <v>1</v>
      </c>
      <c r="P262" s="425">
        <f t="shared" si="48"/>
        <v>1</v>
      </c>
      <c r="Q262" s="425">
        <f t="shared" si="49"/>
        <v>1</v>
      </c>
      <c r="R262" s="162"/>
      <c r="S262" s="432"/>
    </row>
    <row r="263" spans="1:19" hidden="1" outlineLevel="1" x14ac:dyDescent="0.2">
      <c r="A263" s="162"/>
      <c r="B263" s="162"/>
      <c r="C263" s="162"/>
      <c r="D263" s="432"/>
      <c r="E263" s="443"/>
      <c r="F263" s="443"/>
      <c r="G263" s="443"/>
      <c r="H263" s="443"/>
      <c r="I263" s="443"/>
      <c r="J263" s="443"/>
      <c r="K263" s="435"/>
      <c r="L263" s="425">
        <f t="shared" si="44"/>
        <v>1</v>
      </c>
      <c r="M263" s="425">
        <f t="shared" si="45"/>
        <v>1</v>
      </c>
      <c r="N263" s="425">
        <f t="shared" si="46"/>
        <v>1</v>
      </c>
      <c r="O263" s="425">
        <f t="shared" si="47"/>
        <v>1</v>
      </c>
      <c r="P263" s="425">
        <f t="shared" si="48"/>
        <v>1</v>
      </c>
      <c r="Q263" s="425">
        <f t="shared" si="49"/>
        <v>1</v>
      </c>
      <c r="R263" s="162"/>
      <c r="S263" s="432"/>
    </row>
    <row r="264" spans="1:19" hidden="1" outlineLevel="1" x14ac:dyDescent="0.2">
      <c r="A264" s="162"/>
      <c r="B264" s="162"/>
      <c r="C264" s="162"/>
      <c r="D264" s="432"/>
      <c r="E264" s="443"/>
      <c r="F264" s="443"/>
      <c r="G264" s="443"/>
      <c r="H264" s="443"/>
      <c r="I264" s="443"/>
      <c r="J264" s="443"/>
      <c r="K264" s="435"/>
      <c r="L264" s="425">
        <f t="shared" si="44"/>
        <v>1</v>
      </c>
      <c r="M264" s="425">
        <f t="shared" si="45"/>
        <v>1</v>
      </c>
      <c r="N264" s="425">
        <f t="shared" si="46"/>
        <v>1</v>
      </c>
      <c r="O264" s="425">
        <f t="shared" si="47"/>
        <v>1</v>
      </c>
      <c r="P264" s="425">
        <f t="shared" si="48"/>
        <v>1</v>
      </c>
      <c r="Q264" s="425">
        <f t="shared" si="49"/>
        <v>1</v>
      </c>
      <c r="R264" s="162"/>
      <c r="S264" s="432"/>
    </row>
    <row r="265" spans="1:19" hidden="1" outlineLevel="1" x14ac:dyDescent="0.2">
      <c r="A265" s="162"/>
      <c r="B265" s="162"/>
      <c r="C265" s="162"/>
      <c r="D265" s="432"/>
      <c r="E265" s="443"/>
      <c r="F265" s="443"/>
      <c r="G265" s="443"/>
      <c r="H265" s="443"/>
      <c r="I265" s="443"/>
      <c r="J265" s="443"/>
      <c r="K265" s="435"/>
      <c r="L265" s="425">
        <f t="shared" si="44"/>
        <v>1</v>
      </c>
      <c r="M265" s="425">
        <f t="shared" si="45"/>
        <v>1</v>
      </c>
      <c r="N265" s="425">
        <f t="shared" si="46"/>
        <v>1</v>
      </c>
      <c r="O265" s="425">
        <f t="shared" si="47"/>
        <v>1</v>
      </c>
      <c r="P265" s="425">
        <f t="shared" si="48"/>
        <v>1</v>
      </c>
      <c r="Q265" s="425">
        <f t="shared" si="49"/>
        <v>1</v>
      </c>
      <c r="R265" s="162"/>
      <c r="S265" s="432"/>
    </row>
    <row r="266" spans="1:19" hidden="1" outlineLevel="1" x14ac:dyDescent="0.2">
      <c r="A266" s="162"/>
      <c r="B266" s="162"/>
      <c r="C266" s="162"/>
      <c r="D266" s="432"/>
      <c r="E266" s="443"/>
      <c r="F266" s="443"/>
      <c r="G266" s="443"/>
      <c r="H266" s="443"/>
      <c r="I266" s="443"/>
      <c r="J266" s="443"/>
      <c r="K266" s="435"/>
      <c r="L266" s="425">
        <f t="shared" si="44"/>
        <v>1</v>
      </c>
      <c r="M266" s="425">
        <f t="shared" si="45"/>
        <v>1</v>
      </c>
      <c r="N266" s="425">
        <f t="shared" si="46"/>
        <v>1</v>
      </c>
      <c r="O266" s="425">
        <f t="shared" si="47"/>
        <v>1</v>
      </c>
      <c r="P266" s="425">
        <f t="shared" si="48"/>
        <v>1</v>
      </c>
      <c r="Q266" s="425">
        <f t="shared" si="49"/>
        <v>1</v>
      </c>
      <c r="R266" s="162"/>
      <c r="S266" s="432"/>
    </row>
    <row r="267" spans="1:19" hidden="1" outlineLevel="1" x14ac:dyDescent="0.2">
      <c r="A267" s="162"/>
      <c r="B267" s="162"/>
      <c r="C267" s="162"/>
      <c r="D267" s="432"/>
      <c r="E267" s="443"/>
      <c r="F267" s="443"/>
      <c r="G267" s="443"/>
      <c r="H267" s="443"/>
      <c r="I267" s="443"/>
      <c r="J267" s="443"/>
      <c r="K267" s="435"/>
      <c r="L267" s="425">
        <f t="shared" si="44"/>
        <v>1</v>
      </c>
      <c r="M267" s="425">
        <f t="shared" si="45"/>
        <v>1</v>
      </c>
      <c r="N267" s="425">
        <f t="shared" si="46"/>
        <v>1</v>
      </c>
      <c r="O267" s="425">
        <f t="shared" si="47"/>
        <v>1</v>
      </c>
      <c r="P267" s="425">
        <f t="shared" si="48"/>
        <v>1</v>
      </c>
      <c r="Q267" s="425">
        <f t="shared" si="49"/>
        <v>1</v>
      </c>
      <c r="R267" s="162"/>
      <c r="S267" s="432"/>
    </row>
    <row r="268" spans="1:19" hidden="1" outlineLevel="1" x14ac:dyDescent="0.2">
      <c r="A268" s="162"/>
      <c r="B268" s="162"/>
      <c r="C268" s="162"/>
      <c r="D268" s="432"/>
      <c r="E268" s="443"/>
      <c r="F268" s="443"/>
      <c r="G268" s="443"/>
      <c r="H268" s="443"/>
      <c r="I268" s="443"/>
      <c r="J268" s="443"/>
      <c r="K268" s="435"/>
      <c r="L268" s="425">
        <f>IF(E268="",1,E268)</f>
        <v>1</v>
      </c>
      <c r="M268" s="425">
        <f t="shared" si="45"/>
        <v>1</v>
      </c>
      <c r="N268" s="425">
        <f t="shared" si="46"/>
        <v>1</v>
      </c>
      <c r="O268" s="425">
        <f t="shared" si="47"/>
        <v>1</v>
      </c>
      <c r="P268" s="425">
        <f t="shared" si="48"/>
        <v>1</v>
      </c>
      <c r="Q268" s="425">
        <f t="shared" si="49"/>
        <v>1</v>
      </c>
      <c r="R268" s="162"/>
      <c r="S268" s="432"/>
    </row>
    <row r="269" spans="1:19" hidden="1" outlineLevel="1" x14ac:dyDescent="0.2">
      <c r="A269" s="162"/>
      <c r="B269" s="162"/>
      <c r="C269" s="162"/>
      <c r="D269" s="424" t="s">
        <v>213</v>
      </c>
      <c r="E269" s="444">
        <f t="shared" ref="E269:J269" si="50">L259*L260*L261*L262*L268*L263*L264*L265*L266*L267</f>
        <v>1</v>
      </c>
      <c r="F269" s="444">
        <f t="shared" si="50"/>
        <v>1</v>
      </c>
      <c r="G269" s="444">
        <f t="shared" si="50"/>
        <v>1</v>
      </c>
      <c r="H269" s="444">
        <f t="shared" si="50"/>
        <v>1</v>
      </c>
      <c r="I269" s="444">
        <f t="shared" si="50"/>
        <v>1</v>
      </c>
      <c r="J269" s="444">
        <f t="shared" si="50"/>
        <v>1</v>
      </c>
      <c r="K269" s="162"/>
      <c r="L269" s="162"/>
      <c r="M269" s="162"/>
      <c r="N269" s="638"/>
      <c r="O269" s="162"/>
      <c r="P269" s="162"/>
      <c r="Q269" s="162"/>
      <c r="R269" s="162"/>
      <c r="S269" s="162"/>
    </row>
    <row r="270" spans="1:19" hidden="1" outlineLevel="1" x14ac:dyDescent="0.2">
      <c r="A270" s="638"/>
      <c r="B270" s="638"/>
      <c r="C270" s="638"/>
      <c r="D270" s="419" t="s">
        <v>90</v>
      </c>
      <c r="E270" s="440">
        <f t="shared" ref="E270:J270" ca="1" si="51">IF(ISNUMBER(E256),E256*E269,"")</f>
        <v>0</v>
      </c>
      <c r="F270" s="440">
        <f t="shared" ca="1" si="51"/>
        <v>0</v>
      </c>
      <c r="G270" s="440">
        <f t="shared" ca="1" si="51"/>
        <v>0</v>
      </c>
      <c r="H270" s="440">
        <f t="shared" ca="1" si="51"/>
        <v>0</v>
      </c>
      <c r="I270" s="440">
        <f t="shared" ca="1" si="51"/>
        <v>0</v>
      </c>
      <c r="J270" s="440">
        <f t="shared" ca="1" si="51"/>
        <v>0</v>
      </c>
      <c r="K270" s="162"/>
      <c r="L270" s="638"/>
      <c r="M270" s="162"/>
      <c r="N270" s="162"/>
      <c r="O270" s="162"/>
      <c r="P270" s="162"/>
      <c r="Q270" s="162"/>
      <c r="R270" s="162"/>
      <c r="S270" s="162"/>
    </row>
    <row r="271" spans="1:19" hidden="1" outlineLevel="1" x14ac:dyDescent="0.2">
      <c r="A271" s="162"/>
      <c r="B271" s="162"/>
      <c r="C271" s="162"/>
      <c r="D271" s="435"/>
      <c r="E271" s="125"/>
      <c r="F271" s="125"/>
      <c r="G271" s="125"/>
      <c r="H271" s="125"/>
      <c r="I271" s="125"/>
      <c r="J271" s="125"/>
      <c r="K271" s="162"/>
      <c r="L271" s="162"/>
      <c r="M271" s="162"/>
      <c r="N271" s="162"/>
      <c r="O271" s="162"/>
      <c r="P271" s="641"/>
      <c r="Q271" s="641"/>
      <c r="R271" s="162"/>
      <c r="S271" s="125"/>
    </row>
    <row r="272" spans="1:19" hidden="1" outlineLevel="1" x14ac:dyDescent="0.2">
      <c r="A272" s="162"/>
      <c r="B272" s="162"/>
      <c r="C272" s="162"/>
      <c r="D272" s="429" t="str">
        <f>TxPhase1Tx</f>
        <v/>
      </c>
      <c r="E272" s="495"/>
      <c r="F272" s="125"/>
      <c r="G272" s="125"/>
      <c r="H272" s="125"/>
      <c r="I272" s="125"/>
      <c r="J272" s="125"/>
      <c r="K272" s="615"/>
      <c r="L272" s="615"/>
      <c r="M272" s="615"/>
      <c r="N272" s="615"/>
      <c r="O272" s="641"/>
      <c r="P272" s="641"/>
      <c r="Q272" s="641"/>
      <c r="R272" s="162"/>
      <c r="S272" s="36" t="s">
        <v>258</v>
      </c>
    </row>
    <row r="273" spans="1:19" hidden="1" outlineLevel="1" x14ac:dyDescent="0.2">
      <c r="A273" s="162"/>
      <c r="B273" s="162"/>
      <c r="C273" s="162"/>
      <c r="D273" s="429" t="s">
        <v>91</v>
      </c>
      <c r="E273" s="428"/>
      <c r="F273" s="428"/>
      <c r="G273" s="428"/>
      <c r="H273" s="428"/>
      <c r="I273" s="428"/>
      <c r="J273" s="428"/>
      <c r="K273" s="615"/>
      <c r="L273" s="615"/>
      <c r="M273" s="615"/>
      <c r="N273" s="615"/>
      <c r="O273" s="162"/>
      <c r="P273" s="641"/>
      <c r="Q273" s="641"/>
      <c r="R273" s="162"/>
      <c r="S273" s="426"/>
    </row>
    <row r="274" spans="1:19" hidden="1" outlineLevel="1" x14ac:dyDescent="0.2">
      <c r="A274" s="162"/>
      <c r="B274" s="162"/>
      <c r="C274" s="162"/>
      <c r="D274" s="435"/>
      <c r="E274" s="125"/>
      <c r="F274" s="125"/>
      <c r="G274" s="125"/>
      <c r="H274" s="125"/>
      <c r="I274" s="125"/>
      <c r="J274" s="125"/>
      <c r="K274" s="615"/>
      <c r="L274" s="615"/>
      <c r="M274" s="615"/>
      <c r="N274" s="615"/>
      <c r="O274" s="162"/>
      <c r="P274" s="641"/>
      <c r="Q274" s="641"/>
      <c r="R274" s="162"/>
      <c r="S274" s="125"/>
    </row>
    <row r="275" spans="1:19" hidden="1" outlineLevel="1" x14ac:dyDescent="0.2">
      <c r="A275" s="162"/>
      <c r="B275" s="162"/>
      <c r="C275" s="162"/>
      <c r="D275" s="433" t="str">
        <f>TXPhase2Tx</f>
        <v/>
      </c>
      <c r="E275" s="495"/>
      <c r="F275" s="125"/>
      <c r="G275" s="125"/>
      <c r="H275" s="125"/>
      <c r="I275" s="125"/>
      <c r="J275" s="125"/>
      <c r="K275" s="615"/>
      <c r="L275" s="615"/>
      <c r="M275" s="615"/>
      <c r="N275" s="615"/>
      <c r="O275" s="162"/>
      <c r="P275" s="641"/>
      <c r="Q275" s="641"/>
      <c r="R275" s="162"/>
      <c r="S275" s="36" t="s">
        <v>258</v>
      </c>
    </row>
    <row r="276" spans="1:19" hidden="1" outlineLevel="1" x14ac:dyDescent="0.2">
      <c r="A276" s="162"/>
      <c r="B276" s="162"/>
      <c r="C276" s="162"/>
      <c r="D276" s="433" t="str">
        <f>IF(D275&lt;&gt;"","Patients electing treatment (%)","")</f>
        <v/>
      </c>
      <c r="E276" s="428"/>
      <c r="F276" s="428"/>
      <c r="G276" s="428"/>
      <c r="H276" s="428"/>
      <c r="I276" s="428"/>
      <c r="J276" s="428"/>
      <c r="K276" s="615"/>
      <c r="L276" s="615"/>
      <c r="M276" s="615"/>
      <c r="N276" s="615"/>
      <c r="O276" s="162"/>
      <c r="P276" s="641"/>
      <c r="Q276" s="641"/>
      <c r="R276" s="162"/>
      <c r="S276" s="426"/>
    </row>
    <row r="277" spans="1:19" hidden="1" outlineLevel="1" x14ac:dyDescent="0.2">
      <c r="A277" s="162"/>
      <c r="B277" s="162"/>
      <c r="C277" s="162"/>
      <c r="D277" s="435"/>
      <c r="E277" s="435"/>
      <c r="F277" s="435"/>
      <c r="G277" s="435"/>
      <c r="H277" s="435"/>
      <c r="I277" s="435"/>
      <c r="J277" s="435"/>
      <c r="K277" s="615"/>
      <c r="L277" s="615"/>
      <c r="M277" s="615"/>
      <c r="N277" s="615"/>
      <c r="O277" s="641"/>
      <c r="P277" s="641"/>
      <c r="Q277" s="641"/>
      <c r="R277" s="162"/>
      <c r="S277" s="125"/>
    </row>
    <row r="278" spans="1:19" s="416" customFormat="1" hidden="1" outlineLevel="1" x14ac:dyDescent="0.2">
      <c r="A278" s="162"/>
      <c r="B278" s="162"/>
      <c r="C278" s="475">
        <f>IFERROR(VLOOKUP(E278,TxPhase2SourceCode,2,FALSE),0)</f>
        <v>1</v>
      </c>
      <c r="D278" s="429" t="s">
        <v>1165</v>
      </c>
      <c r="E278" s="263" t="s">
        <v>1166</v>
      </c>
      <c r="F278" s="435"/>
      <c r="G278" s="435"/>
      <c r="H278" s="435"/>
      <c r="I278" s="435"/>
      <c r="J278" s="435"/>
      <c r="K278" s="615"/>
      <c r="L278" s="615"/>
      <c r="M278" s="615"/>
      <c r="N278" s="615"/>
      <c r="O278" s="641"/>
      <c r="P278" s="641"/>
      <c r="Q278" s="641"/>
      <c r="R278" s="162"/>
      <c r="S278" s="125"/>
    </row>
    <row r="279" spans="1:19" s="416" customFormat="1" hidden="1" outlineLevel="1" x14ac:dyDescent="0.2">
      <c r="A279" s="162"/>
      <c r="B279" s="162"/>
      <c r="C279" s="162"/>
      <c r="D279" s="435"/>
      <c r="E279" s="435"/>
      <c r="F279" s="435"/>
      <c r="G279" s="435"/>
      <c r="H279" s="435"/>
      <c r="I279" s="435"/>
      <c r="J279" s="435"/>
      <c r="K279" s="615"/>
      <c r="L279" s="615"/>
      <c r="M279" s="615"/>
      <c r="N279" s="615"/>
      <c r="O279" s="641"/>
      <c r="P279" s="641"/>
      <c r="Q279" s="641"/>
      <c r="R279" s="162"/>
      <c r="S279" s="125"/>
    </row>
    <row r="280" spans="1:19" hidden="1" outlineLevel="1" x14ac:dyDescent="0.2">
      <c r="A280" s="162"/>
      <c r="B280" s="162"/>
      <c r="C280" s="162"/>
      <c r="D280" s="429" t="str">
        <f>IF(TxPhase1&lt;&gt;"",TxPhase1 &amp; " patients (#)","")</f>
        <v/>
      </c>
      <c r="E280" s="440">
        <f t="shared" ref="E280:J280" si="52">IF(TxPhase1&lt;&gt;"",E270*E273,0)</f>
        <v>0</v>
      </c>
      <c r="F280" s="440">
        <f t="shared" si="52"/>
        <v>0</v>
      </c>
      <c r="G280" s="440">
        <f t="shared" si="52"/>
        <v>0</v>
      </c>
      <c r="H280" s="440">
        <f t="shared" si="52"/>
        <v>0</v>
      </c>
      <c r="I280" s="440">
        <f t="shared" si="52"/>
        <v>0</v>
      </c>
      <c r="J280" s="440">
        <f t="shared" si="52"/>
        <v>0</v>
      </c>
      <c r="K280" s="615"/>
      <c r="L280" s="615"/>
      <c r="M280" s="615"/>
      <c r="N280" s="615"/>
      <c r="O280" s="641"/>
      <c r="P280" s="641"/>
      <c r="Q280" s="641"/>
      <c r="R280" s="162"/>
      <c r="S280" s="162"/>
    </row>
    <row r="281" spans="1:19" hidden="1" outlineLevel="1" x14ac:dyDescent="0.2">
      <c r="A281" s="162"/>
      <c r="B281" s="162"/>
      <c r="C281" s="162"/>
      <c r="D281" s="429" t="str">
        <f>IF(TxPhase2&lt;&gt;"",TxPhase2 &amp; " patients (#)","")</f>
        <v/>
      </c>
      <c r="E281" s="440">
        <f t="shared" ref="E281:J281" si="53">IF(TxPhase2&lt;&gt;"",IF($C278=1,E280,IF($C278=2,E270,0))*E276,0)</f>
        <v>0</v>
      </c>
      <c r="F281" s="440">
        <f t="shared" si="53"/>
        <v>0</v>
      </c>
      <c r="G281" s="440">
        <f t="shared" si="53"/>
        <v>0</v>
      </c>
      <c r="H281" s="440">
        <f t="shared" si="53"/>
        <v>0</v>
      </c>
      <c r="I281" s="440">
        <f t="shared" si="53"/>
        <v>0</v>
      </c>
      <c r="J281" s="440">
        <f t="shared" si="53"/>
        <v>0</v>
      </c>
      <c r="K281" s="615"/>
      <c r="L281" s="615"/>
      <c r="M281" s="615"/>
      <c r="N281" s="615"/>
      <c r="O281" s="162"/>
      <c r="P281" s="641"/>
      <c r="Q281" s="641"/>
      <c r="R281" s="162"/>
      <c r="S281" s="162"/>
    </row>
    <row r="282" spans="1:19" s="416" customFormat="1" hidden="1" outlineLevel="1" x14ac:dyDescent="0.2">
      <c r="A282" s="162"/>
      <c r="B282" s="162"/>
      <c r="C282" s="162"/>
      <c r="D282" s="417"/>
      <c r="E282" s="417"/>
      <c r="F282" s="162"/>
      <c r="G282" s="162"/>
      <c r="H282" s="162"/>
      <c r="I282" s="162"/>
      <c r="J282" s="162"/>
      <c r="K282" s="162"/>
      <c r="L282" s="162"/>
      <c r="M282" s="162"/>
      <c r="N282" s="638"/>
      <c r="O282" s="162"/>
      <c r="P282" s="641"/>
      <c r="Q282" s="641"/>
      <c r="R282" s="162"/>
      <c r="S282" s="162"/>
    </row>
    <row r="283" spans="1:19" s="416" customFormat="1" hidden="1" outlineLevel="1" x14ac:dyDescent="0.2">
      <c r="A283" s="162"/>
      <c r="B283" s="162"/>
      <c r="C283" s="291" t="str">
        <f>IF(E283&lt;&gt;"",E283,"")</f>
        <v/>
      </c>
      <c r="D283" s="89" t="s">
        <v>756</v>
      </c>
      <c r="E283" s="263"/>
      <c r="F283" s="162"/>
      <c r="G283" s="162"/>
      <c r="H283" s="162"/>
      <c r="I283" s="162"/>
      <c r="J283" s="162"/>
      <c r="K283" s="162"/>
      <c r="L283" s="162"/>
      <c r="M283" s="162"/>
      <c r="N283" s="638"/>
      <c r="O283" s="162"/>
      <c r="P283" s="641"/>
      <c r="Q283" s="641"/>
      <c r="R283" s="162"/>
      <c r="S283" s="162"/>
    </row>
    <row r="284" spans="1:19" hidden="1" outlineLevel="1" x14ac:dyDescent="0.2">
      <c r="A284" s="615"/>
      <c r="B284" s="615"/>
      <c r="C284" s="615"/>
      <c r="D284" s="162"/>
      <c r="E284" s="162"/>
      <c r="F284" s="615"/>
      <c r="G284" s="615"/>
      <c r="H284" s="615"/>
      <c r="I284" s="615"/>
      <c r="J284" s="615"/>
      <c r="K284" s="615"/>
      <c r="L284" s="615"/>
      <c r="M284" s="615"/>
      <c r="N284" s="615"/>
      <c r="O284" s="615"/>
      <c r="P284" s="615"/>
      <c r="Q284" s="615"/>
      <c r="R284" s="615"/>
      <c r="S284" s="162"/>
    </row>
    <row r="285" spans="1:19" collapsed="1" x14ac:dyDescent="0.2">
      <c r="A285" s="162"/>
      <c r="B285" s="162"/>
      <c r="C285" s="162"/>
      <c r="D285" s="162"/>
      <c r="E285" s="162"/>
      <c r="F285" s="162"/>
      <c r="G285" s="162"/>
      <c r="H285" s="162"/>
      <c r="I285" s="162"/>
      <c r="J285" s="162"/>
      <c r="K285" s="162"/>
      <c r="L285" s="162"/>
      <c r="M285" s="162"/>
      <c r="N285" s="162"/>
      <c r="O285" s="162"/>
      <c r="P285" s="162"/>
      <c r="Q285" s="162"/>
      <c r="R285" s="162"/>
      <c r="S285" s="162"/>
    </row>
    <row r="286" spans="1:19" ht="15.75" x14ac:dyDescent="0.2">
      <c r="A286" s="162"/>
      <c r="B286" s="162"/>
      <c r="C286" s="573">
        <v>8</v>
      </c>
      <c r="D286" s="79" t="str">
        <f>IF(E290&lt;&gt;"",CONCATENATE("Incident ",C286,": ",G290,L286),MsgNotUsed)</f>
        <v>** NOT USED **</v>
      </c>
      <c r="E286" s="132"/>
      <c r="F286" s="132"/>
      <c r="G286" s="132"/>
      <c r="H286" s="132"/>
      <c r="I286" s="134"/>
      <c r="J286" s="134"/>
      <c r="K286" s="325"/>
      <c r="L286" s="325" t="str">
        <f>IF(S290&lt;&gt;"",CONCATENATE(" (",S290,")"),"")</f>
        <v/>
      </c>
      <c r="M286" s="325"/>
      <c r="N286" s="325"/>
      <c r="O286" s="325"/>
      <c r="P286" s="325"/>
      <c r="Q286" s="325"/>
      <c r="R286" s="133"/>
      <c r="S286" s="133"/>
    </row>
    <row r="287" spans="1:19" hidden="1" outlineLevel="1" x14ac:dyDescent="0.2">
      <c r="A287" s="129"/>
      <c r="B287" s="129"/>
      <c r="C287" s="129"/>
      <c r="D287" s="616"/>
      <c r="E287" s="129"/>
      <c r="F287" s="129"/>
      <c r="G287" s="129"/>
      <c r="H287" s="129"/>
      <c r="I287" s="129"/>
      <c r="J287" s="129"/>
      <c r="K287" s="129"/>
      <c r="L287" s="129"/>
      <c r="M287" s="129"/>
      <c r="N287" s="129"/>
      <c r="O287" s="129"/>
      <c r="P287" s="129"/>
      <c r="Q287" s="129"/>
      <c r="R287" s="129"/>
      <c r="S287" s="129"/>
    </row>
    <row r="288" spans="1:19" hidden="1" outlineLevel="1" x14ac:dyDescent="0.2">
      <c r="A288" s="129"/>
      <c r="B288" s="129"/>
      <c r="C288" s="129"/>
      <c r="D288" s="162" t="s">
        <v>839</v>
      </c>
      <c r="E288" s="129"/>
      <c r="F288" s="129"/>
      <c r="G288" s="129"/>
      <c r="H288" s="615"/>
      <c r="I288" s="615"/>
      <c r="J288" s="615"/>
      <c r="K288" s="162"/>
      <c r="L288" s="162"/>
      <c r="M288" s="162"/>
      <c r="N288" s="162"/>
      <c r="O288" s="162"/>
      <c r="P288" s="162"/>
      <c r="Q288" s="162"/>
      <c r="R288" s="129"/>
      <c r="S288" s="615"/>
    </row>
    <row r="289" spans="1:19" hidden="1" outlineLevel="1" x14ac:dyDescent="0.2">
      <c r="A289" s="129"/>
      <c r="B289" s="129"/>
      <c r="C289" s="129"/>
      <c r="D289" s="616"/>
      <c r="E289" s="129"/>
      <c r="F289" s="129"/>
      <c r="G289" s="129"/>
      <c r="H289" s="129"/>
      <c r="I289" s="129"/>
      <c r="J289" s="129"/>
      <c r="K289" s="162"/>
      <c r="L289" s="162"/>
      <c r="M289" s="162"/>
      <c r="N289" s="162"/>
      <c r="O289" s="162"/>
      <c r="P289" s="162"/>
      <c r="Q289" s="162"/>
      <c r="R289" s="129"/>
      <c r="S289" s="36" t="s">
        <v>424</v>
      </c>
    </row>
    <row r="290" spans="1:19" hidden="1" outlineLevel="1" x14ac:dyDescent="0.2">
      <c r="A290" s="129"/>
      <c r="B290" s="291">
        <f>IF(E290&lt;&gt;"",MATCH(E290,EPISource,0)-1,0)</f>
        <v>0</v>
      </c>
      <c r="C290" s="291">
        <f ca="1">IF(G290&lt;&gt;"",MATCH(G290,OFFSET(References!$AE$7,0,B290,PxPopMaxCount),0),0)</f>
        <v>0</v>
      </c>
      <c r="D290" s="423" t="s">
        <v>113</v>
      </c>
      <c r="E290" s="438"/>
      <c r="F290" s="436"/>
      <c r="G290" s="812"/>
      <c r="H290" s="813"/>
      <c r="I290" s="813"/>
      <c r="J290" s="813"/>
      <c r="K290" s="435"/>
      <c r="L290" s="162"/>
      <c r="M290" s="162"/>
      <c r="N290" s="162"/>
      <c r="O290" s="162"/>
      <c r="P290" s="162"/>
      <c r="Q290" s="162"/>
      <c r="R290" s="129"/>
      <c r="S290" s="439"/>
    </row>
    <row r="291" spans="1:19" hidden="1" outlineLevel="1" x14ac:dyDescent="0.2">
      <c r="A291" s="129"/>
      <c r="B291" s="291">
        <f>INDEX(PxPopValid,,B290+1)</f>
        <v>0</v>
      </c>
      <c r="C291" s="291">
        <f ca="1">(B290*PxPopMaxCount)+C290</f>
        <v>0</v>
      </c>
      <c r="D291" s="616"/>
      <c r="E291" s="650">
        <v>1</v>
      </c>
      <c r="F291" s="650">
        <v>2</v>
      </c>
      <c r="G291" s="650">
        <v>3</v>
      </c>
      <c r="H291" s="650">
        <v>4</v>
      </c>
      <c r="I291" s="650">
        <v>5</v>
      </c>
      <c r="J291" s="650">
        <v>6</v>
      </c>
      <c r="K291" s="435"/>
      <c r="L291" s="162"/>
      <c r="M291" s="162"/>
      <c r="N291" s="162"/>
      <c r="O291" s="162"/>
      <c r="P291" s="162"/>
      <c r="Q291" s="162"/>
      <c r="R291" s="129"/>
      <c r="S291" s="162"/>
    </row>
    <row r="292" spans="1:19" ht="15" hidden="1" customHeight="1" outlineLevel="1" x14ac:dyDescent="0.2">
      <c r="A292" s="129"/>
      <c r="B292" s="129"/>
      <c r="C292" s="129"/>
      <c r="D292" s="616"/>
      <c r="E292" s="814" t="s">
        <v>10</v>
      </c>
      <c r="F292" s="814"/>
      <c r="G292" s="814"/>
      <c r="H292" s="814"/>
      <c r="I292" s="814"/>
      <c r="J292" s="814"/>
      <c r="K292" s="435"/>
      <c r="L292" s="162"/>
      <c r="M292" s="162"/>
      <c r="N292" s="162"/>
      <c r="O292" s="162"/>
      <c r="P292" s="162"/>
      <c r="Q292" s="162"/>
      <c r="R292" s="129"/>
      <c r="S292" s="636" t="str">
        <f ca="1">IF(ISERROR($C291)=TRUE,MsgError &amp; VLOOKUP("BadPop",ErrorMessages,2,FALSE),IF(RIGHT(G290,12)="(Prevalence)",MsgError &amp; VLOOKUP("BadPrevPop",ErrorMessages,2,FALSE),""))</f>
        <v/>
      </c>
    </row>
    <row r="293" spans="1:19" hidden="1" outlineLevel="1" x14ac:dyDescent="0.2">
      <c r="A293" s="129"/>
      <c r="B293" s="129"/>
      <c r="C293" s="129"/>
      <c r="D293" s="643"/>
      <c r="E293" s="431">
        <f>FirstYear</f>
        <v>2021</v>
      </c>
      <c r="F293" s="431">
        <f>E293+1</f>
        <v>2022</v>
      </c>
      <c r="G293" s="431">
        <f>F293+1</f>
        <v>2023</v>
      </c>
      <c r="H293" s="431">
        <f>G293+1</f>
        <v>2024</v>
      </c>
      <c r="I293" s="431">
        <f>H293+1</f>
        <v>2025</v>
      </c>
      <c r="J293" s="431">
        <f>I293+1</f>
        <v>2026</v>
      </c>
      <c r="K293" s="435"/>
      <c r="L293" s="162"/>
      <c r="M293" s="162"/>
      <c r="N293" s="162"/>
      <c r="O293" s="162"/>
      <c r="P293" s="162"/>
      <c r="Q293" s="162"/>
      <c r="R293" s="129"/>
      <c r="S293" s="162"/>
    </row>
    <row r="294" spans="1:19" ht="12.75" hidden="1" customHeight="1" outlineLevel="1" x14ac:dyDescent="0.2">
      <c r="A294" s="162"/>
      <c r="B294" s="162"/>
      <c r="C294" s="162"/>
      <c r="D294" s="721" t="s">
        <v>342</v>
      </c>
      <c r="E294" s="437">
        <f t="shared" ref="E294:J294" ca="1" si="54">IF(AND(ISERROR($C291)&lt;&gt;TRUE,$G290&lt;&gt;""),INDEX(PxPopNumbers,$C291,E291),0)</f>
        <v>0</v>
      </c>
      <c r="F294" s="437">
        <f t="shared" ca="1" si="54"/>
        <v>0</v>
      </c>
      <c r="G294" s="437">
        <f t="shared" ca="1" si="54"/>
        <v>0</v>
      </c>
      <c r="H294" s="437">
        <f t="shared" ca="1" si="54"/>
        <v>0</v>
      </c>
      <c r="I294" s="437">
        <f t="shared" ca="1" si="54"/>
        <v>0</v>
      </c>
      <c r="J294" s="437">
        <f t="shared" ca="1" si="54"/>
        <v>0</v>
      </c>
      <c r="K294" s="435"/>
      <c r="L294" s="162"/>
      <c r="M294" s="162"/>
      <c r="N294" s="162"/>
      <c r="O294" s="162"/>
      <c r="P294" s="162"/>
      <c r="Q294" s="162"/>
      <c r="R294" s="616"/>
      <c r="S294" s="162"/>
    </row>
    <row r="295" spans="1:19" ht="12.75" hidden="1" customHeight="1" outlineLevel="1" x14ac:dyDescent="0.2">
      <c r="A295" s="162"/>
      <c r="B295" s="162"/>
      <c r="C295" s="162"/>
      <c r="D295" s="162"/>
      <c r="E295" s="435"/>
      <c r="F295" s="435"/>
      <c r="G295" s="435"/>
      <c r="H295" s="435"/>
      <c r="I295" s="435"/>
      <c r="J295" s="435"/>
      <c r="K295" s="435"/>
      <c r="L295" s="162"/>
      <c r="M295" s="162"/>
      <c r="N295" s="162"/>
      <c r="O295" s="162"/>
      <c r="P295" s="162"/>
      <c r="Q295" s="162"/>
      <c r="R295" s="162"/>
      <c r="S295" s="162"/>
    </row>
    <row r="296" spans="1:19" ht="12.75" hidden="1" customHeight="1" outlineLevel="1" x14ac:dyDescent="0.2">
      <c r="A296" s="162"/>
      <c r="B296" s="162"/>
      <c r="C296" s="162"/>
      <c r="D296" s="720" t="s">
        <v>205</v>
      </c>
      <c r="E296" s="435"/>
      <c r="F296" s="435"/>
      <c r="G296" s="435"/>
      <c r="H296" s="435"/>
      <c r="I296" s="435"/>
      <c r="J296" s="435"/>
      <c r="K296" s="435"/>
      <c r="L296" s="162"/>
      <c r="M296" s="162"/>
      <c r="N296" s="162"/>
      <c r="O296" s="162"/>
      <c r="P296" s="162"/>
      <c r="Q296" s="162"/>
      <c r="R296" s="162"/>
      <c r="S296" s="36" t="s">
        <v>258</v>
      </c>
    </row>
    <row r="297" spans="1:19" hidden="1" outlineLevel="1" x14ac:dyDescent="0.2">
      <c r="A297" s="162"/>
      <c r="B297" s="162"/>
      <c r="C297" s="162"/>
      <c r="D297" s="432"/>
      <c r="E297" s="443"/>
      <c r="F297" s="443"/>
      <c r="G297" s="443"/>
      <c r="H297" s="443"/>
      <c r="I297" s="443"/>
      <c r="J297" s="443"/>
      <c r="K297" s="435"/>
      <c r="L297" s="425">
        <f t="shared" ref="L297:L305" si="55">IF(E297="",1,E297)</f>
        <v>1</v>
      </c>
      <c r="M297" s="425">
        <f t="shared" ref="M297:M306" si="56">IF(F297="",1,F297)</f>
        <v>1</v>
      </c>
      <c r="N297" s="425">
        <f t="shared" ref="N297:N306" si="57">IF(G297="",1,G297)</f>
        <v>1</v>
      </c>
      <c r="O297" s="425">
        <f t="shared" ref="O297:O306" si="58">IF(H297="",1,H297)</f>
        <v>1</v>
      </c>
      <c r="P297" s="425">
        <f t="shared" ref="P297:P306" si="59">IF(I297="",1,I297)</f>
        <v>1</v>
      </c>
      <c r="Q297" s="425">
        <f t="shared" ref="Q297:Q306" si="60">IF(J297="",1,J297)</f>
        <v>1</v>
      </c>
      <c r="R297" s="162"/>
      <c r="S297" s="432"/>
    </row>
    <row r="298" spans="1:19" hidden="1" outlineLevel="1" x14ac:dyDescent="0.2">
      <c r="A298" s="162"/>
      <c r="B298" s="162"/>
      <c r="C298" s="162"/>
      <c r="D298" s="432"/>
      <c r="E298" s="443"/>
      <c r="F298" s="443"/>
      <c r="G298" s="443"/>
      <c r="H298" s="443"/>
      <c r="I298" s="443"/>
      <c r="J298" s="443"/>
      <c r="K298" s="435"/>
      <c r="L298" s="425">
        <f t="shared" si="55"/>
        <v>1</v>
      </c>
      <c r="M298" s="425">
        <f t="shared" si="56"/>
        <v>1</v>
      </c>
      <c r="N298" s="425">
        <f t="shared" si="57"/>
        <v>1</v>
      </c>
      <c r="O298" s="425">
        <f t="shared" si="58"/>
        <v>1</v>
      </c>
      <c r="P298" s="425">
        <f t="shared" si="59"/>
        <v>1</v>
      </c>
      <c r="Q298" s="425">
        <f t="shared" si="60"/>
        <v>1</v>
      </c>
      <c r="R298" s="162"/>
      <c r="S298" s="432"/>
    </row>
    <row r="299" spans="1:19" hidden="1" outlineLevel="1" x14ac:dyDescent="0.2">
      <c r="A299" s="162"/>
      <c r="B299" s="162"/>
      <c r="C299" s="162"/>
      <c r="D299" s="432"/>
      <c r="E299" s="443"/>
      <c r="F299" s="443"/>
      <c r="G299" s="443"/>
      <c r="H299" s="443"/>
      <c r="I299" s="443"/>
      <c r="J299" s="443"/>
      <c r="K299" s="435"/>
      <c r="L299" s="425">
        <f t="shared" si="55"/>
        <v>1</v>
      </c>
      <c r="M299" s="425">
        <f t="shared" si="56"/>
        <v>1</v>
      </c>
      <c r="N299" s="425">
        <f t="shared" si="57"/>
        <v>1</v>
      </c>
      <c r="O299" s="425">
        <f t="shared" si="58"/>
        <v>1</v>
      </c>
      <c r="P299" s="425">
        <f t="shared" si="59"/>
        <v>1</v>
      </c>
      <c r="Q299" s="425">
        <f t="shared" si="60"/>
        <v>1</v>
      </c>
      <c r="R299" s="162"/>
      <c r="S299" s="432"/>
    </row>
    <row r="300" spans="1:19" hidden="1" outlineLevel="1" x14ac:dyDescent="0.2">
      <c r="A300" s="162"/>
      <c r="B300" s="162"/>
      <c r="C300" s="162"/>
      <c r="D300" s="432"/>
      <c r="E300" s="443"/>
      <c r="F300" s="443"/>
      <c r="G300" s="443"/>
      <c r="H300" s="443"/>
      <c r="I300" s="443"/>
      <c r="J300" s="443"/>
      <c r="K300" s="435"/>
      <c r="L300" s="425">
        <f t="shared" si="55"/>
        <v>1</v>
      </c>
      <c r="M300" s="425">
        <f t="shared" si="56"/>
        <v>1</v>
      </c>
      <c r="N300" s="425">
        <f t="shared" si="57"/>
        <v>1</v>
      </c>
      <c r="O300" s="425">
        <f t="shared" si="58"/>
        <v>1</v>
      </c>
      <c r="P300" s="425">
        <f t="shared" si="59"/>
        <v>1</v>
      </c>
      <c r="Q300" s="425">
        <f t="shared" si="60"/>
        <v>1</v>
      </c>
      <c r="R300" s="162"/>
      <c r="S300" s="432"/>
    </row>
    <row r="301" spans="1:19" hidden="1" outlineLevel="1" x14ac:dyDescent="0.2">
      <c r="A301" s="162"/>
      <c r="B301" s="162"/>
      <c r="C301" s="162"/>
      <c r="D301" s="432"/>
      <c r="E301" s="443"/>
      <c r="F301" s="443"/>
      <c r="G301" s="443"/>
      <c r="H301" s="443"/>
      <c r="I301" s="443"/>
      <c r="J301" s="443"/>
      <c r="K301" s="435"/>
      <c r="L301" s="425">
        <f t="shared" si="55"/>
        <v>1</v>
      </c>
      <c r="M301" s="425">
        <f t="shared" si="56"/>
        <v>1</v>
      </c>
      <c r="N301" s="425">
        <f t="shared" si="57"/>
        <v>1</v>
      </c>
      <c r="O301" s="425">
        <f t="shared" si="58"/>
        <v>1</v>
      </c>
      <c r="P301" s="425">
        <f t="shared" si="59"/>
        <v>1</v>
      </c>
      <c r="Q301" s="425">
        <f t="shared" si="60"/>
        <v>1</v>
      </c>
      <c r="R301" s="162"/>
      <c r="S301" s="432"/>
    </row>
    <row r="302" spans="1:19" hidden="1" outlineLevel="1" x14ac:dyDescent="0.2">
      <c r="A302" s="162"/>
      <c r="B302" s="162"/>
      <c r="C302" s="162"/>
      <c r="D302" s="432"/>
      <c r="E302" s="443"/>
      <c r="F302" s="443"/>
      <c r="G302" s="443"/>
      <c r="H302" s="443"/>
      <c r="I302" s="443"/>
      <c r="J302" s="443"/>
      <c r="K302" s="435"/>
      <c r="L302" s="425">
        <f t="shared" si="55"/>
        <v>1</v>
      </c>
      <c r="M302" s="425">
        <f t="shared" si="56"/>
        <v>1</v>
      </c>
      <c r="N302" s="425">
        <f t="shared" si="57"/>
        <v>1</v>
      </c>
      <c r="O302" s="425">
        <f t="shared" si="58"/>
        <v>1</v>
      </c>
      <c r="P302" s="425">
        <f t="shared" si="59"/>
        <v>1</v>
      </c>
      <c r="Q302" s="425">
        <f t="shared" si="60"/>
        <v>1</v>
      </c>
      <c r="R302" s="162"/>
      <c r="S302" s="432"/>
    </row>
    <row r="303" spans="1:19" hidden="1" outlineLevel="1" x14ac:dyDescent="0.2">
      <c r="A303" s="162"/>
      <c r="B303" s="162"/>
      <c r="C303" s="162"/>
      <c r="D303" s="432"/>
      <c r="E303" s="443"/>
      <c r="F303" s="443"/>
      <c r="G303" s="443"/>
      <c r="H303" s="443"/>
      <c r="I303" s="443"/>
      <c r="J303" s="443"/>
      <c r="K303" s="435"/>
      <c r="L303" s="425">
        <f t="shared" si="55"/>
        <v>1</v>
      </c>
      <c r="M303" s="425">
        <f t="shared" si="56"/>
        <v>1</v>
      </c>
      <c r="N303" s="425">
        <f t="shared" si="57"/>
        <v>1</v>
      </c>
      <c r="O303" s="425">
        <f t="shared" si="58"/>
        <v>1</v>
      </c>
      <c r="P303" s="425">
        <f t="shared" si="59"/>
        <v>1</v>
      </c>
      <c r="Q303" s="425">
        <f t="shared" si="60"/>
        <v>1</v>
      </c>
      <c r="R303" s="162"/>
      <c r="S303" s="432"/>
    </row>
    <row r="304" spans="1:19" hidden="1" outlineLevel="1" x14ac:dyDescent="0.2">
      <c r="A304" s="162"/>
      <c r="B304" s="162"/>
      <c r="C304" s="162"/>
      <c r="D304" s="432"/>
      <c r="E304" s="443"/>
      <c r="F304" s="443"/>
      <c r="G304" s="443"/>
      <c r="H304" s="443"/>
      <c r="I304" s="443"/>
      <c r="J304" s="443"/>
      <c r="K304" s="435"/>
      <c r="L304" s="425">
        <f t="shared" si="55"/>
        <v>1</v>
      </c>
      <c r="M304" s="425">
        <f t="shared" si="56"/>
        <v>1</v>
      </c>
      <c r="N304" s="425">
        <f t="shared" si="57"/>
        <v>1</v>
      </c>
      <c r="O304" s="425">
        <f t="shared" si="58"/>
        <v>1</v>
      </c>
      <c r="P304" s="425">
        <f t="shared" si="59"/>
        <v>1</v>
      </c>
      <c r="Q304" s="425">
        <f t="shared" si="60"/>
        <v>1</v>
      </c>
      <c r="R304" s="162"/>
      <c r="S304" s="432"/>
    </row>
    <row r="305" spans="1:19" hidden="1" outlineLevel="1" x14ac:dyDescent="0.2">
      <c r="A305" s="162"/>
      <c r="B305" s="162"/>
      <c r="C305" s="162"/>
      <c r="D305" s="432"/>
      <c r="E305" s="443"/>
      <c r="F305" s="443"/>
      <c r="G305" s="443"/>
      <c r="H305" s="443"/>
      <c r="I305" s="443"/>
      <c r="J305" s="443"/>
      <c r="K305" s="435"/>
      <c r="L305" s="425">
        <f t="shared" si="55"/>
        <v>1</v>
      </c>
      <c r="M305" s="425">
        <f t="shared" si="56"/>
        <v>1</v>
      </c>
      <c r="N305" s="425">
        <f t="shared" si="57"/>
        <v>1</v>
      </c>
      <c r="O305" s="425">
        <f t="shared" si="58"/>
        <v>1</v>
      </c>
      <c r="P305" s="425">
        <f t="shared" si="59"/>
        <v>1</v>
      </c>
      <c r="Q305" s="425">
        <f t="shared" si="60"/>
        <v>1</v>
      </c>
      <c r="R305" s="162"/>
      <c r="S305" s="432"/>
    </row>
    <row r="306" spans="1:19" hidden="1" outlineLevel="1" x14ac:dyDescent="0.2">
      <c r="A306" s="162"/>
      <c r="B306" s="162"/>
      <c r="C306" s="162"/>
      <c r="D306" s="432"/>
      <c r="E306" s="443"/>
      <c r="F306" s="443"/>
      <c r="G306" s="443"/>
      <c r="H306" s="443"/>
      <c r="I306" s="443"/>
      <c r="J306" s="443"/>
      <c r="K306" s="435"/>
      <c r="L306" s="425">
        <f>IF(E306="",1,E306)</f>
        <v>1</v>
      </c>
      <c r="M306" s="425">
        <f t="shared" si="56"/>
        <v>1</v>
      </c>
      <c r="N306" s="425">
        <f t="shared" si="57"/>
        <v>1</v>
      </c>
      <c r="O306" s="425">
        <f t="shared" si="58"/>
        <v>1</v>
      </c>
      <c r="P306" s="425">
        <f t="shared" si="59"/>
        <v>1</v>
      </c>
      <c r="Q306" s="425">
        <f t="shared" si="60"/>
        <v>1</v>
      </c>
      <c r="R306" s="162"/>
      <c r="S306" s="432"/>
    </row>
    <row r="307" spans="1:19" hidden="1" outlineLevel="1" x14ac:dyDescent="0.2">
      <c r="A307" s="162"/>
      <c r="B307" s="162"/>
      <c r="C307" s="162"/>
      <c r="D307" s="424" t="s">
        <v>213</v>
      </c>
      <c r="E307" s="444">
        <f t="shared" ref="E307:J307" si="61">L297*L298*L299*L300*L306*L301*L302*L303*L304*L305</f>
        <v>1</v>
      </c>
      <c r="F307" s="444">
        <f t="shared" si="61"/>
        <v>1</v>
      </c>
      <c r="G307" s="444">
        <f t="shared" si="61"/>
        <v>1</v>
      </c>
      <c r="H307" s="444">
        <f t="shared" si="61"/>
        <v>1</v>
      </c>
      <c r="I307" s="444">
        <f t="shared" si="61"/>
        <v>1</v>
      </c>
      <c r="J307" s="444">
        <f t="shared" si="61"/>
        <v>1</v>
      </c>
      <c r="K307" s="162"/>
      <c r="L307" s="162"/>
      <c r="M307" s="162"/>
      <c r="N307" s="638"/>
      <c r="O307" s="162"/>
      <c r="P307" s="162"/>
      <c r="Q307" s="162"/>
      <c r="R307" s="162"/>
      <c r="S307" s="162"/>
    </row>
    <row r="308" spans="1:19" hidden="1" outlineLevel="1" x14ac:dyDescent="0.2">
      <c r="A308" s="638"/>
      <c r="B308" s="638"/>
      <c r="C308" s="638"/>
      <c r="D308" s="419" t="s">
        <v>90</v>
      </c>
      <c r="E308" s="440">
        <f t="shared" ref="E308:J308" ca="1" si="62">IF(ISNUMBER(E294),E294*E307,"")</f>
        <v>0</v>
      </c>
      <c r="F308" s="440">
        <f t="shared" ca="1" si="62"/>
        <v>0</v>
      </c>
      <c r="G308" s="440">
        <f t="shared" ca="1" si="62"/>
        <v>0</v>
      </c>
      <c r="H308" s="440">
        <f t="shared" ca="1" si="62"/>
        <v>0</v>
      </c>
      <c r="I308" s="440">
        <f t="shared" ca="1" si="62"/>
        <v>0</v>
      </c>
      <c r="J308" s="440">
        <f t="shared" ca="1" si="62"/>
        <v>0</v>
      </c>
      <c r="K308" s="162"/>
      <c r="L308" s="638"/>
      <c r="M308" s="162"/>
      <c r="N308" s="162"/>
      <c r="O308" s="162"/>
      <c r="P308" s="162"/>
      <c r="Q308" s="162"/>
      <c r="R308" s="162"/>
      <c r="S308" s="162"/>
    </row>
    <row r="309" spans="1:19" hidden="1" outlineLevel="1" x14ac:dyDescent="0.2">
      <c r="A309" s="162"/>
      <c r="B309" s="162"/>
      <c r="C309" s="162"/>
      <c r="D309" s="435"/>
      <c r="E309" s="125"/>
      <c r="F309" s="125"/>
      <c r="G309" s="125"/>
      <c r="H309" s="125"/>
      <c r="I309" s="125"/>
      <c r="J309" s="125"/>
      <c r="K309" s="162"/>
      <c r="L309" s="162"/>
      <c r="M309" s="162"/>
      <c r="N309" s="162"/>
      <c r="O309" s="162"/>
      <c r="P309" s="641"/>
      <c r="Q309" s="641"/>
      <c r="R309" s="162"/>
      <c r="S309" s="125"/>
    </row>
    <row r="310" spans="1:19" hidden="1" outlineLevel="1" x14ac:dyDescent="0.2">
      <c r="A310" s="162"/>
      <c r="B310" s="162"/>
      <c r="C310" s="162"/>
      <c r="D310" s="429" t="str">
        <f>TxPhase1Tx</f>
        <v/>
      </c>
      <c r="E310" s="495"/>
      <c r="F310" s="125"/>
      <c r="G310" s="125"/>
      <c r="H310" s="125"/>
      <c r="I310" s="125"/>
      <c r="J310" s="125"/>
      <c r="K310" s="615"/>
      <c r="L310" s="615"/>
      <c r="M310" s="615"/>
      <c r="N310" s="615"/>
      <c r="O310" s="641"/>
      <c r="P310" s="641"/>
      <c r="Q310" s="641"/>
      <c r="R310" s="162"/>
      <c r="S310" s="36" t="s">
        <v>258</v>
      </c>
    </row>
    <row r="311" spans="1:19" hidden="1" outlineLevel="1" x14ac:dyDescent="0.2">
      <c r="A311" s="162"/>
      <c r="B311" s="162"/>
      <c r="C311" s="162"/>
      <c r="D311" s="429" t="s">
        <v>91</v>
      </c>
      <c r="E311" s="428"/>
      <c r="F311" s="428"/>
      <c r="G311" s="428"/>
      <c r="H311" s="428"/>
      <c r="I311" s="428"/>
      <c r="J311" s="428"/>
      <c r="K311" s="615"/>
      <c r="L311" s="615"/>
      <c r="M311" s="615"/>
      <c r="N311" s="615"/>
      <c r="O311" s="162"/>
      <c r="P311" s="641"/>
      <c r="Q311" s="641"/>
      <c r="R311" s="162"/>
      <c r="S311" s="426"/>
    </row>
    <row r="312" spans="1:19" hidden="1" outlineLevel="1" x14ac:dyDescent="0.2">
      <c r="A312" s="162"/>
      <c r="B312" s="162"/>
      <c r="C312" s="162"/>
      <c r="D312" s="435"/>
      <c r="E312" s="125"/>
      <c r="F312" s="125"/>
      <c r="G312" s="125"/>
      <c r="H312" s="125"/>
      <c r="I312" s="125"/>
      <c r="J312" s="125"/>
      <c r="K312" s="615"/>
      <c r="L312" s="615"/>
      <c r="M312" s="615"/>
      <c r="N312" s="615"/>
      <c r="O312" s="162"/>
      <c r="P312" s="641"/>
      <c r="Q312" s="641"/>
      <c r="R312" s="162"/>
      <c r="S312" s="125"/>
    </row>
    <row r="313" spans="1:19" hidden="1" outlineLevel="1" x14ac:dyDescent="0.2">
      <c r="A313" s="162"/>
      <c r="B313" s="162"/>
      <c r="C313" s="162"/>
      <c r="D313" s="433" t="str">
        <f>TXPhase2Tx</f>
        <v/>
      </c>
      <c r="E313" s="495"/>
      <c r="F313" s="125"/>
      <c r="G313" s="125"/>
      <c r="H313" s="125"/>
      <c r="I313" s="125"/>
      <c r="J313" s="125"/>
      <c r="K313" s="615"/>
      <c r="L313" s="615"/>
      <c r="M313" s="615"/>
      <c r="N313" s="615"/>
      <c r="O313" s="162"/>
      <c r="P313" s="641"/>
      <c r="Q313" s="641"/>
      <c r="R313" s="162"/>
      <c r="S313" s="36" t="s">
        <v>258</v>
      </c>
    </row>
    <row r="314" spans="1:19" hidden="1" outlineLevel="1" x14ac:dyDescent="0.2">
      <c r="A314" s="162"/>
      <c r="B314" s="162"/>
      <c r="C314" s="162"/>
      <c r="D314" s="433" t="str">
        <f>IF(D313&lt;&gt;"","Patients electing treatment (%)","")</f>
        <v/>
      </c>
      <c r="E314" s="428"/>
      <c r="F314" s="428"/>
      <c r="G314" s="428"/>
      <c r="H314" s="428"/>
      <c r="I314" s="428"/>
      <c r="J314" s="428"/>
      <c r="K314" s="615"/>
      <c r="L314" s="615"/>
      <c r="M314" s="615"/>
      <c r="N314" s="615"/>
      <c r="O314" s="162"/>
      <c r="P314" s="641"/>
      <c r="Q314" s="641"/>
      <c r="R314" s="162"/>
      <c r="S314" s="426"/>
    </row>
    <row r="315" spans="1:19" hidden="1" outlineLevel="1" x14ac:dyDescent="0.2">
      <c r="A315" s="162"/>
      <c r="B315" s="162"/>
      <c r="C315" s="162"/>
      <c r="D315" s="435"/>
      <c r="E315" s="435"/>
      <c r="F315" s="435"/>
      <c r="G315" s="435"/>
      <c r="H315" s="435"/>
      <c r="I315" s="435"/>
      <c r="J315" s="435"/>
      <c r="K315" s="615"/>
      <c r="L315" s="615"/>
      <c r="M315" s="615"/>
      <c r="N315" s="615"/>
      <c r="O315" s="641"/>
      <c r="P315" s="641"/>
      <c r="Q315" s="641"/>
      <c r="R315" s="162"/>
      <c r="S315" s="125"/>
    </row>
    <row r="316" spans="1:19" s="416" customFormat="1" hidden="1" outlineLevel="1" x14ac:dyDescent="0.2">
      <c r="A316" s="162"/>
      <c r="B316" s="162"/>
      <c r="C316" s="475">
        <f>IFERROR(VLOOKUP(E316,TxPhase2SourceCode,2,FALSE),0)</f>
        <v>1</v>
      </c>
      <c r="D316" s="429" t="s">
        <v>1165</v>
      </c>
      <c r="E316" s="263" t="s">
        <v>1166</v>
      </c>
      <c r="F316" s="435"/>
      <c r="G316" s="435"/>
      <c r="H316" s="435"/>
      <c r="I316" s="435"/>
      <c r="J316" s="435"/>
      <c r="K316" s="615"/>
      <c r="L316" s="615"/>
      <c r="M316" s="615"/>
      <c r="N316" s="615"/>
      <c r="O316" s="641"/>
      <c r="P316" s="641"/>
      <c r="Q316" s="641"/>
      <c r="R316" s="162"/>
      <c r="S316" s="125"/>
    </row>
    <row r="317" spans="1:19" s="416" customFormat="1" hidden="1" outlineLevel="1" x14ac:dyDescent="0.2">
      <c r="A317" s="162"/>
      <c r="B317" s="162"/>
      <c r="C317" s="162"/>
      <c r="D317" s="435"/>
      <c r="E317" s="435"/>
      <c r="F317" s="435"/>
      <c r="G317" s="435"/>
      <c r="H317" s="435"/>
      <c r="I317" s="435"/>
      <c r="J317" s="435"/>
      <c r="K317" s="615"/>
      <c r="L317" s="615"/>
      <c r="M317" s="615"/>
      <c r="N317" s="615"/>
      <c r="O317" s="641"/>
      <c r="P317" s="641"/>
      <c r="Q317" s="641"/>
      <c r="R317" s="162"/>
      <c r="S317" s="125"/>
    </row>
    <row r="318" spans="1:19" hidden="1" outlineLevel="1" x14ac:dyDescent="0.2">
      <c r="A318" s="162"/>
      <c r="B318" s="162"/>
      <c r="C318" s="162"/>
      <c r="D318" s="429" t="str">
        <f>TxPhase1Px</f>
        <v/>
      </c>
      <c r="E318" s="440">
        <f t="shared" ref="E318:J318" si="63">IF(TxPhase1&lt;&gt;"",E308*E311,0)</f>
        <v>0</v>
      </c>
      <c r="F318" s="440">
        <f t="shared" si="63"/>
        <v>0</v>
      </c>
      <c r="G318" s="440">
        <f t="shared" si="63"/>
        <v>0</v>
      </c>
      <c r="H318" s="440">
        <f t="shared" si="63"/>
        <v>0</v>
      </c>
      <c r="I318" s="440">
        <f t="shared" si="63"/>
        <v>0</v>
      </c>
      <c r="J318" s="440">
        <f t="shared" si="63"/>
        <v>0</v>
      </c>
      <c r="K318" s="615"/>
      <c r="L318" s="615"/>
      <c r="M318" s="615"/>
      <c r="N318" s="615"/>
      <c r="O318" s="641"/>
      <c r="P318" s="641"/>
      <c r="Q318" s="641"/>
      <c r="R318" s="162"/>
      <c r="S318" s="162"/>
    </row>
    <row r="319" spans="1:19" hidden="1" outlineLevel="1" x14ac:dyDescent="0.2">
      <c r="A319" s="162"/>
      <c r="B319" s="162"/>
      <c r="C319" s="162"/>
      <c r="D319" s="429" t="str">
        <f>TxPhase2Px</f>
        <v/>
      </c>
      <c r="E319" s="440">
        <f t="shared" ref="E319:J319" si="64">IF(TxPhase2&lt;&gt;"",IF($C316=1,E318,IF($C316=2,E308,0))*E314,0)</f>
        <v>0</v>
      </c>
      <c r="F319" s="440">
        <f t="shared" si="64"/>
        <v>0</v>
      </c>
      <c r="G319" s="440">
        <f t="shared" si="64"/>
        <v>0</v>
      </c>
      <c r="H319" s="440">
        <f t="shared" si="64"/>
        <v>0</v>
      </c>
      <c r="I319" s="440">
        <f t="shared" si="64"/>
        <v>0</v>
      </c>
      <c r="J319" s="440">
        <f t="shared" si="64"/>
        <v>0</v>
      </c>
      <c r="K319" s="615"/>
      <c r="L319" s="615"/>
      <c r="M319" s="615"/>
      <c r="N319" s="615"/>
      <c r="O319" s="162"/>
      <c r="P319" s="641"/>
      <c r="Q319" s="641"/>
      <c r="R319" s="162"/>
      <c r="S319" s="162"/>
    </row>
    <row r="320" spans="1:19" s="416" customFormat="1" hidden="1" outlineLevel="1" x14ac:dyDescent="0.2">
      <c r="A320" s="162"/>
      <c r="B320" s="162"/>
      <c r="C320" s="162"/>
      <c r="D320" s="417"/>
      <c r="E320" s="417"/>
      <c r="F320" s="162"/>
      <c r="G320" s="162"/>
      <c r="H320" s="162"/>
      <c r="I320" s="162"/>
      <c r="J320" s="162"/>
      <c r="K320" s="162"/>
      <c r="L320" s="162"/>
      <c r="M320" s="162"/>
      <c r="N320" s="638"/>
      <c r="O320" s="162"/>
      <c r="P320" s="641"/>
      <c r="Q320" s="641"/>
      <c r="R320" s="162"/>
      <c r="S320" s="162"/>
    </row>
    <row r="321" spans="1:19" s="416" customFormat="1" hidden="1" outlineLevel="1" x14ac:dyDescent="0.2">
      <c r="A321" s="162"/>
      <c r="B321" s="162"/>
      <c r="C321" s="291" t="str">
        <f>IF(E321&lt;&gt;"",E321,"")</f>
        <v/>
      </c>
      <c r="D321" s="89" t="s">
        <v>756</v>
      </c>
      <c r="E321" s="263"/>
      <c r="F321" s="162"/>
      <c r="G321" s="162"/>
      <c r="H321" s="162"/>
      <c r="I321" s="162"/>
      <c r="J321" s="162"/>
      <c r="K321" s="162"/>
      <c r="L321" s="162"/>
      <c r="M321" s="162"/>
      <c r="N321" s="638"/>
      <c r="O321" s="162"/>
      <c r="P321" s="641"/>
      <c r="Q321" s="641"/>
      <c r="R321" s="162"/>
      <c r="S321" s="162"/>
    </row>
    <row r="322" spans="1:19" hidden="1" outlineLevel="1" x14ac:dyDescent="0.2">
      <c r="A322" s="615"/>
      <c r="B322" s="615"/>
      <c r="C322" s="615"/>
      <c r="D322" s="162"/>
      <c r="E322" s="162"/>
      <c r="F322" s="615"/>
      <c r="G322" s="615"/>
      <c r="H322" s="615"/>
      <c r="I322" s="615"/>
      <c r="J322" s="615"/>
      <c r="K322" s="615"/>
      <c r="L322" s="615"/>
      <c r="M322" s="615"/>
      <c r="N322" s="615"/>
      <c r="O322" s="615"/>
      <c r="P322" s="615"/>
      <c r="Q322" s="615"/>
      <c r="R322" s="615"/>
      <c r="S322" s="162"/>
    </row>
    <row r="323" spans="1:19" collapsed="1" x14ac:dyDescent="0.2">
      <c r="A323" s="162"/>
      <c r="B323" s="162"/>
      <c r="C323" s="162"/>
      <c r="D323" s="162"/>
      <c r="E323" s="162"/>
      <c r="F323" s="162"/>
      <c r="G323" s="162"/>
      <c r="H323" s="162"/>
      <c r="I323" s="162"/>
      <c r="J323" s="162"/>
      <c r="K323" s="162"/>
      <c r="L323" s="162"/>
      <c r="M323" s="162"/>
      <c r="N323" s="162"/>
      <c r="O323" s="162"/>
      <c r="P323" s="162"/>
      <c r="Q323" s="162"/>
      <c r="R323" s="162"/>
      <c r="S323" s="162"/>
    </row>
    <row r="324" spans="1:19" ht="15.75" x14ac:dyDescent="0.2">
      <c r="A324" s="162"/>
      <c r="B324" s="162"/>
      <c r="C324" s="573">
        <v>9</v>
      </c>
      <c r="D324" s="79" t="str">
        <f>IF(E328&lt;&gt;"",CONCATENATE("Incident ",C324,": ",G328,L324),MsgNotUsed)</f>
        <v>** NOT USED **</v>
      </c>
      <c r="E324" s="132"/>
      <c r="F324" s="132"/>
      <c r="G324" s="132"/>
      <c r="H324" s="132"/>
      <c r="I324" s="134"/>
      <c r="J324" s="134"/>
      <c r="K324" s="325"/>
      <c r="L324" s="325" t="str">
        <f>IF(S328&lt;&gt;"",CONCATENATE(" (",S328,")"),"")</f>
        <v/>
      </c>
      <c r="M324" s="325"/>
      <c r="N324" s="325"/>
      <c r="O324" s="325"/>
      <c r="P324" s="325"/>
      <c r="Q324" s="325"/>
      <c r="R324" s="133"/>
      <c r="S324" s="133"/>
    </row>
    <row r="325" spans="1:19" hidden="1" outlineLevel="1" x14ac:dyDescent="0.2">
      <c r="A325" s="129"/>
      <c r="B325" s="129"/>
      <c r="C325" s="129"/>
      <c r="D325" s="616"/>
      <c r="E325" s="129"/>
      <c r="F325" s="129"/>
      <c r="G325" s="129"/>
      <c r="H325" s="129"/>
      <c r="I325" s="129"/>
      <c r="J325" s="129"/>
      <c r="K325" s="129"/>
      <c r="L325" s="129"/>
      <c r="M325" s="129"/>
      <c r="N325" s="129"/>
      <c r="O325" s="129"/>
      <c r="P325" s="129"/>
      <c r="Q325" s="129"/>
      <c r="R325" s="129"/>
      <c r="S325" s="129"/>
    </row>
    <row r="326" spans="1:19" hidden="1" outlineLevel="1" x14ac:dyDescent="0.2">
      <c r="A326" s="129"/>
      <c r="B326" s="129"/>
      <c r="C326" s="129"/>
      <c r="D326" s="162" t="s">
        <v>839</v>
      </c>
      <c r="E326" s="129"/>
      <c r="F326" s="129"/>
      <c r="G326" s="129"/>
      <c r="H326" s="615"/>
      <c r="I326" s="615"/>
      <c r="J326" s="615"/>
      <c r="K326" s="162"/>
      <c r="L326" s="162"/>
      <c r="M326" s="162"/>
      <c r="N326" s="162"/>
      <c r="O326" s="162"/>
      <c r="P326" s="162"/>
      <c r="Q326" s="162"/>
      <c r="R326" s="129"/>
      <c r="S326" s="615"/>
    </row>
    <row r="327" spans="1:19" hidden="1" outlineLevel="1" x14ac:dyDescent="0.2">
      <c r="A327" s="129"/>
      <c r="B327" s="129"/>
      <c r="C327" s="129"/>
      <c r="D327" s="616"/>
      <c r="E327" s="129"/>
      <c r="F327" s="129"/>
      <c r="G327" s="129"/>
      <c r="H327" s="129"/>
      <c r="I327" s="129"/>
      <c r="J327" s="129"/>
      <c r="K327" s="162"/>
      <c r="L327" s="162"/>
      <c r="M327" s="162"/>
      <c r="N327" s="162"/>
      <c r="O327" s="162"/>
      <c r="P327" s="162"/>
      <c r="Q327" s="162"/>
      <c r="R327" s="129"/>
      <c r="S327" s="36" t="s">
        <v>424</v>
      </c>
    </row>
    <row r="328" spans="1:19" hidden="1" outlineLevel="1" x14ac:dyDescent="0.2">
      <c r="A328" s="129"/>
      <c r="B328" s="291">
        <f>IF(E328&lt;&gt;"",MATCH(E328,EPISource,0)-1,0)</f>
        <v>0</v>
      </c>
      <c r="C328" s="291">
        <f ca="1">IF(G328&lt;&gt;"",MATCH(G328,OFFSET(References!$AE$7,0,B328,PxPopMaxCount),0),0)</f>
        <v>0</v>
      </c>
      <c r="D328" s="423" t="s">
        <v>113</v>
      </c>
      <c r="E328" s="438"/>
      <c r="F328" s="436"/>
      <c r="G328" s="812"/>
      <c r="H328" s="813"/>
      <c r="I328" s="813"/>
      <c r="J328" s="813"/>
      <c r="K328" s="435"/>
      <c r="L328" s="162"/>
      <c r="M328" s="162"/>
      <c r="N328" s="162"/>
      <c r="O328" s="162"/>
      <c r="P328" s="162"/>
      <c r="Q328" s="162"/>
      <c r="R328" s="129"/>
      <c r="S328" s="439"/>
    </row>
    <row r="329" spans="1:19" hidden="1" outlineLevel="1" x14ac:dyDescent="0.2">
      <c r="A329" s="129"/>
      <c r="B329" s="291">
        <f>INDEX(PxPopValid,,B328+1)</f>
        <v>0</v>
      </c>
      <c r="C329" s="291">
        <f ca="1">(B328*PxPopMaxCount)+C328</f>
        <v>0</v>
      </c>
      <c r="D329" s="616"/>
      <c r="E329" s="650">
        <v>1</v>
      </c>
      <c r="F329" s="650">
        <v>2</v>
      </c>
      <c r="G329" s="650">
        <v>3</v>
      </c>
      <c r="H329" s="650">
        <v>4</v>
      </c>
      <c r="I329" s="650">
        <v>5</v>
      </c>
      <c r="J329" s="650">
        <v>6</v>
      </c>
      <c r="K329" s="435"/>
      <c r="L329" s="162"/>
      <c r="M329" s="162"/>
      <c r="N329" s="162"/>
      <c r="O329" s="162"/>
      <c r="P329" s="162"/>
      <c r="Q329" s="162"/>
      <c r="R329" s="129"/>
      <c r="S329" s="162"/>
    </row>
    <row r="330" spans="1:19" ht="15" hidden="1" customHeight="1" outlineLevel="1" x14ac:dyDescent="0.2">
      <c r="A330" s="129"/>
      <c r="B330" s="129"/>
      <c r="C330" s="129"/>
      <c r="D330" s="616"/>
      <c r="E330" s="814" t="s">
        <v>10</v>
      </c>
      <c r="F330" s="814"/>
      <c r="G330" s="814"/>
      <c r="H330" s="814"/>
      <c r="I330" s="814"/>
      <c r="J330" s="814"/>
      <c r="K330" s="435"/>
      <c r="L330" s="162"/>
      <c r="M330" s="162"/>
      <c r="N330" s="162"/>
      <c r="O330" s="162"/>
      <c r="P330" s="162"/>
      <c r="Q330" s="162"/>
      <c r="R330" s="129"/>
      <c r="S330" s="636" t="str">
        <f ca="1">IF(ISERROR($C329)=TRUE,MsgError &amp; VLOOKUP("BadPop",ErrorMessages,2,FALSE),IF(RIGHT(G328,12)="(Prevalence)",MsgError &amp; VLOOKUP("BadPrevPop",ErrorMessages,2,FALSE),""))</f>
        <v/>
      </c>
    </row>
    <row r="331" spans="1:19" hidden="1" outlineLevel="1" x14ac:dyDescent="0.2">
      <c r="A331" s="129"/>
      <c r="B331" s="129"/>
      <c r="C331" s="129"/>
      <c r="D331" s="643"/>
      <c r="E331" s="431">
        <f>FirstYear</f>
        <v>2021</v>
      </c>
      <c r="F331" s="431">
        <f>E331+1</f>
        <v>2022</v>
      </c>
      <c r="G331" s="431">
        <f>F331+1</f>
        <v>2023</v>
      </c>
      <c r="H331" s="431">
        <f>G331+1</f>
        <v>2024</v>
      </c>
      <c r="I331" s="431">
        <f>H331+1</f>
        <v>2025</v>
      </c>
      <c r="J331" s="431">
        <f>I331+1</f>
        <v>2026</v>
      </c>
      <c r="K331" s="435"/>
      <c r="L331" s="162"/>
      <c r="M331" s="162"/>
      <c r="N331" s="162"/>
      <c r="O331" s="162"/>
      <c r="P331" s="162"/>
      <c r="Q331" s="162"/>
      <c r="R331" s="129"/>
      <c r="S331" s="162"/>
    </row>
    <row r="332" spans="1:19" ht="12.75" hidden="1" customHeight="1" outlineLevel="1" x14ac:dyDescent="0.2">
      <c r="A332" s="162"/>
      <c r="B332" s="162"/>
      <c r="C332" s="162"/>
      <c r="D332" s="721" t="s">
        <v>342</v>
      </c>
      <c r="E332" s="437">
        <f t="shared" ref="E332:J332" ca="1" si="65">IF(AND(ISERROR($C329)&lt;&gt;TRUE,$G328&lt;&gt;""),INDEX(PxPopNumbers,$C329,E329),0)</f>
        <v>0</v>
      </c>
      <c r="F332" s="437">
        <f t="shared" ca="1" si="65"/>
        <v>0</v>
      </c>
      <c r="G332" s="437">
        <f t="shared" ca="1" si="65"/>
        <v>0</v>
      </c>
      <c r="H332" s="437">
        <f t="shared" ca="1" si="65"/>
        <v>0</v>
      </c>
      <c r="I332" s="437">
        <f t="shared" ca="1" si="65"/>
        <v>0</v>
      </c>
      <c r="J332" s="437">
        <f t="shared" ca="1" si="65"/>
        <v>0</v>
      </c>
      <c r="K332" s="435"/>
      <c r="L332" s="162"/>
      <c r="M332" s="162"/>
      <c r="N332" s="162"/>
      <c r="O332" s="162"/>
      <c r="P332" s="162"/>
      <c r="Q332" s="162"/>
      <c r="R332" s="616"/>
      <c r="S332" s="162"/>
    </row>
    <row r="333" spans="1:19" ht="12.75" hidden="1" customHeight="1" outlineLevel="1" x14ac:dyDescent="0.2">
      <c r="A333" s="162"/>
      <c r="B333" s="162"/>
      <c r="C333" s="162"/>
      <c r="D333" s="162"/>
      <c r="E333" s="435"/>
      <c r="F333" s="435"/>
      <c r="G333" s="435"/>
      <c r="H333" s="435"/>
      <c r="I333" s="435"/>
      <c r="J333" s="435"/>
      <c r="K333" s="435"/>
      <c r="L333" s="162"/>
      <c r="M333" s="162"/>
      <c r="N333" s="162"/>
      <c r="O333" s="162"/>
      <c r="P333" s="162"/>
      <c r="Q333" s="162"/>
      <c r="R333" s="162"/>
      <c r="S333" s="162"/>
    </row>
    <row r="334" spans="1:19" ht="12.75" hidden="1" customHeight="1" outlineLevel="1" x14ac:dyDescent="0.2">
      <c r="A334" s="162"/>
      <c r="B334" s="162"/>
      <c r="C334" s="162"/>
      <c r="D334" s="720" t="s">
        <v>205</v>
      </c>
      <c r="E334" s="435"/>
      <c r="F334" s="435"/>
      <c r="G334" s="435"/>
      <c r="H334" s="435"/>
      <c r="I334" s="435"/>
      <c r="J334" s="435"/>
      <c r="K334" s="435"/>
      <c r="L334" s="162"/>
      <c r="M334" s="162"/>
      <c r="N334" s="162"/>
      <c r="O334" s="162"/>
      <c r="P334" s="162"/>
      <c r="Q334" s="162"/>
      <c r="R334" s="162"/>
      <c r="S334" s="36" t="s">
        <v>258</v>
      </c>
    </row>
    <row r="335" spans="1:19" hidden="1" outlineLevel="1" x14ac:dyDescent="0.2">
      <c r="A335" s="162"/>
      <c r="B335" s="162"/>
      <c r="C335" s="162"/>
      <c r="D335" s="432"/>
      <c r="E335" s="443"/>
      <c r="F335" s="443"/>
      <c r="G335" s="443"/>
      <c r="H335" s="443"/>
      <c r="I335" s="443"/>
      <c r="J335" s="443"/>
      <c r="K335" s="435"/>
      <c r="L335" s="425">
        <f t="shared" ref="L335:L343" si="66">IF(E335="",1,E335)</f>
        <v>1</v>
      </c>
      <c r="M335" s="425">
        <f t="shared" ref="M335:M344" si="67">IF(F335="",1,F335)</f>
        <v>1</v>
      </c>
      <c r="N335" s="425">
        <f t="shared" ref="N335:N344" si="68">IF(G335="",1,G335)</f>
        <v>1</v>
      </c>
      <c r="O335" s="425">
        <f t="shared" ref="O335:O344" si="69">IF(H335="",1,H335)</f>
        <v>1</v>
      </c>
      <c r="P335" s="425">
        <f t="shared" ref="P335:P344" si="70">IF(I335="",1,I335)</f>
        <v>1</v>
      </c>
      <c r="Q335" s="425">
        <f t="shared" ref="Q335:Q344" si="71">IF(J335="",1,J335)</f>
        <v>1</v>
      </c>
      <c r="R335" s="162"/>
      <c r="S335" s="432"/>
    </row>
    <row r="336" spans="1:19" hidden="1" outlineLevel="1" x14ac:dyDescent="0.2">
      <c r="A336" s="162"/>
      <c r="B336" s="162"/>
      <c r="C336" s="162"/>
      <c r="D336" s="432"/>
      <c r="E336" s="443"/>
      <c r="F336" s="443"/>
      <c r="G336" s="443"/>
      <c r="H336" s="443"/>
      <c r="I336" s="443"/>
      <c r="J336" s="443"/>
      <c r="K336" s="435"/>
      <c r="L336" s="425">
        <f t="shared" si="66"/>
        <v>1</v>
      </c>
      <c r="M336" s="425">
        <f t="shared" si="67"/>
        <v>1</v>
      </c>
      <c r="N336" s="425">
        <f t="shared" si="68"/>
        <v>1</v>
      </c>
      <c r="O336" s="425">
        <f t="shared" si="69"/>
        <v>1</v>
      </c>
      <c r="P336" s="425">
        <f t="shared" si="70"/>
        <v>1</v>
      </c>
      <c r="Q336" s="425">
        <f t="shared" si="71"/>
        <v>1</v>
      </c>
      <c r="R336" s="162"/>
      <c r="S336" s="432"/>
    </row>
    <row r="337" spans="1:19" hidden="1" outlineLevel="1" x14ac:dyDescent="0.2">
      <c r="A337" s="162"/>
      <c r="B337" s="162"/>
      <c r="C337" s="162"/>
      <c r="D337" s="432"/>
      <c r="E337" s="443"/>
      <c r="F337" s="443"/>
      <c r="G337" s="443"/>
      <c r="H337" s="443"/>
      <c r="I337" s="443"/>
      <c r="J337" s="443"/>
      <c r="K337" s="435"/>
      <c r="L337" s="425">
        <f t="shared" si="66"/>
        <v>1</v>
      </c>
      <c r="M337" s="425">
        <f t="shared" si="67"/>
        <v>1</v>
      </c>
      <c r="N337" s="425">
        <f t="shared" si="68"/>
        <v>1</v>
      </c>
      <c r="O337" s="425">
        <f t="shared" si="69"/>
        <v>1</v>
      </c>
      <c r="P337" s="425">
        <f t="shared" si="70"/>
        <v>1</v>
      </c>
      <c r="Q337" s="425">
        <f t="shared" si="71"/>
        <v>1</v>
      </c>
      <c r="R337" s="162"/>
      <c r="S337" s="432"/>
    </row>
    <row r="338" spans="1:19" hidden="1" outlineLevel="1" x14ac:dyDescent="0.2">
      <c r="A338" s="162"/>
      <c r="B338" s="162"/>
      <c r="C338" s="162"/>
      <c r="D338" s="432"/>
      <c r="E338" s="443"/>
      <c r="F338" s="443"/>
      <c r="G338" s="443"/>
      <c r="H338" s="443"/>
      <c r="I338" s="443"/>
      <c r="J338" s="443"/>
      <c r="K338" s="435"/>
      <c r="L338" s="425">
        <f t="shared" si="66"/>
        <v>1</v>
      </c>
      <c r="M338" s="425">
        <f t="shared" si="67"/>
        <v>1</v>
      </c>
      <c r="N338" s="425">
        <f t="shared" si="68"/>
        <v>1</v>
      </c>
      <c r="O338" s="425">
        <f t="shared" si="69"/>
        <v>1</v>
      </c>
      <c r="P338" s="425">
        <f t="shared" si="70"/>
        <v>1</v>
      </c>
      <c r="Q338" s="425">
        <f t="shared" si="71"/>
        <v>1</v>
      </c>
      <c r="R338" s="162"/>
      <c r="S338" s="432"/>
    </row>
    <row r="339" spans="1:19" hidden="1" outlineLevel="1" x14ac:dyDescent="0.2">
      <c r="A339" s="162"/>
      <c r="B339" s="162"/>
      <c r="C339" s="162"/>
      <c r="D339" s="432"/>
      <c r="E339" s="443"/>
      <c r="F339" s="443"/>
      <c r="G339" s="443"/>
      <c r="H339" s="443"/>
      <c r="I339" s="443"/>
      <c r="J339" s="443"/>
      <c r="K339" s="435"/>
      <c r="L339" s="425">
        <f t="shared" si="66"/>
        <v>1</v>
      </c>
      <c r="M339" s="425">
        <f t="shared" si="67"/>
        <v>1</v>
      </c>
      <c r="N339" s="425">
        <f t="shared" si="68"/>
        <v>1</v>
      </c>
      <c r="O339" s="425">
        <f t="shared" si="69"/>
        <v>1</v>
      </c>
      <c r="P339" s="425">
        <f t="shared" si="70"/>
        <v>1</v>
      </c>
      <c r="Q339" s="425">
        <f t="shared" si="71"/>
        <v>1</v>
      </c>
      <c r="R339" s="162"/>
      <c r="S339" s="432"/>
    </row>
    <row r="340" spans="1:19" hidden="1" outlineLevel="1" x14ac:dyDescent="0.2">
      <c r="A340" s="162"/>
      <c r="B340" s="162"/>
      <c r="C340" s="162"/>
      <c r="D340" s="432"/>
      <c r="E340" s="443"/>
      <c r="F340" s="443"/>
      <c r="G340" s="443"/>
      <c r="H340" s="443"/>
      <c r="I340" s="443"/>
      <c r="J340" s="443"/>
      <c r="K340" s="435"/>
      <c r="L340" s="425">
        <f t="shared" si="66"/>
        <v>1</v>
      </c>
      <c r="M340" s="425">
        <f t="shared" si="67"/>
        <v>1</v>
      </c>
      <c r="N340" s="425">
        <f t="shared" si="68"/>
        <v>1</v>
      </c>
      <c r="O340" s="425">
        <f t="shared" si="69"/>
        <v>1</v>
      </c>
      <c r="P340" s="425">
        <f t="shared" si="70"/>
        <v>1</v>
      </c>
      <c r="Q340" s="425">
        <f t="shared" si="71"/>
        <v>1</v>
      </c>
      <c r="R340" s="162"/>
      <c r="S340" s="432"/>
    </row>
    <row r="341" spans="1:19" hidden="1" outlineLevel="1" x14ac:dyDescent="0.2">
      <c r="A341" s="162"/>
      <c r="B341" s="162"/>
      <c r="C341" s="162"/>
      <c r="D341" s="432"/>
      <c r="E341" s="443"/>
      <c r="F341" s="443"/>
      <c r="G341" s="443"/>
      <c r="H341" s="443"/>
      <c r="I341" s="443"/>
      <c r="J341" s="443"/>
      <c r="K341" s="435"/>
      <c r="L341" s="425">
        <f t="shared" si="66"/>
        <v>1</v>
      </c>
      <c r="M341" s="425">
        <f t="shared" si="67"/>
        <v>1</v>
      </c>
      <c r="N341" s="425">
        <f t="shared" si="68"/>
        <v>1</v>
      </c>
      <c r="O341" s="425">
        <f t="shared" si="69"/>
        <v>1</v>
      </c>
      <c r="P341" s="425">
        <f t="shared" si="70"/>
        <v>1</v>
      </c>
      <c r="Q341" s="425">
        <f t="shared" si="71"/>
        <v>1</v>
      </c>
      <c r="R341" s="162"/>
      <c r="S341" s="432"/>
    </row>
    <row r="342" spans="1:19" hidden="1" outlineLevel="1" x14ac:dyDescent="0.2">
      <c r="A342" s="162"/>
      <c r="B342" s="162"/>
      <c r="C342" s="162"/>
      <c r="D342" s="432"/>
      <c r="E342" s="443"/>
      <c r="F342" s="443"/>
      <c r="G342" s="443"/>
      <c r="H342" s="443"/>
      <c r="I342" s="443"/>
      <c r="J342" s="443"/>
      <c r="K342" s="435"/>
      <c r="L342" s="425">
        <f t="shared" si="66"/>
        <v>1</v>
      </c>
      <c r="M342" s="425">
        <f t="shared" si="67"/>
        <v>1</v>
      </c>
      <c r="N342" s="425">
        <f t="shared" si="68"/>
        <v>1</v>
      </c>
      <c r="O342" s="425">
        <f t="shared" si="69"/>
        <v>1</v>
      </c>
      <c r="P342" s="425">
        <f t="shared" si="70"/>
        <v>1</v>
      </c>
      <c r="Q342" s="425">
        <f t="shared" si="71"/>
        <v>1</v>
      </c>
      <c r="R342" s="162"/>
      <c r="S342" s="432"/>
    </row>
    <row r="343" spans="1:19" hidden="1" outlineLevel="1" x14ac:dyDescent="0.2">
      <c r="A343" s="162"/>
      <c r="B343" s="162"/>
      <c r="C343" s="162"/>
      <c r="D343" s="432"/>
      <c r="E343" s="443"/>
      <c r="F343" s="443"/>
      <c r="G343" s="443"/>
      <c r="H343" s="443"/>
      <c r="I343" s="443"/>
      <c r="J343" s="443"/>
      <c r="K343" s="435"/>
      <c r="L343" s="425">
        <f t="shared" si="66"/>
        <v>1</v>
      </c>
      <c r="M343" s="425">
        <f t="shared" si="67"/>
        <v>1</v>
      </c>
      <c r="N343" s="425">
        <f t="shared" si="68"/>
        <v>1</v>
      </c>
      <c r="O343" s="425">
        <f t="shared" si="69"/>
        <v>1</v>
      </c>
      <c r="P343" s="425">
        <f t="shared" si="70"/>
        <v>1</v>
      </c>
      <c r="Q343" s="425">
        <f t="shared" si="71"/>
        <v>1</v>
      </c>
      <c r="R343" s="162"/>
      <c r="S343" s="432"/>
    </row>
    <row r="344" spans="1:19" hidden="1" outlineLevel="1" x14ac:dyDescent="0.2">
      <c r="A344" s="162"/>
      <c r="B344" s="162"/>
      <c r="C344" s="162"/>
      <c r="D344" s="432"/>
      <c r="E344" s="443"/>
      <c r="F344" s="443"/>
      <c r="G344" s="443"/>
      <c r="H344" s="443"/>
      <c r="I344" s="443"/>
      <c r="J344" s="443"/>
      <c r="K344" s="435"/>
      <c r="L344" s="425">
        <f>IF(E344="",1,E344)</f>
        <v>1</v>
      </c>
      <c r="M344" s="425">
        <f t="shared" si="67"/>
        <v>1</v>
      </c>
      <c r="N344" s="425">
        <f t="shared" si="68"/>
        <v>1</v>
      </c>
      <c r="O344" s="425">
        <f t="shared" si="69"/>
        <v>1</v>
      </c>
      <c r="P344" s="425">
        <f t="shared" si="70"/>
        <v>1</v>
      </c>
      <c r="Q344" s="425">
        <f t="shared" si="71"/>
        <v>1</v>
      </c>
      <c r="R344" s="162"/>
      <c r="S344" s="432"/>
    </row>
    <row r="345" spans="1:19" hidden="1" outlineLevel="1" x14ac:dyDescent="0.2">
      <c r="A345" s="162"/>
      <c r="B345" s="162"/>
      <c r="C345" s="162"/>
      <c r="D345" s="424" t="s">
        <v>213</v>
      </c>
      <c r="E345" s="444">
        <f t="shared" ref="E345:J345" si="72">L335*L336*L337*L338*L344*L339*L340*L341*L342*L343</f>
        <v>1</v>
      </c>
      <c r="F345" s="444">
        <f t="shared" si="72"/>
        <v>1</v>
      </c>
      <c r="G345" s="444">
        <f t="shared" si="72"/>
        <v>1</v>
      </c>
      <c r="H345" s="444">
        <f t="shared" si="72"/>
        <v>1</v>
      </c>
      <c r="I345" s="444">
        <f t="shared" si="72"/>
        <v>1</v>
      </c>
      <c r="J345" s="444">
        <f t="shared" si="72"/>
        <v>1</v>
      </c>
      <c r="K345" s="162"/>
      <c r="L345" s="162"/>
      <c r="M345" s="162"/>
      <c r="N345" s="638"/>
      <c r="O345" s="162"/>
      <c r="P345" s="162"/>
      <c r="Q345" s="162"/>
      <c r="R345" s="162"/>
      <c r="S345" s="162"/>
    </row>
    <row r="346" spans="1:19" hidden="1" outlineLevel="1" x14ac:dyDescent="0.2">
      <c r="A346" s="638"/>
      <c r="B346" s="638"/>
      <c r="C346" s="638"/>
      <c r="D346" s="419" t="s">
        <v>90</v>
      </c>
      <c r="E346" s="440">
        <f t="shared" ref="E346:J346" ca="1" si="73">IF(ISNUMBER(E332),E332*E345,"")</f>
        <v>0</v>
      </c>
      <c r="F346" s="440">
        <f t="shared" ca="1" si="73"/>
        <v>0</v>
      </c>
      <c r="G346" s="440">
        <f t="shared" ca="1" si="73"/>
        <v>0</v>
      </c>
      <c r="H346" s="440">
        <f t="shared" ca="1" si="73"/>
        <v>0</v>
      </c>
      <c r="I346" s="440">
        <f t="shared" ca="1" si="73"/>
        <v>0</v>
      </c>
      <c r="J346" s="440">
        <f t="shared" ca="1" si="73"/>
        <v>0</v>
      </c>
      <c r="K346" s="162"/>
      <c r="L346" s="638"/>
      <c r="M346" s="162"/>
      <c r="N346" s="162"/>
      <c r="O346" s="162"/>
      <c r="P346" s="162"/>
      <c r="Q346" s="162"/>
      <c r="R346" s="162"/>
      <c r="S346" s="162"/>
    </row>
    <row r="347" spans="1:19" hidden="1" outlineLevel="1" x14ac:dyDescent="0.2">
      <c r="A347" s="162"/>
      <c r="B347" s="162"/>
      <c r="C347" s="162"/>
      <c r="D347" s="435"/>
      <c r="E347" s="125"/>
      <c r="F347" s="125"/>
      <c r="G347" s="125"/>
      <c r="H347" s="125"/>
      <c r="I347" s="125"/>
      <c r="J347" s="125"/>
      <c r="K347" s="162"/>
      <c r="L347" s="162"/>
      <c r="M347" s="162"/>
      <c r="N347" s="162"/>
      <c r="O347" s="162"/>
      <c r="P347" s="641"/>
      <c r="Q347" s="641"/>
      <c r="R347" s="162"/>
      <c r="S347" s="125"/>
    </row>
    <row r="348" spans="1:19" hidden="1" outlineLevel="1" x14ac:dyDescent="0.2">
      <c r="A348" s="162"/>
      <c r="B348" s="162"/>
      <c r="C348" s="162"/>
      <c r="D348" s="429" t="str">
        <f>TxPhase1Tx</f>
        <v/>
      </c>
      <c r="E348" s="495"/>
      <c r="F348" s="125"/>
      <c r="G348" s="125"/>
      <c r="H348" s="125"/>
      <c r="I348" s="125"/>
      <c r="J348" s="125"/>
      <c r="K348" s="615"/>
      <c r="L348" s="615"/>
      <c r="M348" s="615"/>
      <c r="N348" s="615"/>
      <c r="O348" s="641"/>
      <c r="P348" s="641"/>
      <c r="Q348" s="641"/>
      <c r="R348" s="162"/>
      <c r="S348" s="36" t="s">
        <v>258</v>
      </c>
    </row>
    <row r="349" spans="1:19" hidden="1" outlineLevel="1" x14ac:dyDescent="0.2">
      <c r="A349" s="162"/>
      <c r="B349" s="162"/>
      <c r="C349" s="162"/>
      <c r="D349" s="429" t="s">
        <v>91</v>
      </c>
      <c r="E349" s="428"/>
      <c r="F349" s="428"/>
      <c r="G349" s="428"/>
      <c r="H349" s="428"/>
      <c r="I349" s="428"/>
      <c r="J349" s="428"/>
      <c r="K349" s="615"/>
      <c r="L349" s="615"/>
      <c r="M349" s="615"/>
      <c r="N349" s="615"/>
      <c r="O349" s="162"/>
      <c r="P349" s="641"/>
      <c r="Q349" s="641"/>
      <c r="R349" s="162"/>
      <c r="S349" s="426"/>
    </row>
    <row r="350" spans="1:19" hidden="1" outlineLevel="1" x14ac:dyDescent="0.2">
      <c r="A350" s="162"/>
      <c r="B350" s="162"/>
      <c r="C350" s="162"/>
      <c r="D350" s="435"/>
      <c r="E350" s="125"/>
      <c r="F350" s="125"/>
      <c r="G350" s="125"/>
      <c r="H350" s="125"/>
      <c r="I350" s="125"/>
      <c r="J350" s="125"/>
      <c r="K350" s="615"/>
      <c r="L350" s="615"/>
      <c r="M350" s="615"/>
      <c r="N350" s="615"/>
      <c r="O350" s="162"/>
      <c r="P350" s="641"/>
      <c r="Q350" s="641"/>
      <c r="R350" s="162"/>
      <c r="S350" s="125"/>
    </row>
    <row r="351" spans="1:19" hidden="1" outlineLevel="1" x14ac:dyDescent="0.2">
      <c r="A351" s="162"/>
      <c r="B351" s="162"/>
      <c r="C351" s="162"/>
      <c r="D351" s="433" t="str">
        <f>TXPhase2Tx</f>
        <v/>
      </c>
      <c r="E351" s="495"/>
      <c r="F351" s="125"/>
      <c r="G351" s="125"/>
      <c r="H351" s="125"/>
      <c r="I351" s="125"/>
      <c r="J351" s="125"/>
      <c r="K351" s="615"/>
      <c r="L351" s="615"/>
      <c r="M351" s="615"/>
      <c r="N351" s="615"/>
      <c r="O351" s="162"/>
      <c r="P351" s="641"/>
      <c r="Q351" s="641"/>
      <c r="R351" s="162"/>
      <c r="S351" s="36" t="s">
        <v>258</v>
      </c>
    </row>
    <row r="352" spans="1:19" hidden="1" outlineLevel="1" x14ac:dyDescent="0.2">
      <c r="A352" s="162"/>
      <c r="B352" s="162"/>
      <c r="C352" s="162"/>
      <c r="D352" s="433" t="str">
        <f>IF(D351&lt;&gt;"","Patients electing treatment (%)","")</f>
        <v/>
      </c>
      <c r="E352" s="428"/>
      <c r="F352" s="428"/>
      <c r="G352" s="428"/>
      <c r="H352" s="428"/>
      <c r="I352" s="428"/>
      <c r="J352" s="428"/>
      <c r="K352" s="615"/>
      <c r="L352" s="615"/>
      <c r="M352" s="615"/>
      <c r="N352" s="615"/>
      <c r="O352" s="162"/>
      <c r="P352" s="641"/>
      <c r="Q352" s="641"/>
      <c r="R352" s="162"/>
      <c r="S352" s="426"/>
    </row>
    <row r="353" spans="1:19" hidden="1" outlineLevel="1" x14ac:dyDescent="0.2">
      <c r="A353" s="162"/>
      <c r="B353" s="162"/>
      <c r="C353" s="162"/>
      <c r="D353" s="435"/>
      <c r="E353" s="435"/>
      <c r="F353" s="435"/>
      <c r="G353" s="435"/>
      <c r="H353" s="435"/>
      <c r="I353" s="435"/>
      <c r="J353" s="435"/>
      <c r="K353" s="615"/>
      <c r="L353" s="615"/>
      <c r="M353" s="615"/>
      <c r="N353" s="615"/>
      <c r="O353" s="641"/>
      <c r="P353" s="641"/>
      <c r="Q353" s="641"/>
      <c r="R353" s="162"/>
      <c r="S353" s="125"/>
    </row>
    <row r="354" spans="1:19" s="416" customFormat="1" hidden="1" outlineLevel="1" x14ac:dyDescent="0.2">
      <c r="A354" s="162"/>
      <c r="B354" s="162"/>
      <c r="C354" s="475">
        <f>IFERROR(VLOOKUP(E354,TxPhase2SourceCode,2,FALSE),0)</f>
        <v>1</v>
      </c>
      <c r="D354" s="429" t="s">
        <v>1165</v>
      </c>
      <c r="E354" s="263" t="s">
        <v>1166</v>
      </c>
      <c r="F354" s="435"/>
      <c r="G354" s="435"/>
      <c r="H354" s="435"/>
      <c r="I354" s="435"/>
      <c r="J354" s="435"/>
      <c r="K354" s="615"/>
      <c r="L354" s="615"/>
      <c r="M354" s="615"/>
      <c r="N354" s="615"/>
      <c r="O354" s="641"/>
      <c r="P354" s="641"/>
      <c r="Q354" s="641"/>
      <c r="R354" s="162"/>
      <c r="S354" s="125"/>
    </row>
    <row r="355" spans="1:19" s="416" customFormat="1" hidden="1" outlineLevel="1" x14ac:dyDescent="0.2">
      <c r="A355" s="162"/>
      <c r="B355" s="162"/>
      <c r="C355" s="162"/>
      <c r="D355" s="435"/>
      <c r="E355" s="435"/>
      <c r="F355" s="435"/>
      <c r="G355" s="435"/>
      <c r="H355" s="435"/>
      <c r="I355" s="435"/>
      <c r="J355" s="435"/>
      <c r="K355" s="615"/>
      <c r="L355" s="615"/>
      <c r="M355" s="615"/>
      <c r="N355" s="615"/>
      <c r="O355" s="641"/>
      <c r="P355" s="641"/>
      <c r="Q355" s="641"/>
      <c r="R355" s="162"/>
      <c r="S355" s="125"/>
    </row>
    <row r="356" spans="1:19" hidden="1" outlineLevel="1" x14ac:dyDescent="0.2">
      <c r="A356" s="162"/>
      <c r="B356" s="162"/>
      <c r="C356" s="162"/>
      <c r="D356" s="429" t="str">
        <f>TxPhase1Px</f>
        <v/>
      </c>
      <c r="E356" s="440">
        <f t="shared" ref="E356:J356" si="74">IF(TxPhase1&lt;&gt;"",E346*E349,0)</f>
        <v>0</v>
      </c>
      <c r="F356" s="440">
        <f t="shared" si="74"/>
        <v>0</v>
      </c>
      <c r="G356" s="440">
        <f t="shared" si="74"/>
        <v>0</v>
      </c>
      <c r="H356" s="440">
        <f t="shared" si="74"/>
        <v>0</v>
      </c>
      <c r="I356" s="440">
        <f t="shared" si="74"/>
        <v>0</v>
      </c>
      <c r="J356" s="440">
        <f t="shared" si="74"/>
        <v>0</v>
      </c>
      <c r="K356" s="615"/>
      <c r="L356" s="615"/>
      <c r="M356" s="615"/>
      <c r="N356" s="615"/>
      <c r="O356" s="641"/>
      <c r="P356" s="641"/>
      <c r="Q356" s="641"/>
      <c r="R356" s="162"/>
      <c r="S356" s="162"/>
    </row>
    <row r="357" spans="1:19" hidden="1" outlineLevel="1" x14ac:dyDescent="0.2">
      <c r="A357" s="162"/>
      <c r="B357" s="162"/>
      <c r="C357" s="162"/>
      <c r="D357" s="429" t="str">
        <f>TxPhase2Px</f>
        <v/>
      </c>
      <c r="E357" s="440">
        <f t="shared" ref="E357:J357" si="75">IF(TxPhase2&lt;&gt;"",IF($C354=1,E356,IF($C354=2,E346,0))*E352,0)</f>
        <v>0</v>
      </c>
      <c r="F357" s="440">
        <f t="shared" si="75"/>
        <v>0</v>
      </c>
      <c r="G357" s="440">
        <f t="shared" si="75"/>
        <v>0</v>
      </c>
      <c r="H357" s="440">
        <f t="shared" si="75"/>
        <v>0</v>
      </c>
      <c r="I357" s="440">
        <f t="shared" si="75"/>
        <v>0</v>
      </c>
      <c r="J357" s="440">
        <f t="shared" si="75"/>
        <v>0</v>
      </c>
      <c r="K357" s="615"/>
      <c r="L357" s="615"/>
      <c r="M357" s="615"/>
      <c r="N357" s="615"/>
      <c r="O357" s="162"/>
      <c r="P357" s="641"/>
      <c r="Q357" s="641"/>
      <c r="R357" s="162"/>
      <c r="S357" s="162"/>
    </row>
    <row r="358" spans="1:19" s="416" customFormat="1" hidden="1" outlineLevel="1" x14ac:dyDescent="0.2">
      <c r="A358" s="162"/>
      <c r="B358" s="162"/>
      <c r="C358" s="162"/>
      <c r="D358" s="417"/>
      <c r="E358" s="417"/>
      <c r="F358" s="162"/>
      <c r="G358" s="162"/>
      <c r="H358" s="162"/>
      <c r="I358" s="162"/>
      <c r="J358" s="162"/>
      <c r="K358" s="162"/>
      <c r="L358" s="162"/>
      <c r="M358" s="162"/>
      <c r="N358" s="638"/>
      <c r="O358" s="162"/>
      <c r="P358" s="641"/>
      <c r="Q358" s="641"/>
      <c r="R358" s="162"/>
      <c r="S358" s="162"/>
    </row>
    <row r="359" spans="1:19" s="416" customFormat="1" hidden="1" outlineLevel="1" x14ac:dyDescent="0.2">
      <c r="A359" s="162"/>
      <c r="B359" s="162"/>
      <c r="C359" s="291" t="str">
        <f>IF(E359&lt;&gt;"",E359,"")</f>
        <v/>
      </c>
      <c r="D359" s="89" t="s">
        <v>756</v>
      </c>
      <c r="E359" s="263"/>
      <c r="F359" s="162"/>
      <c r="G359" s="162"/>
      <c r="H359" s="162"/>
      <c r="I359" s="162"/>
      <c r="J359" s="162"/>
      <c r="K359" s="162"/>
      <c r="L359" s="162"/>
      <c r="M359" s="162"/>
      <c r="N359" s="638"/>
      <c r="O359" s="162"/>
      <c r="P359" s="641"/>
      <c r="Q359" s="641"/>
      <c r="R359" s="162"/>
      <c r="S359" s="162"/>
    </row>
    <row r="360" spans="1:19" hidden="1" outlineLevel="1" x14ac:dyDescent="0.2">
      <c r="A360" s="615"/>
      <c r="B360" s="615"/>
      <c r="C360" s="615"/>
      <c r="D360" s="162"/>
      <c r="E360" s="162"/>
      <c r="F360" s="615"/>
      <c r="G360" s="615"/>
      <c r="H360" s="615"/>
      <c r="I360" s="615"/>
      <c r="J360" s="615"/>
      <c r="K360" s="615"/>
      <c r="L360" s="615"/>
      <c r="M360" s="615"/>
      <c r="N360" s="615"/>
      <c r="O360" s="615"/>
      <c r="P360" s="615"/>
      <c r="Q360" s="615"/>
      <c r="R360" s="615"/>
      <c r="S360" s="162"/>
    </row>
    <row r="361" spans="1:19" collapsed="1" x14ac:dyDescent="0.2">
      <c r="A361" s="162"/>
      <c r="B361" s="162"/>
      <c r="C361" s="162"/>
      <c r="D361" s="162"/>
      <c r="E361" s="162"/>
      <c r="F361" s="162"/>
      <c r="G361" s="162"/>
      <c r="H361" s="162"/>
      <c r="I361" s="162"/>
      <c r="J361" s="162"/>
      <c r="K361" s="162"/>
      <c r="L361" s="162"/>
      <c r="M361" s="162"/>
      <c r="N361" s="162"/>
      <c r="O361" s="162"/>
      <c r="P361" s="162"/>
      <c r="Q361" s="162"/>
      <c r="R361" s="162"/>
      <c r="S361" s="162"/>
    </row>
    <row r="362" spans="1:19" ht="15.75" x14ac:dyDescent="0.2">
      <c r="A362" s="162"/>
      <c r="B362" s="162"/>
      <c r="C362" s="573">
        <v>10</v>
      </c>
      <c r="D362" s="79" t="str">
        <f>IF(E366&lt;&gt;"",CONCATENATE("Incident ",C362,": ",G366,L362),MsgNotUsed)</f>
        <v>** NOT USED **</v>
      </c>
      <c r="E362" s="132"/>
      <c r="F362" s="132"/>
      <c r="G362" s="132"/>
      <c r="H362" s="132"/>
      <c r="I362" s="134"/>
      <c r="J362" s="134"/>
      <c r="K362" s="325"/>
      <c r="L362" s="325" t="str">
        <f>IF(S366&lt;&gt;"",CONCATENATE(" (",S366,")"),"")</f>
        <v/>
      </c>
      <c r="M362" s="325"/>
      <c r="N362" s="325"/>
      <c r="O362" s="325"/>
      <c r="P362" s="325"/>
      <c r="Q362" s="325"/>
      <c r="R362" s="133"/>
      <c r="S362" s="133"/>
    </row>
    <row r="363" spans="1:19" hidden="1" outlineLevel="1" x14ac:dyDescent="0.2">
      <c r="A363" s="129"/>
      <c r="B363" s="129"/>
      <c r="C363" s="129"/>
      <c r="D363" s="616"/>
      <c r="E363" s="129"/>
      <c r="F363" s="129"/>
      <c r="G363" s="129"/>
      <c r="H363" s="129"/>
      <c r="I363" s="129"/>
      <c r="J363" s="129"/>
      <c r="K363" s="129"/>
      <c r="L363" s="129"/>
      <c r="M363" s="129"/>
      <c r="N363" s="129"/>
      <c r="O363" s="129"/>
      <c r="P363" s="129"/>
      <c r="Q363" s="129"/>
      <c r="R363" s="129"/>
      <c r="S363" s="129"/>
    </row>
    <row r="364" spans="1:19" hidden="1" outlineLevel="1" x14ac:dyDescent="0.2">
      <c r="A364" s="129"/>
      <c r="B364" s="129"/>
      <c r="C364" s="129"/>
      <c r="D364" s="162" t="s">
        <v>839</v>
      </c>
      <c r="E364" s="129"/>
      <c r="F364" s="129"/>
      <c r="G364" s="129"/>
      <c r="H364" s="615"/>
      <c r="I364" s="615"/>
      <c r="J364" s="615"/>
      <c r="K364" s="162"/>
      <c r="L364" s="162"/>
      <c r="M364" s="162"/>
      <c r="N364" s="162"/>
      <c r="O364" s="162"/>
      <c r="P364" s="162"/>
      <c r="Q364" s="162"/>
      <c r="R364" s="129"/>
      <c r="S364" s="615"/>
    </row>
    <row r="365" spans="1:19" hidden="1" outlineLevel="1" x14ac:dyDescent="0.2">
      <c r="A365" s="129"/>
      <c r="B365" s="129"/>
      <c r="C365" s="129"/>
      <c r="D365" s="616"/>
      <c r="E365" s="129"/>
      <c r="F365" s="129"/>
      <c r="G365" s="129"/>
      <c r="H365" s="129"/>
      <c r="I365" s="129"/>
      <c r="J365" s="129"/>
      <c r="K365" s="162"/>
      <c r="L365" s="162"/>
      <c r="M365" s="162"/>
      <c r="N365" s="162"/>
      <c r="O365" s="162"/>
      <c r="P365" s="162"/>
      <c r="Q365" s="162"/>
      <c r="R365" s="129"/>
      <c r="S365" s="36" t="s">
        <v>424</v>
      </c>
    </row>
    <row r="366" spans="1:19" hidden="1" outlineLevel="1" x14ac:dyDescent="0.2">
      <c r="A366" s="129"/>
      <c r="B366" s="291">
        <f>IF(E366&lt;&gt;"",MATCH(E366,EPISource,0)-1,0)</f>
        <v>0</v>
      </c>
      <c r="C366" s="291">
        <f ca="1">IF(G366&lt;&gt;"",MATCH(G366,OFFSET(References!$AE$7,0,B366,PxPopMaxCount),0),0)</f>
        <v>0</v>
      </c>
      <c r="D366" s="423" t="s">
        <v>113</v>
      </c>
      <c r="E366" s="438"/>
      <c r="F366" s="436"/>
      <c r="G366" s="812"/>
      <c r="H366" s="813"/>
      <c r="I366" s="813"/>
      <c r="J366" s="813"/>
      <c r="K366" s="435"/>
      <c r="L366" s="162"/>
      <c r="M366" s="162"/>
      <c r="N366" s="162"/>
      <c r="O366" s="162"/>
      <c r="P366" s="162"/>
      <c r="Q366" s="162"/>
      <c r="R366" s="129"/>
      <c r="S366" s="439"/>
    </row>
    <row r="367" spans="1:19" hidden="1" outlineLevel="1" x14ac:dyDescent="0.2">
      <c r="A367" s="129"/>
      <c r="B367" s="291">
        <f>INDEX(PxPopValid,,B366+1)</f>
        <v>0</v>
      </c>
      <c r="C367" s="291">
        <f ca="1">(B366*PxPopMaxCount)+C366</f>
        <v>0</v>
      </c>
      <c r="D367" s="616"/>
      <c r="E367" s="650">
        <v>1</v>
      </c>
      <c r="F367" s="650">
        <v>2</v>
      </c>
      <c r="G367" s="650">
        <v>3</v>
      </c>
      <c r="H367" s="650">
        <v>4</v>
      </c>
      <c r="I367" s="650">
        <v>5</v>
      </c>
      <c r="J367" s="650">
        <v>6</v>
      </c>
      <c r="K367" s="435"/>
      <c r="L367" s="162"/>
      <c r="M367" s="162"/>
      <c r="N367" s="162"/>
      <c r="O367" s="162"/>
      <c r="P367" s="162"/>
      <c r="Q367" s="162"/>
      <c r="R367" s="129"/>
      <c r="S367" s="162"/>
    </row>
    <row r="368" spans="1:19" ht="15" hidden="1" customHeight="1" outlineLevel="1" x14ac:dyDescent="0.2">
      <c r="A368" s="129"/>
      <c r="B368" s="129"/>
      <c r="C368" s="129"/>
      <c r="D368" s="616"/>
      <c r="E368" s="814" t="s">
        <v>10</v>
      </c>
      <c r="F368" s="814"/>
      <c r="G368" s="814"/>
      <c r="H368" s="814"/>
      <c r="I368" s="814"/>
      <c r="J368" s="814"/>
      <c r="K368" s="435"/>
      <c r="L368" s="162"/>
      <c r="M368" s="162"/>
      <c r="N368" s="162"/>
      <c r="O368" s="162"/>
      <c r="P368" s="162"/>
      <c r="Q368" s="162"/>
      <c r="R368" s="129"/>
      <c r="S368" s="636" t="str">
        <f ca="1">IF(ISERROR($C367)=TRUE,MsgError &amp; VLOOKUP("BadPop",ErrorMessages,2,FALSE),IF(RIGHT(G366,12)="(Prevalence)",MsgError &amp; VLOOKUP("BadPrevPop",ErrorMessages,2,FALSE),""))</f>
        <v/>
      </c>
    </row>
    <row r="369" spans="1:19" hidden="1" outlineLevel="1" x14ac:dyDescent="0.2">
      <c r="A369" s="129"/>
      <c r="B369" s="129"/>
      <c r="C369" s="129"/>
      <c r="D369" s="643"/>
      <c r="E369" s="431">
        <f>FirstYear</f>
        <v>2021</v>
      </c>
      <c r="F369" s="431">
        <f>E369+1</f>
        <v>2022</v>
      </c>
      <c r="G369" s="431">
        <f>F369+1</f>
        <v>2023</v>
      </c>
      <c r="H369" s="431">
        <f>G369+1</f>
        <v>2024</v>
      </c>
      <c r="I369" s="431">
        <f>H369+1</f>
        <v>2025</v>
      </c>
      <c r="J369" s="431">
        <f>I369+1</f>
        <v>2026</v>
      </c>
      <c r="K369" s="435"/>
      <c r="L369" s="162"/>
      <c r="M369" s="162"/>
      <c r="N369" s="162"/>
      <c r="O369" s="162"/>
      <c r="P369" s="162"/>
      <c r="Q369" s="162"/>
      <c r="R369" s="129"/>
      <c r="S369" s="162"/>
    </row>
    <row r="370" spans="1:19" ht="12.75" hidden="1" customHeight="1" outlineLevel="1" x14ac:dyDescent="0.2">
      <c r="A370" s="162"/>
      <c r="B370" s="162"/>
      <c r="C370" s="162"/>
      <c r="D370" s="721" t="s">
        <v>342</v>
      </c>
      <c r="E370" s="437">
        <f t="shared" ref="E370:J370" ca="1" si="76">IF(AND(ISERROR($C367)&lt;&gt;TRUE,$G366&lt;&gt;""),INDEX(PxPopNumbers,$C367,E367),0)</f>
        <v>0</v>
      </c>
      <c r="F370" s="437">
        <f t="shared" ca="1" si="76"/>
        <v>0</v>
      </c>
      <c r="G370" s="437">
        <f t="shared" ca="1" si="76"/>
        <v>0</v>
      </c>
      <c r="H370" s="437">
        <f t="shared" ca="1" si="76"/>
        <v>0</v>
      </c>
      <c r="I370" s="437">
        <f t="shared" ca="1" si="76"/>
        <v>0</v>
      </c>
      <c r="J370" s="437">
        <f t="shared" ca="1" si="76"/>
        <v>0</v>
      </c>
      <c r="K370" s="435"/>
      <c r="L370" s="162"/>
      <c r="M370" s="162"/>
      <c r="N370" s="162"/>
      <c r="O370" s="162"/>
      <c r="P370" s="162"/>
      <c r="Q370" s="162"/>
      <c r="R370" s="616"/>
      <c r="S370" s="162"/>
    </row>
    <row r="371" spans="1:19" ht="12.75" hidden="1" customHeight="1" outlineLevel="1" x14ac:dyDescent="0.2">
      <c r="A371" s="162"/>
      <c r="B371" s="162"/>
      <c r="C371" s="162"/>
      <c r="D371" s="162"/>
      <c r="E371" s="435"/>
      <c r="F371" s="435"/>
      <c r="G371" s="435"/>
      <c r="H371" s="435"/>
      <c r="I371" s="435"/>
      <c r="J371" s="435"/>
      <c r="K371" s="435"/>
      <c r="L371" s="162"/>
      <c r="M371" s="162"/>
      <c r="N371" s="162"/>
      <c r="O371" s="162"/>
      <c r="P371" s="162"/>
      <c r="Q371" s="162"/>
      <c r="R371" s="162"/>
      <c r="S371" s="162"/>
    </row>
    <row r="372" spans="1:19" ht="12.75" hidden="1" customHeight="1" outlineLevel="1" x14ac:dyDescent="0.2">
      <c r="A372" s="162"/>
      <c r="B372" s="162"/>
      <c r="C372" s="162"/>
      <c r="D372" s="720" t="s">
        <v>205</v>
      </c>
      <c r="E372" s="435"/>
      <c r="F372" s="435"/>
      <c r="G372" s="435"/>
      <c r="H372" s="435"/>
      <c r="I372" s="435"/>
      <c r="J372" s="435"/>
      <c r="K372" s="435"/>
      <c r="L372" s="162"/>
      <c r="M372" s="162"/>
      <c r="N372" s="162"/>
      <c r="O372" s="162"/>
      <c r="P372" s="162"/>
      <c r="Q372" s="162"/>
      <c r="R372" s="162"/>
      <c r="S372" s="36" t="s">
        <v>258</v>
      </c>
    </row>
    <row r="373" spans="1:19" hidden="1" outlineLevel="1" x14ac:dyDescent="0.2">
      <c r="A373" s="162"/>
      <c r="B373" s="162"/>
      <c r="C373" s="162"/>
      <c r="D373" s="432"/>
      <c r="E373" s="443"/>
      <c r="F373" s="443"/>
      <c r="G373" s="443"/>
      <c r="H373" s="443"/>
      <c r="I373" s="443"/>
      <c r="J373" s="443"/>
      <c r="K373" s="435"/>
      <c r="L373" s="425">
        <f t="shared" ref="L373:L381" si="77">IF(E373="",1,E373)</f>
        <v>1</v>
      </c>
      <c r="M373" s="425">
        <f t="shared" ref="M373:M382" si="78">IF(F373="",1,F373)</f>
        <v>1</v>
      </c>
      <c r="N373" s="425">
        <f t="shared" ref="N373:N382" si="79">IF(G373="",1,G373)</f>
        <v>1</v>
      </c>
      <c r="O373" s="425">
        <f t="shared" ref="O373:O382" si="80">IF(H373="",1,H373)</f>
        <v>1</v>
      </c>
      <c r="P373" s="425">
        <f t="shared" ref="P373:P382" si="81">IF(I373="",1,I373)</f>
        <v>1</v>
      </c>
      <c r="Q373" s="425">
        <f t="shared" ref="Q373:Q382" si="82">IF(J373="",1,J373)</f>
        <v>1</v>
      </c>
      <c r="R373" s="162"/>
      <c r="S373" s="432"/>
    </row>
    <row r="374" spans="1:19" hidden="1" outlineLevel="1" x14ac:dyDescent="0.2">
      <c r="A374" s="162"/>
      <c r="B374" s="162"/>
      <c r="C374" s="162"/>
      <c r="D374" s="432"/>
      <c r="E374" s="443"/>
      <c r="F374" s="443"/>
      <c r="G374" s="443"/>
      <c r="H374" s="443"/>
      <c r="I374" s="443"/>
      <c r="J374" s="443"/>
      <c r="K374" s="435"/>
      <c r="L374" s="425">
        <f t="shared" si="77"/>
        <v>1</v>
      </c>
      <c r="M374" s="425">
        <f t="shared" si="78"/>
        <v>1</v>
      </c>
      <c r="N374" s="425">
        <f t="shared" si="79"/>
        <v>1</v>
      </c>
      <c r="O374" s="425">
        <f t="shared" si="80"/>
        <v>1</v>
      </c>
      <c r="P374" s="425">
        <f t="shared" si="81"/>
        <v>1</v>
      </c>
      <c r="Q374" s="425">
        <f t="shared" si="82"/>
        <v>1</v>
      </c>
      <c r="R374" s="162"/>
      <c r="S374" s="432"/>
    </row>
    <row r="375" spans="1:19" hidden="1" outlineLevel="1" x14ac:dyDescent="0.2">
      <c r="A375" s="162"/>
      <c r="B375" s="162"/>
      <c r="C375" s="162"/>
      <c r="D375" s="432"/>
      <c r="E375" s="443"/>
      <c r="F375" s="443"/>
      <c r="G375" s="443"/>
      <c r="H375" s="443"/>
      <c r="I375" s="443"/>
      <c r="J375" s="443"/>
      <c r="K375" s="435"/>
      <c r="L375" s="425">
        <f t="shared" si="77"/>
        <v>1</v>
      </c>
      <c r="M375" s="425">
        <f t="shared" si="78"/>
        <v>1</v>
      </c>
      <c r="N375" s="425">
        <f t="shared" si="79"/>
        <v>1</v>
      </c>
      <c r="O375" s="425">
        <f t="shared" si="80"/>
        <v>1</v>
      </c>
      <c r="P375" s="425">
        <f t="shared" si="81"/>
        <v>1</v>
      </c>
      <c r="Q375" s="425">
        <f t="shared" si="82"/>
        <v>1</v>
      </c>
      <c r="R375" s="162"/>
      <c r="S375" s="432"/>
    </row>
    <row r="376" spans="1:19" hidden="1" outlineLevel="1" x14ac:dyDescent="0.2">
      <c r="A376" s="162"/>
      <c r="B376" s="162"/>
      <c r="C376" s="162"/>
      <c r="D376" s="432"/>
      <c r="E376" s="443"/>
      <c r="F376" s="443"/>
      <c r="G376" s="443"/>
      <c r="H376" s="443"/>
      <c r="I376" s="443"/>
      <c r="J376" s="443"/>
      <c r="K376" s="435"/>
      <c r="L376" s="425">
        <f t="shared" si="77"/>
        <v>1</v>
      </c>
      <c r="M376" s="425">
        <f t="shared" si="78"/>
        <v>1</v>
      </c>
      <c r="N376" s="425">
        <f t="shared" si="79"/>
        <v>1</v>
      </c>
      <c r="O376" s="425">
        <f t="shared" si="80"/>
        <v>1</v>
      </c>
      <c r="P376" s="425">
        <f t="shared" si="81"/>
        <v>1</v>
      </c>
      <c r="Q376" s="425">
        <f t="shared" si="82"/>
        <v>1</v>
      </c>
      <c r="R376" s="162"/>
      <c r="S376" s="432"/>
    </row>
    <row r="377" spans="1:19" hidden="1" outlineLevel="1" x14ac:dyDescent="0.2">
      <c r="A377" s="162"/>
      <c r="B377" s="162"/>
      <c r="C377" s="162"/>
      <c r="D377" s="432"/>
      <c r="E377" s="443"/>
      <c r="F377" s="443"/>
      <c r="G377" s="443"/>
      <c r="H377" s="443"/>
      <c r="I377" s="443"/>
      <c r="J377" s="443"/>
      <c r="K377" s="435"/>
      <c r="L377" s="425">
        <f t="shared" si="77"/>
        <v>1</v>
      </c>
      <c r="M377" s="425">
        <f t="shared" si="78"/>
        <v>1</v>
      </c>
      <c r="N377" s="425">
        <f t="shared" si="79"/>
        <v>1</v>
      </c>
      <c r="O377" s="425">
        <f t="shared" si="80"/>
        <v>1</v>
      </c>
      <c r="P377" s="425">
        <f t="shared" si="81"/>
        <v>1</v>
      </c>
      <c r="Q377" s="425">
        <f t="shared" si="82"/>
        <v>1</v>
      </c>
      <c r="R377" s="162"/>
      <c r="S377" s="432"/>
    </row>
    <row r="378" spans="1:19" hidden="1" outlineLevel="1" x14ac:dyDescent="0.2">
      <c r="A378" s="162"/>
      <c r="B378" s="162"/>
      <c r="C378" s="162"/>
      <c r="D378" s="432"/>
      <c r="E378" s="443"/>
      <c r="F378" s="443"/>
      <c r="G378" s="443"/>
      <c r="H378" s="443"/>
      <c r="I378" s="443"/>
      <c r="J378" s="443"/>
      <c r="K378" s="435"/>
      <c r="L378" s="425">
        <f t="shared" si="77"/>
        <v>1</v>
      </c>
      <c r="M378" s="425">
        <f t="shared" si="78"/>
        <v>1</v>
      </c>
      <c r="N378" s="425">
        <f t="shared" si="79"/>
        <v>1</v>
      </c>
      <c r="O378" s="425">
        <f t="shared" si="80"/>
        <v>1</v>
      </c>
      <c r="P378" s="425">
        <f t="shared" si="81"/>
        <v>1</v>
      </c>
      <c r="Q378" s="425">
        <f t="shared" si="82"/>
        <v>1</v>
      </c>
      <c r="R378" s="162"/>
      <c r="S378" s="432"/>
    </row>
    <row r="379" spans="1:19" hidden="1" outlineLevel="1" x14ac:dyDescent="0.2">
      <c r="A379" s="162"/>
      <c r="B379" s="162"/>
      <c r="C379" s="162"/>
      <c r="D379" s="432"/>
      <c r="E379" s="443"/>
      <c r="F379" s="443"/>
      <c r="G379" s="443"/>
      <c r="H379" s="443"/>
      <c r="I379" s="443"/>
      <c r="J379" s="443"/>
      <c r="K379" s="435"/>
      <c r="L379" s="425">
        <f t="shared" si="77"/>
        <v>1</v>
      </c>
      <c r="M379" s="425">
        <f t="shared" si="78"/>
        <v>1</v>
      </c>
      <c r="N379" s="425">
        <f t="shared" si="79"/>
        <v>1</v>
      </c>
      <c r="O379" s="425">
        <f t="shared" si="80"/>
        <v>1</v>
      </c>
      <c r="P379" s="425">
        <f t="shared" si="81"/>
        <v>1</v>
      </c>
      <c r="Q379" s="425">
        <f t="shared" si="82"/>
        <v>1</v>
      </c>
      <c r="R379" s="162"/>
      <c r="S379" s="432"/>
    </row>
    <row r="380" spans="1:19" hidden="1" outlineLevel="1" x14ac:dyDescent="0.2">
      <c r="A380" s="162"/>
      <c r="B380" s="162"/>
      <c r="C380" s="162"/>
      <c r="D380" s="432"/>
      <c r="E380" s="443"/>
      <c r="F380" s="443"/>
      <c r="G380" s="443"/>
      <c r="H380" s="443"/>
      <c r="I380" s="443"/>
      <c r="J380" s="443"/>
      <c r="K380" s="435"/>
      <c r="L380" s="425">
        <f t="shared" si="77"/>
        <v>1</v>
      </c>
      <c r="M380" s="425">
        <f t="shared" si="78"/>
        <v>1</v>
      </c>
      <c r="N380" s="425">
        <f t="shared" si="79"/>
        <v>1</v>
      </c>
      <c r="O380" s="425">
        <f t="shared" si="80"/>
        <v>1</v>
      </c>
      <c r="P380" s="425">
        <f t="shared" si="81"/>
        <v>1</v>
      </c>
      <c r="Q380" s="425">
        <f t="shared" si="82"/>
        <v>1</v>
      </c>
      <c r="R380" s="162"/>
      <c r="S380" s="432"/>
    </row>
    <row r="381" spans="1:19" hidden="1" outlineLevel="1" x14ac:dyDescent="0.2">
      <c r="A381" s="162"/>
      <c r="B381" s="162"/>
      <c r="C381" s="162"/>
      <c r="D381" s="432"/>
      <c r="E381" s="443"/>
      <c r="F381" s="443"/>
      <c r="G381" s="443"/>
      <c r="H381" s="443"/>
      <c r="I381" s="443"/>
      <c r="J381" s="443"/>
      <c r="K381" s="435"/>
      <c r="L381" s="425">
        <f t="shared" si="77"/>
        <v>1</v>
      </c>
      <c r="M381" s="425">
        <f t="shared" si="78"/>
        <v>1</v>
      </c>
      <c r="N381" s="425">
        <f t="shared" si="79"/>
        <v>1</v>
      </c>
      <c r="O381" s="425">
        <f t="shared" si="80"/>
        <v>1</v>
      </c>
      <c r="P381" s="425">
        <f t="shared" si="81"/>
        <v>1</v>
      </c>
      <c r="Q381" s="425">
        <f t="shared" si="82"/>
        <v>1</v>
      </c>
      <c r="R381" s="162"/>
      <c r="S381" s="432"/>
    </row>
    <row r="382" spans="1:19" hidden="1" outlineLevel="1" x14ac:dyDescent="0.2">
      <c r="A382" s="162"/>
      <c r="B382" s="162"/>
      <c r="C382" s="162"/>
      <c r="D382" s="432"/>
      <c r="E382" s="443"/>
      <c r="F382" s="443"/>
      <c r="G382" s="443"/>
      <c r="H382" s="443"/>
      <c r="I382" s="443"/>
      <c r="J382" s="443"/>
      <c r="K382" s="435"/>
      <c r="L382" s="425">
        <f>IF(E382="",1,E382)</f>
        <v>1</v>
      </c>
      <c r="M382" s="425">
        <f t="shared" si="78"/>
        <v>1</v>
      </c>
      <c r="N382" s="425">
        <f t="shared" si="79"/>
        <v>1</v>
      </c>
      <c r="O382" s="425">
        <f t="shared" si="80"/>
        <v>1</v>
      </c>
      <c r="P382" s="425">
        <f t="shared" si="81"/>
        <v>1</v>
      </c>
      <c r="Q382" s="425">
        <f t="shared" si="82"/>
        <v>1</v>
      </c>
      <c r="R382" s="162"/>
      <c r="S382" s="432"/>
    </row>
    <row r="383" spans="1:19" hidden="1" outlineLevel="1" x14ac:dyDescent="0.2">
      <c r="A383" s="162"/>
      <c r="B383" s="162"/>
      <c r="C383" s="162"/>
      <c r="D383" s="424" t="s">
        <v>213</v>
      </c>
      <c r="E383" s="444">
        <f t="shared" ref="E383:J383" si="83">L373*L374*L375*L376*L382*L377*L378*L379*L380*L381</f>
        <v>1</v>
      </c>
      <c r="F383" s="444">
        <f t="shared" si="83"/>
        <v>1</v>
      </c>
      <c r="G383" s="444">
        <f t="shared" si="83"/>
        <v>1</v>
      </c>
      <c r="H383" s="444">
        <f t="shared" si="83"/>
        <v>1</v>
      </c>
      <c r="I383" s="444">
        <f t="shared" si="83"/>
        <v>1</v>
      </c>
      <c r="J383" s="444">
        <f t="shared" si="83"/>
        <v>1</v>
      </c>
      <c r="K383" s="162"/>
      <c r="L383" s="162"/>
      <c r="M383" s="162"/>
      <c r="N383" s="638"/>
      <c r="O383" s="162"/>
      <c r="P383" s="162"/>
      <c r="Q383" s="162"/>
      <c r="R383" s="162"/>
      <c r="S383" s="162"/>
    </row>
    <row r="384" spans="1:19" hidden="1" outlineLevel="1" x14ac:dyDescent="0.2">
      <c r="A384" s="638"/>
      <c r="B384" s="638"/>
      <c r="C384" s="638"/>
      <c r="D384" s="419" t="s">
        <v>90</v>
      </c>
      <c r="E384" s="440">
        <f t="shared" ref="E384:J384" ca="1" si="84">IF(ISNUMBER(E370),E370*E383,"")</f>
        <v>0</v>
      </c>
      <c r="F384" s="440">
        <f t="shared" ca="1" si="84"/>
        <v>0</v>
      </c>
      <c r="G384" s="440">
        <f t="shared" ca="1" si="84"/>
        <v>0</v>
      </c>
      <c r="H384" s="440">
        <f t="shared" ca="1" si="84"/>
        <v>0</v>
      </c>
      <c r="I384" s="440">
        <f t="shared" ca="1" si="84"/>
        <v>0</v>
      </c>
      <c r="J384" s="440">
        <f t="shared" ca="1" si="84"/>
        <v>0</v>
      </c>
      <c r="K384" s="162"/>
      <c r="L384" s="638"/>
      <c r="M384" s="162"/>
      <c r="N384" s="162"/>
      <c r="O384" s="162"/>
      <c r="P384" s="162"/>
      <c r="Q384" s="162"/>
      <c r="R384" s="162"/>
      <c r="S384" s="162"/>
    </row>
    <row r="385" spans="1:19" hidden="1" outlineLevel="1" x14ac:dyDescent="0.2">
      <c r="A385" s="162"/>
      <c r="B385" s="162"/>
      <c r="C385" s="162"/>
      <c r="D385" s="435"/>
      <c r="E385" s="125"/>
      <c r="F385" s="125"/>
      <c r="G385" s="125"/>
      <c r="H385" s="125"/>
      <c r="I385" s="125"/>
      <c r="J385" s="125"/>
      <c r="K385" s="162"/>
      <c r="L385" s="162"/>
      <c r="M385" s="162"/>
      <c r="N385" s="162"/>
      <c r="O385" s="162"/>
      <c r="P385" s="641"/>
      <c r="Q385" s="641"/>
      <c r="R385" s="162"/>
      <c r="S385" s="162"/>
    </row>
    <row r="386" spans="1:19" hidden="1" outlineLevel="1" x14ac:dyDescent="0.2">
      <c r="A386" s="162"/>
      <c r="B386" s="162"/>
      <c r="C386" s="162"/>
      <c r="D386" s="429" t="str">
        <f>TxPhase1Tx</f>
        <v/>
      </c>
      <c r="E386" s="495"/>
      <c r="F386" s="125"/>
      <c r="G386" s="125"/>
      <c r="H386" s="125"/>
      <c r="I386" s="125"/>
      <c r="J386" s="125"/>
      <c r="K386" s="615"/>
      <c r="L386" s="615"/>
      <c r="M386" s="615"/>
      <c r="N386" s="615"/>
      <c r="O386" s="641"/>
      <c r="P386" s="641"/>
      <c r="Q386" s="641"/>
      <c r="R386" s="162"/>
      <c r="S386" s="36" t="s">
        <v>258</v>
      </c>
    </row>
    <row r="387" spans="1:19" hidden="1" outlineLevel="1" x14ac:dyDescent="0.2">
      <c r="A387" s="162"/>
      <c r="B387" s="162"/>
      <c r="C387" s="162"/>
      <c r="D387" s="429" t="s">
        <v>91</v>
      </c>
      <c r="E387" s="428"/>
      <c r="F387" s="428"/>
      <c r="G387" s="428"/>
      <c r="H387" s="428"/>
      <c r="I387" s="428"/>
      <c r="J387" s="428"/>
      <c r="K387" s="615"/>
      <c r="L387" s="615"/>
      <c r="M387" s="615"/>
      <c r="N387" s="615"/>
      <c r="O387" s="162"/>
      <c r="P387" s="641"/>
      <c r="Q387" s="641"/>
      <c r="R387" s="162"/>
      <c r="S387" s="426"/>
    </row>
    <row r="388" spans="1:19" hidden="1" outlineLevel="1" x14ac:dyDescent="0.2">
      <c r="A388" s="162"/>
      <c r="B388" s="162"/>
      <c r="C388" s="162"/>
      <c r="D388" s="435"/>
      <c r="E388" s="125"/>
      <c r="F388" s="125"/>
      <c r="G388" s="125"/>
      <c r="H388" s="125"/>
      <c r="I388" s="125"/>
      <c r="J388" s="125"/>
      <c r="K388" s="615"/>
      <c r="L388" s="615"/>
      <c r="M388" s="615"/>
      <c r="N388" s="615"/>
      <c r="O388" s="162"/>
      <c r="P388" s="641"/>
      <c r="Q388" s="641"/>
      <c r="R388" s="162"/>
      <c r="S388" s="162"/>
    </row>
    <row r="389" spans="1:19" hidden="1" outlineLevel="1" x14ac:dyDescent="0.2">
      <c r="A389" s="162"/>
      <c r="B389" s="162"/>
      <c r="C389" s="162"/>
      <c r="D389" s="433" t="str">
        <f>TXPhase2Tx</f>
        <v/>
      </c>
      <c r="E389" s="495"/>
      <c r="F389" s="125"/>
      <c r="G389" s="125"/>
      <c r="H389" s="125"/>
      <c r="I389" s="125"/>
      <c r="J389" s="125"/>
      <c r="K389" s="615"/>
      <c r="L389" s="615"/>
      <c r="M389" s="615"/>
      <c r="N389" s="615"/>
      <c r="O389" s="162"/>
      <c r="P389" s="641"/>
      <c r="Q389" s="641"/>
      <c r="R389" s="162"/>
      <c r="S389" s="36" t="s">
        <v>258</v>
      </c>
    </row>
    <row r="390" spans="1:19" hidden="1" outlineLevel="1" x14ac:dyDescent="0.2">
      <c r="A390" s="162"/>
      <c r="B390" s="162"/>
      <c r="C390" s="162"/>
      <c r="D390" s="433" t="str">
        <f>IF(D389&lt;&gt;"","Patients electing treatment (%)","")</f>
        <v/>
      </c>
      <c r="E390" s="428"/>
      <c r="F390" s="428"/>
      <c r="G390" s="428"/>
      <c r="H390" s="428"/>
      <c r="I390" s="428"/>
      <c r="J390" s="428"/>
      <c r="K390" s="615"/>
      <c r="L390" s="615"/>
      <c r="M390" s="615"/>
      <c r="N390" s="615"/>
      <c r="O390" s="162"/>
      <c r="P390" s="641"/>
      <c r="Q390" s="641"/>
      <c r="R390" s="162"/>
      <c r="S390" s="426"/>
    </row>
    <row r="391" spans="1:19" hidden="1" outlineLevel="1" x14ac:dyDescent="0.2">
      <c r="A391" s="162"/>
      <c r="B391" s="162"/>
      <c r="C391" s="162"/>
      <c r="D391" s="435"/>
      <c r="E391" s="435"/>
      <c r="F391" s="435"/>
      <c r="G391" s="435"/>
      <c r="H391" s="435"/>
      <c r="I391" s="435"/>
      <c r="J391" s="435"/>
      <c r="K391" s="615"/>
      <c r="L391" s="615"/>
      <c r="M391" s="615"/>
      <c r="N391" s="615"/>
      <c r="O391" s="641"/>
      <c r="P391" s="641"/>
      <c r="Q391" s="641"/>
      <c r="R391" s="162"/>
      <c r="S391" s="162"/>
    </row>
    <row r="392" spans="1:19" s="416" customFormat="1" hidden="1" outlineLevel="1" x14ac:dyDescent="0.2">
      <c r="A392" s="162"/>
      <c r="B392" s="162"/>
      <c r="C392" s="475">
        <f>IFERROR(VLOOKUP(E392,TxPhase2SourceCode,2,FALSE),0)</f>
        <v>1</v>
      </c>
      <c r="D392" s="429" t="s">
        <v>1165</v>
      </c>
      <c r="E392" s="263" t="s">
        <v>1166</v>
      </c>
      <c r="F392" s="435"/>
      <c r="G392" s="435"/>
      <c r="H392" s="435"/>
      <c r="I392" s="435"/>
      <c r="J392" s="435"/>
      <c r="K392" s="615"/>
      <c r="L392" s="615"/>
      <c r="M392" s="615"/>
      <c r="N392" s="615"/>
      <c r="O392" s="641"/>
      <c r="P392" s="641"/>
      <c r="Q392" s="641"/>
      <c r="R392" s="162"/>
      <c r="S392" s="162"/>
    </row>
    <row r="393" spans="1:19" s="416" customFormat="1" hidden="1" outlineLevel="1" x14ac:dyDescent="0.2">
      <c r="A393" s="162"/>
      <c r="B393" s="162"/>
      <c r="C393" s="162"/>
      <c r="D393" s="435"/>
      <c r="E393" s="435"/>
      <c r="F393" s="435"/>
      <c r="G393" s="435"/>
      <c r="H393" s="435"/>
      <c r="I393" s="435"/>
      <c r="J393" s="435"/>
      <c r="K393" s="615"/>
      <c r="L393" s="615"/>
      <c r="M393" s="615"/>
      <c r="N393" s="615"/>
      <c r="O393" s="641"/>
      <c r="P393" s="641"/>
      <c r="Q393" s="641"/>
      <c r="R393" s="162"/>
      <c r="S393" s="162"/>
    </row>
    <row r="394" spans="1:19" hidden="1" outlineLevel="1" x14ac:dyDescent="0.2">
      <c r="A394" s="162"/>
      <c r="B394" s="162"/>
      <c r="C394" s="162"/>
      <c r="D394" s="429" t="str">
        <f>TxPhase1Px</f>
        <v/>
      </c>
      <c r="E394" s="440">
        <f t="shared" ref="E394:J394" si="85">IF(TxPhase1&lt;&gt;"",E384*E387,0)</f>
        <v>0</v>
      </c>
      <c r="F394" s="440">
        <f t="shared" si="85"/>
        <v>0</v>
      </c>
      <c r="G394" s="440">
        <f t="shared" si="85"/>
        <v>0</v>
      </c>
      <c r="H394" s="440">
        <f t="shared" si="85"/>
        <v>0</v>
      </c>
      <c r="I394" s="440">
        <f t="shared" si="85"/>
        <v>0</v>
      </c>
      <c r="J394" s="440">
        <f t="shared" si="85"/>
        <v>0</v>
      </c>
      <c r="K394" s="615"/>
      <c r="L394" s="615"/>
      <c r="M394" s="615"/>
      <c r="N394" s="615"/>
      <c r="O394" s="641"/>
      <c r="P394" s="641"/>
      <c r="Q394" s="641"/>
      <c r="R394" s="162"/>
      <c r="S394" s="162"/>
    </row>
    <row r="395" spans="1:19" hidden="1" outlineLevel="1" x14ac:dyDescent="0.2">
      <c r="A395" s="162"/>
      <c r="B395" s="162"/>
      <c r="C395" s="162"/>
      <c r="D395" s="429" t="str">
        <f>TxPhase2Px</f>
        <v/>
      </c>
      <c r="E395" s="440">
        <f t="shared" ref="E395:J395" si="86">IF(TxPhase2&lt;&gt;"",IF($C392=1,E394,IF($C392=2,E384,0))*E390,0)</f>
        <v>0</v>
      </c>
      <c r="F395" s="440">
        <f t="shared" si="86"/>
        <v>0</v>
      </c>
      <c r="G395" s="440">
        <f t="shared" si="86"/>
        <v>0</v>
      </c>
      <c r="H395" s="440">
        <f t="shared" si="86"/>
        <v>0</v>
      </c>
      <c r="I395" s="440">
        <f t="shared" si="86"/>
        <v>0</v>
      </c>
      <c r="J395" s="440">
        <f t="shared" si="86"/>
        <v>0</v>
      </c>
      <c r="K395" s="615"/>
      <c r="L395" s="615"/>
      <c r="M395" s="615"/>
      <c r="N395" s="615"/>
      <c r="O395" s="162"/>
      <c r="P395" s="641"/>
      <c r="Q395" s="641"/>
      <c r="R395" s="162"/>
      <c r="S395" s="162"/>
    </row>
    <row r="396" spans="1:19" s="416" customFormat="1" hidden="1" outlineLevel="1" x14ac:dyDescent="0.2">
      <c r="A396" s="162"/>
      <c r="B396" s="162"/>
      <c r="C396" s="162"/>
      <c r="D396" s="417"/>
      <c r="E396" s="417"/>
      <c r="F396" s="162"/>
      <c r="G396" s="162"/>
      <c r="H396" s="162"/>
      <c r="I396" s="162"/>
      <c r="J396" s="162"/>
      <c r="K396" s="162"/>
      <c r="L396" s="162"/>
      <c r="M396" s="162"/>
      <c r="N396" s="638"/>
      <c r="O396" s="162"/>
      <c r="P396" s="641"/>
      <c r="Q396" s="641"/>
      <c r="R396" s="162"/>
      <c r="S396" s="162"/>
    </row>
    <row r="397" spans="1:19" s="416" customFormat="1" hidden="1" outlineLevel="1" x14ac:dyDescent="0.2">
      <c r="A397" s="162"/>
      <c r="B397" s="162"/>
      <c r="C397" s="291" t="str">
        <f>IF(E397&lt;&gt;"",E397,"")</f>
        <v/>
      </c>
      <c r="D397" s="89" t="s">
        <v>756</v>
      </c>
      <c r="E397" s="263"/>
      <c r="F397" s="162"/>
      <c r="G397" s="162"/>
      <c r="H397" s="162"/>
      <c r="I397" s="162"/>
      <c r="J397" s="162"/>
      <c r="K397" s="162"/>
      <c r="L397" s="162"/>
      <c r="M397" s="162"/>
      <c r="N397" s="638"/>
      <c r="O397" s="162"/>
      <c r="P397" s="641"/>
      <c r="Q397" s="641"/>
      <c r="R397" s="162"/>
      <c r="S397" s="162"/>
    </row>
    <row r="398" spans="1:19" hidden="1" outlineLevel="1" x14ac:dyDescent="0.2">
      <c r="A398" s="615"/>
      <c r="B398" s="615"/>
      <c r="C398" s="615"/>
      <c r="D398" s="162"/>
      <c r="E398" s="162"/>
      <c r="F398" s="162"/>
      <c r="G398" s="162"/>
      <c r="H398" s="162"/>
      <c r="I398" s="162"/>
      <c r="J398" s="162"/>
      <c r="K398" s="615"/>
      <c r="L398" s="615"/>
      <c r="M398" s="615"/>
      <c r="N398" s="615"/>
      <c r="O398" s="615"/>
      <c r="P398" s="615"/>
      <c r="Q398" s="615"/>
      <c r="R398" s="615"/>
      <c r="S398" s="162"/>
    </row>
    <row r="399" spans="1:19" collapsed="1" x14ac:dyDescent="0.2">
      <c r="A399" s="162"/>
      <c r="B399" s="162"/>
      <c r="C399" s="162"/>
      <c r="D399" s="162"/>
      <c r="E399" s="162"/>
      <c r="F399" s="162"/>
      <c r="G399" s="162"/>
      <c r="H399" s="162"/>
      <c r="I399" s="162"/>
      <c r="J399" s="162"/>
      <c r="K399" s="162"/>
      <c r="L399" s="162"/>
      <c r="M399" s="162"/>
      <c r="N399" s="162"/>
      <c r="O399" s="162"/>
      <c r="P399" s="162"/>
      <c r="Q399" s="162"/>
      <c r="R399" s="162"/>
      <c r="S399" s="162"/>
    </row>
    <row r="400" spans="1:19" ht="15.75" x14ac:dyDescent="0.2">
      <c r="A400" s="162"/>
      <c r="B400" s="162"/>
      <c r="C400" s="162"/>
      <c r="D400" s="123" t="s">
        <v>27</v>
      </c>
      <c r="E400" s="126"/>
      <c r="F400" s="126"/>
      <c r="G400" s="126"/>
      <c r="H400" s="126"/>
      <c r="I400" s="126"/>
      <c r="J400" s="126"/>
      <c r="K400" s="325"/>
      <c r="L400" s="325"/>
      <c r="M400" s="325"/>
      <c r="N400" s="325"/>
      <c r="O400" s="325"/>
      <c r="P400" s="325"/>
      <c r="Q400" s="325"/>
      <c r="R400" s="133"/>
      <c r="S400" s="124"/>
    </row>
    <row r="401" spans="1:19" x14ac:dyDescent="0.2">
      <c r="A401" s="162"/>
      <c r="B401" s="162"/>
      <c r="C401" s="162"/>
      <c r="D401" s="162"/>
      <c r="E401" s="162"/>
      <c r="F401" s="162"/>
      <c r="G401" s="162"/>
      <c r="H401" s="162"/>
      <c r="I401" s="162"/>
      <c r="J401" s="162"/>
      <c r="K401" s="162"/>
      <c r="L401" s="162"/>
      <c r="M401" s="162"/>
      <c r="N401" s="162"/>
      <c r="O401" s="162"/>
      <c r="P401" s="162"/>
      <c r="Q401" s="162"/>
      <c r="R401" s="162"/>
      <c r="S401" s="162"/>
    </row>
    <row r="402" spans="1:19" x14ac:dyDescent="0.2">
      <c r="A402" s="162"/>
      <c r="B402" s="162"/>
      <c r="C402" s="162"/>
      <c r="D402" s="162" t="s">
        <v>838</v>
      </c>
      <c r="E402" s="162"/>
      <c r="F402" s="162"/>
      <c r="G402" s="162"/>
      <c r="H402" s="162"/>
      <c r="I402" s="162"/>
      <c r="J402" s="162"/>
      <c r="K402" s="125"/>
      <c r="L402" s="162"/>
      <c r="M402" s="162"/>
      <c r="N402" s="162"/>
      <c r="O402" s="162"/>
      <c r="P402" s="162"/>
      <c r="Q402" s="162"/>
      <c r="R402" s="162"/>
      <c r="S402" s="162"/>
    </row>
    <row r="403" spans="1:19" x14ac:dyDescent="0.2">
      <c r="A403" s="162"/>
      <c r="B403" s="162"/>
      <c r="C403" s="162"/>
      <c r="D403" s="162" t="s">
        <v>219</v>
      </c>
      <c r="E403" s="162"/>
      <c r="F403" s="162"/>
      <c r="G403" s="162"/>
      <c r="H403" s="162"/>
      <c r="I403" s="162"/>
      <c r="J403" s="162"/>
      <c r="K403" s="125"/>
      <c r="L403" s="162"/>
      <c r="M403" s="162"/>
      <c r="N403" s="162"/>
      <c r="O403" s="162"/>
      <c r="P403" s="162"/>
      <c r="Q403" s="162"/>
      <c r="R403" s="162"/>
      <c r="S403" s="162"/>
    </row>
    <row r="404" spans="1:19" x14ac:dyDescent="0.2">
      <c r="A404" s="162"/>
      <c r="B404" s="162"/>
      <c r="C404" s="162"/>
      <c r="D404" s="162"/>
      <c r="E404" s="162"/>
      <c r="F404" s="162"/>
      <c r="G404" s="162"/>
      <c r="H404" s="162"/>
      <c r="I404" s="162"/>
      <c r="J404" s="162"/>
      <c r="K404" s="125"/>
      <c r="L404" s="162"/>
      <c r="M404" s="162"/>
      <c r="N404" s="162"/>
      <c r="O404" s="162"/>
      <c r="P404" s="162"/>
      <c r="Q404" s="162"/>
      <c r="R404" s="162"/>
      <c r="S404" s="162"/>
    </row>
    <row r="405" spans="1:19" ht="15" x14ac:dyDescent="0.2">
      <c r="A405" s="162"/>
      <c r="B405" s="162"/>
      <c r="C405" s="75"/>
      <c r="D405" s="138" t="s">
        <v>856</v>
      </c>
      <c r="E405" s="126"/>
      <c r="F405" s="126"/>
      <c r="G405" s="126"/>
      <c r="H405" s="126"/>
      <c r="I405" s="126"/>
      <c r="J405" s="126"/>
      <c r="K405" s="325" t="str">
        <f t="shared" ref="K405:Q405" si="87">IF(R409&lt;&gt;"",CONCATENATE(" (",R409,")"),"")</f>
        <v/>
      </c>
      <c r="L405" s="325" t="str">
        <f t="shared" si="87"/>
        <v/>
      </c>
      <c r="M405" s="325" t="str">
        <f t="shared" si="87"/>
        <v/>
      </c>
      <c r="N405" s="325" t="str">
        <f t="shared" si="87"/>
        <v/>
      </c>
      <c r="O405" s="325" t="str">
        <f t="shared" si="87"/>
        <v/>
      </c>
      <c r="P405" s="325" t="str">
        <f t="shared" si="87"/>
        <v/>
      </c>
      <c r="Q405" s="325" t="str">
        <f t="shared" si="87"/>
        <v/>
      </c>
      <c r="R405" s="133"/>
      <c r="S405" s="126"/>
    </row>
    <row r="406" spans="1:19" x14ac:dyDescent="0.2">
      <c r="A406" s="162"/>
      <c r="B406" s="162"/>
      <c r="C406" s="162"/>
      <c r="D406" s="162"/>
      <c r="E406" s="162"/>
      <c r="F406" s="162"/>
      <c r="G406" s="162"/>
      <c r="H406" s="162"/>
      <c r="I406" s="162"/>
      <c r="J406" s="162"/>
      <c r="K406" s="162"/>
      <c r="L406" s="162"/>
      <c r="M406" s="162"/>
      <c r="N406" s="162"/>
      <c r="O406" s="162"/>
      <c r="P406" s="162"/>
      <c r="Q406" s="162"/>
      <c r="R406" s="162"/>
      <c r="S406" s="162"/>
    </row>
    <row r="407" spans="1:19" x14ac:dyDescent="0.2">
      <c r="A407" s="162"/>
      <c r="B407" s="162"/>
      <c r="C407" s="162"/>
      <c r="D407" s="616"/>
      <c r="E407" s="162"/>
      <c r="F407" s="162"/>
      <c r="G407" s="162"/>
      <c r="H407" s="162"/>
      <c r="I407" s="162"/>
      <c r="J407" s="162"/>
      <c r="K407" s="125"/>
      <c r="L407" s="162"/>
      <c r="M407" s="162"/>
      <c r="N407" s="162"/>
      <c r="O407" s="162"/>
      <c r="P407" s="162"/>
      <c r="Q407" s="162"/>
      <c r="R407" s="162"/>
      <c r="S407" s="162"/>
    </row>
    <row r="408" spans="1:19" ht="15" x14ac:dyDescent="0.2">
      <c r="A408" s="162"/>
      <c r="B408" s="162"/>
      <c r="C408" s="75"/>
      <c r="D408" s="138" t="s">
        <v>857</v>
      </c>
      <c r="E408" s="126"/>
      <c r="F408" s="126"/>
      <c r="G408" s="126"/>
      <c r="H408" s="126"/>
      <c r="I408" s="126"/>
      <c r="J408" s="126"/>
      <c r="K408" s="325" t="str">
        <f t="shared" ref="K408:Q408" si="88">IF(R412&lt;&gt;"",CONCATENATE(" (",R412,")"),"")</f>
        <v/>
      </c>
      <c r="L408" s="325" t="str">
        <f t="shared" si="88"/>
        <v/>
      </c>
      <c r="M408" s="325" t="str">
        <f t="shared" si="88"/>
        <v/>
      </c>
      <c r="N408" s="325" t="str">
        <f t="shared" si="88"/>
        <v/>
      </c>
      <c r="O408" s="325" t="str">
        <f t="shared" si="88"/>
        <v/>
      </c>
      <c r="P408" s="325" t="str">
        <f t="shared" si="88"/>
        <v/>
      </c>
      <c r="Q408" s="325" t="str">
        <f t="shared" si="88"/>
        <v/>
      </c>
      <c r="R408" s="133"/>
      <c r="S408" s="126"/>
    </row>
    <row r="409" spans="1:19" x14ac:dyDescent="0.2">
      <c r="A409" s="162"/>
      <c r="B409" s="162"/>
      <c r="C409" s="162"/>
      <c r="D409" s="162"/>
      <c r="E409" s="162"/>
      <c r="F409" s="162"/>
      <c r="G409" s="162"/>
      <c r="H409" s="162"/>
      <c r="I409" s="162"/>
      <c r="J409" s="162"/>
      <c r="K409" s="162"/>
      <c r="L409" s="162"/>
      <c r="M409" s="162"/>
      <c r="N409" s="162"/>
      <c r="O409" s="162"/>
      <c r="P409" s="162"/>
      <c r="Q409" s="162"/>
      <c r="R409" s="162"/>
      <c r="S409" s="162"/>
    </row>
    <row r="410" spans="1:19" x14ac:dyDescent="0.2">
      <c r="A410" s="162"/>
      <c r="B410" s="162"/>
      <c r="C410" s="162"/>
      <c r="D410" s="616"/>
      <c r="E410" s="162"/>
      <c r="F410" s="162"/>
      <c r="G410" s="162"/>
      <c r="H410" s="162"/>
      <c r="I410" s="162"/>
      <c r="J410" s="162"/>
      <c r="K410" s="125"/>
      <c r="L410" s="162"/>
      <c r="M410" s="162"/>
      <c r="N410" s="162"/>
      <c r="O410" s="162"/>
      <c r="P410" s="162"/>
      <c r="Q410" s="162"/>
      <c r="R410" s="162"/>
      <c r="S410" s="162"/>
    </row>
    <row r="411" spans="1:19" ht="15" x14ac:dyDescent="0.2">
      <c r="A411" s="75"/>
      <c r="B411" s="162"/>
      <c r="C411" s="75"/>
      <c r="D411" s="138" t="s">
        <v>858</v>
      </c>
      <c r="E411" s="126"/>
      <c r="F411" s="126"/>
      <c r="G411" s="126"/>
      <c r="H411" s="126"/>
      <c r="I411" s="126"/>
      <c r="J411" s="126"/>
      <c r="K411" s="325" t="str">
        <f t="shared" ref="K411:Q411" si="89">IF(R415&lt;&gt;"",CONCATENATE(" (",R415,")"),"")</f>
        <v/>
      </c>
      <c r="L411" s="325" t="str">
        <f t="shared" si="89"/>
        <v/>
      </c>
      <c r="M411" s="325" t="str">
        <f t="shared" si="89"/>
        <v/>
      </c>
      <c r="N411" s="325" t="str">
        <f t="shared" si="89"/>
        <v/>
      </c>
      <c r="O411" s="325" t="str">
        <f t="shared" si="89"/>
        <v/>
      </c>
      <c r="P411" s="325" t="str">
        <f t="shared" si="89"/>
        <v/>
      </c>
      <c r="Q411" s="325" t="str">
        <f t="shared" si="89"/>
        <v/>
      </c>
      <c r="R411" s="133"/>
      <c r="S411" s="126"/>
    </row>
  </sheetData>
  <mergeCells count="21">
    <mergeCell ref="G328:J328"/>
    <mergeCell ref="E26:J26"/>
    <mergeCell ref="G214:J214"/>
    <mergeCell ref="E216:J216"/>
    <mergeCell ref="E140:J140"/>
    <mergeCell ref="G366:J366"/>
    <mergeCell ref="G290:J290"/>
    <mergeCell ref="E330:J330"/>
    <mergeCell ref="E368:J368"/>
    <mergeCell ref="I1:J1"/>
    <mergeCell ref="G24:J24"/>
    <mergeCell ref="E178:J178"/>
    <mergeCell ref="G62:J62"/>
    <mergeCell ref="E64:J64"/>
    <mergeCell ref="G100:J100"/>
    <mergeCell ref="E102:J102"/>
    <mergeCell ref="G138:J138"/>
    <mergeCell ref="G176:J176"/>
    <mergeCell ref="G252:J252"/>
    <mergeCell ref="E254:J254"/>
    <mergeCell ref="E292:J292"/>
  </mergeCells>
  <conditionalFormatting sqref="S31:S40 E24 G24 S45 S48 S24 E45:J45 D31:J40 E55 E28:J28 E48:J48 E50">
    <cfRule type="expression" dxfId="505" priority="20">
      <formula>PxIncident&lt;&gt;1</formula>
    </cfRule>
  </conditionalFormatting>
  <conditionalFormatting sqref="E62 G62 S62 D69:J78 S69:S78 E83:J83 S83 E86:J86 S86 E93 E88">
    <cfRule type="expression" dxfId="504" priority="18">
      <formula>PxIncident&lt;&gt;1</formula>
    </cfRule>
  </conditionalFormatting>
  <conditionalFormatting sqref="S107:S116 E100 G100 S121 E124:J124 S124 S100 D107:J116 E121:J121 E131 E126">
    <cfRule type="expression" dxfId="503" priority="16">
      <formula>PxIncident&lt;&gt;1</formula>
    </cfRule>
  </conditionalFormatting>
  <conditionalFormatting sqref="S145:S154 E138 G138 S159 E162:J162 S162 S138 D145:J154 E159:J159 E169 E164">
    <cfRule type="expression" dxfId="502" priority="14">
      <formula>PxIncident&lt;&gt;1</formula>
    </cfRule>
  </conditionalFormatting>
  <conditionalFormatting sqref="S183:S192 D183:J192 E176 G176 E197:J197 S197 E200:J200 S200 S176 E207 E202">
    <cfRule type="expression" dxfId="501" priority="12">
      <formula>PxIncident&lt;&gt;1</formula>
    </cfRule>
  </conditionalFormatting>
  <conditionalFormatting sqref="D47 D48:J48 S48 E50 D53:J53">
    <cfRule type="expression" dxfId="500" priority="263">
      <formula>TxPhase2=""</formula>
    </cfRule>
  </conditionalFormatting>
  <conditionalFormatting sqref="D53">
    <cfRule type="expression" dxfId="499" priority="262">
      <formula>$D$53=""</formula>
    </cfRule>
  </conditionalFormatting>
  <conditionalFormatting sqref="D85 D86:J86 S86 E88 D91:J91">
    <cfRule type="expression" dxfId="498" priority="261">
      <formula>TxPhase2=""</formula>
    </cfRule>
  </conditionalFormatting>
  <conditionalFormatting sqref="D123 D124:J124 S124 E126 D129:J129">
    <cfRule type="expression" dxfId="497" priority="259">
      <formula>TxPhase2=""</formula>
    </cfRule>
  </conditionalFormatting>
  <conditionalFormatting sqref="D161 D162:J162 S162 E164 D167:J167">
    <cfRule type="expression" dxfId="496" priority="257">
      <formula>TxPhase2=""</formula>
    </cfRule>
  </conditionalFormatting>
  <conditionalFormatting sqref="D199 D200:J200 S200 E202 D205:J205">
    <cfRule type="expression" dxfId="495" priority="255">
      <formula>TxPhase2=""</formula>
    </cfRule>
  </conditionalFormatting>
  <conditionalFormatting sqref="D221:J230 E214 G214 E235:J235 S235 E238:J238 S238 S214 S221:S230 E245 E240">
    <cfRule type="expression" dxfId="494" priority="10">
      <formula>PxIncident&lt;&gt;1</formula>
    </cfRule>
  </conditionalFormatting>
  <conditionalFormatting sqref="D237 D238:J238 S238 E240 D243:J243">
    <cfRule type="expression" dxfId="493" priority="241">
      <formula>TxPhase2=""</formula>
    </cfRule>
  </conditionalFormatting>
  <conditionalFormatting sqref="D259:J268 E252 G252 E273:J273 S273 E276:J276 S276 S252 S259:S268 E283 E278">
    <cfRule type="expression" dxfId="492" priority="8">
      <formula>PxIncident&lt;&gt;1</formula>
    </cfRule>
  </conditionalFormatting>
  <conditionalFormatting sqref="D275 D276:J276 S276 E278 D281:J281">
    <cfRule type="expression" dxfId="491" priority="227">
      <formula>TxPhase2=""</formula>
    </cfRule>
  </conditionalFormatting>
  <conditionalFormatting sqref="D297:J306 E290 G290 E311:J311 S311 E314:J314 S314 S290 S297:S306 E321 E316">
    <cfRule type="expression" dxfId="490" priority="6">
      <formula>PxIncident&lt;&gt;1</formula>
    </cfRule>
  </conditionalFormatting>
  <conditionalFormatting sqref="D313 D314:J314 S314 E316 D319:J319">
    <cfRule type="expression" dxfId="489" priority="213">
      <formula>TxPhase2=""</formula>
    </cfRule>
  </conditionalFormatting>
  <conditionalFormatting sqref="D335:J344 E328 G328 E349:J349 S349 E352:J352 S352 S328 S335:S344 E359 E354">
    <cfRule type="expression" dxfId="488" priority="4">
      <formula>PxIncident&lt;&gt;1</formula>
    </cfRule>
  </conditionalFormatting>
  <conditionalFormatting sqref="D351 D352:J352 S352 E354 D357:J357">
    <cfRule type="expression" dxfId="487" priority="199">
      <formula>TxPhase2=""</formula>
    </cfRule>
  </conditionalFormatting>
  <conditionalFormatting sqref="D373:J382 E366 G366 E387:J387 S387 E390:J390 S390 S366 S373:S382 E397 E392">
    <cfRule type="expression" dxfId="486" priority="2">
      <formula>PxIncident&lt;&gt;1</formula>
    </cfRule>
  </conditionalFormatting>
  <conditionalFormatting sqref="D389 D390:J390 S390 E392 D395:J395">
    <cfRule type="expression" dxfId="485" priority="185">
      <formula>TxPhase2=""</formula>
    </cfRule>
  </conditionalFormatting>
  <conditionalFormatting sqref="S24">
    <cfRule type="expression" dxfId="484" priority="183">
      <formula>G24=""</formula>
    </cfRule>
  </conditionalFormatting>
  <conditionalFormatting sqref="S62">
    <cfRule type="expression" dxfId="483" priority="181">
      <formula>G62=""</formula>
    </cfRule>
  </conditionalFormatting>
  <conditionalFormatting sqref="S100">
    <cfRule type="expression" dxfId="482" priority="178">
      <formula>PxIncident&lt;&gt;1</formula>
    </cfRule>
  </conditionalFormatting>
  <conditionalFormatting sqref="S100">
    <cfRule type="expression" dxfId="481" priority="179">
      <formula>G100=""</formula>
    </cfRule>
  </conditionalFormatting>
  <conditionalFormatting sqref="S138">
    <cfRule type="expression" dxfId="480" priority="176">
      <formula>PxIncident&lt;&gt;1</formula>
    </cfRule>
  </conditionalFormatting>
  <conditionalFormatting sqref="S138">
    <cfRule type="expression" dxfId="479" priority="177">
      <formula>G138=""</formula>
    </cfRule>
  </conditionalFormatting>
  <conditionalFormatting sqref="S176">
    <cfRule type="expression" dxfId="478" priority="174">
      <formula>PxIncident&lt;&gt;1</formula>
    </cfRule>
  </conditionalFormatting>
  <conditionalFormatting sqref="S176">
    <cfRule type="expression" dxfId="477" priority="175">
      <formula>G176=""</formula>
    </cfRule>
  </conditionalFormatting>
  <conditionalFormatting sqref="S214">
    <cfRule type="expression" dxfId="476" priority="172">
      <formula>PxIncident&lt;&gt;1</formula>
    </cfRule>
  </conditionalFormatting>
  <conditionalFormatting sqref="S214">
    <cfRule type="expression" dxfId="475" priority="173">
      <formula>G214=""</formula>
    </cfRule>
  </conditionalFormatting>
  <conditionalFormatting sqref="S252">
    <cfRule type="expression" dxfId="474" priority="170">
      <formula>PxIncident&lt;&gt;1</formula>
    </cfRule>
  </conditionalFormatting>
  <conditionalFormatting sqref="S252">
    <cfRule type="expression" dxfId="473" priority="171">
      <formula>G252=""</formula>
    </cfRule>
  </conditionalFormatting>
  <conditionalFormatting sqref="S290">
    <cfRule type="expression" dxfId="472" priority="168">
      <formula>PxIncident&lt;&gt;1</formula>
    </cfRule>
  </conditionalFormatting>
  <conditionalFormatting sqref="S290">
    <cfRule type="expression" dxfId="471" priority="169">
      <formula>G290=""</formula>
    </cfRule>
  </conditionalFormatting>
  <conditionalFormatting sqref="S328">
    <cfRule type="expression" dxfId="470" priority="166">
      <formula>PxIncident&lt;&gt;1</formula>
    </cfRule>
  </conditionalFormatting>
  <conditionalFormatting sqref="S328">
    <cfRule type="expression" dxfId="469" priority="167">
      <formula>G328=""</formula>
    </cfRule>
  </conditionalFormatting>
  <conditionalFormatting sqref="S366">
    <cfRule type="expression" dxfId="468" priority="165">
      <formula>G366=""</formula>
    </cfRule>
  </conditionalFormatting>
  <conditionalFormatting sqref="D85:D86">
    <cfRule type="expression" dxfId="467" priority="153">
      <formula>TPCont=0</formula>
    </cfRule>
  </conditionalFormatting>
  <conditionalFormatting sqref="D123:D124">
    <cfRule type="expression" dxfId="466" priority="151">
      <formula>TPCont=0</formula>
    </cfRule>
  </conditionalFormatting>
  <conditionalFormatting sqref="D161:D162">
    <cfRule type="expression" dxfId="465" priority="149">
      <formula>TPCont=0</formula>
    </cfRule>
  </conditionalFormatting>
  <conditionalFormatting sqref="D199:D200">
    <cfRule type="expression" dxfId="464" priority="147">
      <formula>TPCont=0</formula>
    </cfRule>
  </conditionalFormatting>
  <conditionalFormatting sqref="D205">
    <cfRule type="expression" dxfId="463" priority="146">
      <formula>$D$53=""</formula>
    </cfRule>
  </conditionalFormatting>
  <conditionalFormatting sqref="D237:D238">
    <cfRule type="expression" dxfId="462" priority="145">
      <formula>TPCont=0</formula>
    </cfRule>
  </conditionalFormatting>
  <conditionalFormatting sqref="D275:D276">
    <cfRule type="expression" dxfId="461" priority="143">
      <formula>TPCont=0</formula>
    </cfRule>
  </conditionalFormatting>
  <conditionalFormatting sqref="D281">
    <cfRule type="expression" dxfId="460" priority="142">
      <formula>$D$53=""</formula>
    </cfRule>
  </conditionalFormatting>
  <conditionalFormatting sqref="D313:D314">
    <cfRule type="expression" dxfId="459" priority="141">
      <formula>TPCont=0</formula>
    </cfRule>
  </conditionalFormatting>
  <conditionalFormatting sqref="D351:D352">
    <cfRule type="expression" dxfId="458" priority="139">
      <formula>TPCont=0</formula>
    </cfRule>
  </conditionalFormatting>
  <conditionalFormatting sqref="D389:D390">
    <cfRule type="expression" dxfId="457" priority="137">
      <formula>TPCont=0</formula>
    </cfRule>
  </conditionalFormatting>
  <conditionalFormatting sqref="D91">
    <cfRule type="expression" dxfId="456" priority="126">
      <formula>$D$53=""</formula>
    </cfRule>
  </conditionalFormatting>
  <conditionalFormatting sqref="D395">
    <cfRule type="expression" dxfId="455" priority="120">
      <formula>$D$53=""</formula>
    </cfRule>
  </conditionalFormatting>
  <conditionalFormatting sqref="D129">
    <cfRule type="expression" dxfId="454" priority="125">
      <formula>$D$53=""</formula>
    </cfRule>
  </conditionalFormatting>
  <conditionalFormatting sqref="D167">
    <cfRule type="expression" dxfId="453" priority="124">
      <formula>$D$53=""</formula>
    </cfRule>
  </conditionalFormatting>
  <conditionalFormatting sqref="D243">
    <cfRule type="expression" dxfId="452" priority="123">
      <formula>$D$53=""</formula>
    </cfRule>
  </conditionalFormatting>
  <conditionalFormatting sqref="D319">
    <cfRule type="expression" dxfId="451" priority="122">
      <formula>$D$53=""</formula>
    </cfRule>
  </conditionalFormatting>
  <conditionalFormatting sqref="D357">
    <cfRule type="expression" dxfId="450" priority="121">
      <formula>$D$53=""</formula>
    </cfRule>
  </conditionalFormatting>
  <conditionalFormatting sqref="S26">
    <cfRule type="notContainsBlanks" dxfId="449" priority="97">
      <formula>LEN(TRIM(S26))&gt;0</formula>
    </cfRule>
  </conditionalFormatting>
  <conditionalFormatting sqref="E66:J66">
    <cfRule type="expression" dxfId="448" priority="78">
      <formula>PxIncident&lt;&gt;1</formula>
    </cfRule>
  </conditionalFormatting>
  <conditionalFormatting sqref="E104:J104">
    <cfRule type="expression" dxfId="447" priority="77">
      <formula>PxIncident&lt;&gt;1</formula>
    </cfRule>
  </conditionalFormatting>
  <conditionalFormatting sqref="E142:J142">
    <cfRule type="expression" dxfId="446" priority="76">
      <formula>PxIncident&lt;&gt;1</formula>
    </cfRule>
  </conditionalFormatting>
  <conditionalFormatting sqref="E180:J180">
    <cfRule type="expression" dxfId="445" priority="75">
      <formula>PxIncident&lt;&gt;1</formula>
    </cfRule>
  </conditionalFormatting>
  <conditionalFormatting sqref="E218:J218">
    <cfRule type="expression" dxfId="444" priority="74">
      <formula>PxIncident&lt;&gt;1</formula>
    </cfRule>
  </conditionalFormatting>
  <conditionalFormatting sqref="E256:J256">
    <cfRule type="expression" dxfId="443" priority="73">
      <formula>PxIncident&lt;&gt;1</formula>
    </cfRule>
  </conditionalFormatting>
  <conditionalFormatting sqref="E294:J294">
    <cfRule type="expression" dxfId="442" priority="72">
      <formula>PxIncident&lt;&gt;1</formula>
    </cfRule>
  </conditionalFormatting>
  <conditionalFormatting sqref="E332:J332">
    <cfRule type="expression" dxfId="441" priority="71">
      <formula>PxIncident&lt;&gt;1</formula>
    </cfRule>
  </conditionalFormatting>
  <conditionalFormatting sqref="E370:J370">
    <cfRule type="expression" dxfId="440" priority="70">
      <formula>PxIncident&lt;&gt;1</formula>
    </cfRule>
  </conditionalFormatting>
  <conditionalFormatting sqref="S64">
    <cfRule type="notContainsBlanks" dxfId="439" priority="66">
      <formula>LEN(TRIM(S64))&gt;0</formula>
    </cfRule>
  </conditionalFormatting>
  <conditionalFormatting sqref="D15:J15">
    <cfRule type="expression" dxfId="438" priority="697">
      <formula>#REF!=""</formula>
    </cfRule>
  </conditionalFormatting>
  <conditionalFormatting sqref="D50">
    <cfRule type="expression" dxfId="437" priority="57">
      <formula>$D$53=""</formula>
    </cfRule>
  </conditionalFormatting>
  <conditionalFormatting sqref="E50">
    <cfRule type="expression" dxfId="436" priority="56">
      <formula>PxIncident&lt;&gt;1</formula>
    </cfRule>
  </conditionalFormatting>
  <conditionalFormatting sqref="D88">
    <cfRule type="expression" dxfId="435" priority="55">
      <formula>$D$53=""</formula>
    </cfRule>
  </conditionalFormatting>
  <conditionalFormatting sqref="E88">
    <cfRule type="expression" dxfId="434" priority="54">
      <formula>PxIncident&lt;&gt;1</formula>
    </cfRule>
  </conditionalFormatting>
  <conditionalFormatting sqref="D126">
    <cfRule type="expression" dxfId="433" priority="53">
      <formula>$D$53=""</formula>
    </cfRule>
  </conditionalFormatting>
  <conditionalFormatting sqref="E126">
    <cfRule type="expression" dxfId="432" priority="52">
      <formula>PxIncident&lt;&gt;1</formula>
    </cfRule>
  </conditionalFormatting>
  <conditionalFormatting sqref="D164">
    <cfRule type="expression" dxfId="431" priority="51">
      <formula>$D$53=""</formula>
    </cfRule>
  </conditionalFormatting>
  <conditionalFormatting sqref="E164">
    <cfRule type="expression" dxfId="430" priority="50">
      <formula>PxIncident&lt;&gt;1</formula>
    </cfRule>
  </conditionalFormatting>
  <conditionalFormatting sqref="D202">
    <cfRule type="expression" dxfId="429" priority="49">
      <formula>$D$53=""</formula>
    </cfRule>
  </conditionalFormatting>
  <conditionalFormatting sqref="E202">
    <cfRule type="expression" dxfId="428" priority="48">
      <formula>PxIncident&lt;&gt;1</formula>
    </cfRule>
  </conditionalFormatting>
  <conditionalFormatting sqref="D240">
    <cfRule type="expression" dxfId="427" priority="47">
      <formula>$D$53=""</formula>
    </cfRule>
  </conditionalFormatting>
  <conditionalFormatting sqref="E240">
    <cfRule type="expression" dxfId="426" priority="46">
      <formula>PxIncident&lt;&gt;1</formula>
    </cfRule>
  </conditionalFormatting>
  <conditionalFormatting sqref="D278">
    <cfRule type="expression" dxfId="425" priority="45">
      <formula>$D$53=""</formula>
    </cfRule>
  </conditionalFormatting>
  <conditionalFormatting sqref="E278">
    <cfRule type="expression" dxfId="424" priority="44">
      <formula>PxIncident&lt;&gt;1</formula>
    </cfRule>
  </conditionalFormatting>
  <conditionalFormatting sqref="D316">
    <cfRule type="expression" dxfId="423" priority="43">
      <formula>$D$53=""</formula>
    </cfRule>
  </conditionalFormatting>
  <conditionalFormatting sqref="E316">
    <cfRule type="expression" dxfId="422" priority="42">
      <formula>PxIncident&lt;&gt;1</formula>
    </cfRule>
  </conditionalFormatting>
  <conditionalFormatting sqref="D354">
    <cfRule type="expression" dxfId="421" priority="41">
      <formula>$D$53=""</formula>
    </cfRule>
  </conditionalFormatting>
  <conditionalFormatting sqref="E354">
    <cfRule type="expression" dxfId="420" priority="40">
      <formula>PxIncident&lt;&gt;1</formula>
    </cfRule>
  </conditionalFormatting>
  <conditionalFormatting sqref="D392">
    <cfRule type="expression" dxfId="419" priority="39">
      <formula>$D$53=""</formula>
    </cfRule>
  </conditionalFormatting>
  <conditionalFormatting sqref="E392">
    <cfRule type="expression" dxfId="418" priority="38">
      <formula>PxIncident&lt;&gt;1</formula>
    </cfRule>
  </conditionalFormatting>
  <conditionalFormatting sqref="F167:J167">
    <cfRule type="expression" dxfId="417" priority="35">
      <formula>$D$53=""</formula>
    </cfRule>
  </conditionalFormatting>
  <conditionalFormatting sqref="S102">
    <cfRule type="notContainsBlanks" dxfId="416" priority="28">
      <formula>LEN(TRIM(S102))&gt;0</formula>
    </cfRule>
  </conditionalFormatting>
  <conditionalFormatting sqref="S140">
    <cfRule type="notContainsBlanks" dxfId="415" priority="27">
      <formula>LEN(TRIM(S140))&gt;0</formula>
    </cfRule>
  </conditionalFormatting>
  <conditionalFormatting sqref="S178">
    <cfRule type="notContainsBlanks" dxfId="414" priority="26">
      <formula>LEN(TRIM(S178))&gt;0</formula>
    </cfRule>
  </conditionalFormatting>
  <conditionalFormatting sqref="S216">
    <cfRule type="notContainsBlanks" dxfId="413" priority="25">
      <formula>LEN(TRIM(S216))&gt;0</formula>
    </cfRule>
  </conditionalFormatting>
  <conditionalFormatting sqref="S254">
    <cfRule type="notContainsBlanks" dxfId="412" priority="24">
      <formula>LEN(TRIM(S254))&gt;0</formula>
    </cfRule>
  </conditionalFormatting>
  <conditionalFormatting sqref="S292">
    <cfRule type="notContainsBlanks" dxfId="411" priority="23">
      <formula>LEN(TRIM(S292))&gt;0</formula>
    </cfRule>
  </conditionalFormatting>
  <conditionalFormatting sqref="S330">
    <cfRule type="notContainsBlanks" dxfId="410" priority="22">
      <formula>LEN(TRIM(S330))&gt;0</formula>
    </cfRule>
  </conditionalFormatting>
  <conditionalFormatting sqref="S368">
    <cfRule type="notContainsBlanks" dxfId="409" priority="21">
      <formula>LEN(TRIM(S368))&gt;0</formula>
    </cfRule>
  </conditionalFormatting>
  <conditionalFormatting sqref="E31:J40 S31:S40">
    <cfRule type="expression" dxfId="408" priority="308">
      <formula>$D31=""</formula>
    </cfRule>
  </conditionalFormatting>
  <conditionalFormatting sqref="E69:J78 S69:S78">
    <cfRule type="expression" dxfId="407" priority="297">
      <formula>$D69=""</formula>
    </cfRule>
  </conditionalFormatting>
  <conditionalFormatting sqref="E107:J116 S107:S116">
    <cfRule type="expression" dxfId="406" priority="286">
      <formula>$D107=""</formula>
    </cfRule>
  </conditionalFormatting>
  <conditionalFormatting sqref="E145:J154 S145:S154">
    <cfRule type="expression" dxfId="405" priority="275">
      <formula>$D145=""</formula>
    </cfRule>
  </conditionalFormatting>
  <conditionalFormatting sqref="E183:J192 S183:S192">
    <cfRule type="expression" dxfId="404" priority="264">
      <formula>$D183=""</formula>
    </cfRule>
  </conditionalFormatting>
  <conditionalFormatting sqref="E221:J230 S221:S230">
    <cfRule type="expression" dxfId="403" priority="252">
      <formula>$D221=""</formula>
    </cfRule>
  </conditionalFormatting>
  <conditionalFormatting sqref="E259:J268 S259:S268">
    <cfRule type="expression" dxfId="402" priority="238">
      <formula>$D259=""</formula>
    </cfRule>
  </conditionalFormatting>
  <conditionalFormatting sqref="E297:J306 S297:S306">
    <cfRule type="expression" dxfId="401" priority="224">
      <formula>$D297=""</formula>
    </cfRule>
  </conditionalFormatting>
  <conditionalFormatting sqref="E335:J344 S335:S344">
    <cfRule type="expression" dxfId="400" priority="210">
      <formula>$D335=""</formula>
    </cfRule>
  </conditionalFormatting>
  <conditionalFormatting sqref="E373:J382 S373:S382">
    <cfRule type="expression" dxfId="399" priority="196">
      <formula>$D373=""</formula>
    </cfRule>
  </conditionalFormatting>
  <dataValidations count="13">
    <dataValidation type="list" allowBlank="1" showInputMessage="1" showErrorMessage="1" sqref="G138:J138">
      <formula1>IPops04</formula1>
    </dataValidation>
    <dataValidation type="list" allowBlank="1" showInputMessage="1" showErrorMessage="1" sqref="G100:J100">
      <formula1>IPops03</formula1>
    </dataValidation>
    <dataValidation type="list" allowBlank="1" showInputMessage="1" showErrorMessage="1" sqref="G62:J62">
      <formula1>IPops02</formula1>
    </dataValidation>
    <dataValidation type="list" allowBlank="1" showInputMessage="1" showErrorMessage="1" sqref="E24 E62 E100 E138 E176 E214 E252 E290 E328 E366">
      <formula1>EPISource</formula1>
    </dataValidation>
    <dataValidation type="list" allowBlank="1" showInputMessage="1" showErrorMessage="1" sqref="G176:J176">
      <formula1>IPops05</formula1>
    </dataValidation>
    <dataValidation type="list" allowBlank="1" showInputMessage="1" showErrorMessage="1" sqref="G366:J366">
      <formula1>IPops10</formula1>
    </dataValidation>
    <dataValidation type="list" allowBlank="1" showInputMessage="1" showErrorMessage="1" sqref="G328:J328">
      <formula1>IPops09</formula1>
    </dataValidation>
    <dataValidation type="list" allowBlank="1" showInputMessage="1" showErrorMessage="1" sqref="G290:J290">
      <formula1>IPops08</formula1>
    </dataValidation>
    <dataValidation type="list" allowBlank="1" showInputMessage="1" showErrorMessage="1" sqref="G214:J214">
      <formula1>IPops06</formula1>
    </dataValidation>
    <dataValidation type="list" allowBlank="1" showInputMessage="1" showErrorMessage="1" sqref="G252:J252">
      <formula1>IPops07</formula1>
    </dataValidation>
    <dataValidation type="list" allowBlank="1" showInputMessage="1" showErrorMessage="1" sqref="G24:J24">
      <formula1>IPops01</formula1>
    </dataValidation>
    <dataValidation type="list" allowBlank="1" showInputMessage="1" showErrorMessage="1" sqref="E397 E93 E131 E169 E207 E245 E283 E321 E359 E55">
      <formula1>CoPayBands</formula1>
    </dataValidation>
    <dataValidation type="list" allowBlank="1" showInputMessage="1" showErrorMessage="1" sqref="E50 E88 E126 E164 E202 E240 E278 E316 E354 E392">
      <formula1>TxPhase2Source</formula1>
    </dataValidation>
  </dataValidations>
  <pageMargins left="0.11811023622047245" right="0.11811023622047245" top="0.19685039370078741" bottom="0.15748031496062992" header="0.31496062992125984" footer="0.31496062992125984"/>
  <pageSetup paperSize="9" scale="66" orientation="landscape" horizontalDpi="300" verticalDpi="3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6"/>
    <pageSetUpPr fitToPage="1"/>
  </sheetPr>
  <dimension ref="A1:S449"/>
  <sheetViews>
    <sheetView showGridLines="0" zoomScaleNormal="100" workbookViewId="0">
      <pane ySplit="3" topLeftCell="A4" activePane="bottomLeft" state="frozen"/>
      <selection activeCell="B7" sqref="B7:G7"/>
      <selection pane="bottomLeft"/>
    </sheetView>
  </sheetViews>
  <sheetFormatPr defaultRowHeight="12.75" outlineLevelRow="1" x14ac:dyDescent="0.2"/>
  <cols>
    <col min="1" max="1" width="3.7109375" customWidth="1"/>
    <col min="2" max="2" width="3.7109375" style="416" hidden="1" customWidth="1"/>
    <col min="3" max="3" width="3.7109375" hidden="1" customWidth="1"/>
    <col min="4" max="4" width="45.7109375" customWidth="1"/>
    <col min="5" max="10" width="15.7109375" customWidth="1"/>
    <col min="11" max="11" width="3.7109375" hidden="1" customWidth="1"/>
    <col min="12" max="17" width="12.7109375" hidden="1" customWidth="1"/>
    <col min="18" max="18" width="3.7109375" customWidth="1"/>
    <col min="19" max="19" width="75.7109375" customWidth="1"/>
    <col min="20" max="20" width="3.7109375" customWidth="1"/>
    <col min="21" max="23" width="9.140625" customWidth="1"/>
  </cols>
  <sheetData>
    <row r="1" spans="1:19" ht="23.25" x14ac:dyDescent="0.2">
      <c r="A1" s="107">
        <f>IF((SUM(E14:J14)+SUM(E15:J15)&lt;&gt;0),2,0)</f>
        <v>0</v>
      </c>
      <c r="B1" s="107"/>
      <c r="C1" s="107"/>
      <c r="D1" s="116" t="s">
        <v>326</v>
      </c>
      <c r="E1" s="117"/>
      <c r="F1" s="117"/>
      <c r="G1" s="117"/>
      <c r="H1" s="117"/>
      <c r="I1" s="815"/>
      <c r="J1" s="815"/>
      <c r="K1" s="117"/>
      <c r="L1" s="117"/>
      <c r="M1" s="117"/>
      <c r="N1" s="117"/>
      <c r="O1" s="117"/>
      <c r="P1" s="117"/>
      <c r="Q1" s="117"/>
      <c r="R1" s="118"/>
      <c r="S1" s="119" t="str">
        <f>IF(PxPrevalent&lt;&gt;1,MsgNotRequired,"")</f>
        <v>** NOT REQUIRED **</v>
      </c>
    </row>
    <row r="2" spans="1:19" ht="15.75" x14ac:dyDescent="0.2">
      <c r="A2" s="117"/>
      <c r="B2" s="117"/>
      <c r="C2" s="117"/>
      <c r="D2" s="110" t="str">
        <f>CONCATENATE("Name of medicine: ",MedicineBrand)</f>
        <v xml:space="preserve">Name of medicine: </v>
      </c>
      <c r="E2" s="117"/>
      <c r="F2" s="117"/>
      <c r="G2" s="117"/>
      <c r="H2" s="117"/>
      <c r="I2" s="117"/>
      <c r="J2" s="117"/>
      <c r="K2" s="117"/>
      <c r="L2" s="117"/>
      <c r="M2" s="117"/>
      <c r="N2" s="117"/>
      <c r="O2" s="117"/>
      <c r="P2" s="117"/>
      <c r="Q2" s="117"/>
      <c r="R2" s="118"/>
      <c r="S2" s="118"/>
    </row>
    <row r="3" spans="1:19" ht="15.75" x14ac:dyDescent="0.2">
      <c r="A3" s="117"/>
      <c r="B3" s="117"/>
      <c r="C3" s="117"/>
      <c r="D3" s="110" t="str">
        <f>CONCATENATE("Indication: ", Indication)</f>
        <v xml:space="preserve">Indication: </v>
      </c>
      <c r="E3" s="117"/>
      <c r="F3" s="117"/>
      <c r="G3" s="117"/>
      <c r="H3" s="117"/>
      <c r="I3" s="117"/>
      <c r="J3" s="117"/>
      <c r="K3" s="117"/>
      <c r="L3" s="117"/>
      <c r="M3" s="117"/>
      <c r="N3" s="117"/>
      <c r="O3" s="117"/>
      <c r="P3" s="117"/>
      <c r="Q3" s="117"/>
      <c r="R3" s="118"/>
      <c r="S3" s="118"/>
    </row>
    <row r="4" spans="1:19" x14ac:dyDescent="0.2">
      <c r="A4" s="125"/>
      <c r="B4" s="125"/>
      <c r="C4" s="125"/>
      <c r="D4" s="125"/>
      <c r="E4" s="162"/>
      <c r="F4" s="162"/>
      <c r="G4" s="162"/>
      <c r="H4" s="162"/>
      <c r="I4" s="162"/>
      <c r="J4" s="162"/>
      <c r="K4" s="125"/>
      <c r="L4" s="125"/>
      <c r="M4" s="125"/>
      <c r="N4" s="125"/>
      <c r="O4" s="125"/>
      <c r="P4" s="125"/>
      <c r="Q4" s="125"/>
      <c r="R4" s="125"/>
      <c r="S4" s="125"/>
    </row>
    <row r="5" spans="1:19" ht="15.75" x14ac:dyDescent="0.2">
      <c r="A5" s="122"/>
      <c r="B5" s="122"/>
      <c r="C5" s="122"/>
      <c r="D5" s="123" t="s">
        <v>2</v>
      </c>
      <c r="E5" s="124"/>
      <c r="F5" s="124"/>
      <c r="G5" s="124"/>
      <c r="H5" s="124"/>
      <c r="I5" s="124"/>
      <c r="J5" s="124"/>
      <c r="K5" s="124"/>
      <c r="L5" s="124"/>
      <c r="M5" s="124"/>
      <c r="N5" s="124"/>
      <c r="O5" s="124"/>
      <c r="P5" s="124"/>
      <c r="Q5" s="124"/>
      <c r="R5" s="124"/>
      <c r="S5" s="124"/>
    </row>
    <row r="6" spans="1:19" x14ac:dyDescent="0.2">
      <c r="A6" s="125"/>
      <c r="B6" s="125"/>
      <c r="C6" s="125"/>
      <c r="D6" s="125"/>
      <c r="E6" s="162"/>
      <c r="F6" s="162"/>
      <c r="G6" s="162"/>
      <c r="H6" s="162"/>
      <c r="I6" s="162"/>
      <c r="J6" s="162"/>
      <c r="K6" s="125"/>
      <c r="L6" s="125"/>
      <c r="M6" s="125"/>
      <c r="N6" s="125"/>
      <c r="O6" s="125"/>
      <c r="P6" s="125"/>
      <c r="Q6" s="125"/>
      <c r="R6" s="125"/>
      <c r="S6" s="125"/>
    </row>
    <row r="7" spans="1:19" x14ac:dyDescent="0.2">
      <c r="A7" s="125"/>
      <c r="B7" s="125"/>
      <c r="C7" s="125"/>
      <c r="D7" s="162" t="s">
        <v>841</v>
      </c>
      <c r="E7" s="162"/>
      <c r="F7" s="162"/>
      <c r="G7" s="615"/>
      <c r="H7" s="615"/>
      <c r="I7" s="615"/>
      <c r="J7" s="615"/>
      <c r="K7" s="125"/>
      <c r="L7" s="162"/>
      <c r="M7" s="162"/>
      <c r="N7" s="162"/>
      <c r="O7" s="162"/>
      <c r="P7" s="162"/>
      <c r="Q7" s="125"/>
      <c r="R7" s="125"/>
      <c r="S7" s="125"/>
    </row>
    <row r="8" spans="1:19" x14ac:dyDescent="0.2">
      <c r="A8" s="125"/>
      <c r="B8" s="125"/>
      <c r="C8" s="125"/>
      <c r="D8" s="162"/>
      <c r="E8" s="162"/>
      <c r="F8" s="162"/>
      <c r="G8" s="162"/>
      <c r="H8" s="162"/>
      <c r="I8" s="162"/>
      <c r="J8" s="125"/>
      <c r="K8" s="125"/>
      <c r="L8" s="125"/>
      <c r="M8" s="125"/>
      <c r="N8" s="125"/>
      <c r="O8" s="125"/>
      <c r="P8" s="125"/>
      <c r="Q8" s="125"/>
      <c r="R8" s="125"/>
      <c r="S8" s="125"/>
    </row>
    <row r="9" spans="1:19" ht="15.75" x14ac:dyDescent="0.2">
      <c r="A9" s="125"/>
      <c r="B9" s="125"/>
      <c r="C9" s="125"/>
      <c r="D9" s="123" t="s">
        <v>859</v>
      </c>
      <c r="E9" s="126"/>
      <c r="F9" s="126"/>
      <c r="G9" s="126"/>
      <c r="H9" s="126"/>
      <c r="I9" s="126"/>
      <c r="J9" s="127"/>
      <c r="K9" s="124"/>
      <c r="L9" s="124"/>
      <c r="M9" s="124"/>
      <c r="N9" s="124"/>
      <c r="O9" s="124"/>
      <c r="P9" s="124"/>
      <c r="Q9" s="124"/>
      <c r="R9" s="124"/>
      <c r="S9" s="124"/>
    </row>
    <row r="10" spans="1:19" x14ac:dyDescent="0.2">
      <c r="A10" s="162"/>
      <c r="B10" s="162"/>
      <c r="C10" s="162"/>
      <c r="D10" s="162"/>
      <c r="E10" s="162"/>
      <c r="F10" s="162"/>
      <c r="G10" s="162"/>
      <c r="H10" s="162"/>
      <c r="I10" s="162"/>
      <c r="J10" s="162"/>
      <c r="K10" s="162"/>
      <c r="L10" s="162"/>
      <c r="M10" s="162"/>
      <c r="N10" s="162"/>
      <c r="O10" s="162"/>
      <c r="P10" s="162"/>
      <c r="Q10" s="162"/>
      <c r="R10" s="162"/>
      <c r="S10" s="162"/>
    </row>
    <row r="11" spans="1:19" x14ac:dyDescent="0.2">
      <c r="A11" s="162"/>
      <c r="B11" s="162"/>
      <c r="C11" s="162"/>
      <c r="D11" s="162" t="s">
        <v>982</v>
      </c>
      <c r="E11" s="162"/>
      <c r="F11" s="162"/>
      <c r="G11" s="162"/>
      <c r="H11" s="162"/>
      <c r="I11" s="162"/>
      <c r="J11" s="162"/>
      <c r="K11" s="162"/>
      <c r="L11" s="162"/>
      <c r="M11" s="162"/>
      <c r="N11" s="162"/>
      <c r="O11" s="162"/>
      <c r="P11" s="162"/>
      <c r="Q11" s="162"/>
      <c r="R11" s="162"/>
      <c r="S11" s="162"/>
    </row>
    <row r="12" spans="1:19" x14ac:dyDescent="0.2">
      <c r="A12" s="162"/>
      <c r="B12" s="162"/>
      <c r="C12" s="162"/>
      <c r="D12" s="495"/>
      <c r="E12" s="162"/>
      <c r="F12" s="162"/>
      <c r="G12" s="162"/>
      <c r="H12" s="162"/>
      <c r="I12" s="162"/>
      <c r="J12" s="162"/>
      <c r="K12" s="162"/>
      <c r="L12" s="162"/>
      <c r="M12" s="162"/>
      <c r="N12" s="162"/>
      <c r="O12" s="162"/>
      <c r="P12" s="162"/>
      <c r="Q12" s="162"/>
      <c r="R12" s="162"/>
      <c r="S12" s="162"/>
    </row>
    <row r="13" spans="1:19" x14ac:dyDescent="0.2">
      <c r="A13" s="162"/>
      <c r="B13" s="162"/>
      <c r="C13" s="162"/>
      <c r="D13" s="495"/>
      <c r="E13" s="81">
        <f>FirstYear</f>
        <v>2021</v>
      </c>
      <c r="F13" s="81">
        <f>E13+1</f>
        <v>2022</v>
      </c>
      <c r="G13" s="81">
        <f>F13+1</f>
        <v>2023</v>
      </c>
      <c r="H13" s="81">
        <f>G13+1</f>
        <v>2024</v>
      </c>
      <c r="I13" s="81">
        <f>H13+1</f>
        <v>2025</v>
      </c>
      <c r="J13" s="81">
        <f>I13+1</f>
        <v>2026</v>
      </c>
      <c r="K13" s="162"/>
      <c r="L13" s="162"/>
      <c r="M13" s="162"/>
      <c r="N13" s="642"/>
      <c r="O13" s="162"/>
      <c r="P13" s="162"/>
      <c r="Q13" s="162"/>
      <c r="R13" s="162"/>
      <c r="S13" s="162"/>
    </row>
    <row r="14" spans="1:19" x14ac:dyDescent="0.2">
      <c r="A14" s="162"/>
      <c r="B14" s="162"/>
      <c r="C14" s="162"/>
      <c r="D14" s="59" t="str">
        <f>TxPhase1PxTotal</f>
        <v/>
      </c>
      <c r="E14" s="32">
        <f t="shared" ref="E14:J14" si="0">IF(OR(ScriptSourceCode=1,ScriptSourceCode=3),E52+E90+E128+E166+E204+E242+E280+E318+E356+E394,0)</f>
        <v>0</v>
      </c>
      <c r="F14" s="32">
        <f t="shared" si="0"/>
        <v>0</v>
      </c>
      <c r="G14" s="32">
        <f t="shared" si="0"/>
        <v>0</v>
      </c>
      <c r="H14" s="32">
        <f t="shared" si="0"/>
        <v>0</v>
      </c>
      <c r="I14" s="32">
        <f t="shared" si="0"/>
        <v>0</v>
      </c>
      <c r="J14" s="32">
        <f t="shared" si="0"/>
        <v>0</v>
      </c>
      <c r="K14" s="162"/>
      <c r="L14" s="162"/>
      <c r="M14" s="162"/>
      <c r="N14" s="642"/>
      <c r="O14" s="162"/>
      <c r="P14" s="162"/>
      <c r="Q14" s="162"/>
      <c r="R14" s="162"/>
      <c r="S14" s="162"/>
    </row>
    <row r="15" spans="1:19" x14ac:dyDescent="0.2">
      <c r="A15" s="162"/>
      <c r="B15" s="162"/>
      <c r="C15" s="162"/>
      <c r="D15" s="59" t="str">
        <f>TxPhase2PxTotal</f>
        <v/>
      </c>
      <c r="E15" s="32">
        <f t="shared" ref="E15:J15" si="1">IF(OR(ScriptSourceCode=1,ScriptSourceCode=3),IF(TPCont&gt;0,E53+E91+E129+E167+E205+E243+E281+E319+E357+E395,0),0)</f>
        <v>0</v>
      </c>
      <c r="F15" s="32">
        <f t="shared" si="1"/>
        <v>0</v>
      </c>
      <c r="G15" s="32">
        <f t="shared" si="1"/>
        <v>0</v>
      </c>
      <c r="H15" s="32">
        <f t="shared" si="1"/>
        <v>0</v>
      </c>
      <c r="I15" s="32">
        <f t="shared" si="1"/>
        <v>0</v>
      </c>
      <c r="J15" s="32">
        <f t="shared" si="1"/>
        <v>0</v>
      </c>
      <c r="K15" s="162"/>
      <c r="L15" s="129"/>
      <c r="M15" s="129"/>
      <c r="N15" s="129"/>
      <c r="O15" s="129"/>
      <c r="P15" s="129"/>
      <c r="Q15" s="129"/>
      <c r="R15" s="162"/>
      <c r="S15" s="162"/>
    </row>
    <row r="16" spans="1:19" x14ac:dyDescent="0.2">
      <c r="A16" s="162"/>
      <c r="B16" s="162"/>
      <c r="C16" s="162"/>
      <c r="D16" s="162"/>
      <c r="E16" s="718"/>
      <c r="F16" s="718"/>
      <c r="G16" s="718"/>
      <c r="H16" s="718"/>
      <c r="I16" s="718"/>
      <c r="J16" s="718"/>
      <c r="K16" s="162"/>
      <c r="L16" s="162"/>
      <c r="M16" s="162"/>
      <c r="N16" s="162"/>
      <c r="O16" s="162"/>
      <c r="P16" s="162"/>
      <c r="Q16" s="162"/>
      <c r="R16" s="162"/>
      <c r="S16" s="162"/>
    </row>
    <row r="17" spans="1:19" x14ac:dyDescent="0.2">
      <c r="A17" s="162"/>
      <c r="B17" s="162"/>
      <c r="C17" s="162"/>
      <c r="D17" s="162"/>
      <c r="E17" s="162"/>
      <c r="F17" s="162"/>
      <c r="G17" s="162"/>
      <c r="H17" s="162"/>
      <c r="I17" s="162"/>
      <c r="J17" s="162"/>
      <c r="K17" s="162"/>
      <c r="L17" s="162"/>
      <c r="M17" s="162"/>
      <c r="N17" s="162"/>
      <c r="O17" s="162"/>
      <c r="P17" s="162"/>
      <c r="Q17" s="162"/>
      <c r="R17" s="162"/>
      <c r="S17" s="162"/>
    </row>
    <row r="18" spans="1:19" ht="15.75" x14ac:dyDescent="0.2">
      <c r="A18" s="131"/>
      <c r="B18" s="131"/>
      <c r="C18" s="131"/>
      <c r="D18" s="123" t="s">
        <v>915</v>
      </c>
      <c r="E18" s="132"/>
      <c r="F18" s="132"/>
      <c r="G18" s="132"/>
      <c r="H18" s="132"/>
      <c r="I18" s="133"/>
      <c r="J18" s="133"/>
      <c r="K18" s="133"/>
      <c r="L18" s="133"/>
      <c r="M18" s="133"/>
      <c r="N18" s="133"/>
      <c r="O18" s="133"/>
      <c r="P18" s="133"/>
      <c r="Q18" s="133"/>
      <c r="R18" s="133"/>
      <c r="S18" s="133"/>
    </row>
    <row r="19" spans="1:19" x14ac:dyDescent="0.2">
      <c r="A19" s="162"/>
      <c r="B19" s="162"/>
      <c r="C19" s="162"/>
      <c r="D19" s="128"/>
      <c r="E19" s="128"/>
      <c r="F19" s="128"/>
      <c r="G19" s="128"/>
      <c r="H19" s="128"/>
      <c r="I19" s="128"/>
      <c r="J19" s="128"/>
      <c r="K19" s="128"/>
      <c r="L19" s="128"/>
      <c r="M19" s="128"/>
      <c r="N19" s="128"/>
      <c r="O19" s="128"/>
      <c r="P19" s="128"/>
      <c r="Q19" s="128"/>
      <c r="R19" s="128"/>
      <c r="S19" s="128"/>
    </row>
    <row r="20" spans="1:19" ht="15.75" x14ac:dyDescent="0.2">
      <c r="A20" s="162"/>
      <c r="B20" s="162"/>
      <c r="C20" s="573">
        <v>1</v>
      </c>
      <c r="D20" s="79" t="str">
        <f>IF(E24&lt;&gt;"",CONCATENATE("Prevalent ",C20,": ",G24,L20),MsgNotUsed)</f>
        <v>** NOT USED **</v>
      </c>
      <c r="E20" s="132"/>
      <c r="F20" s="132"/>
      <c r="G20" s="132"/>
      <c r="H20" s="132"/>
      <c r="I20" s="134"/>
      <c r="J20" s="126"/>
      <c r="K20" s="133"/>
      <c r="L20" s="325" t="str">
        <f>IF(S24&lt;&gt;"",CONCATENATE(" (",S24,")"),"")</f>
        <v/>
      </c>
      <c r="M20" s="133"/>
      <c r="N20" s="133"/>
      <c r="O20" s="133"/>
      <c r="P20" s="133"/>
      <c r="Q20" s="133"/>
      <c r="R20" s="133"/>
      <c r="S20" s="133"/>
    </row>
    <row r="21" spans="1:19" hidden="1" outlineLevel="1" x14ac:dyDescent="0.2">
      <c r="A21" s="162"/>
      <c r="B21" s="162"/>
      <c r="C21" s="162"/>
      <c r="D21" s="616"/>
      <c r="E21" s="162"/>
      <c r="F21" s="162"/>
      <c r="G21" s="162"/>
      <c r="H21" s="162"/>
      <c r="I21" s="162"/>
      <c r="J21" s="162"/>
      <c r="K21" s="162"/>
      <c r="L21" s="162"/>
      <c r="M21" s="162"/>
      <c r="N21" s="162"/>
      <c r="O21" s="162"/>
      <c r="P21" s="162"/>
      <c r="Q21" s="162"/>
      <c r="R21" s="162"/>
      <c r="S21" s="162"/>
    </row>
    <row r="22" spans="1:19" hidden="1" outlineLevel="1" x14ac:dyDescent="0.2">
      <c r="A22" s="162"/>
      <c r="B22" s="162"/>
      <c r="C22" s="162"/>
      <c r="D22" s="162" t="s">
        <v>840</v>
      </c>
      <c r="E22" s="162"/>
      <c r="F22" s="162"/>
      <c r="G22" s="162"/>
      <c r="H22" s="162"/>
      <c r="I22" s="162"/>
      <c r="J22" s="162"/>
      <c r="K22" s="162"/>
      <c r="L22" s="162"/>
      <c r="M22" s="162"/>
      <c r="N22" s="162"/>
      <c r="O22" s="162"/>
      <c r="P22" s="162"/>
      <c r="Q22" s="162"/>
      <c r="R22" s="162"/>
      <c r="S22" s="641"/>
    </row>
    <row r="23" spans="1:19" hidden="1" outlineLevel="1" x14ac:dyDescent="0.2">
      <c r="A23" s="162"/>
      <c r="B23" s="162"/>
      <c r="C23" s="162"/>
      <c r="D23" s="616"/>
      <c r="E23" s="162"/>
      <c r="F23" s="162"/>
      <c r="G23" s="162"/>
      <c r="H23" s="162"/>
      <c r="I23" s="162"/>
      <c r="J23" s="162"/>
      <c r="K23" s="162"/>
      <c r="L23" s="162"/>
      <c r="M23" s="162"/>
      <c r="N23" s="162"/>
      <c r="O23" s="162"/>
      <c r="P23" s="162"/>
      <c r="Q23" s="162"/>
      <c r="R23" s="162"/>
      <c r="S23" s="36" t="s">
        <v>424</v>
      </c>
    </row>
    <row r="24" spans="1:19" hidden="1" outlineLevel="1" x14ac:dyDescent="0.2">
      <c r="A24" s="129"/>
      <c r="B24" s="475">
        <f>IF(E24&lt;&gt;"",MATCH(E24,EPISource,0)-1,0)</f>
        <v>0</v>
      </c>
      <c r="C24" s="475">
        <f ca="1">IF(G24&lt;&gt;"",MATCH(G24,OFFSET(References!$AE$7,0,B24,PxPopMaxCount),0),0)</f>
        <v>0</v>
      </c>
      <c r="D24" s="12" t="s">
        <v>113</v>
      </c>
      <c r="E24" s="401"/>
      <c r="F24" s="135"/>
      <c r="G24" s="812"/>
      <c r="H24" s="813"/>
      <c r="I24" s="813"/>
      <c r="J24" s="813"/>
      <c r="K24" s="162"/>
      <c r="L24" s="162"/>
      <c r="M24" s="162"/>
      <c r="N24" s="162"/>
      <c r="O24" s="162"/>
      <c r="P24" s="162"/>
      <c r="Q24" s="162"/>
      <c r="R24" s="162"/>
      <c r="S24" s="274"/>
    </row>
    <row r="25" spans="1:19" hidden="1" outlineLevel="1" x14ac:dyDescent="0.2">
      <c r="A25" s="129"/>
      <c r="B25" s="475">
        <f>INDEX(PxPopValid,,B24+1)</f>
        <v>0</v>
      </c>
      <c r="C25" s="475">
        <f ca="1">(B24*PxPopMaxCount)+C24</f>
        <v>0</v>
      </c>
      <c r="D25" s="162"/>
      <c r="E25" s="650">
        <v>1</v>
      </c>
      <c r="F25" s="650">
        <v>2</v>
      </c>
      <c r="G25" s="650">
        <v>3</v>
      </c>
      <c r="H25" s="650">
        <v>4</v>
      </c>
      <c r="I25" s="650">
        <v>5</v>
      </c>
      <c r="J25" s="650">
        <v>6</v>
      </c>
      <c r="K25" s="162"/>
      <c r="L25" s="162"/>
      <c r="M25" s="162"/>
      <c r="N25" s="162"/>
      <c r="O25" s="162"/>
      <c r="P25" s="162"/>
      <c r="Q25" s="162"/>
      <c r="R25" s="162"/>
      <c r="S25" s="162"/>
    </row>
    <row r="26" spans="1:19" hidden="1" outlineLevel="1" x14ac:dyDescent="0.2">
      <c r="A26" s="129"/>
      <c r="B26" s="129"/>
      <c r="C26" s="129"/>
      <c r="D26" s="616"/>
      <c r="E26" s="814" t="s">
        <v>10</v>
      </c>
      <c r="F26" s="814"/>
      <c r="G26" s="814"/>
      <c r="H26" s="814"/>
      <c r="I26" s="814"/>
      <c r="J26" s="814"/>
      <c r="K26" s="162"/>
      <c r="L26" s="162"/>
      <c r="M26" s="162"/>
      <c r="N26" s="162"/>
      <c r="O26" s="162"/>
      <c r="P26" s="162"/>
      <c r="Q26" s="162"/>
      <c r="R26" s="162"/>
      <c r="S26" s="636" t="str">
        <f ca="1">IF(ISERROR($C25)=TRUE,MsgError&amp;VLOOKUP("BadPop",ErrorMessages,2,FALSE),IF(RIGHT(G24,11)="(Incidence)",MsgError&amp;VLOOKUP("BadIncPop",ErrorMessages,2,FALSE),""))</f>
        <v/>
      </c>
    </row>
    <row r="27" spans="1:19" hidden="1" outlineLevel="1" x14ac:dyDescent="0.2">
      <c r="A27" s="129"/>
      <c r="B27" s="129"/>
      <c r="C27" s="129"/>
      <c r="D27" s="643"/>
      <c r="E27" s="402">
        <f>FirstYear</f>
        <v>2021</v>
      </c>
      <c r="F27" s="402">
        <f>E27+1</f>
        <v>2022</v>
      </c>
      <c r="G27" s="402">
        <f>F27+1</f>
        <v>2023</v>
      </c>
      <c r="H27" s="402">
        <f>G27+1</f>
        <v>2024</v>
      </c>
      <c r="I27" s="402">
        <f>H27+1</f>
        <v>2025</v>
      </c>
      <c r="J27" s="402">
        <f>I27+1</f>
        <v>2026</v>
      </c>
      <c r="K27" s="162"/>
      <c r="L27" s="162"/>
      <c r="M27" s="162"/>
      <c r="N27" s="162"/>
      <c r="O27" s="162"/>
      <c r="P27" s="162"/>
      <c r="Q27" s="162"/>
      <c r="R27" s="162"/>
      <c r="S27" s="162"/>
    </row>
    <row r="28" spans="1:19" hidden="1" outlineLevel="1" x14ac:dyDescent="0.2">
      <c r="A28" s="162"/>
      <c r="B28" s="162"/>
      <c r="C28" s="162"/>
      <c r="D28" s="721" t="s">
        <v>92</v>
      </c>
      <c r="E28" s="437">
        <f t="shared" ref="E28:J28" ca="1" si="2">IF(AND(ISERROR($C25)&lt;&gt;TRUE,$G24&lt;&gt;""),INDEX(PxPopNumbers,$C25,E25),0)</f>
        <v>0</v>
      </c>
      <c r="F28" s="437">
        <f t="shared" ca="1" si="2"/>
        <v>0</v>
      </c>
      <c r="G28" s="437">
        <f t="shared" ca="1" si="2"/>
        <v>0</v>
      </c>
      <c r="H28" s="437">
        <f t="shared" ca="1" si="2"/>
        <v>0</v>
      </c>
      <c r="I28" s="437">
        <f t="shared" ca="1" si="2"/>
        <v>0</v>
      </c>
      <c r="J28" s="437">
        <f t="shared" ca="1" si="2"/>
        <v>0</v>
      </c>
      <c r="K28" s="162"/>
      <c r="L28" s="162"/>
      <c r="M28" s="162"/>
      <c r="N28" s="162"/>
      <c r="O28" s="162"/>
      <c r="P28" s="162"/>
      <c r="Q28" s="162"/>
      <c r="R28" s="616"/>
      <c r="S28" s="162"/>
    </row>
    <row r="29" spans="1:19" hidden="1" outlineLevel="1" x14ac:dyDescent="0.2">
      <c r="A29" s="162"/>
      <c r="B29" s="162"/>
      <c r="C29" s="162"/>
      <c r="D29" s="162"/>
      <c r="E29" s="270"/>
      <c r="F29" s="270"/>
      <c r="G29" s="270"/>
      <c r="H29" s="270"/>
      <c r="I29" s="270"/>
      <c r="J29" s="270"/>
      <c r="K29" s="162"/>
      <c r="L29" s="162"/>
      <c r="M29" s="162"/>
      <c r="N29" s="162"/>
      <c r="O29" s="162"/>
      <c r="P29" s="162"/>
      <c r="Q29" s="162"/>
      <c r="R29" s="162"/>
      <c r="S29" s="162"/>
    </row>
    <row r="30" spans="1:19" hidden="1" outlineLevel="1" x14ac:dyDescent="0.2">
      <c r="A30" s="162"/>
      <c r="B30" s="162"/>
      <c r="C30" s="162"/>
      <c r="D30" s="720" t="s">
        <v>205</v>
      </c>
      <c r="E30" s="270"/>
      <c r="F30" s="270"/>
      <c r="G30" s="270"/>
      <c r="H30" s="270"/>
      <c r="I30" s="270"/>
      <c r="J30" s="270"/>
      <c r="K30" s="162"/>
      <c r="L30" s="162"/>
      <c r="M30" s="162"/>
      <c r="N30" s="162"/>
      <c r="O30" s="162"/>
      <c r="P30" s="162"/>
      <c r="Q30" s="162"/>
      <c r="R30" s="162"/>
      <c r="S30" s="36" t="s">
        <v>258</v>
      </c>
    </row>
    <row r="31" spans="1:19" hidden="1" outlineLevel="1" x14ac:dyDescent="0.2">
      <c r="A31" s="162"/>
      <c r="B31" s="162"/>
      <c r="C31" s="162"/>
      <c r="D31" s="432"/>
      <c r="E31" s="412"/>
      <c r="F31" s="412"/>
      <c r="G31" s="412"/>
      <c r="H31" s="412"/>
      <c r="I31" s="412"/>
      <c r="J31" s="412"/>
      <c r="K31" s="270"/>
      <c r="L31" s="425">
        <f t="shared" ref="L31:Q31" si="3">IF(E31="",1,E31)</f>
        <v>1</v>
      </c>
      <c r="M31" s="425">
        <f t="shared" si="3"/>
        <v>1</v>
      </c>
      <c r="N31" s="425">
        <f t="shared" si="3"/>
        <v>1</v>
      </c>
      <c r="O31" s="425">
        <f t="shared" si="3"/>
        <v>1</v>
      </c>
      <c r="P31" s="425">
        <f t="shared" si="3"/>
        <v>1</v>
      </c>
      <c r="Q31" s="425">
        <f t="shared" si="3"/>
        <v>1</v>
      </c>
      <c r="R31" s="162"/>
      <c r="S31" s="432"/>
    </row>
    <row r="32" spans="1:19" hidden="1" outlineLevel="1" x14ac:dyDescent="0.2">
      <c r="A32" s="162"/>
      <c r="B32" s="162"/>
      <c r="C32" s="162"/>
      <c r="D32" s="432"/>
      <c r="E32" s="412"/>
      <c r="F32" s="412"/>
      <c r="G32" s="412"/>
      <c r="H32" s="412"/>
      <c r="I32" s="412"/>
      <c r="J32" s="412"/>
      <c r="K32" s="270"/>
      <c r="L32" s="45">
        <f t="shared" ref="L32:L39" si="4">IF(E32="",1,E32)</f>
        <v>1</v>
      </c>
      <c r="M32" s="45">
        <f t="shared" ref="M32:M40" si="5">IF(F32="",1,F32)</f>
        <v>1</v>
      </c>
      <c r="N32" s="45">
        <f t="shared" ref="N32:N40" si="6">IF(G32="",1,G32)</f>
        <v>1</v>
      </c>
      <c r="O32" s="45">
        <f t="shared" ref="O32:O40" si="7">IF(H32="",1,H32)</f>
        <v>1</v>
      </c>
      <c r="P32" s="45">
        <f t="shared" ref="P32:P40" si="8">IF(I32="",1,I32)</f>
        <v>1</v>
      </c>
      <c r="Q32" s="45">
        <f t="shared" ref="Q32:Q40" si="9">IF(J32="",1,J32)</f>
        <v>1</v>
      </c>
      <c r="R32" s="162"/>
      <c r="S32" s="432"/>
    </row>
    <row r="33" spans="1:19" hidden="1" outlineLevel="1" x14ac:dyDescent="0.2">
      <c r="A33" s="162"/>
      <c r="B33" s="162"/>
      <c r="C33" s="162"/>
      <c r="D33" s="432"/>
      <c r="E33" s="412"/>
      <c r="F33" s="412"/>
      <c r="G33" s="412"/>
      <c r="H33" s="412"/>
      <c r="I33" s="412"/>
      <c r="J33" s="412"/>
      <c r="K33" s="270"/>
      <c r="L33" s="45">
        <f t="shared" si="4"/>
        <v>1</v>
      </c>
      <c r="M33" s="45">
        <f t="shared" si="5"/>
        <v>1</v>
      </c>
      <c r="N33" s="45">
        <f t="shared" si="6"/>
        <v>1</v>
      </c>
      <c r="O33" s="45">
        <f t="shared" si="7"/>
        <v>1</v>
      </c>
      <c r="P33" s="45">
        <f t="shared" si="8"/>
        <v>1</v>
      </c>
      <c r="Q33" s="45">
        <f t="shared" si="9"/>
        <v>1</v>
      </c>
      <c r="R33" s="162"/>
      <c r="S33" s="432"/>
    </row>
    <row r="34" spans="1:19" hidden="1" outlineLevel="1" x14ac:dyDescent="0.2">
      <c r="A34" s="162"/>
      <c r="B34" s="162"/>
      <c r="C34" s="162"/>
      <c r="D34" s="432"/>
      <c r="E34" s="412"/>
      <c r="F34" s="412"/>
      <c r="G34" s="412"/>
      <c r="H34" s="412"/>
      <c r="I34" s="412"/>
      <c r="J34" s="412"/>
      <c r="K34" s="270"/>
      <c r="L34" s="45">
        <f t="shared" si="4"/>
        <v>1</v>
      </c>
      <c r="M34" s="45">
        <f t="shared" si="5"/>
        <v>1</v>
      </c>
      <c r="N34" s="45">
        <f t="shared" si="6"/>
        <v>1</v>
      </c>
      <c r="O34" s="45">
        <f t="shared" si="7"/>
        <v>1</v>
      </c>
      <c r="P34" s="45">
        <f t="shared" si="8"/>
        <v>1</v>
      </c>
      <c r="Q34" s="45">
        <f t="shared" si="9"/>
        <v>1</v>
      </c>
      <c r="R34" s="162"/>
      <c r="S34" s="432"/>
    </row>
    <row r="35" spans="1:19" hidden="1" outlineLevel="1" x14ac:dyDescent="0.2">
      <c r="A35" s="162"/>
      <c r="B35" s="162"/>
      <c r="C35" s="162"/>
      <c r="D35" s="432"/>
      <c r="E35" s="412"/>
      <c r="F35" s="412"/>
      <c r="G35" s="412"/>
      <c r="H35" s="412"/>
      <c r="I35" s="412"/>
      <c r="J35" s="412"/>
      <c r="K35" s="270"/>
      <c r="L35" s="45">
        <f t="shared" si="4"/>
        <v>1</v>
      </c>
      <c r="M35" s="45">
        <f t="shared" si="5"/>
        <v>1</v>
      </c>
      <c r="N35" s="45">
        <f t="shared" si="6"/>
        <v>1</v>
      </c>
      <c r="O35" s="45">
        <f t="shared" si="7"/>
        <v>1</v>
      </c>
      <c r="P35" s="45">
        <f t="shared" si="8"/>
        <v>1</v>
      </c>
      <c r="Q35" s="45">
        <f t="shared" si="9"/>
        <v>1</v>
      </c>
      <c r="R35" s="162"/>
      <c r="S35" s="432"/>
    </row>
    <row r="36" spans="1:19" hidden="1" outlineLevel="1" x14ac:dyDescent="0.2">
      <c r="A36" s="162"/>
      <c r="B36" s="162"/>
      <c r="C36" s="162"/>
      <c r="D36" s="432"/>
      <c r="E36" s="412"/>
      <c r="F36" s="412"/>
      <c r="G36" s="412"/>
      <c r="H36" s="412"/>
      <c r="I36" s="412"/>
      <c r="J36" s="412"/>
      <c r="K36" s="270"/>
      <c r="L36" s="45">
        <f t="shared" si="4"/>
        <v>1</v>
      </c>
      <c r="M36" s="45">
        <f t="shared" si="5"/>
        <v>1</v>
      </c>
      <c r="N36" s="45">
        <f t="shared" si="6"/>
        <v>1</v>
      </c>
      <c r="O36" s="45">
        <f t="shared" si="7"/>
        <v>1</v>
      </c>
      <c r="P36" s="45">
        <f t="shared" si="8"/>
        <v>1</v>
      </c>
      <c r="Q36" s="45">
        <f t="shared" si="9"/>
        <v>1</v>
      </c>
      <c r="R36" s="162"/>
      <c r="S36" s="432"/>
    </row>
    <row r="37" spans="1:19" hidden="1" outlineLevel="1" x14ac:dyDescent="0.2">
      <c r="A37" s="162"/>
      <c r="B37" s="162"/>
      <c r="C37" s="162"/>
      <c r="D37" s="432"/>
      <c r="E37" s="412"/>
      <c r="F37" s="412"/>
      <c r="G37" s="412"/>
      <c r="H37" s="412"/>
      <c r="I37" s="412"/>
      <c r="J37" s="412"/>
      <c r="K37" s="270"/>
      <c r="L37" s="45">
        <f t="shared" si="4"/>
        <v>1</v>
      </c>
      <c r="M37" s="45">
        <f t="shared" si="5"/>
        <v>1</v>
      </c>
      <c r="N37" s="45">
        <f t="shared" si="6"/>
        <v>1</v>
      </c>
      <c r="O37" s="45">
        <f t="shared" si="7"/>
        <v>1</v>
      </c>
      <c r="P37" s="45">
        <f t="shared" si="8"/>
        <v>1</v>
      </c>
      <c r="Q37" s="45">
        <f t="shared" si="9"/>
        <v>1</v>
      </c>
      <c r="R37" s="162"/>
      <c r="S37" s="432"/>
    </row>
    <row r="38" spans="1:19" hidden="1" outlineLevel="1" x14ac:dyDescent="0.2">
      <c r="A38" s="162"/>
      <c r="B38" s="162"/>
      <c r="C38" s="162"/>
      <c r="D38" s="432"/>
      <c r="E38" s="412"/>
      <c r="F38" s="412"/>
      <c r="G38" s="412"/>
      <c r="H38" s="412"/>
      <c r="I38" s="412"/>
      <c r="J38" s="412"/>
      <c r="K38" s="270"/>
      <c r="L38" s="45">
        <f t="shared" si="4"/>
        <v>1</v>
      </c>
      <c r="M38" s="45">
        <f t="shared" si="5"/>
        <v>1</v>
      </c>
      <c r="N38" s="45">
        <f t="shared" si="6"/>
        <v>1</v>
      </c>
      <c r="O38" s="45">
        <f t="shared" si="7"/>
        <v>1</v>
      </c>
      <c r="P38" s="45">
        <f t="shared" si="8"/>
        <v>1</v>
      </c>
      <c r="Q38" s="45">
        <f t="shared" si="9"/>
        <v>1</v>
      </c>
      <c r="R38" s="162"/>
      <c r="S38" s="432"/>
    </row>
    <row r="39" spans="1:19" hidden="1" outlineLevel="1" x14ac:dyDescent="0.2">
      <c r="A39" s="162"/>
      <c r="B39" s="162"/>
      <c r="C39" s="162"/>
      <c r="D39" s="432"/>
      <c r="E39" s="412"/>
      <c r="F39" s="412"/>
      <c r="G39" s="412"/>
      <c r="H39" s="412"/>
      <c r="I39" s="412"/>
      <c r="J39" s="412"/>
      <c r="K39" s="270"/>
      <c r="L39" s="45">
        <f t="shared" si="4"/>
        <v>1</v>
      </c>
      <c r="M39" s="45">
        <f t="shared" si="5"/>
        <v>1</v>
      </c>
      <c r="N39" s="45">
        <f t="shared" si="6"/>
        <v>1</v>
      </c>
      <c r="O39" s="45">
        <f t="shared" si="7"/>
        <v>1</v>
      </c>
      <c r="P39" s="45">
        <f t="shared" si="8"/>
        <v>1</v>
      </c>
      <c r="Q39" s="45">
        <f t="shared" si="9"/>
        <v>1</v>
      </c>
      <c r="R39" s="162"/>
      <c r="S39" s="432"/>
    </row>
    <row r="40" spans="1:19" hidden="1" outlineLevel="1" x14ac:dyDescent="0.2">
      <c r="A40" s="162"/>
      <c r="B40" s="162"/>
      <c r="C40" s="162"/>
      <c r="D40" s="432"/>
      <c r="E40" s="412"/>
      <c r="F40" s="412"/>
      <c r="G40" s="412"/>
      <c r="H40" s="412"/>
      <c r="I40" s="412"/>
      <c r="J40" s="412"/>
      <c r="K40" s="270"/>
      <c r="L40" s="45">
        <f>IF(E40="",1,E40)</f>
        <v>1</v>
      </c>
      <c r="M40" s="45">
        <f t="shared" si="5"/>
        <v>1</v>
      </c>
      <c r="N40" s="45">
        <f t="shared" si="6"/>
        <v>1</v>
      </c>
      <c r="O40" s="45">
        <f t="shared" si="7"/>
        <v>1</v>
      </c>
      <c r="P40" s="45">
        <f t="shared" si="8"/>
        <v>1</v>
      </c>
      <c r="Q40" s="45">
        <f t="shared" si="9"/>
        <v>1</v>
      </c>
      <c r="R40" s="162"/>
      <c r="S40" s="432"/>
    </row>
    <row r="41" spans="1:19" hidden="1" outlineLevel="1" x14ac:dyDescent="0.2">
      <c r="A41" s="162"/>
      <c r="B41" s="162"/>
      <c r="C41" s="162"/>
      <c r="D41" s="24" t="s">
        <v>213</v>
      </c>
      <c r="E41" s="414">
        <f t="shared" ref="E41:J41" si="10">L31*L32*L33*L34*L40*L35*L36*L37*L38*L39</f>
        <v>1</v>
      </c>
      <c r="F41" s="414">
        <f t="shared" si="10"/>
        <v>1</v>
      </c>
      <c r="G41" s="414">
        <f t="shared" si="10"/>
        <v>1</v>
      </c>
      <c r="H41" s="414">
        <f t="shared" si="10"/>
        <v>1</v>
      </c>
      <c r="I41" s="414">
        <f t="shared" si="10"/>
        <v>1</v>
      </c>
      <c r="J41" s="414">
        <f t="shared" si="10"/>
        <v>1</v>
      </c>
      <c r="K41" s="162"/>
      <c r="L41" s="162"/>
      <c r="M41" s="162"/>
      <c r="N41" s="638"/>
      <c r="O41" s="162"/>
      <c r="P41" s="162"/>
      <c r="Q41" s="162"/>
      <c r="R41" s="162"/>
      <c r="S41" s="162"/>
    </row>
    <row r="42" spans="1:19" hidden="1" outlineLevel="1" x14ac:dyDescent="0.2">
      <c r="A42" s="638"/>
      <c r="B42" s="638"/>
      <c r="C42" s="638"/>
      <c r="D42" s="6" t="s">
        <v>90</v>
      </c>
      <c r="E42" s="292">
        <f t="shared" ref="E42:J42" ca="1" si="11">IF(ISNUMBER(E28),E28*E41,"")</f>
        <v>0</v>
      </c>
      <c r="F42" s="292">
        <f t="shared" ca="1" si="11"/>
        <v>0</v>
      </c>
      <c r="G42" s="292">
        <f t="shared" ca="1" si="11"/>
        <v>0</v>
      </c>
      <c r="H42" s="292">
        <f t="shared" ca="1" si="11"/>
        <v>0</v>
      </c>
      <c r="I42" s="292">
        <f t="shared" ca="1" si="11"/>
        <v>0</v>
      </c>
      <c r="J42" s="292">
        <f t="shared" ca="1" si="11"/>
        <v>0</v>
      </c>
      <c r="K42" s="162"/>
      <c r="L42" s="638"/>
      <c r="M42" s="162"/>
      <c r="N42" s="162"/>
      <c r="O42" s="162"/>
      <c r="P42" s="162"/>
      <c r="Q42" s="162"/>
      <c r="R42" s="162"/>
      <c r="S42" s="162"/>
    </row>
    <row r="43" spans="1:19" hidden="1" outlineLevel="1" x14ac:dyDescent="0.2">
      <c r="A43" s="162"/>
      <c r="B43" s="162"/>
      <c r="C43" s="162"/>
      <c r="D43" s="270"/>
      <c r="E43" s="162"/>
      <c r="F43" s="162"/>
      <c r="G43" s="162"/>
      <c r="H43" s="162"/>
      <c r="I43" s="162"/>
      <c r="J43" s="162"/>
      <c r="K43" s="162"/>
      <c r="L43" s="162"/>
      <c r="M43" s="162"/>
      <c r="N43" s="162"/>
      <c r="O43" s="162"/>
      <c r="P43" s="641"/>
      <c r="Q43" s="641"/>
      <c r="R43" s="162"/>
      <c r="S43" s="162"/>
    </row>
    <row r="44" spans="1:19" hidden="1" outlineLevel="1" x14ac:dyDescent="0.2">
      <c r="A44" s="162"/>
      <c r="B44" s="162"/>
      <c r="C44" s="162"/>
      <c r="D44" s="60" t="str">
        <f>TxPhase1Tx</f>
        <v/>
      </c>
      <c r="E44" s="495"/>
      <c r="F44" s="162"/>
      <c r="G44" s="162"/>
      <c r="H44" s="162"/>
      <c r="I44" s="162"/>
      <c r="J44" s="162"/>
      <c r="K44" s="615"/>
      <c r="L44" s="615"/>
      <c r="M44" s="615"/>
      <c r="N44" s="615"/>
      <c r="O44" s="615"/>
      <c r="P44" s="615"/>
      <c r="Q44" s="615"/>
      <c r="R44" s="162"/>
      <c r="S44" s="36" t="s">
        <v>258</v>
      </c>
    </row>
    <row r="45" spans="1:19" hidden="1" outlineLevel="1" x14ac:dyDescent="0.2">
      <c r="A45" s="162"/>
      <c r="B45" s="162"/>
      <c r="C45" s="162"/>
      <c r="D45" s="12" t="s">
        <v>91</v>
      </c>
      <c r="E45" s="54"/>
      <c r="F45" s="54"/>
      <c r="G45" s="54"/>
      <c r="H45" s="54"/>
      <c r="I45" s="54"/>
      <c r="J45" s="54"/>
      <c r="K45" s="615"/>
      <c r="L45" s="615"/>
      <c r="M45" s="615"/>
      <c r="N45" s="615"/>
      <c r="O45" s="615"/>
      <c r="P45" s="615"/>
      <c r="Q45" s="615"/>
      <c r="R45" s="162"/>
      <c r="S45" s="426"/>
    </row>
    <row r="46" spans="1:19" hidden="1" outlineLevel="1" x14ac:dyDescent="0.2">
      <c r="A46" s="162"/>
      <c r="B46" s="162"/>
      <c r="C46" s="162"/>
      <c r="D46" s="270"/>
      <c r="E46" s="162"/>
      <c r="F46" s="162"/>
      <c r="G46" s="162"/>
      <c r="H46" s="162"/>
      <c r="I46" s="162"/>
      <c r="J46" s="162"/>
      <c r="K46" s="615"/>
      <c r="L46" s="615"/>
      <c r="M46" s="615"/>
      <c r="N46" s="615"/>
      <c r="O46" s="615"/>
      <c r="P46" s="615"/>
      <c r="Q46" s="615"/>
      <c r="R46" s="162"/>
      <c r="S46" s="270"/>
    </row>
    <row r="47" spans="1:19" hidden="1" outlineLevel="1" x14ac:dyDescent="0.2">
      <c r="A47" s="162"/>
      <c r="B47" s="162"/>
      <c r="C47" s="162"/>
      <c r="D47" s="90" t="str">
        <f>TXPhase2Tx</f>
        <v/>
      </c>
      <c r="E47" s="495"/>
      <c r="F47" s="162"/>
      <c r="G47" s="162"/>
      <c r="H47" s="162"/>
      <c r="I47" s="162"/>
      <c r="J47" s="162"/>
      <c r="K47" s="615"/>
      <c r="L47" s="615"/>
      <c r="M47" s="615"/>
      <c r="N47" s="615"/>
      <c r="O47" s="615"/>
      <c r="P47" s="615"/>
      <c r="Q47" s="615"/>
      <c r="R47" s="162"/>
      <c r="S47" s="10" t="s">
        <v>258</v>
      </c>
    </row>
    <row r="48" spans="1:19" hidden="1" outlineLevel="1" x14ac:dyDescent="0.2">
      <c r="A48" s="162"/>
      <c r="B48" s="162"/>
      <c r="C48" s="162"/>
      <c r="D48" s="90" t="str">
        <f>IF(D47&lt;&gt;"","Patients electing treatment (%)","")</f>
        <v/>
      </c>
      <c r="E48" s="54"/>
      <c r="F48" s="54"/>
      <c r="G48" s="54"/>
      <c r="H48" s="54"/>
      <c r="I48" s="54"/>
      <c r="J48" s="54"/>
      <c r="K48" s="615"/>
      <c r="L48" s="615"/>
      <c r="M48" s="615"/>
      <c r="N48" s="615"/>
      <c r="O48" s="615"/>
      <c r="P48" s="615"/>
      <c r="Q48" s="615"/>
      <c r="R48" s="162"/>
      <c r="S48" s="426"/>
    </row>
    <row r="49" spans="1:19" hidden="1" outlineLevel="1" x14ac:dyDescent="0.2">
      <c r="A49" s="162"/>
      <c r="B49" s="162"/>
      <c r="C49" s="162"/>
      <c r="D49" s="270"/>
      <c r="E49" s="270"/>
      <c r="F49" s="270"/>
      <c r="G49" s="270"/>
      <c r="H49" s="270"/>
      <c r="I49" s="270"/>
      <c r="J49" s="270"/>
      <c r="K49" s="615"/>
      <c r="L49" s="615"/>
      <c r="M49" s="615"/>
      <c r="N49" s="615"/>
      <c r="O49" s="615"/>
      <c r="P49" s="615"/>
      <c r="Q49" s="615"/>
      <c r="R49" s="162"/>
      <c r="S49" s="162"/>
    </row>
    <row r="50" spans="1:19" s="416" customFormat="1" hidden="1" outlineLevel="1" x14ac:dyDescent="0.2">
      <c r="A50" s="162"/>
      <c r="B50" s="162"/>
      <c r="C50" s="475">
        <f>IFERROR(VLOOKUP(E50,TxPhase2SourceCode,2,FALSE),0)</f>
        <v>1</v>
      </c>
      <c r="D50" s="429" t="s">
        <v>1165</v>
      </c>
      <c r="E50" s="263" t="s">
        <v>1166</v>
      </c>
      <c r="F50" s="435"/>
      <c r="G50" s="435"/>
      <c r="H50" s="435"/>
      <c r="I50" s="435"/>
      <c r="J50" s="435"/>
      <c r="K50" s="615"/>
      <c r="L50" s="615"/>
      <c r="M50" s="615"/>
      <c r="N50" s="615"/>
      <c r="O50" s="615"/>
      <c r="P50" s="615"/>
      <c r="Q50" s="615"/>
      <c r="R50" s="162"/>
      <c r="S50" s="162"/>
    </row>
    <row r="51" spans="1:19" s="416" customFormat="1" hidden="1" outlineLevel="1" x14ac:dyDescent="0.2">
      <c r="A51" s="162"/>
      <c r="B51" s="162"/>
      <c r="C51" s="162"/>
      <c r="D51" s="435"/>
      <c r="E51" s="435"/>
      <c r="F51" s="435"/>
      <c r="G51" s="435"/>
      <c r="H51" s="435"/>
      <c r="I51" s="435"/>
      <c r="J51" s="435"/>
      <c r="K51" s="615"/>
      <c r="L51" s="615"/>
      <c r="M51" s="615"/>
      <c r="N51" s="615"/>
      <c r="O51" s="615"/>
      <c r="P51" s="615"/>
      <c r="Q51" s="615"/>
      <c r="R51" s="162"/>
      <c r="S51" s="162"/>
    </row>
    <row r="52" spans="1:19" hidden="1" outlineLevel="1" x14ac:dyDescent="0.2">
      <c r="A52" s="162"/>
      <c r="B52" s="162"/>
      <c r="C52" s="162"/>
      <c r="D52" s="60" t="str">
        <f>TxPhase1Px</f>
        <v/>
      </c>
      <c r="E52" s="440">
        <f t="shared" ref="E52:J52" si="12">IF(TxPhase1&lt;&gt;"",E42*E45,0)</f>
        <v>0</v>
      </c>
      <c r="F52" s="440">
        <f t="shared" si="12"/>
        <v>0</v>
      </c>
      <c r="G52" s="440">
        <f t="shared" si="12"/>
        <v>0</v>
      </c>
      <c r="H52" s="440">
        <f t="shared" si="12"/>
        <v>0</v>
      </c>
      <c r="I52" s="440">
        <f t="shared" si="12"/>
        <v>0</v>
      </c>
      <c r="J52" s="440">
        <f t="shared" si="12"/>
        <v>0</v>
      </c>
      <c r="K52" s="615"/>
      <c r="L52" s="615"/>
      <c r="M52" s="615"/>
      <c r="N52" s="615"/>
      <c r="O52" s="615"/>
      <c r="P52" s="615"/>
      <c r="Q52" s="615"/>
      <c r="R52" s="162"/>
      <c r="S52" s="162"/>
    </row>
    <row r="53" spans="1:19" hidden="1" outlineLevel="1" x14ac:dyDescent="0.2">
      <c r="A53" s="162"/>
      <c r="B53" s="162"/>
      <c r="C53" s="162"/>
      <c r="D53" s="60" t="str">
        <f>TxPhase2Px</f>
        <v/>
      </c>
      <c r="E53" s="440">
        <f t="shared" ref="E53:J53" si="13">IF(TxPhase2&lt;&gt;"",IF($C50=1,E52,IF($C50=2,E42,0))*E48,0)</f>
        <v>0</v>
      </c>
      <c r="F53" s="440">
        <f t="shared" si="13"/>
        <v>0</v>
      </c>
      <c r="G53" s="440">
        <f t="shared" si="13"/>
        <v>0</v>
      </c>
      <c r="H53" s="440">
        <f t="shared" si="13"/>
        <v>0</v>
      </c>
      <c r="I53" s="440">
        <f t="shared" si="13"/>
        <v>0</v>
      </c>
      <c r="J53" s="440">
        <f t="shared" si="13"/>
        <v>0</v>
      </c>
      <c r="K53" s="615"/>
      <c r="L53" s="615"/>
      <c r="M53" s="615"/>
      <c r="N53" s="615"/>
      <c r="O53" s="615"/>
      <c r="P53" s="615"/>
      <c r="Q53" s="615"/>
      <c r="R53" s="162"/>
      <c r="S53" s="162"/>
    </row>
    <row r="54" spans="1:19" s="416" customFormat="1" hidden="1" outlineLevel="1" x14ac:dyDescent="0.2">
      <c r="A54" s="162"/>
      <c r="B54" s="162"/>
      <c r="C54" s="162"/>
      <c r="D54" s="417"/>
      <c r="E54" s="417"/>
      <c r="F54" s="162"/>
      <c r="G54" s="162"/>
      <c r="H54" s="162"/>
      <c r="I54" s="162"/>
      <c r="J54" s="162"/>
      <c r="K54" s="162"/>
      <c r="L54" s="162"/>
      <c r="M54" s="162"/>
      <c r="N54" s="638"/>
      <c r="O54" s="162"/>
      <c r="P54" s="641"/>
      <c r="Q54" s="641"/>
      <c r="R54" s="162"/>
      <c r="S54" s="162"/>
    </row>
    <row r="55" spans="1:19" s="416" customFormat="1" hidden="1" outlineLevel="1" x14ac:dyDescent="0.2">
      <c r="A55" s="162"/>
      <c r="B55" s="162"/>
      <c r="C55" s="475" t="str">
        <f>IF(E55&lt;&gt;"",E55,"")</f>
        <v/>
      </c>
      <c r="D55" s="89" t="s">
        <v>756</v>
      </c>
      <c r="E55" s="263"/>
      <c r="F55" s="162"/>
      <c r="G55" s="162"/>
      <c r="H55" s="162"/>
      <c r="I55" s="162"/>
      <c r="J55" s="162"/>
      <c r="K55" s="162"/>
      <c r="L55" s="162"/>
      <c r="M55" s="162"/>
      <c r="N55" s="638"/>
      <c r="O55" s="162"/>
      <c r="P55" s="641"/>
      <c r="Q55" s="641"/>
      <c r="R55" s="162"/>
      <c r="S55" s="162"/>
    </row>
    <row r="56" spans="1:19" hidden="1" outlineLevel="1" x14ac:dyDescent="0.2">
      <c r="A56" s="162"/>
      <c r="B56" s="162"/>
      <c r="C56" s="162"/>
      <c r="D56" s="162"/>
      <c r="E56" s="162"/>
      <c r="F56" s="162"/>
      <c r="G56" s="162"/>
      <c r="H56" s="162"/>
      <c r="I56" s="162"/>
      <c r="J56" s="162"/>
      <c r="K56" s="162"/>
      <c r="L56" s="162"/>
      <c r="M56" s="162"/>
      <c r="N56" s="638"/>
      <c r="O56" s="162"/>
      <c r="P56" s="641"/>
      <c r="Q56" s="641"/>
      <c r="R56" s="162"/>
      <c r="S56" s="162"/>
    </row>
    <row r="57" spans="1:19" collapsed="1" x14ac:dyDescent="0.2">
      <c r="A57" s="162"/>
      <c r="B57" s="162"/>
      <c r="C57" s="162"/>
      <c r="D57" s="162"/>
      <c r="E57" s="162"/>
      <c r="F57" s="162"/>
      <c r="G57" s="162"/>
      <c r="H57" s="162"/>
      <c r="I57" s="162"/>
      <c r="J57" s="162"/>
      <c r="K57" s="162"/>
      <c r="L57" s="162"/>
      <c r="M57" s="162"/>
      <c r="N57" s="162"/>
      <c r="O57" s="162"/>
      <c r="P57" s="639"/>
      <c r="Q57" s="640"/>
      <c r="R57" s="162"/>
      <c r="S57" s="162"/>
    </row>
    <row r="58" spans="1:19" ht="15.75" x14ac:dyDescent="0.2">
      <c r="A58" s="162"/>
      <c r="B58" s="162"/>
      <c r="C58" s="573">
        <v>2</v>
      </c>
      <c r="D58" s="79" t="str">
        <f>IF(E62&lt;&gt;"",CONCATENATE("Prevalent ",C58,": ",G62,L58),MsgNotUsed)</f>
        <v>** NOT USED **</v>
      </c>
      <c r="E58" s="132"/>
      <c r="F58" s="132"/>
      <c r="G58" s="132"/>
      <c r="H58" s="132"/>
      <c r="I58" s="134"/>
      <c r="J58" s="126"/>
      <c r="K58" s="133"/>
      <c r="L58" s="325" t="str">
        <f>IF(S62&lt;&gt;"",CONCATENATE(" (",S62,")"),"")</f>
        <v/>
      </c>
      <c r="M58" s="133"/>
      <c r="N58" s="133"/>
      <c r="O58" s="133"/>
      <c r="P58" s="133"/>
      <c r="Q58" s="133"/>
      <c r="R58" s="133"/>
      <c r="S58" s="133"/>
    </row>
    <row r="59" spans="1:19" hidden="1" outlineLevel="1" x14ac:dyDescent="0.2">
      <c r="A59" s="162"/>
      <c r="B59" s="162"/>
      <c r="C59" s="162"/>
      <c r="D59" s="616"/>
      <c r="E59" s="162"/>
      <c r="F59" s="162"/>
      <c r="G59" s="162"/>
      <c r="H59" s="162"/>
      <c r="I59" s="162"/>
      <c r="J59" s="162"/>
      <c r="K59" s="162"/>
      <c r="L59" s="162"/>
      <c r="M59" s="162"/>
      <c r="N59" s="162"/>
      <c r="O59" s="162"/>
      <c r="P59" s="162"/>
      <c r="Q59" s="162"/>
      <c r="R59" s="162"/>
      <c r="S59" s="162"/>
    </row>
    <row r="60" spans="1:19" hidden="1" outlineLevel="1" x14ac:dyDescent="0.2">
      <c r="A60" s="162"/>
      <c r="B60" s="162"/>
      <c r="C60" s="162"/>
      <c r="D60" s="162" t="s">
        <v>840</v>
      </c>
      <c r="E60" s="162"/>
      <c r="F60" s="162"/>
      <c r="G60" s="162"/>
      <c r="H60" s="162"/>
      <c r="I60" s="162"/>
      <c r="J60" s="162"/>
      <c r="K60" s="162"/>
      <c r="L60" s="162"/>
      <c r="M60" s="162"/>
      <c r="N60" s="162"/>
      <c r="O60" s="162"/>
      <c r="P60" s="162"/>
      <c r="Q60" s="162"/>
      <c r="R60" s="162"/>
      <c r="S60" s="641"/>
    </row>
    <row r="61" spans="1:19" hidden="1" outlineLevel="1" x14ac:dyDescent="0.2">
      <c r="A61" s="162"/>
      <c r="B61" s="162"/>
      <c r="C61" s="162"/>
      <c r="D61" s="616"/>
      <c r="E61" s="162"/>
      <c r="F61" s="162"/>
      <c r="G61" s="162"/>
      <c r="H61" s="162"/>
      <c r="I61" s="162"/>
      <c r="J61" s="162"/>
      <c r="K61" s="162"/>
      <c r="L61" s="162"/>
      <c r="M61" s="162"/>
      <c r="N61" s="162"/>
      <c r="O61" s="162"/>
      <c r="P61" s="162"/>
      <c r="Q61" s="162"/>
      <c r="R61" s="162"/>
      <c r="S61" s="36" t="s">
        <v>424</v>
      </c>
    </row>
    <row r="62" spans="1:19" hidden="1" outlineLevel="1" x14ac:dyDescent="0.2">
      <c r="A62" s="129"/>
      <c r="B62" s="475">
        <f>IF(E62&lt;&gt;"",MATCH(E62,EPISource,0)-1,0)</f>
        <v>0</v>
      </c>
      <c r="C62" s="475">
        <f ca="1">IF(G62&lt;&gt;"",MATCH(G62,OFFSET(References!$AE$7,0,B62,PxPopMaxCount),0),0)</f>
        <v>0</v>
      </c>
      <c r="D62" s="12" t="s">
        <v>113</v>
      </c>
      <c r="E62" s="401"/>
      <c r="F62" s="135"/>
      <c r="G62" s="812"/>
      <c r="H62" s="813"/>
      <c r="I62" s="813"/>
      <c r="J62" s="813"/>
      <c r="K62" s="162"/>
      <c r="L62" s="162"/>
      <c r="M62" s="162"/>
      <c r="N62" s="162"/>
      <c r="O62" s="162"/>
      <c r="P62" s="162"/>
      <c r="Q62" s="162"/>
      <c r="R62" s="162"/>
      <c r="S62" s="274"/>
    </row>
    <row r="63" spans="1:19" hidden="1" outlineLevel="1" x14ac:dyDescent="0.2">
      <c r="A63" s="129"/>
      <c r="B63" s="475">
        <f>INDEX(PxPopValid,,B62+1)</f>
        <v>0</v>
      </c>
      <c r="C63" s="475">
        <f ca="1">(B62*PxPopMaxCount)+C62</f>
        <v>0</v>
      </c>
      <c r="D63" s="162"/>
      <c r="E63" s="650">
        <v>1</v>
      </c>
      <c r="F63" s="650">
        <v>2</v>
      </c>
      <c r="G63" s="650">
        <v>3</v>
      </c>
      <c r="H63" s="650">
        <v>4</v>
      </c>
      <c r="I63" s="650">
        <v>5</v>
      </c>
      <c r="J63" s="650">
        <v>6</v>
      </c>
      <c r="K63" s="162"/>
      <c r="L63" s="162"/>
      <c r="M63" s="162"/>
      <c r="N63" s="162"/>
      <c r="O63" s="162"/>
      <c r="P63" s="162"/>
      <c r="Q63" s="162"/>
      <c r="R63" s="162"/>
      <c r="S63" s="162"/>
    </row>
    <row r="64" spans="1:19" hidden="1" outlineLevel="1" x14ac:dyDescent="0.2">
      <c r="A64" s="129"/>
      <c r="B64" s="129"/>
      <c r="C64" s="129"/>
      <c r="D64" s="616"/>
      <c r="E64" s="814" t="s">
        <v>10</v>
      </c>
      <c r="F64" s="814"/>
      <c r="G64" s="814"/>
      <c r="H64" s="814"/>
      <c r="I64" s="814"/>
      <c r="J64" s="814"/>
      <c r="K64" s="162"/>
      <c r="L64" s="162"/>
      <c r="M64" s="162"/>
      <c r="N64" s="162"/>
      <c r="O64" s="162"/>
      <c r="P64" s="162"/>
      <c r="Q64" s="162"/>
      <c r="R64" s="162"/>
      <c r="S64" s="636" t="str">
        <f ca="1">IF(ISERROR($C63)=TRUE,MsgError&amp;VLOOKUP("BadPop",ErrorMessages,2,FALSE),IF(RIGHT(G62,11)="(Incidence)",MsgError&amp;VLOOKUP("BadIncPop",ErrorMessages,2,FALSE),""))</f>
        <v/>
      </c>
    </row>
    <row r="65" spans="1:19" hidden="1" outlineLevel="1" x14ac:dyDescent="0.2">
      <c r="A65" s="129"/>
      <c r="B65" s="129"/>
      <c r="C65" s="129"/>
      <c r="D65" s="643"/>
      <c r="E65" s="402">
        <f>FirstYear</f>
        <v>2021</v>
      </c>
      <c r="F65" s="402">
        <f>E65+1</f>
        <v>2022</v>
      </c>
      <c r="G65" s="402">
        <f>F65+1</f>
        <v>2023</v>
      </c>
      <c r="H65" s="402">
        <f>G65+1</f>
        <v>2024</v>
      </c>
      <c r="I65" s="402">
        <f>H65+1</f>
        <v>2025</v>
      </c>
      <c r="J65" s="402">
        <f>I65+1</f>
        <v>2026</v>
      </c>
      <c r="K65" s="162"/>
      <c r="L65" s="162"/>
      <c r="M65" s="162"/>
      <c r="N65" s="162"/>
      <c r="O65" s="162"/>
      <c r="P65" s="162"/>
      <c r="Q65" s="162"/>
      <c r="R65" s="162"/>
      <c r="S65" s="162"/>
    </row>
    <row r="66" spans="1:19" hidden="1" outlineLevel="1" x14ac:dyDescent="0.2">
      <c r="A66" s="162"/>
      <c r="B66" s="162"/>
      <c r="C66" s="162"/>
      <c r="D66" s="721" t="s">
        <v>92</v>
      </c>
      <c r="E66" s="437">
        <f t="shared" ref="E66:J66" ca="1" si="14">IF(AND(ISERROR($C63)&lt;&gt;TRUE,$G62&lt;&gt;""),INDEX(PxPopNumbers,$C63,E63),0)</f>
        <v>0</v>
      </c>
      <c r="F66" s="437">
        <f t="shared" ca="1" si="14"/>
        <v>0</v>
      </c>
      <c r="G66" s="437">
        <f t="shared" ca="1" si="14"/>
        <v>0</v>
      </c>
      <c r="H66" s="437">
        <f t="shared" ca="1" si="14"/>
        <v>0</v>
      </c>
      <c r="I66" s="437">
        <f t="shared" ca="1" si="14"/>
        <v>0</v>
      </c>
      <c r="J66" s="437">
        <f t="shared" ca="1" si="14"/>
        <v>0</v>
      </c>
      <c r="K66" s="162"/>
      <c r="L66" s="162"/>
      <c r="M66" s="162"/>
      <c r="N66" s="162"/>
      <c r="O66" s="162"/>
      <c r="P66" s="162"/>
      <c r="Q66" s="162"/>
      <c r="R66" s="616"/>
      <c r="S66" s="162"/>
    </row>
    <row r="67" spans="1:19" hidden="1" outlineLevel="1" x14ac:dyDescent="0.2">
      <c r="A67" s="162"/>
      <c r="B67" s="162"/>
      <c r="C67" s="162"/>
      <c r="D67" s="162"/>
      <c r="E67" s="270"/>
      <c r="F67" s="270"/>
      <c r="G67" s="270"/>
      <c r="H67" s="270"/>
      <c r="I67" s="270"/>
      <c r="J67" s="270"/>
      <c r="K67" s="162"/>
      <c r="L67" s="162"/>
      <c r="M67" s="162"/>
      <c r="N67" s="162"/>
      <c r="O67" s="162"/>
      <c r="P67" s="162"/>
      <c r="Q67" s="162"/>
      <c r="R67" s="162"/>
      <c r="S67" s="162"/>
    </row>
    <row r="68" spans="1:19" hidden="1" outlineLevel="1" x14ac:dyDescent="0.2">
      <c r="A68" s="162"/>
      <c r="B68" s="162"/>
      <c r="C68" s="162"/>
      <c r="D68" s="720" t="s">
        <v>205</v>
      </c>
      <c r="E68" s="270"/>
      <c r="F68" s="270"/>
      <c r="G68" s="270"/>
      <c r="H68" s="270"/>
      <c r="I68" s="270"/>
      <c r="J68" s="270"/>
      <c r="K68" s="162"/>
      <c r="L68" s="162"/>
      <c r="M68" s="162"/>
      <c r="N68" s="162"/>
      <c r="O68" s="162"/>
      <c r="P68" s="162"/>
      <c r="Q68" s="162"/>
      <c r="R68" s="162"/>
      <c r="S68" s="36" t="s">
        <v>258</v>
      </c>
    </row>
    <row r="69" spans="1:19" hidden="1" outlineLevel="1" x14ac:dyDescent="0.2">
      <c r="A69" s="162"/>
      <c r="B69" s="162"/>
      <c r="C69" s="162"/>
      <c r="D69" s="432"/>
      <c r="E69" s="412"/>
      <c r="F69" s="412"/>
      <c r="G69" s="412"/>
      <c r="H69" s="412"/>
      <c r="I69" s="412"/>
      <c r="J69" s="412"/>
      <c r="K69" s="270"/>
      <c r="L69" s="45">
        <f t="shared" ref="L69:L77" si="15">IF(E69="",1,E69)</f>
        <v>1</v>
      </c>
      <c r="M69" s="45">
        <f t="shared" ref="M69:M78" si="16">IF(F69="",1,F69)</f>
        <v>1</v>
      </c>
      <c r="N69" s="45">
        <f t="shared" ref="N69:N78" si="17">IF(G69="",1,G69)</f>
        <v>1</v>
      </c>
      <c r="O69" s="45">
        <f t="shared" ref="O69:O78" si="18">IF(H69="",1,H69)</f>
        <v>1</v>
      </c>
      <c r="P69" s="45">
        <f t="shared" ref="P69:P78" si="19">IF(I69="",1,I69)</f>
        <v>1</v>
      </c>
      <c r="Q69" s="45">
        <f t="shared" ref="Q69:Q78" si="20">IF(J69="",1,J69)</f>
        <v>1</v>
      </c>
      <c r="R69" s="162"/>
      <c r="S69" s="432"/>
    </row>
    <row r="70" spans="1:19" hidden="1" outlineLevel="1" x14ac:dyDescent="0.2">
      <c r="A70" s="162"/>
      <c r="B70" s="162"/>
      <c r="C70" s="162"/>
      <c r="D70" s="432"/>
      <c r="E70" s="412"/>
      <c r="F70" s="412"/>
      <c r="G70" s="412"/>
      <c r="H70" s="412"/>
      <c r="I70" s="412"/>
      <c r="J70" s="412"/>
      <c r="K70" s="270"/>
      <c r="L70" s="45">
        <f t="shared" si="15"/>
        <v>1</v>
      </c>
      <c r="M70" s="45">
        <f t="shared" si="16"/>
        <v>1</v>
      </c>
      <c r="N70" s="45">
        <f t="shared" si="17"/>
        <v>1</v>
      </c>
      <c r="O70" s="45">
        <f t="shared" si="18"/>
        <v>1</v>
      </c>
      <c r="P70" s="45">
        <f t="shared" si="19"/>
        <v>1</v>
      </c>
      <c r="Q70" s="45">
        <f t="shared" si="20"/>
        <v>1</v>
      </c>
      <c r="R70" s="162"/>
      <c r="S70" s="432"/>
    </row>
    <row r="71" spans="1:19" hidden="1" outlineLevel="1" x14ac:dyDescent="0.2">
      <c r="A71" s="162"/>
      <c r="B71" s="162"/>
      <c r="C71" s="162"/>
      <c r="D71" s="432"/>
      <c r="E71" s="412"/>
      <c r="F71" s="412"/>
      <c r="G71" s="412"/>
      <c r="H71" s="412"/>
      <c r="I71" s="412"/>
      <c r="J71" s="412"/>
      <c r="K71" s="270"/>
      <c r="L71" s="45">
        <f t="shared" si="15"/>
        <v>1</v>
      </c>
      <c r="M71" s="45">
        <f t="shared" si="16"/>
        <v>1</v>
      </c>
      <c r="N71" s="45">
        <f t="shared" si="17"/>
        <v>1</v>
      </c>
      <c r="O71" s="45">
        <f t="shared" si="18"/>
        <v>1</v>
      </c>
      <c r="P71" s="45">
        <f t="shared" si="19"/>
        <v>1</v>
      </c>
      <c r="Q71" s="45">
        <f t="shared" si="20"/>
        <v>1</v>
      </c>
      <c r="R71" s="162"/>
      <c r="S71" s="432"/>
    </row>
    <row r="72" spans="1:19" hidden="1" outlineLevel="1" x14ac:dyDescent="0.2">
      <c r="A72" s="162"/>
      <c r="B72" s="162"/>
      <c r="C72" s="162"/>
      <c r="D72" s="432"/>
      <c r="E72" s="412"/>
      <c r="F72" s="412"/>
      <c r="G72" s="412"/>
      <c r="H72" s="412"/>
      <c r="I72" s="412"/>
      <c r="J72" s="412"/>
      <c r="K72" s="270"/>
      <c r="L72" s="45">
        <f t="shared" si="15"/>
        <v>1</v>
      </c>
      <c r="M72" s="45">
        <f t="shared" si="16"/>
        <v>1</v>
      </c>
      <c r="N72" s="45">
        <f t="shared" si="17"/>
        <v>1</v>
      </c>
      <c r="O72" s="45">
        <f t="shared" si="18"/>
        <v>1</v>
      </c>
      <c r="P72" s="45">
        <f t="shared" si="19"/>
        <v>1</v>
      </c>
      <c r="Q72" s="45">
        <f t="shared" si="20"/>
        <v>1</v>
      </c>
      <c r="R72" s="162"/>
      <c r="S72" s="432"/>
    </row>
    <row r="73" spans="1:19" hidden="1" outlineLevel="1" x14ac:dyDescent="0.2">
      <c r="A73" s="162"/>
      <c r="B73" s="162"/>
      <c r="C73" s="162"/>
      <c r="D73" s="432"/>
      <c r="E73" s="412"/>
      <c r="F73" s="412"/>
      <c r="G73" s="412"/>
      <c r="H73" s="412"/>
      <c r="I73" s="412"/>
      <c r="J73" s="412"/>
      <c r="K73" s="270"/>
      <c r="L73" s="45">
        <f t="shared" si="15"/>
        <v>1</v>
      </c>
      <c r="M73" s="45">
        <f t="shared" si="16"/>
        <v>1</v>
      </c>
      <c r="N73" s="45">
        <f t="shared" si="17"/>
        <v>1</v>
      </c>
      <c r="O73" s="45">
        <f t="shared" si="18"/>
        <v>1</v>
      </c>
      <c r="P73" s="45">
        <f t="shared" si="19"/>
        <v>1</v>
      </c>
      <c r="Q73" s="45">
        <f t="shared" si="20"/>
        <v>1</v>
      </c>
      <c r="R73" s="162"/>
      <c r="S73" s="432"/>
    </row>
    <row r="74" spans="1:19" hidden="1" outlineLevel="1" x14ac:dyDescent="0.2">
      <c r="A74" s="162"/>
      <c r="B74" s="162"/>
      <c r="C74" s="162"/>
      <c r="D74" s="432"/>
      <c r="E74" s="412"/>
      <c r="F74" s="412"/>
      <c r="G74" s="412"/>
      <c r="H74" s="412"/>
      <c r="I74" s="412"/>
      <c r="J74" s="412"/>
      <c r="K74" s="270"/>
      <c r="L74" s="45">
        <f t="shared" si="15"/>
        <v>1</v>
      </c>
      <c r="M74" s="45">
        <f t="shared" si="16"/>
        <v>1</v>
      </c>
      <c r="N74" s="45">
        <f t="shared" si="17"/>
        <v>1</v>
      </c>
      <c r="O74" s="45">
        <f t="shared" si="18"/>
        <v>1</v>
      </c>
      <c r="P74" s="45">
        <f t="shared" si="19"/>
        <v>1</v>
      </c>
      <c r="Q74" s="45">
        <f t="shared" si="20"/>
        <v>1</v>
      </c>
      <c r="R74" s="162"/>
      <c r="S74" s="432"/>
    </row>
    <row r="75" spans="1:19" hidden="1" outlineLevel="1" x14ac:dyDescent="0.2">
      <c r="A75" s="162"/>
      <c r="B75" s="162"/>
      <c r="C75" s="162"/>
      <c r="D75" s="432"/>
      <c r="E75" s="412"/>
      <c r="F75" s="412"/>
      <c r="G75" s="412"/>
      <c r="H75" s="412"/>
      <c r="I75" s="412"/>
      <c r="J75" s="412"/>
      <c r="K75" s="270"/>
      <c r="L75" s="45">
        <f t="shared" si="15"/>
        <v>1</v>
      </c>
      <c r="M75" s="45">
        <f t="shared" si="16"/>
        <v>1</v>
      </c>
      <c r="N75" s="45">
        <f t="shared" si="17"/>
        <v>1</v>
      </c>
      <c r="O75" s="45">
        <f t="shared" si="18"/>
        <v>1</v>
      </c>
      <c r="P75" s="45">
        <f t="shared" si="19"/>
        <v>1</v>
      </c>
      <c r="Q75" s="45">
        <f t="shared" si="20"/>
        <v>1</v>
      </c>
      <c r="R75" s="162"/>
      <c r="S75" s="432"/>
    </row>
    <row r="76" spans="1:19" hidden="1" outlineLevel="1" x14ac:dyDescent="0.2">
      <c r="A76" s="162"/>
      <c r="B76" s="162"/>
      <c r="C76" s="162"/>
      <c r="D76" s="432"/>
      <c r="E76" s="412"/>
      <c r="F76" s="412"/>
      <c r="G76" s="412"/>
      <c r="H76" s="412"/>
      <c r="I76" s="412"/>
      <c r="J76" s="412"/>
      <c r="K76" s="270"/>
      <c r="L76" s="45">
        <f t="shared" si="15"/>
        <v>1</v>
      </c>
      <c r="M76" s="45">
        <f t="shared" si="16"/>
        <v>1</v>
      </c>
      <c r="N76" s="45">
        <f t="shared" si="17"/>
        <v>1</v>
      </c>
      <c r="O76" s="45">
        <f t="shared" si="18"/>
        <v>1</v>
      </c>
      <c r="P76" s="45">
        <f t="shared" si="19"/>
        <v>1</v>
      </c>
      <c r="Q76" s="45">
        <f t="shared" si="20"/>
        <v>1</v>
      </c>
      <c r="R76" s="162"/>
      <c r="S76" s="432"/>
    </row>
    <row r="77" spans="1:19" hidden="1" outlineLevel="1" x14ac:dyDescent="0.2">
      <c r="A77" s="162"/>
      <c r="B77" s="162"/>
      <c r="C77" s="162"/>
      <c r="D77" s="432"/>
      <c r="E77" s="412"/>
      <c r="F77" s="412"/>
      <c r="G77" s="412"/>
      <c r="H77" s="412"/>
      <c r="I77" s="412"/>
      <c r="J77" s="412"/>
      <c r="K77" s="270"/>
      <c r="L77" s="45">
        <f t="shared" si="15"/>
        <v>1</v>
      </c>
      <c r="M77" s="45">
        <f t="shared" si="16"/>
        <v>1</v>
      </c>
      <c r="N77" s="45">
        <f t="shared" si="17"/>
        <v>1</v>
      </c>
      <c r="O77" s="45">
        <f t="shared" si="18"/>
        <v>1</v>
      </c>
      <c r="P77" s="45">
        <f t="shared" si="19"/>
        <v>1</v>
      </c>
      <c r="Q77" s="45">
        <f t="shared" si="20"/>
        <v>1</v>
      </c>
      <c r="R77" s="162"/>
      <c r="S77" s="432"/>
    </row>
    <row r="78" spans="1:19" hidden="1" outlineLevel="1" x14ac:dyDescent="0.2">
      <c r="A78" s="162"/>
      <c r="B78" s="162"/>
      <c r="C78" s="162"/>
      <c r="D78" s="432"/>
      <c r="E78" s="412"/>
      <c r="F78" s="412"/>
      <c r="G78" s="412"/>
      <c r="H78" s="412"/>
      <c r="I78" s="412"/>
      <c r="J78" s="412"/>
      <c r="K78" s="270"/>
      <c r="L78" s="45">
        <f>IF(E78="",1,E78)</f>
        <v>1</v>
      </c>
      <c r="M78" s="45">
        <f t="shared" si="16"/>
        <v>1</v>
      </c>
      <c r="N78" s="45">
        <f t="shared" si="17"/>
        <v>1</v>
      </c>
      <c r="O78" s="45">
        <f t="shared" si="18"/>
        <v>1</v>
      </c>
      <c r="P78" s="45">
        <f t="shared" si="19"/>
        <v>1</v>
      </c>
      <c r="Q78" s="45">
        <f t="shared" si="20"/>
        <v>1</v>
      </c>
      <c r="R78" s="162"/>
      <c r="S78" s="432"/>
    </row>
    <row r="79" spans="1:19" hidden="1" outlineLevel="1" x14ac:dyDescent="0.2">
      <c r="A79" s="162"/>
      <c r="B79" s="162"/>
      <c r="C79" s="162"/>
      <c r="D79" s="24" t="s">
        <v>213</v>
      </c>
      <c r="E79" s="414">
        <f t="shared" ref="E79:J79" si="21">L69*L70*L71*L72*L78*L73*L74*L75*L76*L77</f>
        <v>1</v>
      </c>
      <c r="F79" s="414">
        <f t="shared" si="21"/>
        <v>1</v>
      </c>
      <c r="G79" s="414">
        <f t="shared" si="21"/>
        <v>1</v>
      </c>
      <c r="H79" s="414">
        <f t="shared" si="21"/>
        <v>1</v>
      </c>
      <c r="I79" s="414">
        <f t="shared" si="21"/>
        <v>1</v>
      </c>
      <c r="J79" s="414">
        <f t="shared" si="21"/>
        <v>1</v>
      </c>
      <c r="K79" s="162"/>
      <c r="L79" s="162"/>
      <c r="M79" s="162"/>
      <c r="N79" s="638"/>
      <c r="O79" s="162"/>
      <c r="P79" s="162"/>
      <c r="Q79" s="162"/>
      <c r="R79" s="162"/>
      <c r="S79" s="162"/>
    </row>
    <row r="80" spans="1:19" hidden="1" outlineLevel="1" x14ac:dyDescent="0.2">
      <c r="A80" s="638"/>
      <c r="B80" s="638"/>
      <c r="C80" s="638"/>
      <c r="D80" s="6" t="s">
        <v>90</v>
      </c>
      <c r="E80" s="292">
        <f t="shared" ref="E80:J80" ca="1" si="22">IF(ISNUMBER(E66),E66*E79,"")</f>
        <v>0</v>
      </c>
      <c r="F80" s="292">
        <f t="shared" ca="1" si="22"/>
        <v>0</v>
      </c>
      <c r="G80" s="292">
        <f t="shared" ca="1" si="22"/>
        <v>0</v>
      </c>
      <c r="H80" s="292">
        <f t="shared" ca="1" si="22"/>
        <v>0</v>
      </c>
      <c r="I80" s="292">
        <f t="shared" ca="1" si="22"/>
        <v>0</v>
      </c>
      <c r="J80" s="292">
        <f t="shared" ca="1" si="22"/>
        <v>0</v>
      </c>
      <c r="K80" s="162"/>
      <c r="L80" s="638"/>
      <c r="M80" s="162"/>
      <c r="N80" s="162"/>
      <c r="O80" s="162"/>
      <c r="P80" s="162"/>
      <c r="Q80" s="162"/>
      <c r="R80" s="162"/>
      <c r="S80" s="162"/>
    </row>
    <row r="81" spans="1:19" hidden="1" outlineLevel="1" x14ac:dyDescent="0.2">
      <c r="A81" s="162"/>
      <c r="B81" s="162"/>
      <c r="C81" s="162"/>
      <c r="D81" s="270"/>
      <c r="E81" s="162"/>
      <c r="F81" s="162"/>
      <c r="G81" s="162"/>
      <c r="H81" s="162"/>
      <c r="I81" s="162"/>
      <c r="J81" s="162"/>
      <c r="K81" s="162"/>
      <c r="L81" s="162"/>
      <c r="M81" s="162"/>
      <c r="N81" s="162"/>
      <c r="O81" s="162"/>
      <c r="P81" s="641"/>
      <c r="Q81" s="641"/>
      <c r="R81" s="162"/>
      <c r="S81" s="162"/>
    </row>
    <row r="82" spans="1:19" hidden="1" outlineLevel="1" x14ac:dyDescent="0.2">
      <c r="A82" s="162"/>
      <c r="B82" s="162"/>
      <c r="C82" s="162"/>
      <c r="D82" s="60" t="str">
        <f>TxPhase1Tx</f>
        <v/>
      </c>
      <c r="E82" s="495"/>
      <c r="F82" s="162"/>
      <c r="G82" s="162"/>
      <c r="H82" s="162"/>
      <c r="I82" s="162"/>
      <c r="J82" s="162"/>
      <c r="K82" s="615"/>
      <c r="L82" s="615"/>
      <c r="M82" s="615"/>
      <c r="N82" s="615"/>
      <c r="O82" s="615"/>
      <c r="P82" s="615"/>
      <c r="Q82" s="615"/>
      <c r="R82" s="162"/>
      <c r="S82" s="36" t="s">
        <v>258</v>
      </c>
    </row>
    <row r="83" spans="1:19" hidden="1" outlineLevel="1" x14ac:dyDescent="0.2">
      <c r="A83" s="162"/>
      <c r="B83" s="162"/>
      <c r="C83" s="162"/>
      <c r="D83" s="12" t="s">
        <v>91</v>
      </c>
      <c r="E83" s="54"/>
      <c r="F83" s="54"/>
      <c r="G83" s="54"/>
      <c r="H83" s="54"/>
      <c r="I83" s="54"/>
      <c r="J83" s="54"/>
      <c r="K83" s="615"/>
      <c r="L83" s="615"/>
      <c r="M83" s="615"/>
      <c r="N83" s="615"/>
      <c r="O83" s="615"/>
      <c r="P83" s="615"/>
      <c r="Q83" s="615"/>
      <c r="R83" s="162"/>
      <c r="S83" s="426"/>
    </row>
    <row r="84" spans="1:19" hidden="1" outlineLevel="1" x14ac:dyDescent="0.2">
      <c r="A84" s="162"/>
      <c r="B84" s="162"/>
      <c r="C84" s="162"/>
      <c r="D84" s="270"/>
      <c r="E84" s="162"/>
      <c r="F84" s="162"/>
      <c r="G84" s="162"/>
      <c r="H84" s="162"/>
      <c r="I84" s="162"/>
      <c r="J84" s="162"/>
      <c r="K84" s="615"/>
      <c r="L84" s="615"/>
      <c r="M84" s="615"/>
      <c r="N84" s="615"/>
      <c r="O84" s="615"/>
      <c r="P84" s="615"/>
      <c r="Q84" s="615"/>
      <c r="R84" s="162"/>
      <c r="S84" s="270"/>
    </row>
    <row r="85" spans="1:19" hidden="1" outlineLevel="1" x14ac:dyDescent="0.2">
      <c r="A85" s="162"/>
      <c r="B85" s="162"/>
      <c r="C85" s="162"/>
      <c r="D85" s="433" t="str">
        <f>TXPhase2Tx</f>
        <v/>
      </c>
      <c r="E85" s="495"/>
      <c r="F85" s="162"/>
      <c r="G85" s="162"/>
      <c r="H85" s="162"/>
      <c r="I85" s="162"/>
      <c r="J85" s="162"/>
      <c r="K85" s="615"/>
      <c r="L85" s="615"/>
      <c r="M85" s="615"/>
      <c r="N85" s="615"/>
      <c r="O85" s="615"/>
      <c r="P85" s="615"/>
      <c r="Q85" s="615"/>
      <c r="R85" s="162"/>
      <c r="S85" s="10" t="s">
        <v>258</v>
      </c>
    </row>
    <row r="86" spans="1:19" hidden="1" outlineLevel="1" x14ac:dyDescent="0.2">
      <c r="A86" s="162"/>
      <c r="B86" s="162"/>
      <c r="C86" s="162"/>
      <c r="D86" s="90" t="str">
        <f>IF(D85&lt;&gt;"","Patients electing treatment (%)","")</f>
        <v/>
      </c>
      <c r="E86" s="54"/>
      <c r="F86" s="54"/>
      <c r="G86" s="54"/>
      <c r="H86" s="54"/>
      <c r="I86" s="54"/>
      <c r="J86" s="54"/>
      <c r="K86" s="615"/>
      <c r="L86" s="615"/>
      <c r="M86" s="615"/>
      <c r="N86" s="615"/>
      <c r="O86" s="615"/>
      <c r="P86" s="615"/>
      <c r="Q86" s="615"/>
      <c r="R86" s="162"/>
      <c r="S86" s="426"/>
    </row>
    <row r="87" spans="1:19" hidden="1" outlineLevel="1" x14ac:dyDescent="0.2">
      <c r="A87" s="162"/>
      <c r="B87" s="162"/>
      <c r="C87" s="162"/>
      <c r="D87" s="270"/>
      <c r="E87" s="270"/>
      <c r="F87" s="270"/>
      <c r="G87" s="270"/>
      <c r="H87" s="270"/>
      <c r="I87" s="270"/>
      <c r="J87" s="270"/>
      <c r="K87" s="615"/>
      <c r="L87" s="615"/>
      <c r="M87" s="615"/>
      <c r="N87" s="615"/>
      <c r="O87" s="615"/>
      <c r="P87" s="615"/>
      <c r="Q87" s="615"/>
      <c r="R87" s="162"/>
      <c r="S87" s="162"/>
    </row>
    <row r="88" spans="1:19" s="416" customFormat="1" hidden="1" outlineLevel="1" x14ac:dyDescent="0.2">
      <c r="A88" s="162"/>
      <c r="B88" s="162"/>
      <c r="C88" s="475">
        <f>IFERROR(VLOOKUP(E88,TxPhase2SourceCode,2,FALSE),0)</f>
        <v>1</v>
      </c>
      <c r="D88" s="429" t="s">
        <v>1165</v>
      </c>
      <c r="E88" s="263" t="s">
        <v>1166</v>
      </c>
      <c r="F88" s="435"/>
      <c r="G88" s="435"/>
      <c r="H88" s="435"/>
      <c r="I88" s="435"/>
      <c r="J88" s="435"/>
      <c r="K88" s="615"/>
      <c r="L88" s="615"/>
      <c r="M88" s="615"/>
      <c r="N88" s="615"/>
      <c r="O88" s="615"/>
      <c r="P88" s="615"/>
      <c r="Q88" s="615"/>
      <c r="R88" s="162"/>
      <c r="S88" s="162"/>
    </row>
    <row r="89" spans="1:19" s="416" customFormat="1" hidden="1" outlineLevel="1" x14ac:dyDescent="0.2">
      <c r="A89" s="162"/>
      <c r="B89" s="162"/>
      <c r="C89" s="162"/>
      <c r="D89" s="435"/>
      <c r="E89" s="435"/>
      <c r="F89" s="435"/>
      <c r="G89" s="435"/>
      <c r="H89" s="435"/>
      <c r="I89" s="435"/>
      <c r="J89" s="435"/>
      <c r="K89" s="615"/>
      <c r="L89" s="615"/>
      <c r="M89" s="615"/>
      <c r="N89" s="615"/>
      <c r="O89" s="615"/>
      <c r="P89" s="615"/>
      <c r="Q89" s="615"/>
      <c r="R89" s="162"/>
      <c r="S89" s="162"/>
    </row>
    <row r="90" spans="1:19" hidden="1" outlineLevel="1" x14ac:dyDescent="0.2">
      <c r="A90" s="162"/>
      <c r="B90" s="162"/>
      <c r="C90" s="162"/>
      <c r="D90" s="429" t="str">
        <f>TxPhase1Px</f>
        <v/>
      </c>
      <c r="E90" s="440">
        <f t="shared" ref="E90:J90" si="23">IF(TxPhase1&lt;&gt;"",E80*E83,0)</f>
        <v>0</v>
      </c>
      <c r="F90" s="440">
        <f t="shared" si="23"/>
        <v>0</v>
      </c>
      <c r="G90" s="440">
        <f t="shared" si="23"/>
        <v>0</v>
      </c>
      <c r="H90" s="440">
        <f t="shared" si="23"/>
        <v>0</v>
      </c>
      <c r="I90" s="440">
        <f t="shared" si="23"/>
        <v>0</v>
      </c>
      <c r="J90" s="440">
        <f t="shared" si="23"/>
        <v>0</v>
      </c>
      <c r="K90" s="615"/>
      <c r="L90" s="615"/>
      <c r="M90" s="615"/>
      <c r="N90" s="615"/>
      <c r="O90" s="615"/>
      <c r="P90" s="615"/>
      <c r="Q90" s="615"/>
      <c r="R90" s="162"/>
      <c r="S90" s="162"/>
    </row>
    <row r="91" spans="1:19" hidden="1" outlineLevel="1" x14ac:dyDescent="0.2">
      <c r="A91" s="162"/>
      <c r="B91" s="162"/>
      <c r="C91" s="162"/>
      <c r="D91" s="429" t="str">
        <f>TxPhase2Px</f>
        <v/>
      </c>
      <c r="E91" s="440">
        <f t="shared" ref="E91:J91" si="24">IF(TxPhase2&lt;&gt;"",IF($C88=1,E90,IF($C88=2,E80,0))*E86,0)</f>
        <v>0</v>
      </c>
      <c r="F91" s="440">
        <f t="shared" si="24"/>
        <v>0</v>
      </c>
      <c r="G91" s="440">
        <f t="shared" si="24"/>
        <v>0</v>
      </c>
      <c r="H91" s="440">
        <f t="shared" si="24"/>
        <v>0</v>
      </c>
      <c r="I91" s="440">
        <f t="shared" si="24"/>
        <v>0</v>
      </c>
      <c r="J91" s="440">
        <f t="shared" si="24"/>
        <v>0</v>
      </c>
      <c r="K91" s="615"/>
      <c r="L91" s="615"/>
      <c r="M91" s="615"/>
      <c r="N91" s="615"/>
      <c r="O91" s="615"/>
      <c r="P91" s="615"/>
      <c r="Q91" s="615"/>
      <c r="R91" s="162"/>
      <c r="S91" s="162"/>
    </row>
    <row r="92" spans="1:19" s="416" customFormat="1" hidden="1" outlineLevel="1" x14ac:dyDescent="0.2">
      <c r="A92" s="162"/>
      <c r="B92" s="162"/>
      <c r="C92" s="162"/>
      <c r="D92" s="417"/>
      <c r="E92" s="417"/>
      <c r="F92" s="162"/>
      <c r="G92" s="162"/>
      <c r="H92" s="162"/>
      <c r="I92" s="162"/>
      <c r="J92" s="162"/>
      <c r="K92" s="162"/>
      <c r="L92" s="162"/>
      <c r="M92" s="162"/>
      <c r="N92" s="638"/>
      <c r="O92" s="162"/>
      <c r="P92" s="641"/>
      <c r="Q92" s="641"/>
      <c r="R92" s="162"/>
      <c r="S92" s="162"/>
    </row>
    <row r="93" spans="1:19" s="416" customFormat="1" hidden="1" outlineLevel="1" x14ac:dyDescent="0.2">
      <c r="A93" s="162"/>
      <c r="B93" s="162"/>
      <c r="C93" s="475" t="str">
        <f>IF(E93&lt;&gt;"",E93,"")</f>
        <v/>
      </c>
      <c r="D93" s="89" t="s">
        <v>756</v>
      </c>
      <c r="E93" s="263"/>
      <c r="F93" s="162"/>
      <c r="G93" s="162"/>
      <c r="H93" s="162"/>
      <c r="I93" s="162"/>
      <c r="J93" s="162"/>
      <c r="K93" s="162"/>
      <c r="L93" s="162"/>
      <c r="M93" s="162"/>
      <c r="N93" s="638"/>
      <c r="O93" s="162"/>
      <c r="P93" s="641"/>
      <c r="Q93" s="641"/>
      <c r="R93" s="162"/>
      <c r="S93" s="162"/>
    </row>
    <row r="94" spans="1:19" hidden="1" outlineLevel="1" x14ac:dyDescent="0.2">
      <c r="A94" s="162"/>
      <c r="B94" s="162"/>
      <c r="C94" s="162"/>
      <c r="D94" s="162"/>
      <c r="E94" s="162"/>
      <c r="F94" s="162"/>
      <c r="G94" s="162"/>
      <c r="H94" s="162"/>
      <c r="I94" s="162"/>
      <c r="J94" s="162"/>
      <c r="K94" s="162"/>
      <c r="L94" s="162"/>
      <c r="M94" s="162"/>
      <c r="N94" s="638"/>
      <c r="O94" s="162"/>
      <c r="P94" s="641"/>
      <c r="Q94" s="641"/>
      <c r="R94" s="162"/>
      <c r="S94" s="162"/>
    </row>
    <row r="95" spans="1:19" collapsed="1" x14ac:dyDescent="0.2">
      <c r="A95" s="162"/>
      <c r="B95" s="162"/>
      <c r="C95" s="162"/>
      <c r="D95" s="162"/>
      <c r="E95" s="162"/>
      <c r="F95" s="162"/>
      <c r="G95" s="162"/>
      <c r="H95" s="162"/>
      <c r="I95" s="162"/>
      <c r="J95" s="162"/>
      <c r="K95" s="162"/>
      <c r="L95" s="162"/>
      <c r="M95" s="162"/>
      <c r="N95" s="162"/>
      <c r="O95" s="162"/>
      <c r="P95" s="639"/>
      <c r="Q95" s="640"/>
      <c r="R95" s="162"/>
      <c r="S95" s="162"/>
    </row>
    <row r="96" spans="1:19" ht="15.75" x14ac:dyDescent="0.2">
      <c r="A96" s="162"/>
      <c r="B96" s="162"/>
      <c r="C96" s="573">
        <v>3</v>
      </c>
      <c r="D96" s="79" t="str">
        <f>IF(E100&lt;&gt;"",CONCATENATE("Prevalent ",C96,": ",G100,L96),MsgNotUsed)</f>
        <v>** NOT USED **</v>
      </c>
      <c r="E96" s="132"/>
      <c r="F96" s="132"/>
      <c r="G96" s="132"/>
      <c r="H96" s="132"/>
      <c r="I96" s="134"/>
      <c r="J96" s="126"/>
      <c r="K96" s="133"/>
      <c r="L96" s="325" t="str">
        <f>IF(S100&lt;&gt;"",CONCATENATE(" (",S100,")"),"")</f>
        <v/>
      </c>
      <c r="M96" s="133"/>
      <c r="N96" s="133"/>
      <c r="O96" s="133"/>
      <c r="P96" s="133"/>
      <c r="Q96" s="133"/>
      <c r="R96" s="133"/>
      <c r="S96" s="133"/>
    </row>
    <row r="97" spans="1:19" hidden="1" outlineLevel="1" x14ac:dyDescent="0.2">
      <c r="A97" s="162"/>
      <c r="B97" s="162"/>
      <c r="C97" s="162"/>
      <c r="D97" s="616"/>
      <c r="E97" s="162"/>
      <c r="F97" s="162"/>
      <c r="G97" s="162"/>
      <c r="H97" s="162"/>
      <c r="I97" s="162"/>
      <c r="J97" s="162"/>
      <c r="K97" s="162"/>
      <c r="L97" s="162"/>
      <c r="M97" s="162"/>
      <c r="N97" s="162"/>
      <c r="O97" s="162"/>
      <c r="P97" s="162"/>
      <c r="Q97" s="162"/>
      <c r="R97" s="162"/>
      <c r="S97" s="162"/>
    </row>
    <row r="98" spans="1:19" hidden="1" outlineLevel="1" x14ac:dyDescent="0.2">
      <c r="A98" s="162"/>
      <c r="B98" s="162"/>
      <c r="C98" s="162"/>
      <c r="D98" s="162" t="s">
        <v>840</v>
      </c>
      <c r="E98" s="162"/>
      <c r="F98" s="162"/>
      <c r="G98" s="162"/>
      <c r="H98" s="162"/>
      <c r="I98" s="162"/>
      <c r="J98" s="162"/>
      <c r="K98" s="162"/>
      <c r="L98" s="162"/>
      <c r="M98" s="162"/>
      <c r="N98" s="162"/>
      <c r="O98" s="162"/>
      <c r="P98" s="162"/>
      <c r="Q98" s="162"/>
      <c r="R98" s="162"/>
      <c r="S98" s="641"/>
    </row>
    <row r="99" spans="1:19" hidden="1" outlineLevel="1" x14ac:dyDescent="0.2">
      <c r="A99" s="162"/>
      <c r="B99" s="162"/>
      <c r="C99" s="162"/>
      <c r="D99" s="616"/>
      <c r="E99" s="162"/>
      <c r="F99" s="162"/>
      <c r="G99" s="162"/>
      <c r="H99" s="162"/>
      <c r="I99" s="162"/>
      <c r="J99" s="162"/>
      <c r="K99" s="162"/>
      <c r="L99" s="162"/>
      <c r="M99" s="162"/>
      <c r="N99" s="162"/>
      <c r="O99" s="162"/>
      <c r="P99" s="162"/>
      <c r="Q99" s="162"/>
      <c r="R99" s="162"/>
      <c r="S99" s="36" t="s">
        <v>424</v>
      </c>
    </row>
    <row r="100" spans="1:19" hidden="1" outlineLevel="1" x14ac:dyDescent="0.2">
      <c r="A100" s="129"/>
      <c r="B100" s="475">
        <f>IF(E100&lt;&gt;"",MATCH(E100,EPISource,0)-1,0)</f>
        <v>0</v>
      </c>
      <c r="C100" s="475">
        <f ca="1">IF(G100&lt;&gt;"",MATCH(G100,OFFSET(References!$AE$7,0,B100,PxPopMaxCount),0),0)</f>
        <v>0</v>
      </c>
      <c r="D100" s="423" t="s">
        <v>113</v>
      </c>
      <c r="E100" s="438"/>
      <c r="F100" s="436"/>
      <c r="G100" s="812"/>
      <c r="H100" s="813"/>
      <c r="I100" s="813"/>
      <c r="J100" s="813"/>
      <c r="K100" s="162"/>
      <c r="L100" s="162"/>
      <c r="M100" s="162"/>
      <c r="N100" s="162"/>
      <c r="O100" s="162"/>
      <c r="P100" s="162"/>
      <c r="Q100" s="162"/>
      <c r="R100" s="162"/>
      <c r="S100" s="439"/>
    </row>
    <row r="101" spans="1:19" hidden="1" outlineLevel="1" x14ac:dyDescent="0.2">
      <c r="A101" s="129"/>
      <c r="B101" s="475">
        <f>INDEX(PxPopValid,,B100+1)</f>
        <v>0</v>
      </c>
      <c r="C101" s="475">
        <f ca="1">(B100*PxPopMaxCount)+C100</f>
        <v>0</v>
      </c>
      <c r="D101" s="162"/>
      <c r="E101" s="650">
        <v>1</v>
      </c>
      <c r="F101" s="650">
        <v>2</v>
      </c>
      <c r="G101" s="650">
        <v>3</v>
      </c>
      <c r="H101" s="650">
        <v>4</v>
      </c>
      <c r="I101" s="650">
        <v>5</v>
      </c>
      <c r="J101" s="650">
        <v>6</v>
      </c>
      <c r="K101" s="162"/>
      <c r="L101" s="162"/>
      <c r="M101" s="162"/>
      <c r="N101" s="162"/>
      <c r="O101" s="162"/>
      <c r="P101" s="162"/>
      <c r="Q101" s="162"/>
      <c r="R101" s="162"/>
      <c r="S101" s="162"/>
    </row>
    <row r="102" spans="1:19" hidden="1" outlineLevel="1" x14ac:dyDescent="0.2">
      <c r="A102" s="129"/>
      <c r="B102" s="129"/>
      <c r="C102" s="129"/>
      <c r="D102" s="616"/>
      <c r="E102" s="814" t="s">
        <v>10</v>
      </c>
      <c r="F102" s="814"/>
      <c r="G102" s="814"/>
      <c r="H102" s="814"/>
      <c r="I102" s="814"/>
      <c r="J102" s="814"/>
      <c r="K102" s="162"/>
      <c r="L102" s="162"/>
      <c r="M102" s="162"/>
      <c r="N102" s="162"/>
      <c r="O102" s="162"/>
      <c r="P102" s="162"/>
      <c r="Q102" s="162"/>
      <c r="R102" s="162"/>
      <c r="S102" s="636" t="str">
        <f ca="1">IF(ISERROR($C101)=TRUE,MsgError&amp;VLOOKUP("BadPop",ErrorMessages,2,FALSE),IF(RIGHT(G100,11)="(Incidence)",MsgError&amp;VLOOKUP("BadIncPop",ErrorMessages,2,FALSE),""))</f>
        <v/>
      </c>
    </row>
    <row r="103" spans="1:19" hidden="1" outlineLevel="1" x14ac:dyDescent="0.2">
      <c r="A103" s="129"/>
      <c r="B103" s="129"/>
      <c r="C103" s="129"/>
      <c r="D103" s="643"/>
      <c r="E103" s="431">
        <f>FirstYear</f>
        <v>2021</v>
      </c>
      <c r="F103" s="431">
        <f>E103+1</f>
        <v>2022</v>
      </c>
      <c r="G103" s="431">
        <f>F103+1</f>
        <v>2023</v>
      </c>
      <c r="H103" s="431">
        <f>G103+1</f>
        <v>2024</v>
      </c>
      <c r="I103" s="431">
        <f>H103+1</f>
        <v>2025</v>
      </c>
      <c r="J103" s="431">
        <f>I103+1</f>
        <v>2026</v>
      </c>
      <c r="K103" s="162"/>
      <c r="L103" s="162"/>
      <c r="M103" s="162"/>
      <c r="N103" s="162"/>
      <c r="O103" s="162"/>
      <c r="P103" s="162"/>
      <c r="Q103" s="162"/>
      <c r="R103" s="162"/>
      <c r="S103" s="162"/>
    </row>
    <row r="104" spans="1:19" hidden="1" outlineLevel="1" x14ac:dyDescent="0.2">
      <c r="A104" s="162"/>
      <c r="B104" s="162"/>
      <c r="C104" s="162"/>
      <c r="D104" s="721" t="s">
        <v>92</v>
      </c>
      <c r="E104" s="437">
        <f t="shared" ref="E104:J104" ca="1" si="25">IF(AND(ISERROR($C101)&lt;&gt;TRUE,$G100&lt;&gt;""),INDEX(PxPopNumbers,$C101,E101),0)</f>
        <v>0</v>
      </c>
      <c r="F104" s="437">
        <f t="shared" ca="1" si="25"/>
        <v>0</v>
      </c>
      <c r="G104" s="437">
        <f t="shared" ca="1" si="25"/>
        <v>0</v>
      </c>
      <c r="H104" s="437">
        <f t="shared" ca="1" si="25"/>
        <v>0</v>
      </c>
      <c r="I104" s="437">
        <f t="shared" ca="1" si="25"/>
        <v>0</v>
      </c>
      <c r="J104" s="437">
        <f t="shared" ca="1" si="25"/>
        <v>0</v>
      </c>
      <c r="K104" s="162"/>
      <c r="L104" s="162"/>
      <c r="M104" s="162"/>
      <c r="N104" s="162"/>
      <c r="O104" s="162"/>
      <c r="P104" s="162"/>
      <c r="Q104" s="162"/>
      <c r="R104" s="616"/>
      <c r="S104" s="162"/>
    </row>
    <row r="105" spans="1:19" hidden="1" outlineLevel="1" x14ac:dyDescent="0.2">
      <c r="A105" s="162"/>
      <c r="B105" s="162"/>
      <c r="C105" s="162"/>
      <c r="D105" s="162"/>
      <c r="E105" s="435"/>
      <c r="F105" s="435"/>
      <c r="G105" s="435"/>
      <c r="H105" s="435"/>
      <c r="I105" s="435"/>
      <c r="J105" s="435"/>
      <c r="K105" s="162"/>
      <c r="L105" s="162"/>
      <c r="M105" s="162"/>
      <c r="N105" s="162"/>
      <c r="O105" s="162"/>
      <c r="P105" s="162"/>
      <c r="Q105" s="162"/>
      <c r="R105" s="162"/>
      <c r="S105" s="162"/>
    </row>
    <row r="106" spans="1:19" hidden="1" outlineLevel="1" x14ac:dyDescent="0.2">
      <c r="A106" s="162"/>
      <c r="B106" s="162"/>
      <c r="C106" s="162"/>
      <c r="D106" s="720" t="s">
        <v>205</v>
      </c>
      <c r="E106" s="435"/>
      <c r="F106" s="435"/>
      <c r="G106" s="435"/>
      <c r="H106" s="435"/>
      <c r="I106" s="435"/>
      <c r="J106" s="435"/>
      <c r="K106" s="162"/>
      <c r="L106" s="162"/>
      <c r="M106" s="162"/>
      <c r="N106" s="162"/>
      <c r="O106" s="162"/>
      <c r="P106" s="162"/>
      <c r="Q106" s="162"/>
      <c r="R106" s="162"/>
      <c r="S106" s="36" t="s">
        <v>258</v>
      </c>
    </row>
    <row r="107" spans="1:19" hidden="1" outlineLevel="1" x14ac:dyDescent="0.2">
      <c r="A107" s="162"/>
      <c r="B107" s="162"/>
      <c r="C107" s="162"/>
      <c r="D107" s="432"/>
      <c r="E107" s="443"/>
      <c r="F107" s="443"/>
      <c r="G107" s="443"/>
      <c r="H107" s="443"/>
      <c r="I107" s="443"/>
      <c r="J107" s="443"/>
      <c r="K107" s="435"/>
      <c r="L107" s="425">
        <f t="shared" ref="L107:L115" si="26">IF(E107="",1,E107)</f>
        <v>1</v>
      </c>
      <c r="M107" s="425">
        <f t="shared" ref="M107:M116" si="27">IF(F107="",1,F107)</f>
        <v>1</v>
      </c>
      <c r="N107" s="425">
        <f t="shared" ref="N107:N116" si="28">IF(G107="",1,G107)</f>
        <v>1</v>
      </c>
      <c r="O107" s="425">
        <f t="shared" ref="O107:O116" si="29">IF(H107="",1,H107)</f>
        <v>1</v>
      </c>
      <c r="P107" s="425">
        <f t="shared" ref="P107:P116" si="30">IF(I107="",1,I107)</f>
        <v>1</v>
      </c>
      <c r="Q107" s="425">
        <f t="shared" ref="Q107:Q116" si="31">IF(J107="",1,J107)</f>
        <v>1</v>
      </c>
      <c r="R107" s="162"/>
      <c r="S107" s="432"/>
    </row>
    <row r="108" spans="1:19" hidden="1" outlineLevel="1" x14ac:dyDescent="0.2">
      <c r="A108" s="162"/>
      <c r="B108" s="162"/>
      <c r="C108" s="162"/>
      <c r="D108" s="432"/>
      <c r="E108" s="443"/>
      <c r="F108" s="443"/>
      <c r="G108" s="443"/>
      <c r="H108" s="443"/>
      <c r="I108" s="443"/>
      <c r="J108" s="443"/>
      <c r="K108" s="435"/>
      <c r="L108" s="425">
        <f t="shared" si="26"/>
        <v>1</v>
      </c>
      <c r="M108" s="425">
        <f t="shared" si="27"/>
        <v>1</v>
      </c>
      <c r="N108" s="425">
        <f t="shared" si="28"/>
        <v>1</v>
      </c>
      <c r="O108" s="425">
        <f t="shared" si="29"/>
        <v>1</v>
      </c>
      <c r="P108" s="425">
        <f t="shared" si="30"/>
        <v>1</v>
      </c>
      <c r="Q108" s="425">
        <f t="shared" si="31"/>
        <v>1</v>
      </c>
      <c r="R108" s="162"/>
      <c r="S108" s="432"/>
    </row>
    <row r="109" spans="1:19" hidden="1" outlineLevel="1" x14ac:dyDescent="0.2">
      <c r="A109" s="162"/>
      <c r="B109" s="162"/>
      <c r="C109" s="162"/>
      <c r="D109" s="432"/>
      <c r="E109" s="443"/>
      <c r="F109" s="443"/>
      <c r="G109" s="443"/>
      <c r="H109" s="443"/>
      <c r="I109" s="443"/>
      <c r="J109" s="443"/>
      <c r="K109" s="435"/>
      <c r="L109" s="425">
        <f t="shared" si="26"/>
        <v>1</v>
      </c>
      <c r="M109" s="425">
        <f t="shared" si="27"/>
        <v>1</v>
      </c>
      <c r="N109" s="425">
        <f t="shared" si="28"/>
        <v>1</v>
      </c>
      <c r="O109" s="425">
        <f t="shared" si="29"/>
        <v>1</v>
      </c>
      <c r="P109" s="425">
        <f t="shared" si="30"/>
        <v>1</v>
      </c>
      <c r="Q109" s="425">
        <f t="shared" si="31"/>
        <v>1</v>
      </c>
      <c r="R109" s="162"/>
      <c r="S109" s="432"/>
    </row>
    <row r="110" spans="1:19" hidden="1" outlineLevel="1" x14ac:dyDescent="0.2">
      <c r="A110" s="162"/>
      <c r="B110" s="162"/>
      <c r="C110" s="162"/>
      <c r="D110" s="432"/>
      <c r="E110" s="443"/>
      <c r="F110" s="443"/>
      <c r="G110" s="443"/>
      <c r="H110" s="443"/>
      <c r="I110" s="443"/>
      <c r="J110" s="443"/>
      <c r="K110" s="435"/>
      <c r="L110" s="425">
        <f t="shared" si="26"/>
        <v>1</v>
      </c>
      <c r="M110" s="425">
        <f t="shared" si="27"/>
        <v>1</v>
      </c>
      <c r="N110" s="425">
        <f t="shared" si="28"/>
        <v>1</v>
      </c>
      <c r="O110" s="425">
        <f t="shared" si="29"/>
        <v>1</v>
      </c>
      <c r="P110" s="425">
        <f t="shared" si="30"/>
        <v>1</v>
      </c>
      <c r="Q110" s="425">
        <f t="shared" si="31"/>
        <v>1</v>
      </c>
      <c r="R110" s="162"/>
      <c r="S110" s="432"/>
    </row>
    <row r="111" spans="1:19" hidden="1" outlineLevel="1" x14ac:dyDescent="0.2">
      <c r="A111" s="162"/>
      <c r="B111" s="162"/>
      <c r="C111" s="162"/>
      <c r="D111" s="432"/>
      <c r="E111" s="443"/>
      <c r="F111" s="443"/>
      <c r="G111" s="443"/>
      <c r="H111" s="443"/>
      <c r="I111" s="443"/>
      <c r="J111" s="443"/>
      <c r="K111" s="435"/>
      <c r="L111" s="425">
        <f t="shared" si="26"/>
        <v>1</v>
      </c>
      <c r="M111" s="425">
        <f t="shared" si="27"/>
        <v>1</v>
      </c>
      <c r="N111" s="425">
        <f t="shared" si="28"/>
        <v>1</v>
      </c>
      <c r="O111" s="425">
        <f t="shared" si="29"/>
        <v>1</v>
      </c>
      <c r="P111" s="425">
        <f t="shared" si="30"/>
        <v>1</v>
      </c>
      <c r="Q111" s="425">
        <f t="shared" si="31"/>
        <v>1</v>
      </c>
      <c r="R111" s="162"/>
      <c r="S111" s="432"/>
    </row>
    <row r="112" spans="1:19" hidden="1" outlineLevel="1" x14ac:dyDescent="0.2">
      <c r="A112" s="162"/>
      <c r="B112" s="162"/>
      <c r="C112" s="162"/>
      <c r="D112" s="432"/>
      <c r="E112" s="443"/>
      <c r="F112" s="443"/>
      <c r="G112" s="443"/>
      <c r="H112" s="443"/>
      <c r="I112" s="443"/>
      <c r="J112" s="443"/>
      <c r="K112" s="435"/>
      <c r="L112" s="425">
        <f t="shared" si="26"/>
        <v>1</v>
      </c>
      <c r="M112" s="425">
        <f t="shared" si="27"/>
        <v>1</v>
      </c>
      <c r="N112" s="425">
        <f t="shared" si="28"/>
        <v>1</v>
      </c>
      <c r="O112" s="425">
        <f t="shared" si="29"/>
        <v>1</v>
      </c>
      <c r="P112" s="425">
        <f t="shared" si="30"/>
        <v>1</v>
      </c>
      <c r="Q112" s="425">
        <f t="shared" si="31"/>
        <v>1</v>
      </c>
      <c r="R112" s="162"/>
      <c r="S112" s="432"/>
    </row>
    <row r="113" spans="1:19" hidden="1" outlineLevel="1" x14ac:dyDescent="0.2">
      <c r="A113" s="162"/>
      <c r="B113" s="162"/>
      <c r="C113" s="162"/>
      <c r="D113" s="432"/>
      <c r="E113" s="443"/>
      <c r="F113" s="443"/>
      <c r="G113" s="443"/>
      <c r="H113" s="443"/>
      <c r="I113" s="443"/>
      <c r="J113" s="443"/>
      <c r="K113" s="435"/>
      <c r="L113" s="425">
        <f t="shared" si="26"/>
        <v>1</v>
      </c>
      <c r="M113" s="425">
        <f t="shared" si="27"/>
        <v>1</v>
      </c>
      <c r="N113" s="425">
        <f t="shared" si="28"/>
        <v>1</v>
      </c>
      <c r="O113" s="425">
        <f t="shared" si="29"/>
        <v>1</v>
      </c>
      <c r="P113" s="425">
        <f t="shared" si="30"/>
        <v>1</v>
      </c>
      <c r="Q113" s="425">
        <f t="shared" si="31"/>
        <v>1</v>
      </c>
      <c r="R113" s="162"/>
      <c r="S113" s="432"/>
    </row>
    <row r="114" spans="1:19" hidden="1" outlineLevel="1" x14ac:dyDescent="0.2">
      <c r="A114" s="162"/>
      <c r="B114" s="162"/>
      <c r="C114" s="162"/>
      <c r="D114" s="432"/>
      <c r="E114" s="443"/>
      <c r="F114" s="443"/>
      <c r="G114" s="443"/>
      <c r="H114" s="443"/>
      <c r="I114" s="443"/>
      <c r="J114" s="443"/>
      <c r="K114" s="435"/>
      <c r="L114" s="425">
        <f t="shared" si="26"/>
        <v>1</v>
      </c>
      <c r="M114" s="425">
        <f t="shared" si="27"/>
        <v>1</v>
      </c>
      <c r="N114" s="425">
        <f t="shared" si="28"/>
        <v>1</v>
      </c>
      <c r="O114" s="425">
        <f t="shared" si="29"/>
        <v>1</v>
      </c>
      <c r="P114" s="425">
        <f t="shared" si="30"/>
        <v>1</v>
      </c>
      <c r="Q114" s="425">
        <f t="shared" si="31"/>
        <v>1</v>
      </c>
      <c r="R114" s="162"/>
      <c r="S114" s="432"/>
    </row>
    <row r="115" spans="1:19" hidden="1" outlineLevel="1" x14ac:dyDescent="0.2">
      <c r="A115" s="162"/>
      <c r="B115" s="162"/>
      <c r="C115" s="162"/>
      <c r="D115" s="432"/>
      <c r="E115" s="443"/>
      <c r="F115" s="443"/>
      <c r="G115" s="443"/>
      <c r="H115" s="443"/>
      <c r="I115" s="443"/>
      <c r="J115" s="443"/>
      <c r="K115" s="435"/>
      <c r="L115" s="425">
        <f t="shared" si="26"/>
        <v>1</v>
      </c>
      <c r="M115" s="425">
        <f t="shared" si="27"/>
        <v>1</v>
      </c>
      <c r="N115" s="425">
        <f t="shared" si="28"/>
        <v>1</v>
      </c>
      <c r="O115" s="425">
        <f t="shared" si="29"/>
        <v>1</v>
      </c>
      <c r="P115" s="425">
        <f t="shared" si="30"/>
        <v>1</v>
      </c>
      <c r="Q115" s="425">
        <f t="shared" si="31"/>
        <v>1</v>
      </c>
      <c r="R115" s="162"/>
      <c r="S115" s="432"/>
    </row>
    <row r="116" spans="1:19" hidden="1" outlineLevel="1" x14ac:dyDescent="0.2">
      <c r="A116" s="162"/>
      <c r="B116" s="162"/>
      <c r="C116" s="162"/>
      <c r="D116" s="432"/>
      <c r="E116" s="443"/>
      <c r="F116" s="443"/>
      <c r="G116" s="443"/>
      <c r="H116" s="443"/>
      <c r="I116" s="443"/>
      <c r="J116" s="443"/>
      <c r="K116" s="435"/>
      <c r="L116" s="425">
        <f>IF(E116="",1,E116)</f>
        <v>1</v>
      </c>
      <c r="M116" s="425">
        <f t="shared" si="27"/>
        <v>1</v>
      </c>
      <c r="N116" s="425">
        <f t="shared" si="28"/>
        <v>1</v>
      </c>
      <c r="O116" s="425">
        <f t="shared" si="29"/>
        <v>1</v>
      </c>
      <c r="P116" s="425">
        <f t="shared" si="30"/>
        <v>1</v>
      </c>
      <c r="Q116" s="425">
        <f t="shared" si="31"/>
        <v>1</v>
      </c>
      <c r="R116" s="162"/>
      <c r="S116" s="432"/>
    </row>
    <row r="117" spans="1:19" hidden="1" outlineLevel="1" x14ac:dyDescent="0.2">
      <c r="A117" s="162"/>
      <c r="B117" s="162"/>
      <c r="C117" s="162"/>
      <c r="D117" s="424" t="s">
        <v>213</v>
      </c>
      <c r="E117" s="444">
        <f t="shared" ref="E117:J117" si="32">L107*L108*L109*L110*L116*L111*L112*L113*L114*L115</f>
        <v>1</v>
      </c>
      <c r="F117" s="444">
        <f t="shared" si="32"/>
        <v>1</v>
      </c>
      <c r="G117" s="444">
        <f t="shared" si="32"/>
        <v>1</v>
      </c>
      <c r="H117" s="444">
        <f t="shared" si="32"/>
        <v>1</v>
      </c>
      <c r="I117" s="444">
        <f t="shared" si="32"/>
        <v>1</v>
      </c>
      <c r="J117" s="444">
        <f t="shared" si="32"/>
        <v>1</v>
      </c>
      <c r="K117" s="162"/>
      <c r="L117" s="162"/>
      <c r="M117" s="162"/>
      <c r="N117" s="638"/>
      <c r="O117" s="162"/>
      <c r="P117" s="162"/>
      <c r="Q117" s="162"/>
      <c r="R117" s="162"/>
      <c r="S117" s="162"/>
    </row>
    <row r="118" spans="1:19" hidden="1" outlineLevel="1" x14ac:dyDescent="0.2">
      <c r="A118" s="638"/>
      <c r="B118" s="638"/>
      <c r="C118" s="638"/>
      <c r="D118" s="419" t="s">
        <v>90</v>
      </c>
      <c r="E118" s="440">
        <f t="shared" ref="E118:J118" ca="1" si="33">IF(ISNUMBER(E104),E104*E117,"")</f>
        <v>0</v>
      </c>
      <c r="F118" s="440">
        <f t="shared" ca="1" si="33"/>
        <v>0</v>
      </c>
      <c r="G118" s="440">
        <f t="shared" ca="1" si="33"/>
        <v>0</v>
      </c>
      <c r="H118" s="440">
        <f t="shared" ca="1" si="33"/>
        <v>0</v>
      </c>
      <c r="I118" s="440">
        <f t="shared" ca="1" si="33"/>
        <v>0</v>
      </c>
      <c r="J118" s="440">
        <f t="shared" ca="1" si="33"/>
        <v>0</v>
      </c>
      <c r="K118" s="162"/>
      <c r="L118" s="638"/>
      <c r="M118" s="162"/>
      <c r="N118" s="162"/>
      <c r="O118" s="162"/>
      <c r="P118" s="162"/>
      <c r="Q118" s="162"/>
      <c r="R118" s="162"/>
      <c r="S118" s="162"/>
    </row>
    <row r="119" spans="1:19" hidden="1" outlineLevel="1" x14ac:dyDescent="0.2">
      <c r="A119" s="162"/>
      <c r="B119" s="162"/>
      <c r="C119" s="162"/>
      <c r="D119" s="435"/>
      <c r="E119" s="162"/>
      <c r="F119" s="162"/>
      <c r="G119" s="162"/>
      <c r="H119" s="162"/>
      <c r="I119" s="162"/>
      <c r="J119" s="162"/>
      <c r="K119" s="162"/>
      <c r="L119" s="162"/>
      <c r="M119" s="162"/>
      <c r="N119" s="162"/>
      <c r="O119" s="162"/>
      <c r="P119" s="641"/>
      <c r="Q119" s="641"/>
      <c r="R119" s="162"/>
      <c r="S119" s="162"/>
    </row>
    <row r="120" spans="1:19" hidden="1" outlineLevel="1" x14ac:dyDescent="0.2">
      <c r="A120" s="162"/>
      <c r="B120" s="162"/>
      <c r="C120" s="162"/>
      <c r="D120" s="429" t="str">
        <f>TxPhase1Tx</f>
        <v/>
      </c>
      <c r="E120" s="495"/>
      <c r="F120" s="162"/>
      <c r="G120" s="162"/>
      <c r="H120" s="162"/>
      <c r="I120" s="162"/>
      <c r="J120" s="162"/>
      <c r="K120" s="615"/>
      <c r="L120" s="615"/>
      <c r="M120" s="615"/>
      <c r="N120" s="615"/>
      <c r="O120" s="615"/>
      <c r="P120" s="615"/>
      <c r="Q120" s="615"/>
      <c r="R120" s="162"/>
      <c r="S120" s="36" t="s">
        <v>258</v>
      </c>
    </row>
    <row r="121" spans="1:19" hidden="1" outlineLevel="1" x14ac:dyDescent="0.2">
      <c r="A121" s="162"/>
      <c r="B121" s="162"/>
      <c r="C121" s="162"/>
      <c r="D121" s="429" t="s">
        <v>91</v>
      </c>
      <c r="E121" s="428"/>
      <c r="F121" s="428"/>
      <c r="G121" s="428"/>
      <c r="H121" s="428"/>
      <c r="I121" s="428"/>
      <c r="J121" s="428"/>
      <c r="K121" s="615"/>
      <c r="L121" s="615"/>
      <c r="M121" s="615"/>
      <c r="N121" s="615"/>
      <c r="O121" s="615"/>
      <c r="P121" s="615"/>
      <c r="Q121" s="615"/>
      <c r="R121" s="162"/>
      <c r="S121" s="426"/>
    </row>
    <row r="122" spans="1:19" hidden="1" outlineLevel="1" x14ac:dyDescent="0.2">
      <c r="A122" s="162"/>
      <c r="B122" s="162"/>
      <c r="C122" s="162"/>
      <c r="D122" s="435"/>
      <c r="E122" s="162"/>
      <c r="F122" s="162"/>
      <c r="G122" s="162"/>
      <c r="H122" s="162"/>
      <c r="I122" s="162"/>
      <c r="J122" s="162"/>
      <c r="K122" s="615"/>
      <c r="L122" s="615"/>
      <c r="M122" s="615"/>
      <c r="N122" s="615"/>
      <c r="O122" s="615"/>
      <c r="P122" s="615"/>
      <c r="Q122" s="615"/>
      <c r="R122" s="162"/>
      <c r="S122" s="435"/>
    </row>
    <row r="123" spans="1:19" hidden="1" outlineLevel="1" x14ac:dyDescent="0.2">
      <c r="A123" s="162"/>
      <c r="B123" s="162"/>
      <c r="C123" s="162"/>
      <c r="D123" s="433" t="str">
        <f>TXPhase2Tx</f>
        <v/>
      </c>
      <c r="E123" s="495"/>
      <c r="F123" s="162"/>
      <c r="G123" s="162"/>
      <c r="H123" s="162"/>
      <c r="I123" s="162"/>
      <c r="J123" s="162"/>
      <c r="K123" s="615"/>
      <c r="L123" s="615"/>
      <c r="M123" s="615"/>
      <c r="N123" s="615"/>
      <c r="O123" s="615"/>
      <c r="P123" s="615"/>
      <c r="Q123" s="615"/>
      <c r="R123" s="162"/>
      <c r="S123" s="422" t="s">
        <v>258</v>
      </c>
    </row>
    <row r="124" spans="1:19" hidden="1" outlineLevel="1" x14ac:dyDescent="0.2">
      <c r="A124" s="162"/>
      <c r="B124" s="162"/>
      <c r="C124" s="162"/>
      <c r="D124" s="433" t="str">
        <f>IF(D123&lt;&gt;"","Patients electing treatment (%)","")</f>
        <v/>
      </c>
      <c r="E124" s="428"/>
      <c r="F124" s="428"/>
      <c r="G124" s="428"/>
      <c r="H124" s="428"/>
      <c r="I124" s="428"/>
      <c r="J124" s="428"/>
      <c r="K124" s="615"/>
      <c r="L124" s="615"/>
      <c r="M124" s="615"/>
      <c r="N124" s="615"/>
      <c r="O124" s="615"/>
      <c r="P124" s="615"/>
      <c r="Q124" s="615"/>
      <c r="R124" s="162"/>
      <c r="S124" s="426"/>
    </row>
    <row r="125" spans="1:19" hidden="1" outlineLevel="1" x14ac:dyDescent="0.2">
      <c r="A125" s="162"/>
      <c r="B125" s="162"/>
      <c r="C125" s="162"/>
      <c r="D125" s="435"/>
      <c r="E125" s="435"/>
      <c r="F125" s="435"/>
      <c r="G125" s="435"/>
      <c r="H125" s="435"/>
      <c r="I125" s="435"/>
      <c r="J125" s="435"/>
      <c r="K125" s="615"/>
      <c r="L125" s="615"/>
      <c r="M125" s="615"/>
      <c r="N125" s="615"/>
      <c r="O125" s="615"/>
      <c r="P125" s="615"/>
      <c r="Q125" s="615"/>
      <c r="R125" s="162"/>
      <c r="S125" s="162"/>
    </row>
    <row r="126" spans="1:19" s="416" customFormat="1" hidden="1" outlineLevel="1" x14ac:dyDescent="0.2">
      <c r="A126" s="162"/>
      <c r="B126" s="162"/>
      <c r="C126" s="475">
        <f>IFERROR(VLOOKUP(E126,TxPhase2SourceCode,2,FALSE),0)</f>
        <v>1</v>
      </c>
      <c r="D126" s="429" t="s">
        <v>1165</v>
      </c>
      <c r="E126" s="263" t="s">
        <v>1166</v>
      </c>
      <c r="F126" s="435"/>
      <c r="G126" s="435"/>
      <c r="H126" s="435"/>
      <c r="I126" s="435"/>
      <c r="J126" s="435"/>
      <c r="K126" s="615"/>
      <c r="L126" s="615"/>
      <c r="M126" s="615"/>
      <c r="N126" s="615"/>
      <c r="O126" s="615"/>
      <c r="P126" s="615"/>
      <c r="Q126" s="615"/>
      <c r="R126" s="162"/>
      <c r="S126" s="162"/>
    </row>
    <row r="127" spans="1:19" s="416" customFormat="1" hidden="1" outlineLevel="1" x14ac:dyDescent="0.2">
      <c r="A127" s="162"/>
      <c r="B127" s="162"/>
      <c r="C127" s="162"/>
      <c r="D127" s="435"/>
      <c r="E127" s="435"/>
      <c r="F127" s="435"/>
      <c r="G127" s="435"/>
      <c r="H127" s="435"/>
      <c r="I127" s="435"/>
      <c r="J127" s="435"/>
      <c r="K127" s="615"/>
      <c r="L127" s="615"/>
      <c r="M127" s="615"/>
      <c r="N127" s="615"/>
      <c r="O127" s="615"/>
      <c r="P127" s="615"/>
      <c r="Q127" s="615"/>
      <c r="R127" s="162"/>
      <c r="S127" s="162"/>
    </row>
    <row r="128" spans="1:19" hidden="1" outlineLevel="1" x14ac:dyDescent="0.2">
      <c r="A128" s="162"/>
      <c r="B128" s="162"/>
      <c r="C128" s="162"/>
      <c r="D128" s="429" t="str">
        <f>TxPhase1Px</f>
        <v/>
      </c>
      <c r="E128" s="440">
        <f t="shared" ref="E128:J128" si="34">IF(TxPhase1&lt;&gt;"",E118*E121,0)</f>
        <v>0</v>
      </c>
      <c r="F128" s="440">
        <f t="shared" si="34"/>
        <v>0</v>
      </c>
      <c r="G128" s="440">
        <f t="shared" si="34"/>
        <v>0</v>
      </c>
      <c r="H128" s="440">
        <f t="shared" si="34"/>
        <v>0</v>
      </c>
      <c r="I128" s="440">
        <f t="shared" si="34"/>
        <v>0</v>
      </c>
      <c r="J128" s="440">
        <f t="shared" si="34"/>
        <v>0</v>
      </c>
      <c r="K128" s="615"/>
      <c r="L128" s="615"/>
      <c r="M128" s="615"/>
      <c r="N128" s="615"/>
      <c r="O128" s="615"/>
      <c r="P128" s="615"/>
      <c r="Q128" s="615"/>
      <c r="R128" s="162"/>
      <c r="S128" s="162"/>
    </row>
    <row r="129" spans="1:19" hidden="1" outlineLevel="1" x14ac:dyDescent="0.2">
      <c r="A129" s="162"/>
      <c r="B129" s="162"/>
      <c r="C129" s="162"/>
      <c r="D129" s="429" t="str">
        <f>TxPhase2Px</f>
        <v/>
      </c>
      <c r="E129" s="440">
        <f t="shared" ref="E129:J129" si="35">IF(TxPhase2&lt;&gt;"",IF($C126=1,E128,IF($C126=2,E118,0))*E124,0)</f>
        <v>0</v>
      </c>
      <c r="F129" s="440">
        <f t="shared" si="35"/>
        <v>0</v>
      </c>
      <c r="G129" s="440">
        <f t="shared" si="35"/>
        <v>0</v>
      </c>
      <c r="H129" s="440">
        <f t="shared" si="35"/>
        <v>0</v>
      </c>
      <c r="I129" s="440">
        <f t="shared" si="35"/>
        <v>0</v>
      </c>
      <c r="J129" s="440">
        <f t="shared" si="35"/>
        <v>0</v>
      </c>
      <c r="K129" s="615"/>
      <c r="L129" s="615"/>
      <c r="M129" s="615"/>
      <c r="N129" s="615"/>
      <c r="O129" s="615"/>
      <c r="P129" s="615"/>
      <c r="Q129" s="615"/>
      <c r="R129" s="162"/>
      <c r="S129" s="162"/>
    </row>
    <row r="130" spans="1:19" s="416" customFormat="1" hidden="1" outlineLevel="1" x14ac:dyDescent="0.2">
      <c r="A130" s="162"/>
      <c r="B130" s="162"/>
      <c r="C130" s="162"/>
      <c r="D130" s="417"/>
      <c r="E130" s="417"/>
      <c r="F130" s="162"/>
      <c r="G130" s="162"/>
      <c r="H130" s="162"/>
      <c r="I130" s="162"/>
      <c r="J130" s="162"/>
      <c r="K130" s="162"/>
      <c r="L130" s="162"/>
      <c r="M130" s="162"/>
      <c r="N130" s="638"/>
      <c r="O130" s="162"/>
      <c r="P130" s="641"/>
      <c r="Q130" s="641"/>
      <c r="R130" s="162"/>
      <c r="S130" s="162"/>
    </row>
    <row r="131" spans="1:19" s="416" customFormat="1" hidden="1" outlineLevel="1" x14ac:dyDescent="0.2">
      <c r="A131" s="162"/>
      <c r="B131" s="162"/>
      <c r="C131" s="475" t="str">
        <f>IF(E131&lt;&gt;"",E131,"")</f>
        <v/>
      </c>
      <c r="D131" s="89" t="s">
        <v>756</v>
      </c>
      <c r="E131" s="263"/>
      <c r="F131" s="162"/>
      <c r="G131" s="162"/>
      <c r="H131" s="162"/>
      <c r="I131" s="162"/>
      <c r="J131" s="162"/>
      <c r="K131" s="162"/>
      <c r="L131" s="162"/>
      <c r="M131" s="162"/>
      <c r="N131" s="638"/>
      <c r="O131" s="162"/>
      <c r="P131" s="641"/>
      <c r="Q131" s="641"/>
      <c r="R131" s="162"/>
      <c r="S131" s="162"/>
    </row>
    <row r="132" spans="1:19" hidden="1" outlineLevel="1" x14ac:dyDescent="0.2">
      <c r="A132" s="162"/>
      <c r="B132" s="162"/>
      <c r="C132" s="162"/>
      <c r="D132" s="162"/>
      <c r="E132" s="162"/>
      <c r="F132" s="162"/>
      <c r="G132" s="162"/>
      <c r="H132" s="162"/>
      <c r="I132" s="162"/>
      <c r="J132" s="162"/>
      <c r="K132" s="162"/>
      <c r="L132" s="162"/>
      <c r="M132" s="162"/>
      <c r="N132" s="638"/>
      <c r="O132" s="162"/>
      <c r="P132" s="641"/>
      <c r="Q132" s="641"/>
      <c r="R132" s="162"/>
      <c r="S132" s="162"/>
    </row>
    <row r="133" spans="1:19" collapsed="1" x14ac:dyDescent="0.2">
      <c r="A133" s="162"/>
      <c r="B133" s="162"/>
      <c r="C133" s="162"/>
      <c r="D133" s="162"/>
      <c r="E133" s="162"/>
      <c r="F133" s="162"/>
      <c r="G133" s="162"/>
      <c r="H133" s="162"/>
      <c r="I133" s="162"/>
      <c r="J133" s="162"/>
      <c r="K133" s="162"/>
      <c r="L133" s="162"/>
      <c r="M133" s="162"/>
      <c r="N133" s="162"/>
      <c r="O133" s="162"/>
      <c r="P133" s="639"/>
      <c r="Q133" s="640"/>
      <c r="R133" s="162"/>
      <c r="S133" s="162"/>
    </row>
    <row r="134" spans="1:19" ht="15.75" x14ac:dyDescent="0.2">
      <c r="A134" s="162"/>
      <c r="B134" s="162"/>
      <c r="C134" s="573">
        <v>4</v>
      </c>
      <c r="D134" s="79" t="str">
        <f>IF(E138&lt;&gt;"",CONCATENATE("Prevalent ",C134,": ",G138,L134),MsgNotUsed)</f>
        <v>** NOT USED **</v>
      </c>
      <c r="E134" s="132"/>
      <c r="F134" s="132"/>
      <c r="G134" s="132"/>
      <c r="H134" s="132"/>
      <c r="I134" s="134"/>
      <c r="J134" s="126"/>
      <c r="K134" s="133"/>
      <c r="L134" s="325" t="str">
        <f>IF(S138&lt;&gt;"",CONCATENATE(" (",S138,")"),"")</f>
        <v/>
      </c>
      <c r="M134" s="133"/>
      <c r="N134" s="133"/>
      <c r="O134" s="133"/>
      <c r="P134" s="133"/>
      <c r="Q134" s="133"/>
      <c r="R134" s="133"/>
      <c r="S134" s="133"/>
    </row>
    <row r="135" spans="1:19" hidden="1" outlineLevel="1" x14ac:dyDescent="0.2">
      <c r="A135" s="162"/>
      <c r="B135" s="162"/>
      <c r="C135" s="162"/>
      <c r="D135" s="616"/>
      <c r="E135" s="162"/>
      <c r="F135" s="162"/>
      <c r="G135" s="162"/>
      <c r="H135" s="162"/>
      <c r="I135" s="162"/>
      <c r="J135" s="162"/>
      <c r="K135" s="162"/>
      <c r="L135" s="162"/>
      <c r="M135" s="162"/>
      <c r="N135" s="162"/>
      <c r="O135" s="162"/>
      <c r="P135" s="162"/>
      <c r="Q135" s="162"/>
      <c r="R135" s="162"/>
      <c r="S135" s="162"/>
    </row>
    <row r="136" spans="1:19" hidden="1" outlineLevel="1" x14ac:dyDescent="0.2">
      <c r="A136" s="162"/>
      <c r="B136" s="162"/>
      <c r="C136" s="162"/>
      <c r="D136" s="162" t="s">
        <v>840</v>
      </c>
      <c r="E136" s="162"/>
      <c r="F136" s="162"/>
      <c r="G136" s="162"/>
      <c r="H136" s="162"/>
      <c r="I136" s="162"/>
      <c r="J136" s="162"/>
      <c r="K136" s="162"/>
      <c r="L136" s="162"/>
      <c r="M136" s="162"/>
      <c r="N136" s="162"/>
      <c r="O136" s="162"/>
      <c r="P136" s="162"/>
      <c r="Q136" s="162"/>
      <c r="R136" s="162"/>
      <c r="S136" s="641"/>
    </row>
    <row r="137" spans="1:19" hidden="1" outlineLevel="1" x14ac:dyDescent="0.2">
      <c r="A137" s="162"/>
      <c r="B137" s="162"/>
      <c r="C137" s="162"/>
      <c r="D137" s="616"/>
      <c r="E137" s="162"/>
      <c r="F137" s="162"/>
      <c r="G137" s="162"/>
      <c r="H137" s="162"/>
      <c r="I137" s="162"/>
      <c r="J137" s="162"/>
      <c r="K137" s="162"/>
      <c r="L137" s="162"/>
      <c r="M137" s="162"/>
      <c r="N137" s="162"/>
      <c r="O137" s="162"/>
      <c r="P137" s="162"/>
      <c r="Q137" s="162"/>
      <c r="R137" s="162"/>
      <c r="S137" s="36" t="s">
        <v>424</v>
      </c>
    </row>
    <row r="138" spans="1:19" hidden="1" outlineLevel="1" x14ac:dyDescent="0.2">
      <c r="A138" s="129"/>
      <c r="B138" s="475">
        <f>IF(E138&lt;&gt;"",MATCH(E138,EPISource,0)-1,0)</f>
        <v>0</v>
      </c>
      <c r="C138" s="475">
        <f ca="1">IF(G138&lt;&gt;"",MATCH(G138,OFFSET(References!$AE$7,0,B138,PxPopMaxCount),0),0)</f>
        <v>0</v>
      </c>
      <c r="D138" s="423" t="s">
        <v>113</v>
      </c>
      <c r="E138" s="438"/>
      <c r="F138" s="436"/>
      <c r="G138" s="812"/>
      <c r="H138" s="813"/>
      <c r="I138" s="813"/>
      <c r="J138" s="813"/>
      <c r="K138" s="162"/>
      <c r="L138" s="162"/>
      <c r="M138" s="162"/>
      <c r="N138" s="162"/>
      <c r="O138" s="162"/>
      <c r="P138" s="162"/>
      <c r="Q138" s="162"/>
      <c r="R138" s="162"/>
      <c r="S138" s="439"/>
    </row>
    <row r="139" spans="1:19" hidden="1" outlineLevel="1" x14ac:dyDescent="0.2">
      <c r="A139" s="129"/>
      <c r="B139" s="475">
        <f>INDEX(PxPopValid,,B138+1)</f>
        <v>0</v>
      </c>
      <c r="C139" s="475">
        <f ca="1">(B138*PxPopMaxCount)+C138</f>
        <v>0</v>
      </c>
      <c r="D139" s="162"/>
      <c r="E139" s="650">
        <v>1</v>
      </c>
      <c r="F139" s="650">
        <v>2</v>
      </c>
      <c r="G139" s="650">
        <v>3</v>
      </c>
      <c r="H139" s="650">
        <v>4</v>
      </c>
      <c r="I139" s="650">
        <v>5</v>
      </c>
      <c r="J139" s="650">
        <v>6</v>
      </c>
      <c r="K139" s="162"/>
      <c r="L139" s="162"/>
      <c r="M139" s="162"/>
      <c r="N139" s="162"/>
      <c r="O139" s="162"/>
      <c r="P139" s="162"/>
      <c r="Q139" s="162"/>
      <c r="R139" s="162"/>
      <c r="S139" s="162"/>
    </row>
    <row r="140" spans="1:19" hidden="1" outlineLevel="1" x14ac:dyDescent="0.2">
      <c r="A140" s="129"/>
      <c r="B140" s="129"/>
      <c r="C140" s="129"/>
      <c r="D140" s="616"/>
      <c r="E140" s="814" t="s">
        <v>10</v>
      </c>
      <c r="F140" s="814"/>
      <c r="G140" s="814"/>
      <c r="H140" s="814"/>
      <c r="I140" s="814"/>
      <c r="J140" s="814"/>
      <c r="K140" s="162"/>
      <c r="L140" s="162"/>
      <c r="M140" s="162"/>
      <c r="N140" s="162"/>
      <c r="O140" s="162"/>
      <c r="P140" s="162"/>
      <c r="Q140" s="162"/>
      <c r="R140" s="162"/>
      <c r="S140" s="636" t="str">
        <f ca="1">IF(ISERROR($C139)=TRUE,MsgError&amp;VLOOKUP("BadPop",ErrorMessages,2,FALSE),IF(RIGHT(G138,11)="(Incidence)",MsgError&amp;VLOOKUP("BadIncPop",ErrorMessages,2,FALSE),""))</f>
        <v/>
      </c>
    </row>
    <row r="141" spans="1:19" hidden="1" outlineLevel="1" x14ac:dyDescent="0.2">
      <c r="A141" s="129"/>
      <c r="B141" s="129"/>
      <c r="C141" s="129"/>
      <c r="D141" s="643"/>
      <c r="E141" s="431">
        <f>FirstYear</f>
        <v>2021</v>
      </c>
      <c r="F141" s="431">
        <f>E141+1</f>
        <v>2022</v>
      </c>
      <c r="G141" s="431">
        <f>F141+1</f>
        <v>2023</v>
      </c>
      <c r="H141" s="431">
        <f>G141+1</f>
        <v>2024</v>
      </c>
      <c r="I141" s="431">
        <f>H141+1</f>
        <v>2025</v>
      </c>
      <c r="J141" s="431">
        <f>I141+1</f>
        <v>2026</v>
      </c>
      <c r="K141" s="162"/>
      <c r="L141" s="162"/>
      <c r="M141" s="162"/>
      <c r="N141" s="162"/>
      <c r="O141" s="162"/>
      <c r="P141" s="162"/>
      <c r="Q141" s="162"/>
      <c r="R141" s="162"/>
      <c r="S141" s="162"/>
    </row>
    <row r="142" spans="1:19" hidden="1" outlineLevel="1" x14ac:dyDescent="0.2">
      <c r="A142" s="162"/>
      <c r="B142" s="162"/>
      <c r="C142" s="162"/>
      <c r="D142" s="721" t="s">
        <v>92</v>
      </c>
      <c r="E142" s="437">
        <f t="shared" ref="E142:J142" ca="1" si="36">IF(AND(ISERROR($C139)&lt;&gt;TRUE,$G138&lt;&gt;""),INDEX(PxPopNumbers,$C139,E139),0)</f>
        <v>0</v>
      </c>
      <c r="F142" s="437">
        <f t="shared" ca="1" si="36"/>
        <v>0</v>
      </c>
      <c r="G142" s="437">
        <f t="shared" ca="1" si="36"/>
        <v>0</v>
      </c>
      <c r="H142" s="437">
        <f t="shared" ca="1" si="36"/>
        <v>0</v>
      </c>
      <c r="I142" s="437">
        <f t="shared" ca="1" si="36"/>
        <v>0</v>
      </c>
      <c r="J142" s="437">
        <f t="shared" ca="1" si="36"/>
        <v>0</v>
      </c>
      <c r="K142" s="162"/>
      <c r="L142" s="162"/>
      <c r="M142" s="162"/>
      <c r="N142" s="162"/>
      <c r="O142" s="162"/>
      <c r="P142" s="162"/>
      <c r="Q142" s="162"/>
      <c r="R142" s="616"/>
      <c r="S142" s="162"/>
    </row>
    <row r="143" spans="1:19" hidden="1" outlineLevel="1" x14ac:dyDescent="0.2">
      <c r="A143" s="162"/>
      <c r="B143" s="162"/>
      <c r="C143" s="162"/>
      <c r="D143" s="162"/>
      <c r="E143" s="435"/>
      <c r="F143" s="435"/>
      <c r="G143" s="435"/>
      <c r="H143" s="435"/>
      <c r="I143" s="435"/>
      <c r="J143" s="435"/>
      <c r="K143" s="162"/>
      <c r="L143" s="162"/>
      <c r="M143" s="162"/>
      <c r="N143" s="162"/>
      <c r="O143" s="162"/>
      <c r="P143" s="162"/>
      <c r="Q143" s="162"/>
      <c r="R143" s="162"/>
      <c r="S143" s="162"/>
    </row>
    <row r="144" spans="1:19" hidden="1" outlineLevel="1" x14ac:dyDescent="0.2">
      <c r="A144" s="162"/>
      <c r="B144" s="162"/>
      <c r="C144" s="162"/>
      <c r="D144" s="720" t="s">
        <v>205</v>
      </c>
      <c r="E144" s="435"/>
      <c r="F144" s="435"/>
      <c r="G144" s="435"/>
      <c r="H144" s="435"/>
      <c r="I144" s="435"/>
      <c r="J144" s="435"/>
      <c r="K144" s="162"/>
      <c r="L144" s="162"/>
      <c r="M144" s="162"/>
      <c r="N144" s="162"/>
      <c r="O144" s="162"/>
      <c r="P144" s="162"/>
      <c r="Q144" s="162"/>
      <c r="R144" s="162"/>
      <c r="S144" s="36" t="s">
        <v>258</v>
      </c>
    </row>
    <row r="145" spans="1:19" hidden="1" outlineLevel="1" x14ac:dyDescent="0.2">
      <c r="A145" s="162"/>
      <c r="B145" s="162"/>
      <c r="C145" s="162"/>
      <c r="D145" s="432"/>
      <c r="E145" s="443"/>
      <c r="F145" s="443"/>
      <c r="G145" s="443"/>
      <c r="H145" s="443"/>
      <c r="I145" s="443"/>
      <c r="J145" s="443"/>
      <c r="K145" s="435"/>
      <c r="L145" s="425">
        <f t="shared" ref="L145:L153" si="37">IF(E145="",1,E145)</f>
        <v>1</v>
      </c>
      <c r="M145" s="425">
        <f t="shared" ref="M145:M154" si="38">IF(F145="",1,F145)</f>
        <v>1</v>
      </c>
      <c r="N145" s="425">
        <f t="shared" ref="N145:N154" si="39">IF(G145="",1,G145)</f>
        <v>1</v>
      </c>
      <c r="O145" s="425">
        <f t="shared" ref="O145:O154" si="40">IF(H145="",1,H145)</f>
        <v>1</v>
      </c>
      <c r="P145" s="425">
        <f t="shared" ref="P145:P154" si="41">IF(I145="",1,I145)</f>
        <v>1</v>
      </c>
      <c r="Q145" s="425">
        <f t="shared" ref="Q145:Q154" si="42">IF(J145="",1,J145)</f>
        <v>1</v>
      </c>
      <c r="R145" s="162"/>
      <c r="S145" s="432"/>
    </row>
    <row r="146" spans="1:19" hidden="1" outlineLevel="1" x14ac:dyDescent="0.2">
      <c r="A146" s="162"/>
      <c r="B146" s="162"/>
      <c r="C146" s="162"/>
      <c r="D146" s="432"/>
      <c r="E146" s="443"/>
      <c r="F146" s="443"/>
      <c r="G146" s="443"/>
      <c r="H146" s="443"/>
      <c r="I146" s="443"/>
      <c r="J146" s="443"/>
      <c r="K146" s="435"/>
      <c r="L146" s="425">
        <f t="shared" si="37"/>
        <v>1</v>
      </c>
      <c r="M146" s="425">
        <f t="shared" si="38"/>
        <v>1</v>
      </c>
      <c r="N146" s="425">
        <f t="shared" si="39"/>
        <v>1</v>
      </c>
      <c r="O146" s="425">
        <f t="shared" si="40"/>
        <v>1</v>
      </c>
      <c r="P146" s="425">
        <f t="shared" si="41"/>
        <v>1</v>
      </c>
      <c r="Q146" s="425">
        <f t="shared" si="42"/>
        <v>1</v>
      </c>
      <c r="R146" s="162"/>
      <c r="S146" s="432"/>
    </row>
    <row r="147" spans="1:19" hidden="1" outlineLevel="1" x14ac:dyDescent="0.2">
      <c r="A147" s="162"/>
      <c r="B147" s="162"/>
      <c r="C147" s="162"/>
      <c r="D147" s="432"/>
      <c r="E147" s="443"/>
      <c r="F147" s="443"/>
      <c r="G147" s="443"/>
      <c r="H147" s="443"/>
      <c r="I147" s="443"/>
      <c r="J147" s="443"/>
      <c r="K147" s="435"/>
      <c r="L147" s="425">
        <f t="shared" si="37"/>
        <v>1</v>
      </c>
      <c r="M147" s="425">
        <f t="shared" si="38"/>
        <v>1</v>
      </c>
      <c r="N147" s="425">
        <f t="shared" si="39"/>
        <v>1</v>
      </c>
      <c r="O147" s="425">
        <f t="shared" si="40"/>
        <v>1</v>
      </c>
      <c r="P147" s="425">
        <f t="shared" si="41"/>
        <v>1</v>
      </c>
      <c r="Q147" s="425">
        <f t="shared" si="42"/>
        <v>1</v>
      </c>
      <c r="R147" s="162"/>
      <c r="S147" s="432"/>
    </row>
    <row r="148" spans="1:19" hidden="1" outlineLevel="1" x14ac:dyDescent="0.2">
      <c r="A148" s="162"/>
      <c r="B148" s="162"/>
      <c r="C148" s="162"/>
      <c r="D148" s="432"/>
      <c r="E148" s="443"/>
      <c r="F148" s="443"/>
      <c r="G148" s="443"/>
      <c r="H148" s="443"/>
      <c r="I148" s="443"/>
      <c r="J148" s="443"/>
      <c r="K148" s="435"/>
      <c r="L148" s="425">
        <f t="shared" si="37"/>
        <v>1</v>
      </c>
      <c r="M148" s="425">
        <f t="shared" si="38"/>
        <v>1</v>
      </c>
      <c r="N148" s="425">
        <f t="shared" si="39"/>
        <v>1</v>
      </c>
      <c r="O148" s="425">
        <f t="shared" si="40"/>
        <v>1</v>
      </c>
      <c r="P148" s="425">
        <f t="shared" si="41"/>
        <v>1</v>
      </c>
      <c r="Q148" s="425">
        <f t="shared" si="42"/>
        <v>1</v>
      </c>
      <c r="R148" s="162"/>
      <c r="S148" s="432"/>
    </row>
    <row r="149" spans="1:19" hidden="1" outlineLevel="1" x14ac:dyDescent="0.2">
      <c r="A149" s="162"/>
      <c r="B149" s="162"/>
      <c r="C149" s="162"/>
      <c r="D149" s="432"/>
      <c r="E149" s="443"/>
      <c r="F149" s="443"/>
      <c r="G149" s="443"/>
      <c r="H149" s="443"/>
      <c r="I149" s="443"/>
      <c r="J149" s="443"/>
      <c r="K149" s="435"/>
      <c r="L149" s="425">
        <f t="shared" si="37"/>
        <v>1</v>
      </c>
      <c r="M149" s="425">
        <f t="shared" si="38"/>
        <v>1</v>
      </c>
      <c r="N149" s="425">
        <f t="shared" si="39"/>
        <v>1</v>
      </c>
      <c r="O149" s="425">
        <f t="shared" si="40"/>
        <v>1</v>
      </c>
      <c r="P149" s="425">
        <f t="shared" si="41"/>
        <v>1</v>
      </c>
      <c r="Q149" s="425">
        <f t="shared" si="42"/>
        <v>1</v>
      </c>
      <c r="R149" s="162"/>
      <c r="S149" s="432"/>
    </row>
    <row r="150" spans="1:19" hidden="1" outlineLevel="1" x14ac:dyDescent="0.2">
      <c r="A150" s="162"/>
      <c r="B150" s="162"/>
      <c r="C150" s="162"/>
      <c r="D150" s="432"/>
      <c r="E150" s="443"/>
      <c r="F150" s="443"/>
      <c r="G150" s="443"/>
      <c r="H150" s="443"/>
      <c r="I150" s="443"/>
      <c r="J150" s="443"/>
      <c r="K150" s="435"/>
      <c r="L150" s="425">
        <f t="shared" si="37"/>
        <v>1</v>
      </c>
      <c r="M150" s="425">
        <f t="shared" si="38"/>
        <v>1</v>
      </c>
      <c r="N150" s="425">
        <f t="shared" si="39"/>
        <v>1</v>
      </c>
      <c r="O150" s="425">
        <f t="shared" si="40"/>
        <v>1</v>
      </c>
      <c r="P150" s="425">
        <f t="shared" si="41"/>
        <v>1</v>
      </c>
      <c r="Q150" s="425">
        <f t="shared" si="42"/>
        <v>1</v>
      </c>
      <c r="R150" s="162"/>
      <c r="S150" s="432"/>
    </row>
    <row r="151" spans="1:19" hidden="1" outlineLevel="1" x14ac:dyDescent="0.2">
      <c r="A151" s="162"/>
      <c r="B151" s="162"/>
      <c r="C151" s="162"/>
      <c r="D151" s="432"/>
      <c r="E151" s="443"/>
      <c r="F151" s="443"/>
      <c r="G151" s="443"/>
      <c r="H151" s="443"/>
      <c r="I151" s="443"/>
      <c r="J151" s="443"/>
      <c r="K151" s="435"/>
      <c r="L151" s="425">
        <f t="shared" si="37"/>
        <v>1</v>
      </c>
      <c r="M151" s="425">
        <f t="shared" si="38"/>
        <v>1</v>
      </c>
      <c r="N151" s="425">
        <f t="shared" si="39"/>
        <v>1</v>
      </c>
      <c r="O151" s="425">
        <f t="shared" si="40"/>
        <v>1</v>
      </c>
      <c r="P151" s="425">
        <f t="shared" si="41"/>
        <v>1</v>
      </c>
      <c r="Q151" s="425">
        <f t="shared" si="42"/>
        <v>1</v>
      </c>
      <c r="R151" s="162"/>
      <c r="S151" s="432"/>
    </row>
    <row r="152" spans="1:19" hidden="1" outlineLevel="1" x14ac:dyDescent="0.2">
      <c r="A152" s="162"/>
      <c r="B152" s="162"/>
      <c r="C152" s="162"/>
      <c r="D152" s="432"/>
      <c r="E152" s="443"/>
      <c r="F152" s="443"/>
      <c r="G152" s="443"/>
      <c r="H152" s="443"/>
      <c r="I152" s="443"/>
      <c r="J152" s="443"/>
      <c r="K152" s="435"/>
      <c r="L152" s="425">
        <f t="shared" si="37"/>
        <v>1</v>
      </c>
      <c r="M152" s="425">
        <f t="shared" si="38"/>
        <v>1</v>
      </c>
      <c r="N152" s="425">
        <f t="shared" si="39"/>
        <v>1</v>
      </c>
      <c r="O152" s="425">
        <f t="shared" si="40"/>
        <v>1</v>
      </c>
      <c r="P152" s="425">
        <f t="shared" si="41"/>
        <v>1</v>
      </c>
      <c r="Q152" s="425">
        <f t="shared" si="42"/>
        <v>1</v>
      </c>
      <c r="R152" s="162"/>
      <c r="S152" s="432"/>
    </row>
    <row r="153" spans="1:19" hidden="1" outlineLevel="1" x14ac:dyDescent="0.2">
      <c r="A153" s="162"/>
      <c r="B153" s="162"/>
      <c r="C153" s="162"/>
      <c r="D153" s="432"/>
      <c r="E153" s="443"/>
      <c r="F153" s="443"/>
      <c r="G153" s="443"/>
      <c r="H153" s="443"/>
      <c r="I153" s="443"/>
      <c r="J153" s="443"/>
      <c r="K153" s="435"/>
      <c r="L153" s="425">
        <f t="shared" si="37"/>
        <v>1</v>
      </c>
      <c r="M153" s="425">
        <f t="shared" si="38"/>
        <v>1</v>
      </c>
      <c r="N153" s="425">
        <f t="shared" si="39"/>
        <v>1</v>
      </c>
      <c r="O153" s="425">
        <f t="shared" si="40"/>
        <v>1</v>
      </c>
      <c r="P153" s="425">
        <f t="shared" si="41"/>
        <v>1</v>
      </c>
      <c r="Q153" s="425">
        <f t="shared" si="42"/>
        <v>1</v>
      </c>
      <c r="R153" s="162"/>
      <c r="S153" s="432"/>
    </row>
    <row r="154" spans="1:19" hidden="1" outlineLevel="1" x14ac:dyDescent="0.2">
      <c r="A154" s="162"/>
      <c r="B154" s="162"/>
      <c r="C154" s="162"/>
      <c r="D154" s="432"/>
      <c r="E154" s="443"/>
      <c r="F154" s="443"/>
      <c r="G154" s="443"/>
      <c r="H154" s="443"/>
      <c r="I154" s="443"/>
      <c r="J154" s="443"/>
      <c r="K154" s="435"/>
      <c r="L154" s="425">
        <f>IF(E154="",1,E154)</f>
        <v>1</v>
      </c>
      <c r="M154" s="425">
        <f t="shared" si="38"/>
        <v>1</v>
      </c>
      <c r="N154" s="425">
        <f t="shared" si="39"/>
        <v>1</v>
      </c>
      <c r="O154" s="425">
        <f t="shared" si="40"/>
        <v>1</v>
      </c>
      <c r="P154" s="425">
        <f t="shared" si="41"/>
        <v>1</v>
      </c>
      <c r="Q154" s="425">
        <f t="shared" si="42"/>
        <v>1</v>
      </c>
      <c r="R154" s="162"/>
      <c r="S154" s="432"/>
    </row>
    <row r="155" spans="1:19" hidden="1" outlineLevel="1" x14ac:dyDescent="0.2">
      <c r="A155" s="162"/>
      <c r="B155" s="162"/>
      <c r="C155" s="162"/>
      <c r="D155" s="424" t="s">
        <v>213</v>
      </c>
      <c r="E155" s="444">
        <f t="shared" ref="E155:J155" si="43">L145*L146*L147*L148*L154*L149*L150*L151*L152*L153</f>
        <v>1</v>
      </c>
      <c r="F155" s="444">
        <f t="shared" si="43"/>
        <v>1</v>
      </c>
      <c r="G155" s="444">
        <f t="shared" si="43"/>
        <v>1</v>
      </c>
      <c r="H155" s="444">
        <f t="shared" si="43"/>
        <v>1</v>
      </c>
      <c r="I155" s="444">
        <f t="shared" si="43"/>
        <v>1</v>
      </c>
      <c r="J155" s="444">
        <f t="shared" si="43"/>
        <v>1</v>
      </c>
      <c r="K155" s="162"/>
      <c r="L155" s="162"/>
      <c r="M155" s="162"/>
      <c r="N155" s="638"/>
      <c r="O155" s="162"/>
      <c r="P155" s="162"/>
      <c r="Q155" s="162"/>
      <c r="R155" s="162"/>
      <c r="S155" s="162"/>
    </row>
    <row r="156" spans="1:19" hidden="1" outlineLevel="1" x14ac:dyDescent="0.2">
      <c r="A156" s="638"/>
      <c r="B156" s="638"/>
      <c r="C156" s="638"/>
      <c r="D156" s="419" t="s">
        <v>90</v>
      </c>
      <c r="E156" s="440">
        <f t="shared" ref="E156:J156" ca="1" si="44">IF(ISNUMBER(E142),E142*E155,"")</f>
        <v>0</v>
      </c>
      <c r="F156" s="440">
        <f t="shared" ca="1" si="44"/>
        <v>0</v>
      </c>
      <c r="G156" s="440">
        <f t="shared" ca="1" si="44"/>
        <v>0</v>
      </c>
      <c r="H156" s="440">
        <f t="shared" ca="1" si="44"/>
        <v>0</v>
      </c>
      <c r="I156" s="440">
        <f t="shared" ca="1" si="44"/>
        <v>0</v>
      </c>
      <c r="J156" s="440">
        <f t="shared" ca="1" si="44"/>
        <v>0</v>
      </c>
      <c r="K156" s="162"/>
      <c r="L156" s="638"/>
      <c r="M156" s="162"/>
      <c r="N156" s="162"/>
      <c r="O156" s="162"/>
      <c r="P156" s="162"/>
      <c r="Q156" s="162"/>
      <c r="R156" s="162"/>
      <c r="S156" s="162"/>
    </row>
    <row r="157" spans="1:19" hidden="1" outlineLevel="1" x14ac:dyDescent="0.2">
      <c r="A157" s="162"/>
      <c r="B157" s="162"/>
      <c r="C157" s="162"/>
      <c r="D157" s="435"/>
      <c r="E157" s="162"/>
      <c r="F157" s="162"/>
      <c r="G157" s="162"/>
      <c r="H157" s="162"/>
      <c r="I157" s="162"/>
      <c r="J157" s="162"/>
      <c r="K157" s="162"/>
      <c r="L157" s="162"/>
      <c r="M157" s="162"/>
      <c r="N157" s="162"/>
      <c r="O157" s="162"/>
      <c r="P157" s="641"/>
      <c r="Q157" s="641"/>
      <c r="R157" s="162"/>
      <c r="S157" s="162"/>
    </row>
    <row r="158" spans="1:19" hidden="1" outlineLevel="1" x14ac:dyDescent="0.2">
      <c r="A158" s="162"/>
      <c r="B158" s="162"/>
      <c r="C158" s="162"/>
      <c r="D158" s="429" t="str">
        <f>TxPhase1Tx</f>
        <v/>
      </c>
      <c r="E158" s="495"/>
      <c r="F158" s="162"/>
      <c r="G158" s="162"/>
      <c r="H158" s="162"/>
      <c r="I158" s="162"/>
      <c r="J158" s="162"/>
      <c r="K158" s="615"/>
      <c r="L158" s="615"/>
      <c r="M158" s="615"/>
      <c r="N158" s="615"/>
      <c r="O158" s="615"/>
      <c r="P158" s="615"/>
      <c r="Q158" s="615"/>
      <c r="R158" s="162"/>
      <c r="S158" s="36" t="s">
        <v>258</v>
      </c>
    </row>
    <row r="159" spans="1:19" hidden="1" outlineLevel="1" x14ac:dyDescent="0.2">
      <c r="A159" s="162"/>
      <c r="B159" s="162"/>
      <c r="C159" s="162"/>
      <c r="D159" s="423" t="s">
        <v>91</v>
      </c>
      <c r="E159" s="428"/>
      <c r="F159" s="428"/>
      <c r="G159" s="428"/>
      <c r="H159" s="428"/>
      <c r="I159" s="428"/>
      <c r="J159" s="428"/>
      <c r="K159" s="615"/>
      <c r="L159" s="615"/>
      <c r="M159" s="615"/>
      <c r="N159" s="615"/>
      <c r="O159" s="615"/>
      <c r="P159" s="615"/>
      <c r="Q159" s="615"/>
      <c r="R159" s="162"/>
      <c r="S159" s="426"/>
    </row>
    <row r="160" spans="1:19" hidden="1" outlineLevel="1" x14ac:dyDescent="0.2">
      <c r="A160" s="162"/>
      <c r="B160" s="162"/>
      <c r="C160" s="162"/>
      <c r="D160" s="435"/>
      <c r="E160" s="162"/>
      <c r="F160" s="162"/>
      <c r="G160" s="162"/>
      <c r="H160" s="162"/>
      <c r="I160" s="162"/>
      <c r="J160" s="162"/>
      <c r="K160" s="615"/>
      <c r="L160" s="615"/>
      <c r="M160" s="615"/>
      <c r="N160" s="615"/>
      <c r="O160" s="615"/>
      <c r="P160" s="615"/>
      <c r="Q160" s="615"/>
      <c r="R160" s="162"/>
      <c r="S160" s="435"/>
    </row>
    <row r="161" spans="1:19" hidden="1" outlineLevel="1" x14ac:dyDescent="0.2">
      <c r="A161" s="162"/>
      <c r="B161" s="162"/>
      <c r="C161" s="162"/>
      <c r="D161" s="433" t="str">
        <f>TXPhase2Tx</f>
        <v/>
      </c>
      <c r="E161" s="495"/>
      <c r="F161" s="162"/>
      <c r="G161" s="162"/>
      <c r="H161" s="162"/>
      <c r="I161" s="162"/>
      <c r="J161" s="162"/>
      <c r="K161" s="615"/>
      <c r="L161" s="615"/>
      <c r="M161" s="615"/>
      <c r="N161" s="615"/>
      <c r="O161" s="615"/>
      <c r="P161" s="615"/>
      <c r="Q161" s="615"/>
      <c r="R161" s="162"/>
      <c r="S161" s="422" t="s">
        <v>258</v>
      </c>
    </row>
    <row r="162" spans="1:19" hidden="1" outlineLevel="1" x14ac:dyDescent="0.2">
      <c r="A162" s="162"/>
      <c r="B162" s="162"/>
      <c r="C162" s="162"/>
      <c r="D162" s="433" t="str">
        <f>IF(D161&lt;&gt;"","Patients electing treatment (%)","")</f>
        <v/>
      </c>
      <c r="E162" s="428"/>
      <c r="F162" s="428"/>
      <c r="G162" s="428"/>
      <c r="H162" s="428"/>
      <c r="I162" s="428"/>
      <c r="J162" s="428"/>
      <c r="K162" s="615"/>
      <c r="L162" s="615"/>
      <c r="M162" s="615"/>
      <c r="N162" s="615"/>
      <c r="O162" s="615"/>
      <c r="P162" s="615"/>
      <c r="Q162" s="615"/>
      <c r="R162" s="162"/>
      <c r="S162" s="426"/>
    </row>
    <row r="163" spans="1:19" hidden="1" outlineLevel="1" x14ac:dyDescent="0.2">
      <c r="A163" s="162"/>
      <c r="B163" s="162"/>
      <c r="C163" s="162"/>
      <c r="D163" s="435"/>
      <c r="E163" s="435"/>
      <c r="F163" s="435"/>
      <c r="G163" s="435"/>
      <c r="H163" s="435"/>
      <c r="I163" s="435"/>
      <c r="J163" s="435"/>
      <c r="K163" s="615"/>
      <c r="L163" s="615"/>
      <c r="M163" s="615"/>
      <c r="N163" s="615"/>
      <c r="O163" s="615"/>
      <c r="P163" s="615"/>
      <c r="Q163" s="615"/>
      <c r="R163" s="162"/>
      <c r="S163" s="162"/>
    </row>
    <row r="164" spans="1:19" s="416" customFormat="1" hidden="1" outlineLevel="1" x14ac:dyDescent="0.2">
      <c r="A164" s="162"/>
      <c r="B164" s="162"/>
      <c r="C164" s="475">
        <f>IFERROR(VLOOKUP(E164,TxPhase2SourceCode,2,FALSE),0)</f>
        <v>1</v>
      </c>
      <c r="D164" s="429" t="s">
        <v>1165</v>
      </c>
      <c r="E164" s="263" t="s">
        <v>1166</v>
      </c>
      <c r="F164" s="435"/>
      <c r="G164" s="435"/>
      <c r="H164" s="435"/>
      <c r="I164" s="435"/>
      <c r="J164" s="435"/>
      <c r="K164" s="615"/>
      <c r="L164" s="615"/>
      <c r="M164" s="615"/>
      <c r="N164" s="615"/>
      <c r="O164" s="615"/>
      <c r="P164" s="615"/>
      <c r="Q164" s="615"/>
      <c r="R164" s="162"/>
      <c r="S164" s="162"/>
    </row>
    <row r="165" spans="1:19" s="416" customFormat="1" hidden="1" outlineLevel="1" x14ac:dyDescent="0.2">
      <c r="A165" s="162"/>
      <c r="B165" s="162"/>
      <c r="C165" s="162"/>
      <c r="D165" s="435"/>
      <c r="E165" s="435"/>
      <c r="F165" s="435"/>
      <c r="G165" s="435"/>
      <c r="H165" s="435"/>
      <c r="I165" s="435"/>
      <c r="J165" s="435"/>
      <c r="K165" s="615"/>
      <c r="L165" s="615"/>
      <c r="M165" s="615"/>
      <c r="N165" s="615"/>
      <c r="O165" s="615"/>
      <c r="P165" s="615"/>
      <c r="Q165" s="615"/>
      <c r="R165" s="162"/>
      <c r="S165" s="162"/>
    </row>
    <row r="166" spans="1:19" hidden="1" outlineLevel="1" x14ac:dyDescent="0.2">
      <c r="A166" s="162"/>
      <c r="B166" s="162"/>
      <c r="C166" s="162"/>
      <c r="D166" s="429" t="str">
        <f>TxPhase1Px</f>
        <v/>
      </c>
      <c r="E166" s="440">
        <f t="shared" ref="E166:J166" si="45">IF(TxPhase1&lt;&gt;"",E156*E159,0)</f>
        <v>0</v>
      </c>
      <c r="F166" s="440">
        <f t="shared" si="45"/>
        <v>0</v>
      </c>
      <c r="G166" s="440">
        <f t="shared" si="45"/>
        <v>0</v>
      </c>
      <c r="H166" s="440">
        <f t="shared" si="45"/>
        <v>0</v>
      </c>
      <c r="I166" s="440">
        <f t="shared" si="45"/>
        <v>0</v>
      </c>
      <c r="J166" s="440">
        <f t="shared" si="45"/>
        <v>0</v>
      </c>
      <c r="K166" s="615"/>
      <c r="L166" s="615"/>
      <c r="M166" s="615"/>
      <c r="N166" s="615"/>
      <c r="O166" s="615"/>
      <c r="P166" s="615"/>
      <c r="Q166" s="615"/>
      <c r="R166" s="162"/>
      <c r="S166" s="162"/>
    </row>
    <row r="167" spans="1:19" hidden="1" outlineLevel="1" x14ac:dyDescent="0.2">
      <c r="A167" s="162"/>
      <c r="B167" s="162"/>
      <c r="C167" s="162"/>
      <c r="D167" s="429" t="str">
        <f>TxPhase2Px</f>
        <v/>
      </c>
      <c r="E167" s="440">
        <f t="shared" ref="E167:J167" si="46">IF(TxPhase2&lt;&gt;"",IF($C164=1,E166,IF($C164=2,E156,0))*E162,0)</f>
        <v>0</v>
      </c>
      <c r="F167" s="440">
        <f t="shared" si="46"/>
        <v>0</v>
      </c>
      <c r="G167" s="440">
        <f t="shared" si="46"/>
        <v>0</v>
      </c>
      <c r="H167" s="440">
        <f t="shared" si="46"/>
        <v>0</v>
      </c>
      <c r="I167" s="440">
        <f t="shared" si="46"/>
        <v>0</v>
      </c>
      <c r="J167" s="440">
        <f t="shared" si="46"/>
        <v>0</v>
      </c>
      <c r="K167" s="615"/>
      <c r="L167" s="615"/>
      <c r="M167" s="615"/>
      <c r="N167" s="615"/>
      <c r="O167" s="615"/>
      <c r="P167" s="615"/>
      <c r="Q167" s="615"/>
      <c r="R167" s="162"/>
      <c r="S167" s="162"/>
    </row>
    <row r="168" spans="1:19" s="416" customFormat="1" hidden="1" outlineLevel="1" x14ac:dyDescent="0.2">
      <c r="A168" s="162"/>
      <c r="B168" s="162"/>
      <c r="C168" s="162"/>
      <c r="D168" s="417"/>
      <c r="E168" s="417"/>
      <c r="F168" s="162"/>
      <c r="G168" s="162"/>
      <c r="H168" s="162"/>
      <c r="I168" s="162"/>
      <c r="J168" s="162"/>
      <c r="K168" s="162"/>
      <c r="L168" s="162"/>
      <c r="M168" s="162"/>
      <c r="N168" s="638"/>
      <c r="O168" s="162"/>
      <c r="P168" s="641"/>
      <c r="Q168" s="641"/>
      <c r="R168" s="162"/>
      <c r="S168" s="162"/>
    </row>
    <row r="169" spans="1:19" s="416" customFormat="1" hidden="1" outlineLevel="1" x14ac:dyDescent="0.2">
      <c r="A169" s="162"/>
      <c r="B169" s="162"/>
      <c r="C169" s="475" t="str">
        <f>IF(E169&lt;&gt;"",E169,"")</f>
        <v/>
      </c>
      <c r="D169" s="89" t="s">
        <v>756</v>
      </c>
      <c r="E169" s="263"/>
      <c r="F169" s="162"/>
      <c r="G169" s="162"/>
      <c r="H169" s="162"/>
      <c r="I169" s="162"/>
      <c r="J169" s="162"/>
      <c r="K169" s="162"/>
      <c r="L169" s="162"/>
      <c r="M169" s="162"/>
      <c r="N169" s="638"/>
      <c r="O169" s="162"/>
      <c r="P169" s="641"/>
      <c r="Q169" s="641"/>
      <c r="R169" s="162"/>
      <c r="S169" s="162"/>
    </row>
    <row r="170" spans="1:19" hidden="1" outlineLevel="1" x14ac:dyDescent="0.2">
      <c r="A170" s="162"/>
      <c r="B170" s="162"/>
      <c r="C170" s="162"/>
      <c r="D170" s="162"/>
      <c r="E170" s="162"/>
      <c r="F170" s="162"/>
      <c r="G170" s="162"/>
      <c r="H170" s="162"/>
      <c r="I170" s="162"/>
      <c r="J170" s="162"/>
      <c r="K170" s="162"/>
      <c r="L170" s="162"/>
      <c r="M170" s="162"/>
      <c r="N170" s="638"/>
      <c r="O170" s="162"/>
      <c r="P170" s="641"/>
      <c r="Q170" s="641"/>
      <c r="R170" s="162"/>
      <c r="S170" s="162"/>
    </row>
    <row r="171" spans="1:19" collapsed="1" x14ac:dyDescent="0.2">
      <c r="A171" s="162"/>
      <c r="B171" s="162"/>
      <c r="C171" s="162"/>
      <c r="D171" s="162"/>
      <c r="E171" s="162"/>
      <c r="F171" s="162"/>
      <c r="G171" s="162"/>
      <c r="H171" s="162"/>
      <c r="I171" s="162"/>
      <c r="J171" s="162"/>
      <c r="K171" s="162"/>
      <c r="L171" s="162"/>
      <c r="M171" s="162"/>
      <c r="N171" s="162"/>
      <c r="O171" s="162"/>
      <c r="P171" s="639"/>
      <c r="Q171" s="640"/>
      <c r="R171" s="162"/>
      <c r="S171" s="162"/>
    </row>
    <row r="172" spans="1:19" ht="15.75" x14ac:dyDescent="0.2">
      <c r="A172" s="162"/>
      <c r="B172" s="162"/>
      <c r="C172" s="573">
        <v>5</v>
      </c>
      <c r="D172" s="79" t="str">
        <f>IF(E176&lt;&gt;"",CONCATENATE("Prevalent ",C172,": ",G176,L172),MsgNotUsed)</f>
        <v>** NOT USED **</v>
      </c>
      <c r="E172" s="132"/>
      <c r="F172" s="132"/>
      <c r="G172" s="132"/>
      <c r="H172" s="132"/>
      <c r="I172" s="134"/>
      <c r="J172" s="126"/>
      <c r="K172" s="133"/>
      <c r="L172" s="325" t="str">
        <f>IF(S176&lt;&gt;"",CONCATENATE(" (",S176,")"),"")</f>
        <v/>
      </c>
      <c r="M172" s="133"/>
      <c r="N172" s="133"/>
      <c r="O172" s="133"/>
      <c r="P172" s="133"/>
      <c r="Q172" s="133"/>
      <c r="R172" s="133"/>
      <c r="S172" s="133"/>
    </row>
    <row r="173" spans="1:19" hidden="1" outlineLevel="1" x14ac:dyDescent="0.2">
      <c r="A173" s="162"/>
      <c r="B173" s="162"/>
      <c r="C173" s="162"/>
      <c r="D173" s="616"/>
      <c r="E173" s="162"/>
      <c r="F173" s="162"/>
      <c r="G173" s="162"/>
      <c r="H173" s="162"/>
      <c r="I173" s="162"/>
      <c r="J173" s="162"/>
      <c r="K173" s="162"/>
      <c r="L173" s="162"/>
      <c r="M173" s="162"/>
      <c r="N173" s="162"/>
      <c r="O173" s="162"/>
      <c r="P173" s="162"/>
      <c r="Q173" s="162"/>
      <c r="R173" s="162"/>
      <c r="S173" s="162"/>
    </row>
    <row r="174" spans="1:19" hidden="1" outlineLevel="1" x14ac:dyDescent="0.2">
      <c r="A174" s="162"/>
      <c r="B174" s="162"/>
      <c r="C174" s="162"/>
      <c r="D174" s="162" t="s">
        <v>840</v>
      </c>
      <c r="E174" s="162"/>
      <c r="F174" s="162"/>
      <c r="G174" s="162"/>
      <c r="H174" s="162"/>
      <c r="I174" s="162"/>
      <c r="J174" s="162"/>
      <c r="K174" s="162"/>
      <c r="L174" s="162"/>
      <c r="M174" s="162"/>
      <c r="N174" s="162"/>
      <c r="O174" s="162"/>
      <c r="P174" s="162"/>
      <c r="Q174" s="162"/>
      <c r="R174" s="162"/>
      <c r="S174" s="641"/>
    </row>
    <row r="175" spans="1:19" hidden="1" outlineLevel="1" x14ac:dyDescent="0.2">
      <c r="A175" s="162"/>
      <c r="B175" s="162"/>
      <c r="C175" s="162"/>
      <c r="D175" s="616"/>
      <c r="E175" s="162"/>
      <c r="F175" s="162"/>
      <c r="G175" s="162"/>
      <c r="H175" s="162"/>
      <c r="I175" s="162"/>
      <c r="J175" s="162"/>
      <c r="K175" s="162"/>
      <c r="L175" s="162"/>
      <c r="M175" s="162"/>
      <c r="N175" s="162"/>
      <c r="O175" s="162"/>
      <c r="P175" s="162"/>
      <c r="Q175" s="162"/>
      <c r="R175" s="162"/>
      <c r="S175" s="36" t="s">
        <v>424</v>
      </c>
    </row>
    <row r="176" spans="1:19" hidden="1" outlineLevel="1" x14ac:dyDescent="0.2">
      <c r="A176" s="129"/>
      <c r="B176" s="475">
        <f>IF(E176&lt;&gt;"",MATCH(E176,EPISource,0)-1,0)</f>
        <v>0</v>
      </c>
      <c r="C176" s="475">
        <f ca="1">IF(G176&lt;&gt;"",MATCH(G176,OFFSET(References!$AE$7,0,B176,PxPopMaxCount),0),0)</f>
        <v>0</v>
      </c>
      <c r="D176" s="423" t="s">
        <v>113</v>
      </c>
      <c r="E176" s="438"/>
      <c r="F176" s="436"/>
      <c r="G176" s="812"/>
      <c r="H176" s="813"/>
      <c r="I176" s="813"/>
      <c r="J176" s="813"/>
      <c r="K176" s="162"/>
      <c r="L176" s="162"/>
      <c r="M176" s="162"/>
      <c r="N176" s="162"/>
      <c r="O176" s="162"/>
      <c r="P176" s="162"/>
      <c r="Q176" s="162"/>
      <c r="R176" s="162"/>
      <c r="S176" s="439"/>
    </row>
    <row r="177" spans="1:19" hidden="1" outlineLevel="1" x14ac:dyDescent="0.2">
      <c r="A177" s="129"/>
      <c r="B177" s="475">
        <f>INDEX(PxPopValid,,B176+1)</f>
        <v>0</v>
      </c>
      <c r="C177" s="475">
        <f ca="1">(B176*PxPopMaxCount)+C176</f>
        <v>0</v>
      </c>
      <c r="D177" s="162"/>
      <c r="E177" s="650">
        <v>1</v>
      </c>
      <c r="F177" s="650">
        <v>2</v>
      </c>
      <c r="G177" s="650">
        <v>3</v>
      </c>
      <c r="H177" s="650">
        <v>4</v>
      </c>
      <c r="I177" s="650">
        <v>5</v>
      </c>
      <c r="J177" s="650">
        <v>6</v>
      </c>
      <c r="K177" s="162"/>
      <c r="L177" s="162"/>
      <c r="M177" s="162"/>
      <c r="N177" s="162"/>
      <c r="O177" s="162"/>
      <c r="P177" s="162"/>
      <c r="Q177" s="162"/>
      <c r="R177" s="162"/>
      <c r="S177" s="162"/>
    </row>
    <row r="178" spans="1:19" hidden="1" outlineLevel="1" x14ac:dyDescent="0.2">
      <c r="A178" s="129"/>
      <c r="B178" s="129"/>
      <c r="C178" s="129"/>
      <c r="D178" s="616"/>
      <c r="E178" s="814" t="s">
        <v>10</v>
      </c>
      <c r="F178" s="814"/>
      <c r="G178" s="814"/>
      <c r="H178" s="814"/>
      <c r="I178" s="814"/>
      <c r="J178" s="814"/>
      <c r="K178" s="162"/>
      <c r="L178" s="162"/>
      <c r="M178" s="162"/>
      <c r="N178" s="162"/>
      <c r="O178" s="162"/>
      <c r="P178" s="162"/>
      <c r="Q178" s="162"/>
      <c r="R178" s="162"/>
      <c r="S178" s="636" t="str">
        <f ca="1">IF(ISERROR($C177)=TRUE,MsgError&amp;VLOOKUP("BadPop",ErrorMessages,2,FALSE),IF(RIGHT(G176,11)="(Incidence)",MsgError&amp;VLOOKUP("BadIncPop",ErrorMessages,2,FALSE),""))</f>
        <v/>
      </c>
    </row>
    <row r="179" spans="1:19" hidden="1" outlineLevel="1" x14ac:dyDescent="0.2">
      <c r="A179" s="129"/>
      <c r="B179" s="129"/>
      <c r="C179" s="129"/>
      <c r="D179" s="643"/>
      <c r="E179" s="431">
        <f>FirstYear</f>
        <v>2021</v>
      </c>
      <c r="F179" s="431">
        <f>E179+1</f>
        <v>2022</v>
      </c>
      <c r="G179" s="431">
        <f>F179+1</f>
        <v>2023</v>
      </c>
      <c r="H179" s="431">
        <f>G179+1</f>
        <v>2024</v>
      </c>
      <c r="I179" s="431">
        <f>H179+1</f>
        <v>2025</v>
      </c>
      <c r="J179" s="431">
        <f>I179+1</f>
        <v>2026</v>
      </c>
      <c r="K179" s="162"/>
      <c r="L179" s="162"/>
      <c r="M179" s="162"/>
      <c r="N179" s="162"/>
      <c r="O179" s="162"/>
      <c r="P179" s="162"/>
      <c r="Q179" s="162"/>
      <c r="R179" s="162"/>
      <c r="S179" s="162"/>
    </row>
    <row r="180" spans="1:19" hidden="1" outlineLevel="1" x14ac:dyDescent="0.2">
      <c r="A180" s="162"/>
      <c r="B180" s="162"/>
      <c r="C180" s="162"/>
      <c r="D180" s="721" t="s">
        <v>92</v>
      </c>
      <c r="E180" s="437">
        <f t="shared" ref="E180:J180" ca="1" si="47">IF(AND(ISERROR($C177)&lt;&gt;TRUE,$G176&lt;&gt;""),INDEX(PxPopNumbers,$C177,E177),0)</f>
        <v>0</v>
      </c>
      <c r="F180" s="437">
        <f t="shared" ca="1" si="47"/>
        <v>0</v>
      </c>
      <c r="G180" s="437">
        <f t="shared" ca="1" si="47"/>
        <v>0</v>
      </c>
      <c r="H180" s="437">
        <f t="shared" ca="1" si="47"/>
        <v>0</v>
      </c>
      <c r="I180" s="437">
        <f t="shared" ca="1" si="47"/>
        <v>0</v>
      </c>
      <c r="J180" s="437">
        <f t="shared" ca="1" si="47"/>
        <v>0</v>
      </c>
      <c r="K180" s="162"/>
      <c r="L180" s="162"/>
      <c r="M180" s="162"/>
      <c r="N180" s="162"/>
      <c r="O180" s="162"/>
      <c r="P180" s="162"/>
      <c r="Q180" s="162"/>
      <c r="R180" s="616"/>
      <c r="S180" s="162"/>
    </row>
    <row r="181" spans="1:19" hidden="1" outlineLevel="1" x14ac:dyDescent="0.2">
      <c r="A181" s="162"/>
      <c r="B181" s="162"/>
      <c r="C181" s="162"/>
      <c r="D181" s="162"/>
      <c r="E181" s="435"/>
      <c r="F181" s="435"/>
      <c r="G181" s="435"/>
      <c r="H181" s="435"/>
      <c r="I181" s="435"/>
      <c r="J181" s="435"/>
      <c r="K181" s="162"/>
      <c r="L181" s="162"/>
      <c r="M181" s="162"/>
      <c r="N181" s="162"/>
      <c r="O181" s="162"/>
      <c r="P181" s="162"/>
      <c r="Q181" s="162"/>
      <c r="R181" s="162"/>
      <c r="S181" s="162"/>
    </row>
    <row r="182" spans="1:19" hidden="1" outlineLevel="1" x14ac:dyDescent="0.2">
      <c r="A182" s="162"/>
      <c r="B182" s="162"/>
      <c r="C182" s="162"/>
      <c r="D182" s="720" t="s">
        <v>205</v>
      </c>
      <c r="E182" s="435"/>
      <c r="F182" s="435"/>
      <c r="G182" s="435"/>
      <c r="H182" s="435"/>
      <c r="I182" s="435"/>
      <c r="J182" s="435"/>
      <c r="K182" s="162"/>
      <c r="L182" s="162"/>
      <c r="M182" s="162"/>
      <c r="N182" s="162"/>
      <c r="O182" s="162"/>
      <c r="P182" s="162"/>
      <c r="Q182" s="162"/>
      <c r="R182" s="162"/>
      <c r="S182" s="36" t="s">
        <v>258</v>
      </c>
    </row>
    <row r="183" spans="1:19" hidden="1" outlineLevel="1" x14ac:dyDescent="0.2">
      <c r="A183" s="162"/>
      <c r="B183" s="162"/>
      <c r="C183" s="162"/>
      <c r="D183" s="432"/>
      <c r="E183" s="443"/>
      <c r="F183" s="443"/>
      <c r="G183" s="443"/>
      <c r="H183" s="443"/>
      <c r="I183" s="443"/>
      <c r="J183" s="443"/>
      <c r="K183" s="435"/>
      <c r="L183" s="425">
        <f t="shared" ref="L183:L191" si="48">IF(E183="",1,E183)</f>
        <v>1</v>
      </c>
      <c r="M183" s="425">
        <f t="shared" ref="M183:M192" si="49">IF(F183="",1,F183)</f>
        <v>1</v>
      </c>
      <c r="N183" s="425">
        <f t="shared" ref="N183:N192" si="50">IF(G183="",1,G183)</f>
        <v>1</v>
      </c>
      <c r="O183" s="425">
        <f t="shared" ref="O183:O192" si="51">IF(H183="",1,H183)</f>
        <v>1</v>
      </c>
      <c r="P183" s="425">
        <f t="shared" ref="P183:P192" si="52">IF(I183="",1,I183)</f>
        <v>1</v>
      </c>
      <c r="Q183" s="425">
        <f t="shared" ref="Q183:Q192" si="53">IF(J183="",1,J183)</f>
        <v>1</v>
      </c>
      <c r="R183" s="162"/>
      <c r="S183" s="432"/>
    </row>
    <row r="184" spans="1:19" hidden="1" outlineLevel="1" x14ac:dyDescent="0.2">
      <c r="A184" s="162"/>
      <c r="B184" s="162"/>
      <c r="C184" s="162"/>
      <c r="D184" s="432"/>
      <c r="E184" s="443"/>
      <c r="F184" s="443"/>
      <c r="G184" s="443"/>
      <c r="H184" s="443"/>
      <c r="I184" s="443"/>
      <c r="J184" s="443"/>
      <c r="K184" s="435"/>
      <c r="L184" s="425">
        <f t="shared" si="48"/>
        <v>1</v>
      </c>
      <c r="M184" s="425">
        <f t="shared" si="49"/>
        <v>1</v>
      </c>
      <c r="N184" s="425">
        <f t="shared" si="50"/>
        <v>1</v>
      </c>
      <c r="O184" s="425">
        <f t="shared" si="51"/>
        <v>1</v>
      </c>
      <c r="P184" s="425">
        <f t="shared" si="52"/>
        <v>1</v>
      </c>
      <c r="Q184" s="425">
        <f t="shared" si="53"/>
        <v>1</v>
      </c>
      <c r="R184" s="162"/>
      <c r="S184" s="432"/>
    </row>
    <row r="185" spans="1:19" hidden="1" outlineLevel="1" x14ac:dyDescent="0.2">
      <c r="A185" s="162"/>
      <c r="B185" s="162"/>
      <c r="C185" s="162"/>
      <c r="D185" s="432"/>
      <c r="E185" s="443"/>
      <c r="F185" s="443"/>
      <c r="G185" s="443"/>
      <c r="H185" s="443"/>
      <c r="I185" s="443"/>
      <c r="J185" s="443"/>
      <c r="K185" s="435"/>
      <c r="L185" s="425">
        <f t="shared" si="48"/>
        <v>1</v>
      </c>
      <c r="M185" s="425">
        <f t="shared" si="49"/>
        <v>1</v>
      </c>
      <c r="N185" s="425">
        <f t="shared" si="50"/>
        <v>1</v>
      </c>
      <c r="O185" s="425">
        <f t="shared" si="51"/>
        <v>1</v>
      </c>
      <c r="P185" s="425">
        <f t="shared" si="52"/>
        <v>1</v>
      </c>
      <c r="Q185" s="425">
        <f t="shared" si="53"/>
        <v>1</v>
      </c>
      <c r="R185" s="162"/>
      <c r="S185" s="432"/>
    </row>
    <row r="186" spans="1:19" hidden="1" outlineLevel="1" x14ac:dyDescent="0.2">
      <c r="A186" s="162"/>
      <c r="B186" s="162"/>
      <c r="C186" s="162"/>
      <c r="D186" s="432"/>
      <c r="E186" s="443"/>
      <c r="F186" s="443"/>
      <c r="G186" s="443"/>
      <c r="H186" s="443"/>
      <c r="I186" s="443"/>
      <c r="J186" s="443"/>
      <c r="K186" s="435"/>
      <c r="L186" s="425">
        <f t="shared" si="48"/>
        <v>1</v>
      </c>
      <c r="M186" s="425">
        <f t="shared" si="49"/>
        <v>1</v>
      </c>
      <c r="N186" s="425">
        <f t="shared" si="50"/>
        <v>1</v>
      </c>
      <c r="O186" s="425">
        <f t="shared" si="51"/>
        <v>1</v>
      </c>
      <c r="P186" s="425">
        <f t="shared" si="52"/>
        <v>1</v>
      </c>
      <c r="Q186" s="425">
        <f t="shared" si="53"/>
        <v>1</v>
      </c>
      <c r="R186" s="162"/>
      <c r="S186" s="432"/>
    </row>
    <row r="187" spans="1:19" hidden="1" outlineLevel="1" x14ac:dyDescent="0.2">
      <c r="A187" s="162"/>
      <c r="B187" s="162"/>
      <c r="C187" s="162"/>
      <c r="D187" s="432"/>
      <c r="E187" s="443"/>
      <c r="F187" s="443"/>
      <c r="G187" s="443"/>
      <c r="H187" s="443"/>
      <c r="I187" s="443"/>
      <c r="J187" s="443"/>
      <c r="K187" s="435"/>
      <c r="L187" s="425">
        <f t="shared" si="48"/>
        <v>1</v>
      </c>
      <c r="M187" s="425">
        <f t="shared" si="49"/>
        <v>1</v>
      </c>
      <c r="N187" s="425">
        <f t="shared" si="50"/>
        <v>1</v>
      </c>
      <c r="O187" s="425">
        <f t="shared" si="51"/>
        <v>1</v>
      </c>
      <c r="P187" s="425">
        <f t="shared" si="52"/>
        <v>1</v>
      </c>
      <c r="Q187" s="425">
        <f t="shared" si="53"/>
        <v>1</v>
      </c>
      <c r="R187" s="162"/>
      <c r="S187" s="432"/>
    </row>
    <row r="188" spans="1:19" hidden="1" outlineLevel="1" x14ac:dyDescent="0.2">
      <c r="A188" s="162"/>
      <c r="B188" s="162"/>
      <c r="C188" s="162"/>
      <c r="D188" s="432"/>
      <c r="E188" s="443"/>
      <c r="F188" s="443"/>
      <c r="G188" s="443"/>
      <c r="H188" s="443"/>
      <c r="I188" s="443"/>
      <c r="J188" s="443"/>
      <c r="K188" s="435"/>
      <c r="L188" s="425">
        <f t="shared" si="48"/>
        <v>1</v>
      </c>
      <c r="M188" s="425">
        <f t="shared" si="49"/>
        <v>1</v>
      </c>
      <c r="N188" s="425">
        <f t="shared" si="50"/>
        <v>1</v>
      </c>
      <c r="O188" s="425">
        <f t="shared" si="51"/>
        <v>1</v>
      </c>
      <c r="P188" s="425">
        <f t="shared" si="52"/>
        <v>1</v>
      </c>
      <c r="Q188" s="425">
        <f t="shared" si="53"/>
        <v>1</v>
      </c>
      <c r="R188" s="162"/>
      <c r="S188" s="432"/>
    </row>
    <row r="189" spans="1:19" hidden="1" outlineLevel="1" x14ac:dyDescent="0.2">
      <c r="A189" s="162"/>
      <c r="B189" s="162"/>
      <c r="C189" s="162"/>
      <c r="D189" s="432"/>
      <c r="E189" s="443"/>
      <c r="F189" s="443"/>
      <c r="G189" s="443"/>
      <c r="H189" s="443"/>
      <c r="I189" s="443"/>
      <c r="J189" s="443"/>
      <c r="K189" s="435"/>
      <c r="L189" s="425">
        <f t="shared" si="48"/>
        <v>1</v>
      </c>
      <c r="M189" s="425">
        <f t="shared" si="49"/>
        <v>1</v>
      </c>
      <c r="N189" s="425">
        <f t="shared" si="50"/>
        <v>1</v>
      </c>
      <c r="O189" s="425">
        <f t="shared" si="51"/>
        <v>1</v>
      </c>
      <c r="P189" s="425">
        <f t="shared" si="52"/>
        <v>1</v>
      </c>
      <c r="Q189" s="425">
        <f t="shared" si="53"/>
        <v>1</v>
      </c>
      <c r="R189" s="162"/>
      <c r="S189" s="432"/>
    </row>
    <row r="190" spans="1:19" hidden="1" outlineLevel="1" x14ac:dyDescent="0.2">
      <c r="A190" s="162"/>
      <c r="B190" s="162"/>
      <c r="C190" s="162"/>
      <c r="D190" s="432"/>
      <c r="E190" s="443"/>
      <c r="F190" s="443"/>
      <c r="G190" s="443"/>
      <c r="H190" s="443"/>
      <c r="I190" s="443"/>
      <c r="J190" s="443"/>
      <c r="K190" s="435"/>
      <c r="L190" s="425">
        <f t="shared" si="48"/>
        <v>1</v>
      </c>
      <c r="M190" s="425">
        <f t="shared" si="49"/>
        <v>1</v>
      </c>
      <c r="N190" s="425">
        <f t="shared" si="50"/>
        <v>1</v>
      </c>
      <c r="O190" s="425">
        <f t="shared" si="51"/>
        <v>1</v>
      </c>
      <c r="P190" s="425">
        <f t="shared" si="52"/>
        <v>1</v>
      </c>
      <c r="Q190" s="425">
        <f t="shared" si="53"/>
        <v>1</v>
      </c>
      <c r="R190" s="162"/>
      <c r="S190" s="432"/>
    </row>
    <row r="191" spans="1:19" hidden="1" outlineLevel="1" x14ac:dyDescent="0.2">
      <c r="A191" s="162"/>
      <c r="B191" s="162"/>
      <c r="C191" s="162"/>
      <c r="D191" s="432"/>
      <c r="E191" s="443"/>
      <c r="F191" s="443"/>
      <c r="G191" s="443"/>
      <c r="H191" s="443"/>
      <c r="I191" s="443"/>
      <c r="J191" s="443"/>
      <c r="K191" s="435"/>
      <c r="L191" s="425">
        <f t="shared" si="48"/>
        <v>1</v>
      </c>
      <c r="M191" s="425">
        <f t="shared" si="49"/>
        <v>1</v>
      </c>
      <c r="N191" s="425">
        <f t="shared" si="50"/>
        <v>1</v>
      </c>
      <c r="O191" s="425">
        <f t="shared" si="51"/>
        <v>1</v>
      </c>
      <c r="P191" s="425">
        <f t="shared" si="52"/>
        <v>1</v>
      </c>
      <c r="Q191" s="425">
        <f t="shared" si="53"/>
        <v>1</v>
      </c>
      <c r="R191" s="162"/>
      <c r="S191" s="432"/>
    </row>
    <row r="192" spans="1:19" hidden="1" outlineLevel="1" x14ac:dyDescent="0.2">
      <c r="A192" s="162"/>
      <c r="B192" s="162"/>
      <c r="C192" s="162"/>
      <c r="D192" s="432"/>
      <c r="E192" s="443"/>
      <c r="F192" s="443"/>
      <c r="G192" s="443"/>
      <c r="H192" s="443"/>
      <c r="I192" s="443"/>
      <c r="J192" s="443"/>
      <c r="K192" s="435"/>
      <c r="L192" s="425">
        <f>IF(E192="",1,E192)</f>
        <v>1</v>
      </c>
      <c r="M192" s="425">
        <f t="shared" si="49"/>
        <v>1</v>
      </c>
      <c r="N192" s="425">
        <f t="shared" si="50"/>
        <v>1</v>
      </c>
      <c r="O192" s="425">
        <f t="shared" si="51"/>
        <v>1</v>
      </c>
      <c r="P192" s="425">
        <f t="shared" si="52"/>
        <v>1</v>
      </c>
      <c r="Q192" s="425">
        <f t="shared" si="53"/>
        <v>1</v>
      </c>
      <c r="R192" s="162"/>
      <c r="S192" s="432"/>
    </row>
    <row r="193" spans="1:19" hidden="1" outlineLevel="1" x14ac:dyDescent="0.2">
      <c r="A193" s="162"/>
      <c r="B193" s="162"/>
      <c r="C193" s="162"/>
      <c r="D193" s="424" t="s">
        <v>213</v>
      </c>
      <c r="E193" s="444">
        <f t="shared" ref="E193:J193" si="54">L183*L184*L185*L186*L192*L187*L188*L189*L190*L191</f>
        <v>1</v>
      </c>
      <c r="F193" s="444">
        <f t="shared" si="54"/>
        <v>1</v>
      </c>
      <c r="G193" s="444">
        <f t="shared" si="54"/>
        <v>1</v>
      </c>
      <c r="H193" s="444">
        <f t="shared" si="54"/>
        <v>1</v>
      </c>
      <c r="I193" s="444">
        <f t="shared" si="54"/>
        <v>1</v>
      </c>
      <c r="J193" s="444">
        <f t="shared" si="54"/>
        <v>1</v>
      </c>
      <c r="K193" s="162"/>
      <c r="L193" s="162"/>
      <c r="M193" s="162"/>
      <c r="N193" s="638"/>
      <c r="O193" s="162"/>
      <c r="P193" s="162"/>
      <c r="Q193" s="162"/>
      <c r="R193" s="162"/>
      <c r="S193" s="162"/>
    </row>
    <row r="194" spans="1:19" hidden="1" outlineLevel="1" x14ac:dyDescent="0.2">
      <c r="A194" s="638"/>
      <c r="B194" s="638"/>
      <c r="C194" s="638"/>
      <c r="D194" s="419" t="s">
        <v>90</v>
      </c>
      <c r="E194" s="440">
        <f t="shared" ref="E194:J194" ca="1" si="55">IF(ISNUMBER(E180),E180*E193,"")</f>
        <v>0</v>
      </c>
      <c r="F194" s="440">
        <f t="shared" ca="1" si="55"/>
        <v>0</v>
      </c>
      <c r="G194" s="440">
        <f t="shared" ca="1" si="55"/>
        <v>0</v>
      </c>
      <c r="H194" s="440">
        <f t="shared" ca="1" si="55"/>
        <v>0</v>
      </c>
      <c r="I194" s="440">
        <f t="shared" ca="1" si="55"/>
        <v>0</v>
      </c>
      <c r="J194" s="440">
        <f t="shared" ca="1" si="55"/>
        <v>0</v>
      </c>
      <c r="K194" s="162"/>
      <c r="L194" s="638"/>
      <c r="M194" s="162"/>
      <c r="N194" s="162"/>
      <c r="O194" s="162"/>
      <c r="P194" s="162"/>
      <c r="Q194" s="162"/>
      <c r="R194" s="162"/>
      <c r="S194" s="162"/>
    </row>
    <row r="195" spans="1:19" hidden="1" outlineLevel="1" x14ac:dyDescent="0.2">
      <c r="A195" s="162"/>
      <c r="B195" s="162"/>
      <c r="C195" s="162"/>
      <c r="D195" s="435"/>
      <c r="E195" s="162"/>
      <c r="F195" s="162"/>
      <c r="G195" s="162"/>
      <c r="H195" s="162"/>
      <c r="I195" s="162"/>
      <c r="J195" s="162"/>
      <c r="K195" s="162"/>
      <c r="L195" s="162"/>
      <c r="M195" s="162"/>
      <c r="N195" s="162"/>
      <c r="O195" s="162"/>
      <c r="P195" s="641"/>
      <c r="Q195" s="641"/>
      <c r="R195" s="162"/>
      <c r="S195" s="162"/>
    </row>
    <row r="196" spans="1:19" hidden="1" outlineLevel="1" x14ac:dyDescent="0.2">
      <c r="A196" s="162"/>
      <c r="B196" s="162"/>
      <c r="C196" s="162"/>
      <c r="D196" s="429" t="str">
        <f>TxPhase1Tx</f>
        <v/>
      </c>
      <c r="E196" s="495"/>
      <c r="F196" s="162"/>
      <c r="G196" s="162"/>
      <c r="H196" s="162"/>
      <c r="I196" s="162"/>
      <c r="J196" s="162"/>
      <c r="K196" s="615"/>
      <c r="L196" s="615"/>
      <c r="M196" s="615"/>
      <c r="N196" s="615"/>
      <c r="O196" s="615"/>
      <c r="P196" s="615"/>
      <c r="Q196" s="615"/>
      <c r="R196" s="162"/>
      <c r="S196" s="36" t="s">
        <v>258</v>
      </c>
    </row>
    <row r="197" spans="1:19" hidden="1" outlineLevel="1" x14ac:dyDescent="0.2">
      <c r="A197" s="162"/>
      <c r="B197" s="162"/>
      <c r="C197" s="162"/>
      <c r="D197" s="423" t="s">
        <v>91</v>
      </c>
      <c r="E197" s="428"/>
      <c r="F197" s="428"/>
      <c r="G197" s="428"/>
      <c r="H197" s="428"/>
      <c r="I197" s="428"/>
      <c r="J197" s="428"/>
      <c r="K197" s="615"/>
      <c r="L197" s="615"/>
      <c r="M197" s="615"/>
      <c r="N197" s="615"/>
      <c r="O197" s="615"/>
      <c r="P197" s="615"/>
      <c r="Q197" s="615"/>
      <c r="R197" s="162"/>
      <c r="S197" s="426"/>
    </row>
    <row r="198" spans="1:19" hidden="1" outlineLevel="1" x14ac:dyDescent="0.2">
      <c r="A198" s="162"/>
      <c r="B198" s="162"/>
      <c r="C198" s="162"/>
      <c r="D198" s="435"/>
      <c r="E198" s="162"/>
      <c r="F198" s="162"/>
      <c r="G198" s="162"/>
      <c r="H198" s="162"/>
      <c r="I198" s="162"/>
      <c r="J198" s="162"/>
      <c r="K198" s="615"/>
      <c r="L198" s="615"/>
      <c r="M198" s="615"/>
      <c r="N198" s="615"/>
      <c r="O198" s="615"/>
      <c r="P198" s="615"/>
      <c r="Q198" s="615"/>
      <c r="R198" s="162"/>
      <c r="S198" s="435"/>
    </row>
    <row r="199" spans="1:19" hidden="1" outlineLevel="1" x14ac:dyDescent="0.2">
      <c r="A199" s="162"/>
      <c r="B199" s="162"/>
      <c r="C199" s="162"/>
      <c r="D199" s="433" t="str">
        <f>TXPhase2Tx</f>
        <v/>
      </c>
      <c r="E199" s="495"/>
      <c r="F199" s="162"/>
      <c r="G199" s="162"/>
      <c r="H199" s="162"/>
      <c r="I199" s="162"/>
      <c r="J199" s="162"/>
      <c r="K199" s="615"/>
      <c r="L199" s="615"/>
      <c r="M199" s="615"/>
      <c r="N199" s="615"/>
      <c r="O199" s="615"/>
      <c r="P199" s="615"/>
      <c r="Q199" s="615"/>
      <c r="R199" s="162"/>
      <c r="S199" s="422" t="s">
        <v>258</v>
      </c>
    </row>
    <row r="200" spans="1:19" hidden="1" outlineLevel="1" x14ac:dyDescent="0.2">
      <c r="A200" s="162"/>
      <c r="B200" s="162"/>
      <c r="C200" s="162"/>
      <c r="D200" s="433" t="str">
        <f>IF(D199&lt;&gt;"","Patients electing treatment (%)","")</f>
        <v/>
      </c>
      <c r="E200" s="428"/>
      <c r="F200" s="428"/>
      <c r="G200" s="428"/>
      <c r="H200" s="428"/>
      <c r="I200" s="428"/>
      <c r="J200" s="428"/>
      <c r="K200" s="615"/>
      <c r="L200" s="615"/>
      <c r="M200" s="615"/>
      <c r="N200" s="615"/>
      <c r="O200" s="615"/>
      <c r="P200" s="615"/>
      <c r="Q200" s="615"/>
      <c r="R200" s="162"/>
      <c r="S200" s="426"/>
    </row>
    <row r="201" spans="1:19" hidden="1" outlineLevel="1" x14ac:dyDescent="0.2">
      <c r="A201" s="162"/>
      <c r="B201" s="162"/>
      <c r="C201" s="162"/>
      <c r="D201" s="435"/>
      <c r="E201" s="435"/>
      <c r="F201" s="435"/>
      <c r="G201" s="435"/>
      <c r="H201" s="435"/>
      <c r="I201" s="435"/>
      <c r="J201" s="435"/>
      <c r="K201" s="615"/>
      <c r="L201" s="615"/>
      <c r="M201" s="615"/>
      <c r="N201" s="615"/>
      <c r="O201" s="615"/>
      <c r="P201" s="615"/>
      <c r="Q201" s="615"/>
      <c r="R201" s="162"/>
      <c r="S201" s="162"/>
    </row>
    <row r="202" spans="1:19" s="416" customFormat="1" hidden="1" outlineLevel="1" x14ac:dyDescent="0.2">
      <c r="A202" s="162"/>
      <c r="B202" s="162"/>
      <c r="C202" s="475">
        <f>IFERROR(VLOOKUP(E202,TxPhase2SourceCode,2,FALSE),0)</f>
        <v>1</v>
      </c>
      <c r="D202" s="429" t="s">
        <v>1165</v>
      </c>
      <c r="E202" s="263" t="s">
        <v>1166</v>
      </c>
      <c r="F202" s="435"/>
      <c r="G202" s="435"/>
      <c r="H202" s="435"/>
      <c r="I202" s="435"/>
      <c r="J202" s="435"/>
      <c r="K202" s="615"/>
      <c r="L202" s="615"/>
      <c r="M202" s="615"/>
      <c r="N202" s="615"/>
      <c r="O202" s="615"/>
      <c r="P202" s="615"/>
      <c r="Q202" s="615"/>
      <c r="R202" s="162"/>
      <c r="S202" s="162"/>
    </row>
    <row r="203" spans="1:19" s="416" customFormat="1" hidden="1" outlineLevel="1" x14ac:dyDescent="0.2">
      <c r="A203" s="162"/>
      <c r="B203" s="162"/>
      <c r="C203" s="162"/>
      <c r="D203" s="435"/>
      <c r="E203" s="435"/>
      <c r="F203" s="435"/>
      <c r="G203" s="435"/>
      <c r="H203" s="435"/>
      <c r="I203" s="435"/>
      <c r="J203" s="435"/>
      <c r="K203" s="615"/>
      <c r="L203" s="615"/>
      <c r="M203" s="615"/>
      <c r="N203" s="615"/>
      <c r="O203" s="615"/>
      <c r="P203" s="615"/>
      <c r="Q203" s="615"/>
      <c r="R203" s="162"/>
      <c r="S203" s="162"/>
    </row>
    <row r="204" spans="1:19" hidden="1" outlineLevel="1" x14ac:dyDescent="0.2">
      <c r="A204" s="162"/>
      <c r="B204" s="162"/>
      <c r="C204" s="162"/>
      <c r="D204" s="429" t="str">
        <f>TxPhase1Px</f>
        <v/>
      </c>
      <c r="E204" s="440">
        <f t="shared" ref="E204:J204" si="56">IF(TxPhase1&lt;&gt;"",E194*E197,0)</f>
        <v>0</v>
      </c>
      <c r="F204" s="440">
        <f t="shared" si="56"/>
        <v>0</v>
      </c>
      <c r="G204" s="440">
        <f t="shared" si="56"/>
        <v>0</v>
      </c>
      <c r="H204" s="440">
        <f t="shared" si="56"/>
        <v>0</v>
      </c>
      <c r="I204" s="440">
        <f t="shared" si="56"/>
        <v>0</v>
      </c>
      <c r="J204" s="440">
        <f t="shared" si="56"/>
        <v>0</v>
      </c>
      <c r="K204" s="615"/>
      <c r="L204" s="615"/>
      <c r="M204" s="615"/>
      <c r="N204" s="615"/>
      <c r="O204" s="615"/>
      <c r="P204" s="615"/>
      <c r="Q204" s="615"/>
      <c r="R204" s="162"/>
      <c r="S204" s="162"/>
    </row>
    <row r="205" spans="1:19" hidden="1" outlineLevel="1" x14ac:dyDescent="0.2">
      <c r="A205" s="162"/>
      <c r="B205" s="162"/>
      <c r="C205" s="162"/>
      <c r="D205" s="429" t="str">
        <f>TxPhase2Px</f>
        <v/>
      </c>
      <c r="E205" s="440">
        <f t="shared" ref="E205:J205" si="57">IF(TxPhase2&lt;&gt;"",IF($C202=1,E204,IF($C202=2,E194,0))*E200,0)</f>
        <v>0</v>
      </c>
      <c r="F205" s="440">
        <f t="shared" si="57"/>
        <v>0</v>
      </c>
      <c r="G205" s="440">
        <f t="shared" si="57"/>
        <v>0</v>
      </c>
      <c r="H205" s="440">
        <f t="shared" si="57"/>
        <v>0</v>
      </c>
      <c r="I205" s="440">
        <f t="shared" si="57"/>
        <v>0</v>
      </c>
      <c r="J205" s="440">
        <f t="shared" si="57"/>
        <v>0</v>
      </c>
      <c r="K205" s="615"/>
      <c r="L205" s="615"/>
      <c r="M205" s="615"/>
      <c r="N205" s="615"/>
      <c r="O205" s="615"/>
      <c r="P205" s="615"/>
      <c r="Q205" s="615"/>
      <c r="R205" s="162"/>
      <c r="S205" s="162"/>
    </row>
    <row r="206" spans="1:19" s="416" customFormat="1" hidden="1" outlineLevel="1" x14ac:dyDescent="0.2">
      <c r="A206" s="162"/>
      <c r="B206" s="162"/>
      <c r="C206" s="162"/>
      <c r="D206" s="417"/>
      <c r="E206" s="417"/>
      <c r="F206" s="162"/>
      <c r="G206" s="162"/>
      <c r="H206" s="162"/>
      <c r="I206" s="162"/>
      <c r="J206" s="162"/>
      <c r="K206" s="162"/>
      <c r="L206" s="162"/>
      <c r="M206" s="162"/>
      <c r="N206" s="638"/>
      <c r="O206" s="162"/>
      <c r="P206" s="641"/>
      <c r="Q206" s="641"/>
      <c r="R206" s="162"/>
      <c r="S206" s="162"/>
    </row>
    <row r="207" spans="1:19" s="416" customFormat="1" hidden="1" outlineLevel="1" x14ac:dyDescent="0.2">
      <c r="A207" s="162"/>
      <c r="B207" s="162"/>
      <c r="C207" s="475" t="str">
        <f>IF(E207&lt;&gt;"",E207,"")</f>
        <v/>
      </c>
      <c r="D207" s="89" t="s">
        <v>756</v>
      </c>
      <c r="E207" s="263"/>
      <c r="F207" s="162"/>
      <c r="G207" s="162"/>
      <c r="H207" s="162"/>
      <c r="I207" s="162"/>
      <c r="J207" s="162"/>
      <c r="K207" s="162"/>
      <c r="L207" s="162"/>
      <c r="M207" s="162"/>
      <c r="N207" s="638"/>
      <c r="O207" s="162"/>
      <c r="P207" s="641"/>
      <c r="Q207" s="641"/>
      <c r="R207" s="162"/>
      <c r="S207" s="162"/>
    </row>
    <row r="208" spans="1:19" hidden="1" outlineLevel="1" x14ac:dyDescent="0.2">
      <c r="A208" s="162"/>
      <c r="B208" s="162"/>
      <c r="C208" s="162"/>
      <c r="D208" s="162"/>
      <c r="E208" s="162"/>
      <c r="F208" s="162"/>
      <c r="G208" s="162"/>
      <c r="H208" s="162"/>
      <c r="I208" s="162"/>
      <c r="J208" s="162"/>
      <c r="K208" s="162"/>
      <c r="L208" s="162"/>
      <c r="M208" s="162"/>
      <c r="N208" s="638"/>
      <c r="O208" s="162"/>
      <c r="P208" s="641"/>
      <c r="Q208" s="641"/>
      <c r="R208" s="162"/>
      <c r="S208" s="162"/>
    </row>
    <row r="209" spans="1:19" collapsed="1" x14ac:dyDescent="0.2">
      <c r="A209" s="162"/>
      <c r="B209" s="162"/>
      <c r="C209" s="162"/>
      <c r="D209" s="162"/>
      <c r="E209" s="162"/>
      <c r="F209" s="162"/>
      <c r="G209" s="162"/>
      <c r="H209" s="162"/>
      <c r="I209" s="162"/>
      <c r="J209" s="162"/>
      <c r="K209" s="162"/>
      <c r="L209" s="162"/>
      <c r="M209" s="162"/>
      <c r="N209" s="162"/>
      <c r="O209" s="162"/>
      <c r="P209" s="639"/>
      <c r="Q209" s="640"/>
      <c r="R209" s="162"/>
      <c r="S209" s="162"/>
    </row>
    <row r="210" spans="1:19" ht="15.75" x14ac:dyDescent="0.2">
      <c r="A210" s="162"/>
      <c r="B210" s="162"/>
      <c r="C210" s="573">
        <v>6</v>
      </c>
      <c r="D210" s="79" t="str">
        <f>IF(E214&lt;&gt;"",CONCATENATE("Prevalent ",C210,": ",G214,L210),MsgNotUsed)</f>
        <v>** NOT USED **</v>
      </c>
      <c r="E210" s="132"/>
      <c r="F210" s="132"/>
      <c r="G210" s="132"/>
      <c r="H210" s="132"/>
      <c r="I210" s="134"/>
      <c r="J210" s="126"/>
      <c r="K210" s="133"/>
      <c r="L210" s="325" t="str">
        <f>IF(S214&lt;&gt;"",CONCATENATE(" (",S214,")"),"")</f>
        <v/>
      </c>
      <c r="M210" s="133"/>
      <c r="N210" s="133"/>
      <c r="O210" s="133"/>
      <c r="P210" s="133"/>
      <c r="Q210" s="133"/>
      <c r="R210" s="133"/>
      <c r="S210" s="133"/>
    </row>
    <row r="211" spans="1:19" hidden="1" outlineLevel="1" x14ac:dyDescent="0.2">
      <c r="A211" s="162"/>
      <c r="B211" s="162"/>
      <c r="C211" s="162"/>
      <c r="D211" s="616"/>
      <c r="E211" s="162"/>
      <c r="F211" s="162"/>
      <c r="G211" s="162"/>
      <c r="H211" s="162"/>
      <c r="I211" s="162"/>
      <c r="J211" s="162"/>
      <c r="K211" s="162"/>
      <c r="L211" s="162"/>
      <c r="M211" s="162"/>
      <c r="N211" s="162"/>
      <c r="O211" s="162"/>
      <c r="P211" s="162"/>
      <c r="Q211" s="162"/>
      <c r="R211" s="162"/>
      <c r="S211" s="162"/>
    </row>
    <row r="212" spans="1:19" hidden="1" outlineLevel="1" x14ac:dyDescent="0.2">
      <c r="A212" s="162"/>
      <c r="B212" s="162"/>
      <c r="C212" s="162"/>
      <c r="D212" s="162" t="s">
        <v>840</v>
      </c>
      <c r="E212" s="162"/>
      <c r="F212" s="162"/>
      <c r="G212" s="162"/>
      <c r="H212" s="162"/>
      <c r="I212" s="162"/>
      <c r="J212" s="162"/>
      <c r="K212" s="162"/>
      <c r="L212" s="162"/>
      <c r="M212" s="162"/>
      <c r="N212" s="162"/>
      <c r="O212" s="162"/>
      <c r="P212" s="162"/>
      <c r="Q212" s="162"/>
      <c r="R212" s="162"/>
      <c r="S212" s="641"/>
    </row>
    <row r="213" spans="1:19" hidden="1" outlineLevel="1" x14ac:dyDescent="0.2">
      <c r="A213" s="162"/>
      <c r="B213" s="162"/>
      <c r="C213" s="162"/>
      <c r="D213" s="616"/>
      <c r="E213" s="162"/>
      <c r="F213" s="162"/>
      <c r="G213" s="162"/>
      <c r="H213" s="162"/>
      <c r="I213" s="162"/>
      <c r="J213" s="162"/>
      <c r="K213" s="162"/>
      <c r="L213" s="162"/>
      <c r="M213" s="162"/>
      <c r="N213" s="162"/>
      <c r="O213" s="162"/>
      <c r="P213" s="162"/>
      <c r="Q213" s="162"/>
      <c r="R213" s="162"/>
      <c r="S213" s="36" t="s">
        <v>424</v>
      </c>
    </row>
    <row r="214" spans="1:19" hidden="1" outlineLevel="1" x14ac:dyDescent="0.2">
      <c r="A214" s="129"/>
      <c r="B214" s="475">
        <f>IF(E214&lt;&gt;"",MATCH(E214,EPISource,0)-1,0)</f>
        <v>0</v>
      </c>
      <c r="C214" s="475">
        <f ca="1">IF(G214&lt;&gt;"",MATCH(G214,OFFSET(References!$AE$7,0,B214,PxPopMaxCount),0),0)</f>
        <v>0</v>
      </c>
      <c r="D214" s="423" t="s">
        <v>113</v>
      </c>
      <c r="E214" s="438"/>
      <c r="F214" s="436"/>
      <c r="G214" s="812"/>
      <c r="H214" s="813"/>
      <c r="I214" s="813"/>
      <c r="J214" s="813"/>
      <c r="K214" s="162"/>
      <c r="L214" s="162"/>
      <c r="M214" s="162"/>
      <c r="N214" s="162"/>
      <c r="O214" s="162"/>
      <c r="P214" s="162"/>
      <c r="Q214" s="162"/>
      <c r="R214" s="162"/>
      <c r="S214" s="439"/>
    </row>
    <row r="215" spans="1:19" hidden="1" outlineLevel="1" x14ac:dyDescent="0.2">
      <c r="A215" s="129"/>
      <c r="B215" s="475">
        <f>INDEX(PxPopValid,,B214+1)</f>
        <v>0</v>
      </c>
      <c r="C215" s="475">
        <f ca="1">(B214*PxPopMaxCount)+C214</f>
        <v>0</v>
      </c>
      <c r="D215" s="162"/>
      <c r="E215" s="650">
        <v>1</v>
      </c>
      <c r="F215" s="650">
        <v>2</v>
      </c>
      <c r="G215" s="650">
        <v>3</v>
      </c>
      <c r="H215" s="650">
        <v>4</v>
      </c>
      <c r="I215" s="650">
        <v>5</v>
      </c>
      <c r="J215" s="650">
        <v>6</v>
      </c>
      <c r="K215" s="162"/>
      <c r="L215" s="162"/>
      <c r="M215" s="162"/>
      <c r="N215" s="162"/>
      <c r="O215" s="162"/>
      <c r="P215" s="162"/>
      <c r="Q215" s="162"/>
      <c r="R215" s="162"/>
      <c r="S215" s="162"/>
    </row>
    <row r="216" spans="1:19" hidden="1" outlineLevel="1" x14ac:dyDescent="0.2">
      <c r="A216" s="129"/>
      <c r="B216" s="129"/>
      <c r="C216" s="129"/>
      <c r="D216" s="616"/>
      <c r="E216" s="814" t="s">
        <v>10</v>
      </c>
      <c r="F216" s="814"/>
      <c r="G216" s="814"/>
      <c r="H216" s="814"/>
      <c r="I216" s="814"/>
      <c r="J216" s="814"/>
      <c r="K216" s="162"/>
      <c r="L216" s="162"/>
      <c r="M216" s="162"/>
      <c r="N216" s="162"/>
      <c r="O216" s="162"/>
      <c r="P216" s="162"/>
      <c r="Q216" s="162"/>
      <c r="R216" s="162"/>
      <c r="S216" s="636" t="str">
        <f ca="1">IF(ISERROR($C215)=TRUE,MsgError&amp;VLOOKUP("BadPop",ErrorMessages,2,FALSE),IF(RIGHT(G214,11)="(Incidence)",MsgError&amp;VLOOKUP("BadIncPop",ErrorMessages,2,FALSE),""))</f>
        <v/>
      </c>
    </row>
    <row r="217" spans="1:19" hidden="1" outlineLevel="1" x14ac:dyDescent="0.2">
      <c r="A217" s="129"/>
      <c r="B217" s="129"/>
      <c r="C217" s="129"/>
      <c r="D217" s="643"/>
      <c r="E217" s="431">
        <f>FirstYear</f>
        <v>2021</v>
      </c>
      <c r="F217" s="431">
        <f>E217+1</f>
        <v>2022</v>
      </c>
      <c r="G217" s="431">
        <f>F217+1</f>
        <v>2023</v>
      </c>
      <c r="H217" s="431">
        <f>G217+1</f>
        <v>2024</v>
      </c>
      <c r="I217" s="431">
        <f>H217+1</f>
        <v>2025</v>
      </c>
      <c r="J217" s="431">
        <f>I217+1</f>
        <v>2026</v>
      </c>
      <c r="K217" s="162"/>
      <c r="L217" s="162"/>
      <c r="M217" s="162"/>
      <c r="N217" s="162"/>
      <c r="O217" s="162"/>
      <c r="P217" s="162"/>
      <c r="Q217" s="162"/>
      <c r="R217" s="162"/>
      <c r="S217" s="162"/>
    </row>
    <row r="218" spans="1:19" hidden="1" outlineLevel="1" x14ac:dyDescent="0.2">
      <c r="A218" s="162"/>
      <c r="B218" s="162"/>
      <c r="C218" s="162"/>
      <c r="D218" s="721" t="s">
        <v>92</v>
      </c>
      <c r="E218" s="437">
        <f t="shared" ref="E218:J218" ca="1" si="58">IF(AND(ISERROR($C215)&lt;&gt;TRUE,$G214&lt;&gt;""),INDEX(PxPopNumbers,$C215,E215),0)</f>
        <v>0</v>
      </c>
      <c r="F218" s="437">
        <f t="shared" ca="1" si="58"/>
        <v>0</v>
      </c>
      <c r="G218" s="437">
        <f t="shared" ca="1" si="58"/>
        <v>0</v>
      </c>
      <c r="H218" s="437">
        <f t="shared" ca="1" si="58"/>
        <v>0</v>
      </c>
      <c r="I218" s="437">
        <f t="shared" ca="1" si="58"/>
        <v>0</v>
      </c>
      <c r="J218" s="437">
        <f t="shared" ca="1" si="58"/>
        <v>0</v>
      </c>
      <c r="K218" s="162"/>
      <c r="L218" s="162"/>
      <c r="M218" s="162"/>
      <c r="N218" s="162"/>
      <c r="O218" s="162"/>
      <c r="P218" s="162"/>
      <c r="Q218" s="162"/>
      <c r="R218" s="616"/>
      <c r="S218" s="162"/>
    </row>
    <row r="219" spans="1:19" hidden="1" outlineLevel="1" x14ac:dyDescent="0.2">
      <c r="A219" s="162"/>
      <c r="B219" s="162"/>
      <c r="C219" s="162"/>
      <c r="D219" s="162"/>
      <c r="E219" s="435"/>
      <c r="F219" s="435"/>
      <c r="G219" s="435"/>
      <c r="H219" s="435"/>
      <c r="I219" s="435"/>
      <c r="J219" s="435"/>
      <c r="K219" s="162"/>
      <c r="L219" s="162"/>
      <c r="M219" s="162"/>
      <c r="N219" s="162"/>
      <c r="O219" s="162"/>
      <c r="P219" s="162"/>
      <c r="Q219" s="162"/>
      <c r="R219" s="162"/>
      <c r="S219" s="162"/>
    </row>
    <row r="220" spans="1:19" hidden="1" outlineLevel="1" x14ac:dyDescent="0.2">
      <c r="A220" s="162"/>
      <c r="B220" s="162"/>
      <c r="C220" s="162"/>
      <c r="D220" s="720" t="s">
        <v>205</v>
      </c>
      <c r="E220" s="435"/>
      <c r="F220" s="435"/>
      <c r="G220" s="435"/>
      <c r="H220" s="435"/>
      <c r="I220" s="435"/>
      <c r="J220" s="435"/>
      <c r="K220" s="162"/>
      <c r="L220" s="162"/>
      <c r="M220" s="162"/>
      <c r="N220" s="162"/>
      <c r="O220" s="162"/>
      <c r="P220" s="162"/>
      <c r="Q220" s="162"/>
      <c r="R220" s="162"/>
      <c r="S220" s="36" t="s">
        <v>258</v>
      </c>
    </row>
    <row r="221" spans="1:19" hidden="1" outlineLevel="1" x14ac:dyDescent="0.2">
      <c r="A221" s="162"/>
      <c r="B221" s="162"/>
      <c r="C221" s="162"/>
      <c r="D221" s="432"/>
      <c r="E221" s="443"/>
      <c r="F221" s="443"/>
      <c r="G221" s="443"/>
      <c r="H221" s="443"/>
      <c r="I221" s="443"/>
      <c r="J221" s="443"/>
      <c r="K221" s="435"/>
      <c r="L221" s="425">
        <f t="shared" ref="L221:L229" si="59">IF(E221="",1,E221)</f>
        <v>1</v>
      </c>
      <c r="M221" s="425">
        <f t="shared" ref="M221:M230" si="60">IF(F221="",1,F221)</f>
        <v>1</v>
      </c>
      <c r="N221" s="425">
        <f t="shared" ref="N221:N230" si="61">IF(G221="",1,G221)</f>
        <v>1</v>
      </c>
      <c r="O221" s="425">
        <f t="shared" ref="O221:O230" si="62">IF(H221="",1,H221)</f>
        <v>1</v>
      </c>
      <c r="P221" s="425">
        <f t="shared" ref="P221:P230" si="63">IF(I221="",1,I221)</f>
        <v>1</v>
      </c>
      <c r="Q221" s="425">
        <f t="shared" ref="Q221:Q230" si="64">IF(J221="",1,J221)</f>
        <v>1</v>
      </c>
      <c r="R221" s="162"/>
      <c r="S221" s="432"/>
    </row>
    <row r="222" spans="1:19" hidden="1" outlineLevel="1" x14ac:dyDescent="0.2">
      <c r="A222" s="162"/>
      <c r="B222" s="162"/>
      <c r="C222" s="162"/>
      <c r="D222" s="432"/>
      <c r="E222" s="443"/>
      <c r="F222" s="443"/>
      <c r="G222" s="443"/>
      <c r="H222" s="443"/>
      <c r="I222" s="443"/>
      <c r="J222" s="443"/>
      <c r="K222" s="435"/>
      <c r="L222" s="425">
        <f t="shared" si="59"/>
        <v>1</v>
      </c>
      <c r="M222" s="425">
        <f t="shared" si="60"/>
        <v>1</v>
      </c>
      <c r="N222" s="425">
        <f t="shared" si="61"/>
        <v>1</v>
      </c>
      <c r="O222" s="425">
        <f t="shared" si="62"/>
        <v>1</v>
      </c>
      <c r="P222" s="425">
        <f t="shared" si="63"/>
        <v>1</v>
      </c>
      <c r="Q222" s="425">
        <f t="shared" si="64"/>
        <v>1</v>
      </c>
      <c r="R222" s="162"/>
      <c r="S222" s="432"/>
    </row>
    <row r="223" spans="1:19" hidden="1" outlineLevel="1" x14ac:dyDescent="0.2">
      <c r="A223" s="162"/>
      <c r="B223" s="162"/>
      <c r="C223" s="162"/>
      <c r="D223" s="432"/>
      <c r="E223" s="443"/>
      <c r="F223" s="443"/>
      <c r="G223" s="443"/>
      <c r="H223" s="443"/>
      <c r="I223" s="443"/>
      <c r="J223" s="443"/>
      <c r="K223" s="435"/>
      <c r="L223" s="425">
        <f t="shared" si="59"/>
        <v>1</v>
      </c>
      <c r="M223" s="425">
        <f t="shared" si="60"/>
        <v>1</v>
      </c>
      <c r="N223" s="425">
        <f t="shared" si="61"/>
        <v>1</v>
      </c>
      <c r="O223" s="425">
        <f t="shared" si="62"/>
        <v>1</v>
      </c>
      <c r="P223" s="425">
        <f t="shared" si="63"/>
        <v>1</v>
      </c>
      <c r="Q223" s="425">
        <f t="shared" si="64"/>
        <v>1</v>
      </c>
      <c r="R223" s="162"/>
      <c r="S223" s="432"/>
    </row>
    <row r="224" spans="1:19" hidden="1" outlineLevel="1" x14ac:dyDescent="0.2">
      <c r="A224" s="162"/>
      <c r="B224" s="162"/>
      <c r="C224" s="162"/>
      <c r="D224" s="432"/>
      <c r="E224" s="443"/>
      <c r="F224" s="443"/>
      <c r="G224" s="443"/>
      <c r="H224" s="443"/>
      <c r="I224" s="443"/>
      <c r="J224" s="443"/>
      <c r="K224" s="435"/>
      <c r="L224" s="425">
        <f t="shared" si="59"/>
        <v>1</v>
      </c>
      <c r="M224" s="425">
        <f t="shared" si="60"/>
        <v>1</v>
      </c>
      <c r="N224" s="425">
        <f t="shared" si="61"/>
        <v>1</v>
      </c>
      <c r="O224" s="425">
        <f t="shared" si="62"/>
        <v>1</v>
      </c>
      <c r="P224" s="425">
        <f t="shared" si="63"/>
        <v>1</v>
      </c>
      <c r="Q224" s="425">
        <f t="shared" si="64"/>
        <v>1</v>
      </c>
      <c r="R224" s="162"/>
      <c r="S224" s="432"/>
    </row>
    <row r="225" spans="1:19" hidden="1" outlineLevel="1" x14ac:dyDescent="0.2">
      <c r="A225" s="162"/>
      <c r="B225" s="162"/>
      <c r="C225" s="162"/>
      <c r="D225" s="432"/>
      <c r="E225" s="443"/>
      <c r="F225" s="443"/>
      <c r="G225" s="443"/>
      <c r="H225" s="443"/>
      <c r="I225" s="443"/>
      <c r="J225" s="443"/>
      <c r="K225" s="435"/>
      <c r="L225" s="425">
        <f t="shared" si="59"/>
        <v>1</v>
      </c>
      <c r="M225" s="425">
        <f t="shared" si="60"/>
        <v>1</v>
      </c>
      <c r="N225" s="425">
        <f t="shared" si="61"/>
        <v>1</v>
      </c>
      <c r="O225" s="425">
        <f t="shared" si="62"/>
        <v>1</v>
      </c>
      <c r="P225" s="425">
        <f t="shared" si="63"/>
        <v>1</v>
      </c>
      <c r="Q225" s="425">
        <f t="shared" si="64"/>
        <v>1</v>
      </c>
      <c r="R225" s="162"/>
      <c r="S225" s="432"/>
    </row>
    <row r="226" spans="1:19" hidden="1" outlineLevel="1" x14ac:dyDescent="0.2">
      <c r="A226" s="162"/>
      <c r="B226" s="162"/>
      <c r="C226" s="162"/>
      <c r="D226" s="432"/>
      <c r="E226" s="443"/>
      <c r="F226" s="443"/>
      <c r="G226" s="443"/>
      <c r="H226" s="443"/>
      <c r="I226" s="443"/>
      <c r="J226" s="443"/>
      <c r="K226" s="435"/>
      <c r="L226" s="425">
        <f t="shared" si="59"/>
        <v>1</v>
      </c>
      <c r="M226" s="425">
        <f t="shared" si="60"/>
        <v>1</v>
      </c>
      <c r="N226" s="425">
        <f t="shared" si="61"/>
        <v>1</v>
      </c>
      <c r="O226" s="425">
        <f t="shared" si="62"/>
        <v>1</v>
      </c>
      <c r="P226" s="425">
        <f t="shared" si="63"/>
        <v>1</v>
      </c>
      <c r="Q226" s="425">
        <f t="shared" si="64"/>
        <v>1</v>
      </c>
      <c r="R226" s="162"/>
      <c r="S226" s="432"/>
    </row>
    <row r="227" spans="1:19" hidden="1" outlineLevel="1" x14ac:dyDescent="0.2">
      <c r="A227" s="162"/>
      <c r="B227" s="162"/>
      <c r="C227" s="162"/>
      <c r="D227" s="432"/>
      <c r="E227" s="443"/>
      <c r="F227" s="443"/>
      <c r="G227" s="443"/>
      <c r="H227" s="443"/>
      <c r="I227" s="443"/>
      <c r="J227" s="443"/>
      <c r="K227" s="435"/>
      <c r="L227" s="425">
        <f t="shared" si="59"/>
        <v>1</v>
      </c>
      <c r="M227" s="425">
        <f t="shared" si="60"/>
        <v>1</v>
      </c>
      <c r="N227" s="425">
        <f t="shared" si="61"/>
        <v>1</v>
      </c>
      <c r="O227" s="425">
        <f t="shared" si="62"/>
        <v>1</v>
      </c>
      <c r="P227" s="425">
        <f t="shared" si="63"/>
        <v>1</v>
      </c>
      <c r="Q227" s="425">
        <f t="shared" si="64"/>
        <v>1</v>
      </c>
      <c r="R227" s="162"/>
      <c r="S227" s="432"/>
    </row>
    <row r="228" spans="1:19" hidden="1" outlineLevel="1" x14ac:dyDescent="0.2">
      <c r="A228" s="162"/>
      <c r="B228" s="162"/>
      <c r="C228" s="162"/>
      <c r="D228" s="432"/>
      <c r="E228" s="443"/>
      <c r="F228" s="443"/>
      <c r="G228" s="443"/>
      <c r="H228" s="443"/>
      <c r="I228" s="443"/>
      <c r="J228" s="443"/>
      <c r="K228" s="435"/>
      <c r="L228" s="425">
        <f t="shared" si="59"/>
        <v>1</v>
      </c>
      <c r="M228" s="425">
        <f t="shared" si="60"/>
        <v>1</v>
      </c>
      <c r="N228" s="425">
        <f t="shared" si="61"/>
        <v>1</v>
      </c>
      <c r="O228" s="425">
        <f t="shared" si="62"/>
        <v>1</v>
      </c>
      <c r="P228" s="425">
        <f t="shared" si="63"/>
        <v>1</v>
      </c>
      <c r="Q228" s="425">
        <f t="shared" si="64"/>
        <v>1</v>
      </c>
      <c r="R228" s="162"/>
      <c r="S228" s="432"/>
    </row>
    <row r="229" spans="1:19" hidden="1" outlineLevel="1" x14ac:dyDescent="0.2">
      <c r="A229" s="162"/>
      <c r="B229" s="162"/>
      <c r="C229" s="162"/>
      <c r="D229" s="432"/>
      <c r="E229" s="443"/>
      <c r="F229" s="443"/>
      <c r="G229" s="443"/>
      <c r="H229" s="443"/>
      <c r="I229" s="443"/>
      <c r="J229" s="443"/>
      <c r="K229" s="435"/>
      <c r="L229" s="425">
        <f t="shared" si="59"/>
        <v>1</v>
      </c>
      <c r="M229" s="425">
        <f t="shared" si="60"/>
        <v>1</v>
      </c>
      <c r="N229" s="425">
        <f t="shared" si="61"/>
        <v>1</v>
      </c>
      <c r="O229" s="425">
        <f t="shared" si="62"/>
        <v>1</v>
      </c>
      <c r="P229" s="425">
        <f t="shared" si="63"/>
        <v>1</v>
      </c>
      <c r="Q229" s="425">
        <f t="shared" si="64"/>
        <v>1</v>
      </c>
      <c r="R229" s="162"/>
      <c r="S229" s="432"/>
    </row>
    <row r="230" spans="1:19" hidden="1" outlineLevel="1" x14ac:dyDescent="0.2">
      <c r="A230" s="162"/>
      <c r="B230" s="162"/>
      <c r="C230" s="162"/>
      <c r="D230" s="432"/>
      <c r="E230" s="443"/>
      <c r="F230" s="443"/>
      <c r="G230" s="443"/>
      <c r="H230" s="443"/>
      <c r="I230" s="443"/>
      <c r="J230" s="443"/>
      <c r="K230" s="435"/>
      <c r="L230" s="425">
        <f>IF(E230="",1,E230)</f>
        <v>1</v>
      </c>
      <c r="M230" s="425">
        <f t="shared" si="60"/>
        <v>1</v>
      </c>
      <c r="N230" s="425">
        <f t="shared" si="61"/>
        <v>1</v>
      </c>
      <c r="O230" s="425">
        <f t="shared" si="62"/>
        <v>1</v>
      </c>
      <c r="P230" s="425">
        <f t="shared" si="63"/>
        <v>1</v>
      </c>
      <c r="Q230" s="425">
        <f t="shared" si="64"/>
        <v>1</v>
      </c>
      <c r="R230" s="162"/>
      <c r="S230" s="432"/>
    </row>
    <row r="231" spans="1:19" hidden="1" outlineLevel="1" x14ac:dyDescent="0.2">
      <c r="A231" s="162"/>
      <c r="B231" s="162"/>
      <c r="C231" s="162"/>
      <c r="D231" s="424" t="s">
        <v>213</v>
      </c>
      <c r="E231" s="444">
        <f t="shared" ref="E231:J231" si="65">L221*L222*L223*L224*L230*L225*L226*L227*L228*L229</f>
        <v>1</v>
      </c>
      <c r="F231" s="444">
        <f t="shared" si="65"/>
        <v>1</v>
      </c>
      <c r="G231" s="444">
        <f t="shared" si="65"/>
        <v>1</v>
      </c>
      <c r="H231" s="444">
        <f t="shared" si="65"/>
        <v>1</v>
      </c>
      <c r="I231" s="444">
        <f t="shared" si="65"/>
        <v>1</v>
      </c>
      <c r="J231" s="444">
        <f t="shared" si="65"/>
        <v>1</v>
      </c>
      <c r="K231" s="162"/>
      <c r="L231" s="162"/>
      <c r="M231" s="162"/>
      <c r="N231" s="638"/>
      <c r="O231" s="162"/>
      <c r="P231" s="162"/>
      <c r="Q231" s="162"/>
      <c r="R231" s="162"/>
      <c r="S231" s="162"/>
    </row>
    <row r="232" spans="1:19" hidden="1" outlineLevel="1" x14ac:dyDescent="0.2">
      <c r="A232" s="638"/>
      <c r="B232" s="638"/>
      <c r="C232" s="638"/>
      <c r="D232" s="419" t="s">
        <v>90</v>
      </c>
      <c r="E232" s="440">
        <f t="shared" ref="E232:J232" ca="1" si="66">IF(ISNUMBER(E218),E218*E231,"")</f>
        <v>0</v>
      </c>
      <c r="F232" s="440">
        <f t="shared" ca="1" si="66"/>
        <v>0</v>
      </c>
      <c r="G232" s="440">
        <f t="shared" ca="1" si="66"/>
        <v>0</v>
      </c>
      <c r="H232" s="440">
        <f t="shared" ca="1" si="66"/>
        <v>0</v>
      </c>
      <c r="I232" s="440">
        <f t="shared" ca="1" si="66"/>
        <v>0</v>
      </c>
      <c r="J232" s="440">
        <f t="shared" ca="1" si="66"/>
        <v>0</v>
      </c>
      <c r="K232" s="162"/>
      <c r="L232" s="638"/>
      <c r="M232" s="162"/>
      <c r="N232" s="162"/>
      <c r="O232" s="162"/>
      <c r="P232" s="162"/>
      <c r="Q232" s="162"/>
      <c r="R232" s="162"/>
      <c r="S232" s="162"/>
    </row>
    <row r="233" spans="1:19" hidden="1" outlineLevel="1" x14ac:dyDescent="0.2">
      <c r="A233" s="162"/>
      <c r="B233" s="162"/>
      <c r="C233" s="162"/>
      <c r="D233" s="435"/>
      <c r="E233" s="162"/>
      <c r="F233" s="162"/>
      <c r="G233" s="162"/>
      <c r="H233" s="162"/>
      <c r="I233" s="162"/>
      <c r="J233" s="162"/>
      <c r="K233" s="162"/>
      <c r="L233" s="162"/>
      <c r="M233" s="162"/>
      <c r="N233" s="162"/>
      <c r="O233" s="162"/>
      <c r="P233" s="641"/>
      <c r="Q233" s="641"/>
      <c r="R233" s="162"/>
      <c r="S233" s="162"/>
    </row>
    <row r="234" spans="1:19" hidden="1" outlineLevel="1" x14ac:dyDescent="0.2">
      <c r="A234" s="162"/>
      <c r="B234" s="162"/>
      <c r="C234" s="162"/>
      <c r="D234" s="429" t="str">
        <f>TxPhase1Tx</f>
        <v/>
      </c>
      <c r="E234" s="495"/>
      <c r="F234" s="162"/>
      <c r="G234" s="162"/>
      <c r="H234" s="162"/>
      <c r="I234" s="162"/>
      <c r="J234" s="162"/>
      <c r="K234" s="615"/>
      <c r="L234" s="615"/>
      <c r="M234" s="615"/>
      <c r="N234" s="615"/>
      <c r="O234" s="615"/>
      <c r="P234" s="615"/>
      <c r="Q234" s="615"/>
      <c r="R234" s="162"/>
      <c r="S234" s="36" t="s">
        <v>258</v>
      </c>
    </row>
    <row r="235" spans="1:19" hidden="1" outlineLevel="1" x14ac:dyDescent="0.2">
      <c r="A235" s="162"/>
      <c r="B235" s="162"/>
      <c r="C235" s="162"/>
      <c r="D235" s="423" t="s">
        <v>91</v>
      </c>
      <c r="E235" s="428"/>
      <c r="F235" s="428"/>
      <c r="G235" s="428"/>
      <c r="H235" s="428"/>
      <c r="I235" s="428"/>
      <c r="J235" s="428"/>
      <c r="K235" s="615"/>
      <c r="L235" s="615"/>
      <c r="M235" s="615"/>
      <c r="N235" s="615"/>
      <c r="O235" s="615"/>
      <c r="P235" s="615"/>
      <c r="Q235" s="615"/>
      <c r="R235" s="162"/>
      <c r="S235" s="426"/>
    </row>
    <row r="236" spans="1:19" hidden="1" outlineLevel="1" x14ac:dyDescent="0.2">
      <c r="A236" s="162"/>
      <c r="B236" s="162"/>
      <c r="C236" s="162"/>
      <c r="D236" s="435"/>
      <c r="E236" s="162"/>
      <c r="F236" s="162"/>
      <c r="G236" s="162"/>
      <c r="H236" s="162"/>
      <c r="I236" s="162"/>
      <c r="J236" s="162"/>
      <c r="K236" s="615"/>
      <c r="L236" s="615"/>
      <c r="M236" s="615"/>
      <c r="N236" s="615"/>
      <c r="O236" s="615"/>
      <c r="P236" s="615"/>
      <c r="Q236" s="615"/>
      <c r="R236" s="162"/>
      <c r="S236" s="435"/>
    </row>
    <row r="237" spans="1:19" hidden="1" outlineLevel="1" x14ac:dyDescent="0.2">
      <c r="A237" s="162"/>
      <c r="B237" s="162"/>
      <c r="C237" s="162"/>
      <c r="D237" s="433" t="str">
        <f>TXPhase2Tx</f>
        <v/>
      </c>
      <c r="E237" s="495"/>
      <c r="F237" s="162"/>
      <c r="G237" s="162"/>
      <c r="H237" s="162"/>
      <c r="I237" s="162"/>
      <c r="J237" s="162"/>
      <c r="K237" s="615"/>
      <c r="L237" s="615"/>
      <c r="M237" s="615"/>
      <c r="N237" s="615"/>
      <c r="O237" s="615"/>
      <c r="P237" s="615"/>
      <c r="Q237" s="615"/>
      <c r="R237" s="162"/>
      <c r="S237" s="422" t="s">
        <v>258</v>
      </c>
    </row>
    <row r="238" spans="1:19" hidden="1" outlineLevel="1" x14ac:dyDescent="0.2">
      <c r="A238" s="162"/>
      <c r="B238" s="162"/>
      <c r="C238" s="162"/>
      <c r="D238" s="433" t="str">
        <f>IF(D237&lt;&gt;"","Patients electing treatment (%)","")</f>
        <v/>
      </c>
      <c r="E238" s="428"/>
      <c r="F238" s="428"/>
      <c r="G238" s="428"/>
      <c r="H238" s="428"/>
      <c r="I238" s="428"/>
      <c r="J238" s="428"/>
      <c r="K238" s="615"/>
      <c r="L238" s="615"/>
      <c r="M238" s="615"/>
      <c r="N238" s="615"/>
      <c r="O238" s="615"/>
      <c r="P238" s="615"/>
      <c r="Q238" s="615"/>
      <c r="R238" s="162"/>
      <c r="S238" s="426"/>
    </row>
    <row r="239" spans="1:19" hidden="1" outlineLevel="1" x14ac:dyDescent="0.2">
      <c r="A239" s="162"/>
      <c r="B239" s="162"/>
      <c r="C239" s="162"/>
      <c r="D239" s="435"/>
      <c r="E239" s="435"/>
      <c r="F239" s="435"/>
      <c r="G239" s="435"/>
      <c r="H239" s="435"/>
      <c r="I239" s="435"/>
      <c r="J239" s="435"/>
      <c r="K239" s="615"/>
      <c r="L239" s="615"/>
      <c r="M239" s="615"/>
      <c r="N239" s="615"/>
      <c r="O239" s="615"/>
      <c r="P239" s="615"/>
      <c r="Q239" s="615"/>
      <c r="R239" s="162"/>
      <c r="S239" s="162"/>
    </row>
    <row r="240" spans="1:19" s="416" customFormat="1" hidden="1" outlineLevel="1" x14ac:dyDescent="0.2">
      <c r="A240" s="162"/>
      <c r="B240" s="162"/>
      <c r="C240" s="475">
        <f>IFERROR(VLOOKUP(E240,TxPhase2SourceCode,2,FALSE),0)</f>
        <v>1</v>
      </c>
      <c r="D240" s="429" t="s">
        <v>1165</v>
      </c>
      <c r="E240" s="263" t="s">
        <v>1166</v>
      </c>
      <c r="F240" s="435"/>
      <c r="G240" s="435"/>
      <c r="H240" s="435"/>
      <c r="I240" s="435"/>
      <c r="J240" s="435"/>
      <c r="K240" s="615"/>
      <c r="L240" s="615"/>
      <c r="M240" s="615"/>
      <c r="N240" s="615"/>
      <c r="O240" s="615"/>
      <c r="P240" s="615"/>
      <c r="Q240" s="615"/>
      <c r="R240" s="162"/>
      <c r="S240" s="162"/>
    </row>
    <row r="241" spans="1:19" s="416" customFormat="1" hidden="1" outlineLevel="1" x14ac:dyDescent="0.2">
      <c r="A241" s="162"/>
      <c r="B241" s="162"/>
      <c r="C241" s="162"/>
      <c r="D241" s="435"/>
      <c r="E241" s="435"/>
      <c r="F241" s="435"/>
      <c r="G241" s="435"/>
      <c r="H241" s="435"/>
      <c r="I241" s="435"/>
      <c r="J241" s="435"/>
      <c r="K241" s="615"/>
      <c r="L241" s="615"/>
      <c r="M241" s="615"/>
      <c r="N241" s="615"/>
      <c r="O241" s="615"/>
      <c r="P241" s="615"/>
      <c r="Q241" s="615"/>
      <c r="R241" s="162"/>
      <c r="S241" s="162"/>
    </row>
    <row r="242" spans="1:19" hidden="1" outlineLevel="1" x14ac:dyDescent="0.2">
      <c r="A242" s="162"/>
      <c r="B242" s="162"/>
      <c r="C242" s="162"/>
      <c r="D242" s="429" t="str">
        <f>TxPhase1Px</f>
        <v/>
      </c>
      <c r="E242" s="440">
        <f t="shared" ref="E242:J242" si="67">IF(TxPhase1&lt;&gt;"",E232*E235,0)</f>
        <v>0</v>
      </c>
      <c r="F242" s="440">
        <f t="shared" si="67"/>
        <v>0</v>
      </c>
      <c r="G242" s="440">
        <f t="shared" si="67"/>
        <v>0</v>
      </c>
      <c r="H242" s="440">
        <f t="shared" si="67"/>
        <v>0</v>
      </c>
      <c r="I242" s="440">
        <f t="shared" si="67"/>
        <v>0</v>
      </c>
      <c r="J242" s="440">
        <f t="shared" si="67"/>
        <v>0</v>
      </c>
      <c r="K242" s="615"/>
      <c r="L242" s="615"/>
      <c r="M242" s="615"/>
      <c r="N242" s="615"/>
      <c r="O242" s="615"/>
      <c r="P242" s="615"/>
      <c r="Q242" s="615"/>
      <c r="R242" s="162"/>
      <c r="S242" s="162"/>
    </row>
    <row r="243" spans="1:19" hidden="1" outlineLevel="1" x14ac:dyDescent="0.2">
      <c r="A243" s="162"/>
      <c r="B243" s="162"/>
      <c r="C243" s="162"/>
      <c r="D243" s="429" t="str">
        <f>TxPhase2Px</f>
        <v/>
      </c>
      <c r="E243" s="440">
        <f t="shared" ref="E243:J243" si="68">IF(TxPhase2&lt;&gt;"",IF($C240=1,E242,IF($C240=2,E232,0))*E238,0)</f>
        <v>0</v>
      </c>
      <c r="F243" s="440">
        <f t="shared" si="68"/>
        <v>0</v>
      </c>
      <c r="G243" s="440">
        <f t="shared" si="68"/>
        <v>0</v>
      </c>
      <c r="H243" s="440">
        <f t="shared" si="68"/>
        <v>0</v>
      </c>
      <c r="I243" s="440">
        <f t="shared" si="68"/>
        <v>0</v>
      </c>
      <c r="J243" s="440">
        <f t="shared" si="68"/>
        <v>0</v>
      </c>
      <c r="K243" s="615"/>
      <c r="L243" s="615"/>
      <c r="M243" s="615"/>
      <c r="N243" s="615"/>
      <c r="O243" s="615"/>
      <c r="P243" s="615"/>
      <c r="Q243" s="615"/>
      <c r="R243" s="162"/>
      <c r="S243" s="162"/>
    </row>
    <row r="244" spans="1:19" s="416" customFormat="1" hidden="1" outlineLevel="1" x14ac:dyDescent="0.2">
      <c r="A244" s="162"/>
      <c r="B244" s="162"/>
      <c r="C244" s="162"/>
      <c r="D244" s="417"/>
      <c r="E244" s="417"/>
      <c r="F244" s="162"/>
      <c r="G244" s="162"/>
      <c r="H244" s="162"/>
      <c r="I244" s="162"/>
      <c r="J244" s="162"/>
      <c r="K244" s="162"/>
      <c r="L244" s="162"/>
      <c r="M244" s="162"/>
      <c r="N244" s="638"/>
      <c r="O244" s="162"/>
      <c r="P244" s="641"/>
      <c r="Q244" s="641"/>
      <c r="R244" s="162"/>
      <c r="S244" s="162"/>
    </row>
    <row r="245" spans="1:19" s="416" customFormat="1" hidden="1" outlineLevel="1" x14ac:dyDescent="0.2">
      <c r="A245" s="162"/>
      <c r="B245" s="162"/>
      <c r="C245" s="475" t="str">
        <f>IF(E245&lt;&gt;"",E245,"")</f>
        <v/>
      </c>
      <c r="D245" s="89" t="s">
        <v>756</v>
      </c>
      <c r="E245" s="263"/>
      <c r="F245" s="162"/>
      <c r="G245" s="162"/>
      <c r="H245" s="162"/>
      <c r="I245" s="162"/>
      <c r="J245" s="162"/>
      <c r="K245" s="162"/>
      <c r="L245" s="162"/>
      <c r="M245" s="162"/>
      <c r="N245" s="638"/>
      <c r="O245" s="162"/>
      <c r="P245" s="641"/>
      <c r="Q245" s="641"/>
      <c r="R245" s="162"/>
      <c r="S245" s="162"/>
    </row>
    <row r="246" spans="1:19" hidden="1" outlineLevel="1" collapsed="1" x14ac:dyDescent="0.2">
      <c r="A246" s="162"/>
      <c r="B246" s="162"/>
      <c r="C246" s="162"/>
      <c r="D246" s="162"/>
      <c r="E246" s="162"/>
      <c r="F246" s="162"/>
      <c r="G246" s="162"/>
      <c r="H246" s="162"/>
      <c r="I246" s="162"/>
      <c r="J246" s="162"/>
      <c r="K246" s="162"/>
      <c r="L246" s="162"/>
      <c r="M246" s="162"/>
      <c r="N246" s="638"/>
      <c r="O246" s="162"/>
      <c r="P246" s="641"/>
      <c r="Q246" s="641"/>
      <c r="R246" s="162"/>
      <c r="S246" s="162"/>
    </row>
    <row r="247" spans="1:19" collapsed="1" x14ac:dyDescent="0.2">
      <c r="A247" s="162"/>
      <c r="B247" s="162"/>
      <c r="C247" s="162"/>
      <c r="D247" s="162"/>
      <c r="E247" s="162"/>
      <c r="F247" s="162"/>
      <c r="G247" s="162"/>
      <c r="H247" s="162"/>
      <c r="I247" s="162"/>
      <c r="J247" s="162"/>
      <c r="K247" s="162"/>
      <c r="L247" s="162"/>
      <c r="M247" s="162"/>
      <c r="N247" s="162"/>
      <c r="O247" s="162"/>
      <c r="P247" s="639"/>
      <c r="Q247" s="640"/>
      <c r="R247" s="162"/>
      <c r="S247" s="162"/>
    </row>
    <row r="248" spans="1:19" ht="15.75" x14ac:dyDescent="0.2">
      <c r="A248" s="162"/>
      <c r="B248" s="162"/>
      <c r="C248" s="573">
        <v>7</v>
      </c>
      <c r="D248" s="79" t="str">
        <f>IF(E252&lt;&gt;"",CONCATENATE("Prevalent ",C248,": ",G252,L248),MsgNotUsed)</f>
        <v>** NOT USED **</v>
      </c>
      <c r="E248" s="132"/>
      <c r="F248" s="132"/>
      <c r="G248" s="132"/>
      <c r="H248" s="132"/>
      <c r="I248" s="134"/>
      <c r="J248" s="126"/>
      <c r="K248" s="133"/>
      <c r="L248" s="325" t="str">
        <f>IF(S252&lt;&gt;"",CONCATENATE(" (",S252,")"),"")</f>
        <v/>
      </c>
      <c r="M248" s="133"/>
      <c r="N248" s="133"/>
      <c r="O248" s="133"/>
      <c r="P248" s="133"/>
      <c r="Q248" s="133"/>
      <c r="R248" s="133"/>
      <c r="S248" s="133"/>
    </row>
    <row r="249" spans="1:19" hidden="1" outlineLevel="1" x14ac:dyDescent="0.2">
      <c r="A249" s="162"/>
      <c r="B249" s="162"/>
      <c r="C249" s="162"/>
      <c r="D249" s="616"/>
      <c r="E249" s="162"/>
      <c r="F249" s="162"/>
      <c r="G249" s="162"/>
      <c r="H249" s="162"/>
      <c r="I249" s="162"/>
      <c r="J249" s="162"/>
      <c r="K249" s="162"/>
      <c r="L249" s="162"/>
      <c r="M249" s="162"/>
      <c r="N249" s="162"/>
      <c r="O249" s="162"/>
      <c r="P249" s="162"/>
      <c r="Q249" s="162"/>
      <c r="R249" s="162"/>
      <c r="S249" s="162"/>
    </row>
    <row r="250" spans="1:19" hidden="1" outlineLevel="1" x14ac:dyDescent="0.2">
      <c r="A250" s="162"/>
      <c r="B250" s="162"/>
      <c r="C250" s="162"/>
      <c r="D250" s="162" t="s">
        <v>840</v>
      </c>
      <c r="E250" s="162"/>
      <c r="F250" s="162"/>
      <c r="G250" s="162"/>
      <c r="H250" s="162"/>
      <c r="I250" s="162"/>
      <c r="J250" s="162"/>
      <c r="K250" s="162"/>
      <c r="L250" s="162"/>
      <c r="M250" s="162"/>
      <c r="N250" s="162"/>
      <c r="O250" s="162"/>
      <c r="P250" s="162"/>
      <c r="Q250" s="162"/>
      <c r="R250" s="162"/>
      <c r="S250" s="641"/>
    </row>
    <row r="251" spans="1:19" hidden="1" outlineLevel="1" x14ac:dyDescent="0.2">
      <c r="A251" s="162"/>
      <c r="B251" s="162"/>
      <c r="C251" s="162"/>
      <c r="D251" s="616"/>
      <c r="E251" s="162"/>
      <c r="F251" s="162"/>
      <c r="G251" s="162"/>
      <c r="H251" s="162"/>
      <c r="I251" s="162"/>
      <c r="J251" s="162"/>
      <c r="K251" s="162"/>
      <c r="L251" s="162"/>
      <c r="M251" s="162"/>
      <c r="N251" s="162"/>
      <c r="O251" s="162"/>
      <c r="P251" s="162"/>
      <c r="Q251" s="162"/>
      <c r="R251" s="162"/>
      <c r="S251" s="36" t="s">
        <v>424</v>
      </c>
    </row>
    <row r="252" spans="1:19" hidden="1" outlineLevel="1" x14ac:dyDescent="0.2">
      <c r="A252" s="129"/>
      <c r="B252" s="475">
        <f>IF(E252&lt;&gt;"",MATCH(E252,EPISource,0)-1,0)</f>
        <v>0</v>
      </c>
      <c r="C252" s="475">
        <f ca="1">IF(G252&lt;&gt;"",MATCH(G252,OFFSET(References!$AE$7,0,B252,PxPopMaxCount),0),0)</f>
        <v>0</v>
      </c>
      <c r="D252" s="423" t="s">
        <v>113</v>
      </c>
      <c r="E252" s="438"/>
      <c r="F252" s="436"/>
      <c r="G252" s="812"/>
      <c r="H252" s="813"/>
      <c r="I252" s="813"/>
      <c r="J252" s="813"/>
      <c r="K252" s="162"/>
      <c r="L252" s="162"/>
      <c r="M252" s="162"/>
      <c r="N252" s="162"/>
      <c r="O252" s="162"/>
      <c r="P252" s="162"/>
      <c r="Q252" s="162"/>
      <c r="R252" s="162"/>
      <c r="S252" s="439"/>
    </row>
    <row r="253" spans="1:19" hidden="1" outlineLevel="1" x14ac:dyDescent="0.2">
      <c r="A253" s="129"/>
      <c r="B253" s="475">
        <f>INDEX(PxPopValid,,B252+1)</f>
        <v>0</v>
      </c>
      <c r="C253" s="475">
        <f ca="1">(B252*PxPopMaxCount)+C252</f>
        <v>0</v>
      </c>
      <c r="D253" s="162"/>
      <c r="E253" s="650">
        <v>1</v>
      </c>
      <c r="F253" s="650">
        <v>2</v>
      </c>
      <c r="G253" s="650">
        <v>3</v>
      </c>
      <c r="H253" s="650">
        <v>4</v>
      </c>
      <c r="I253" s="650">
        <v>5</v>
      </c>
      <c r="J253" s="650">
        <v>6</v>
      </c>
      <c r="K253" s="162"/>
      <c r="L253" s="162"/>
      <c r="M253" s="162"/>
      <c r="N253" s="162"/>
      <c r="O253" s="162"/>
      <c r="P253" s="162"/>
      <c r="Q253" s="162"/>
      <c r="R253" s="162"/>
      <c r="S253" s="162"/>
    </row>
    <row r="254" spans="1:19" hidden="1" outlineLevel="1" x14ac:dyDescent="0.2">
      <c r="A254" s="129"/>
      <c r="B254" s="129"/>
      <c r="C254" s="129"/>
      <c r="D254" s="616"/>
      <c r="E254" s="814" t="s">
        <v>10</v>
      </c>
      <c r="F254" s="814"/>
      <c r="G254" s="814"/>
      <c r="H254" s="814"/>
      <c r="I254" s="814"/>
      <c r="J254" s="814"/>
      <c r="K254" s="162"/>
      <c r="L254" s="162"/>
      <c r="M254" s="162"/>
      <c r="N254" s="162"/>
      <c r="O254" s="162"/>
      <c r="P254" s="162"/>
      <c r="Q254" s="162"/>
      <c r="R254" s="162"/>
      <c r="S254" s="636" t="str">
        <f ca="1">IF(ISERROR($C253)=TRUE,MsgError&amp;VLOOKUP("BadPop",ErrorMessages,2,FALSE),IF(RIGHT(G252,11)="(Incidence)",MsgError&amp;VLOOKUP("BadIncPop",ErrorMessages,2,FALSE),""))</f>
        <v/>
      </c>
    </row>
    <row r="255" spans="1:19" hidden="1" outlineLevel="1" x14ac:dyDescent="0.2">
      <c r="A255" s="129"/>
      <c r="B255" s="129"/>
      <c r="C255" s="129"/>
      <c r="D255" s="643"/>
      <c r="E255" s="431">
        <f>FirstYear</f>
        <v>2021</v>
      </c>
      <c r="F255" s="431">
        <f>E255+1</f>
        <v>2022</v>
      </c>
      <c r="G255" s="431">
        <f>F255+1</f>
        <v>2023</v>
      </c>
      <c r="H255" s="431">
        <f>G255+1</f>
        <v>2024</v>
      </c>
      <c r="I255" s="431">
        <f>H255+1</f>
        <v>2025</v>
      </c>
      <c r="J255" s="431">
        <f>I255+1</f>
        <v>2026</v>
      </c>
      <c r="K255" s="162"/>
      <c r="L255" s="162"/>
      <c r="M255" s="162"/>
      <c r="N255" s="162"/>
      <c r="O255" s="162"/>
      <c r="P255" s="162"/>
      <c r="Q255" s="162"/>
      <c r="R255" s="162"/>
      <c r="S255" s="162"/>
    </row>
    <row r="256" spans="1:19" hidden="1" outlineLevel="1" x14ac:dyDescent="0.2">
      <c r="A256" s="162"/>
      <c r="B256" s="162"/>
      <c r="C256" s="162"/>
      <c r="D256" s="721" t="s">
        <v>92</v>
      </c>
      <c r="E256" s="437">
        <f t="shared" ref="E256:J256" ca="1" si="69">IF(AND(ISERROR($C253)&lt;&gt;TRUE,$G252&lt;&gt;""),INDEX(PxPopNumbers,$C253,E253),0)</f>
        <v>0</v>
      </c>
      <c r="F256" s="437">
        <f t="shared" ca="1" si="69"/>
        <v>0</v>
      </c>
      <c r="G256" s="437">
        <f t="shared" ca="1" si="69"/>
        <v>0</v>
      </c>
      <c r="H256" s="437">
        <f t="shared" ca="1" si="69"/>
        <v>0</v>
      </c>
      <c r="I256" s="437">
        <f t="shared" ca="1" si="69"/>
        <v>0</v>
      </c>
      <c r="J256" s="437">
        <f t="shared" ca="1" si="69"/>
        <v>0</v>
      </c>
      <c r="K256" s="162"/>
      <c r="L256" s="162"/>
      <c r="M256" s="162"/>
      <c r="N256" s="162"/>
      <c r="O256" s="162"/>
      <c r="P256" s="162"/>
      <c r="Q256" s="162"/>
      <c r="R256" s="616"/>
      <c r="S256" s="162"/>
    </row>
    <row r="257" spans="1:19" hidden="1" outlineLevel="1" x14ac:dyDescent="0.2">
      <c r="A257" s="162"/>
      <c r="B257" s="162"/>
      <c r="C257" s="162"/>
      <c r="D257" s="162"/>
      <c r="E257" s="435"/>
      <c r="F257" s="435"/>
      <c r="G257" s="435"/>
      <c r="H257" s="435"/>
      <c r="I257" s="435"/>
      <c r="J257" s="435"/>
      <c r="K257" s="162"/>
      <c r="L257" s="162"/>
      <c r="M257" s="162"/>
      <c r="N257" s="162"/>
      <c r="O257" s="162"/>
      <c r="P257" s="162"/>
      <c r="Q257" s="162"/>
      <c r="R257" s="162"/>
      <c r="S257" s="162"/>
    </row>
    <row r="258" spans="1:19" hidden="1" outlineLevel="1" x14ac:dyDescent="0.2">
      <c r="A258" s="162"/>
      <c r="B258" s="162"/>
      <c r="C258" s="162"/>
      <c r="D258" s="720" t="s">
        <v>205</v>
      </c>
      <c r="E258" s="435"/>
      <c r="F258" s="435"/>
      <c r="G258" s="435"/>
      <c r="H258" s="435"/>
      <c r="I258" s="435"/>
      <c r="J258" s="435"/>
      <c r="K258" s="162"/>
      <c r="L258" s="162"/>
      <c r="M258" s="162"/>
      <c r="N258" s="162"/>
      <c r="O258" s="162"/>
      <c r="P258" s="162"/>
      <c r="Q258" s="162"/>
      <c r="R258" s="162"/>
      <c r="S258" s="36" t="s">
        <v>258</v>
      </c>
    </row>
    <row r="259" spans="1:19" hidden="1" outlineLevel="1" x14ac:dyDescent="0.2">
      <c r="A259" s="162"/>
      <c r="B259" s="162"/>
      <c r="C259" s="162"/>
      <c r="D259" s="432"/>
      <c r="E259" s="443"/>
      <c r="F259" s="443"/>
      <c r="G259" s="443"/>
      <c r="H259" s="443"/>
      <c r="I259" s="443"/>
      <c r="J259" s="443"/>
      <c r="K259" s="435"/>
      <c r="L259" s="425">
        <f t="shared" ref="L259:L267" si="70">IF(E259="",1,E259)</f>
        <v>1</v>
      </c>
      <c r="M259" s="425">
        <f t="shared" ref="M259:M268" si="71">IF(F259="",1,F259)</f>
        <v>1</v>
      </c>
      <c r="N259" s="425">
        <f t="shared" ref="N259:N268" si="72">IF(G259="",1,G259)</f>
        <v>1</v>
      </c>
      <c r="O259" s="425">
        <f t="shared" ref="O259:O268" si="73">IF(H259="",1,H259)</f>
        <v>1</v>
      </c>
      <c r="P259" s="425">
        <f t="shared" ref="P259:P268" si="74">IF(I259="",1,I259)</f>
        <v>1</v>
      </c>
      <c r="Q259" s="425">
        <f t="shared" ref="Q259:Q268" si="75">IF(J259="",1,J259)</f>
        <v>1</v>
      </c>
      <c r="R259" s="162"/>
      <c r="S259" s="432"/>
    </row>
    <row r="260" spans="1:19" hidden="1" outlineLevel="1" x14ac:dyDescent="0.2">
      <c r="A260" s="162"/>
      <c r="B260" s="162"/>
      <c r="C260" s="162"/>
      <c r="D260" s="432"/>
      <c r="E260" s="443"/>
      <c r="F260" s="443"/>
      <c r="G260" s="443"/>
      <c r="H260" s="443"/>
      <c r="I260" s="443"/>
      <c r="J260" s="443"/>
      <c r="K260" s="435"/>
      <c r="L260" s="425">
        <f t="shared" si="70"/>
        <v>1</v>
      </c>
      <c r="M260" s="425">
        <f t="shared" si="71"/>
        <v>1</v>
      </c>
      <c r="N260" s="425">
        <f t="shared" si="72"/>
        <v>1</v>
      </c>
      <c r="O260" s="425">
        <f t="shared" si="73"/>
        <v>1</v>
      </c>
      <c r="P260" s="425">
        <f t="shared" si="74"/>
        <v>1</v>
      </c>
      <c r="Q260" s="425">
        <f t="shared" si="75"/>
        <v>1</v>
      </c>
      <c r="R260" s="162"/>
      <c r="S260" s="432"/>
    </row>
    <row r="261" spans="1:19" hidden="1" outlineLevel="1" x14ac:dyDescent="0.2">
      <c r="A261" s="162"/>
      <c r="B261" s="162"/>
      <c r="C261" s="162"/>
      <c r="D261" s="432"/>
      <c r="E261" s="443"/>
      <c r="F261" s="443"/>
      <c r="G261" s="443"/>
      <c r="H261" s="443"/>
      <c r="I261" s="443"/>
      <c r="J261" s="443"/>
      <c r="K261" s="435"/>
      <c r="L261" s="425">
        <f t="shared" si="70"/>
        <v>1</v>
      </c>
      <c r="M261" s="425">
        <f t="shared" si="71"/>
        <v>1</v>
      </c>
      <c r="N261" s="425">
        <f t="shared" si="72"/>
        <v>1</v>
      </c>
      <c r="O261" s="425">
        <f t="shared" si="73"/>
        <v>1</v>
      </c>
      <c r="P261" s="425">
        <f t="shared" si="74"/>
        <v>1</v>
      </c>
      <c r="Q261" s="425">
        <f t="shared" si="75"/>
        <v>1</v>
      </c>
      <c r="R261" s="162"/>
      <c r="S261" s="432"/>
    </row>
    <row r="262" spans="1:19" hidden="1" outlineLevel="1" x14ac:dyDescent="0.2">
      <c r="A262" s="162"/>
      <c r="B262" s="162"/>
      <c r="C262" s="162"/>
      <c r="D262" s="432"/>
      <c r="E262" s="443"/>
      <c r="F262" s="443"/>
      <c r="G262" s="443"/>
      <c r="H262" s="443"/>
      <c r="I262" s="443"/>
      <c r="J262" s="443"/>
      <c r="K262" s="435"/>
      <c r="L262" s="425">
        <f t="shared" si="70"/>
        <v>1</v>
      </c>
      <c r="M262" s="425">
        <f t="shared" si="71"/>
        <v>1</v>
      </c>
      <c r="N262" s="425">
        <f t="shared" si="72"/>
        <v>1</v>
      </c>
      <c r="O262" s="425">
        <f t="shared" si="73"/>
        <v>1</v>
      </c>
      <c r="P262" s="425">
        <f t="shared" si="74"/>
        <v>1</v>
      </c>
      <c r="Q262" s="425">
        <f t="shared" si="75"/>
        <v>1</v>
      </c>
      <c r="R262" s="162"/>
      <c r="S262" s="432"/>
    </row>
    <row r="263" spans="1:19" hidden="1" outlineLevel="1" x14ac:dyDescent="0.2">
      <c r="A263" s="162"/>
      <c r="B263" s="162"/>
      <c r="C263" s="162"/>
      <c r="D263" s="432"/>
      <c r="E263" s="443"/>
      <c r="F263" s="443"/>
      <c r="G263" s="443"/>
      <c r="H263" s="443"/>
      <c r="I263" s="443"/>
      <c r="J263" s="443"/>
      <c r="K263" s="435"/>
      <c r="L263" s="425">
        <f t="shared" si="70"/>
        <v>1</v>
      </c>
      <c r="M263" s="425">
        <f t="shared" si="71"/>
        <v>1</v>
      </c>
      <c r="N263" s="425">
        <f t="shared" si="72"/>
        <v>1</v>
      </c>
      <c r="O263" s="425">
        <f t="shared" si="73"/>
        <v>1</v>
      </c>
      <c r="P263" s="425">
        <f t="shared" si="74"/>
        <v>1</v>
      </c>
      <c r="Q263" s="425">
        <f t="shared" si="75"/>
        <v>1</v>
      </c>
      <c r="R263" s="162"/>
      <c r="S263" s="432"/>
    </row>
    <row r="264" spans="1:19" hidden="1" outlineLevel="1" x14ac:dyDescent="0.2">
      <c r="A264" s="162"/>
      <c r="B264" s="162"/>
      <c r="C264" s="162"/>
      <c r="D264" s="432"/>
      <c r="E264" s="443"/>
      <c r="F264" s="443"/>
      <c r="G264" s="443"/>
      <c r="H264" s="443"/>
      <c r="I264" s="443"/>
      <c r="J264" s="443"/>
      <c r="K264" s="435"/>
      <c r="L264" s="425">
        <f t="shared" si="70"/>
        <v>1</v>
      </c>
      <c r="M264" s="425">
        <f t="shared" si="71"/>
        <v>1</v>
      </c>
      <c r="N264" s="425">
        <f t="shared" si="72"/>
        <v>1</v>
      </c>
      <c r="O264" s="425">
        <f t="shared" si="73"/>
        <v>1</v>
      </c>
      <c r="P264" s="425">
        <f t="shared" si="74"/>
        <v>1</v>
      </c>
      <c r="Q264" s="425">
        <f t="shared" si="75"/>
        <v>1</v>
      </c>
      <c r="R264" s="162"/>
      <c r="S264" s="432"/>
    </row>
    <row r="265" spans="1:19" hidden="1" outlineLevel="1" x14ac:dyDescent="0.2">
      <c r="A265" s="162"/>
      <c r="B265" s="162"/>
      <c r="C265" s="162"/>
      <c r="D265" s="432"/>
      <c r="E265" s="443"/>
      <c r="F265" s="443"/>
      <c r="G265" s="443"/>
      <c r="H265" s="443"/>
      <c r="I265" s="443"/>
      <c r="J265" s="443"/>
      <c r="K265" s="435"/>
      <c r="L265" s="425">
        <f t="shared" si="70"/>
        <v>1</v>
      </c>
      <c r="M265" s="425">
        <f t="shared" si="71"/>
        <v>1</v>
      </c>
      <c r="N265" s="425">
        <f t="shared" si="72"/>
        <v>1</v>
      </c>
      <c r="O265" s="425">
        <f t="shared" si="73"/>
        <v>1</v>
      </c>
      <c r="P265" s="425">
        <f t="shared" si="74"/>
        <v>1</v>
      </c>
      <c r="Q265" s="425">
        <f t="shared" si="75"/>
        <v>1</v>
      </c>
      <c r="R265" s="162"/>
      <c r="S265" s="432"/>
    </row>
    <row r="266" spans="1:19" hidden="1" outlineLevel="1" x14ac:dyDescent="0.2">
      <c r="A266" s="162"/>
      <c r="B266" s="162"/>
      <c r="C266" s="162"/>
      <c r="D266" s="432"/>
      <c r="E266" s="443"/>
      <c r="F266" s="443"/>
      <c r="G266" s="443"/>
      <c r="H266" s="443"/>
      <c r="I266" s="443"/>
      <c r="J266" s="443"/>
      <c r="K266" s="435"/>
      <c r="L266" s="425">
        <f t="shared" si="70"/>
        <v>1</v>
      </c>
      <c r="M266" s="425">
        <f t="shared" si="71"/>
        <v>1</v>
      </c>
      <c r="N266" s="425">
        <f t="shared" si="72"/>
        <v>1</v>
      </c>
      <c r="O266" s="425">
        <f t="shared" si="73"/>
        <v>1</v>
      </c>
      <c r="P266" s="425">
        <f t="shared" si="74"/>
        <v>1</v>
      </c>
      <c r="Q266" s="425">
        <f t="shared" si="75"/>
        <v>1</v>
      </c>
      <c r="R266" s="162"/>
      <c r="S266" s="432"/>
    </row>
    <row r="267" spans="1:19" hidden="1" outlineLevel="1" x14ac:dyDescent="0.2">
      <c r="A267" s="162"/>
      <c r="B267" s="162"/>
      <c r="C267" s="162"/>
      <c r="D267" s="432"/>
      <c r="E267" s="443"/>
      <c r="F267" s="443"/>
      <c r="G267" s="443"/>
      <c r="H267" s="443"/>
      <c r="I267" s="443"/>
      <c r="J267" s="443"/>
      <c r="K267" s="435"/>
      <c r="L267" s="425">
        <f t="shared" si="70"/>
        <v>1</v>
      </c>
      <c r="M267" s="425">
        <f t="shared" si="71"/>
        <v>1</v>
      </c>
      <c r="N267" s="425">
        <f t="shared" si="72"/>
        <v>1</v>
      </c>
      <c r="O267" s="425">
        <f t="shared" si="73"/>
        <v>1</v>
      </c>
      <c r="P267" s="425">
        <f t="shared" si="74"/>
        <v>1</v>
      </c>
      <c r="Q267" s="425">
        <f t="shared" si="75"/>
        <v>1</v>
      </c>
      <c r="R267" s="162"/>
      <c r="S267" s="432"/>
    </row>
    <row r="268" spans="1:19" hidden="1" outlineLevel="1" x14ac:dyDescent="0.2">
      <c r="A268" s="162"/>
      <c r="B268" s="162"/>
      <c r="C268" s="162"/>
      <c r="D268" s="432"/>
      <c r="E268" s="443"/>
      <c r="F268" s="443"/>
      <c r="G268" s="443"/>
      <c r="H268" s="443"/>
      <c r="I268" s="443"/>
      <c r="J268" s="443"/>
      <c r="K268" s="435"/>
      <c r="L268" s="425">
        <f>IF(E268="",1,E268)</f>
        <v>1</v>
      </c>
      <c r="M268" s="425">
        <f t="shared" si="71"/>
        <v>1</v>
      </c>
      <c r="N268" s="425">
        <f t="shared" si="72"/>
        <v>1</v>
      </c>
      <c r="O268" s="425">
        <f t="shared" si="73"/>
        <v>1</v>
      </c>
      <c r="P268" s="425">
        <f t="shared" si="74"/>
        <v>1</v>
      </c>
      <c r="Q268" s="425">
        <f t="shared" si="75"/>
        <v>1</v>
      </c>
      <c r="R268" s="162"/>
      <c r="S268" s="432"/>
    </row>
    <row r="269" spans="1:19" hidden="1" outlineLevel="1" x14ac:dyDescent="0.2">
      <c r="A269" s="162"/>
      <c r="B269" s="162"/>
      <c r="C269" s="162"/>
      <c r="D269" s="424" t="s">
        <v>213</v>
      </c>
      <c r="E269" s="444">
        <f t="shared" ref="E269:J269" si="76">L259*L260*L261*L262*L268*L263*L264*L265*L266*L267</f>
        <v>1</v>
      </c>
      <c r="F269" s="444">
        <f t="shared" si="76"/>
        <v>1</v>
      </c>
      <c r="G269" s="444">
        <f t="shared" si="76"/>
        <v>1</v>
      </c>
      <c r="H269" s="444">
        <f t="shared" si="76"/>
        <v>1</v>
      </c>
      <c r="I269" s="444">
        <f t="shared" si="76"/>
        <v>1</v>
      </c>
      <c r="J269" s="444">
        <f t="shared" si="76"/>
        <v>1</v>
      </c>
      <c r="K269" s="162"/>
      <c r="L269" s="162"/>
      <c r="M269" s="162"/>
      <c r="N269" s="638"/>
      <c r="O269" s="162"/>
      <c r="P269" s="162"/>
      <c r="Q269" s="162"/>
      <c r="R269" s="162"/>
      <c r="S269" s="162"/>
    </row>
    <row r="270" spans="1:19" hidden="1" outlineLevel="1" x14ac:dyDescent="0.2">
      <c r="A270" s="638"/>
      <c r="B270" s="638"/>
      <c r="C270" s="638"/>
      <c r="D270" s="419" t="s">
        <v>90</v>
      </c>
      <c r="E270" s="440">
        <f t="shared" ref="E270:J270" ca="1" si="77">IF(ISNUMBER(E256),E256*E269,"")</f>
        <v>0</v>
      </c>
      <c r="F270" s="440">
        <f t="shared" ca="1" si="77"/>
        <v>0</v>
      </c>
      <c r="G270" s="440">
        <f t="shared" ca="1" si="77"/>
        <v>0</v>
      </c>
      <c r="H270" s="440">
        <f t="shared" ca="1" si="77"/>
        <v>0</v>
      </c>
      <c r="I270" s="440">
        <f t="shared" ca="1" si="77"/>
        <v>0</v>
      </c>
      <c r="J270" s="440">
        <f t="shared" ca="1" si="77"/>
        <v>0</v>
      </c>
      <c r="K270" s="162"/>
      <c r="L270" s="638"/>
      <c r="M270" s="162"/>
      <c r="N270" s="162"/>
      <c r="O270" s="162"/>
      <c r="P270" s="162"/>
      <c r="Q270" s="162"/>
      <c r="R270" s="162"/>
      <c r="S270" s="162"/>
    </row>
    <row r="271" spans="1:19" hidden="1" outlineLevel="1" x14ac:dyDescent="0.2">
      <c r="A271" s="162"/>
      <c r="B271" s="162"/>
      <c r="C271" s="162"/>
      <c r="D271" s="435"/>
      <c r="E271" s="162"/>
      <c r="F271" s="162"/>
      <c r="G271" s="162"/>
      <c r="H271" s="162"/>
      <c r="I271" s="162"/>
      <c r="J271" s="162"/>
      <c r="K271" s="162"/>
      <c r="L271" s="162"/>
      <c r="M271" s="162"/>
      <c r="N271" s="162"/>
      <c r="O271" s="162"/>
      <c r="P271" s="641"/>
      <c r="Q271" s="641"/>
      <c r="R271" s="162"/>
      <c r="S271" s="162"/>
    </row>
    <row r="272" spans="1:19" hidden="1" outlineLevel="1" x14ac:dyDescent="0.2">
      <c r="A272" s="162"/>
      <c r="B272" s="162"/>
      <c r="C272" s="162"/>
      <c r="D272" s="429" t="str">
        <f>TxPhase1Tx</f>
        <v/>
      </c>
      <c r="E272" s="495"/>
      <c r="F272" s="162"/>
      <c r="G272" s="162"/>
      <c r="H272" s="162"/>
      <c r="I272" s="162"/>
      <c r="J272" s="162"/>
      <c r="K272" s="615"/>
      <c r="L272" s="615"/>
      <c r="M272" s="615"/>
      <c r="N272" s="615"/>
      <c r="O272" s="615"/>
      <c r="P272" s="615"/>
      <c r="Q272" s="615"/>
      <c r="R272" s="162"/>
      <c r="S272" s="36" t="s">
        <v>258</v>
      </c>
    </row>
    <row r="273" spans="1:19" hidden="1" outlineLevel="1" x14ac:dyDescent="0.2">
      <c r="A273" s="162"/>
      <c r="B273" s="162"/>
      <c r="C273" s="162"/>
      <c r="D273" s="423" t="s">
        <v>91</v>
      </c>
      <c r="E273" s="428"/>
      <c r="F273" s="428"/>
      <c r="G273" s="428"/>
      <c r="H273" s="428"/>
      <c r="I273" s="428"/>
      <c r="J273" s="428"/>
      <c r="K273" s="615"/>
      <c r="L273" s="615"/>
      <c r="M273" s="615"/>
      <c r="N273" s="615"/>
      <c r="O273" s="615"/>
      <c r="P273" s="615"/>
      <c r="Q273" s="615"/>
      <c r="R273" s="162"/>
      <c r="S273" s="426"/>
    </row>
    <row r="274" spans="1:19" hidden="1" outlineLevel="1" x14ac:dyDescent="0.2">
      <c r="A274" s="162"/>
      <c r="B274" s="162"/>
      <c r="C274" s="162"/>
      <c r="D274" s="435"/>
      <c r="E274" s="162"/>
      <c r="F274" s="162"/>
      <c r="G274" s="162"/>
      <c r="H274" s="162"/>
      <c r="I274" s="162"/>
      <c r="J274" s="162"/>
      <c r="K274" s="615"/>
      <c r="L274" s="615"/>
      <c r="M274" s="615"/>
      <c r="N274" s="615"/>
      <c r="O274" s="615"/>
      <c r="P274" s="615"/>
      <c r="Q274" s="615"/>
      <c r="R274" s="162"/>
      <c r="S274" s="435"/>
    </row>
    <row r="275" spans="1:19" hidden="1" outlineLevel="1" x14ac:dyDescent="0.2">
      <c r="A275" s="162"/>
      <c r="B275" s="162"/>
      <c r="C275" s="162"/>
      <c r="D275" s="433" t="str">
        <f>TXPhase2Tx</f>
        <v/>
      </c>
      <c r="E275" s="495"/>
      <c r="F275" s="162"/>
      <c r="G275" s="162"/>
      <c r="H275" s="162"/>
      <c r="I275" s="162"/>
      <c r="J275" s="162"/>
      <c r="K275" s="615"/>
      <c r="L275" s="615"/>
      <c r="M275" s="615"/>
      <c r="N275" s="615"/>
      <c r="O275" s="615"/>
      <c r="P275" s="615"/>
      <c r="Q275" s="615"/>
      <c r="R275" s="162"/>
      <c r="S275" s="422" t="s">
        <v>258</v>
      </c>
    </row>
    <row r="276" spans="1:19" hidden="1" outlineLevel="1" x14ac:dyDescent="0.2">
      <c r="A276" s="162"/>
      <c r="B276" s="162"/>
      <c r="C276" s="162"/>
      <c r="D276" s="433" t="str">
        <f>IF(D275&lt;&gt;"","Patients electing treatment (%)","")</f>
        <v/>
      </c>
      <c r="E276" s="428"/>
      <c r="F276" s="428"/>
      <c r="G276" s="428"/>
      <c r="H276" s="428"/>
      <c r="I276" s="428"/>
      <c r="J276" s="428"/>
      <c r="K276" s="615"/>
      <c r="L276" s="615"/>
      <c r="M276" s="615"/>
      <c r="N276" s="615"/>
      <c r="O276" s="615"/>
      <c r="P276" s="615"/>
      <c r="Q276" s="615"/>
      <c r="R276" s="162"/>
      <c r="S276" s="426"/>
    </row>
    <row r="277" spans="1:19" hidden="1" outlineLevel="1" x14ac:dyDescent="0.2">
      <c r="A277" s="162"/>
      <c r="B277" s="162"/>
      <c r="C277" s="162"/>
      <c r="D277" s="435"/>
      <c r="E277" s="435"/>
      <c r="F277" s="435"/>
      <c r="G277" s="435"/>
      <c r="H277" s="435"/>
      <c r="I277" s="435"/>
      <c r="J277" s="435"/>
      <c r="K277" s="615"/>
      <c r="L277" s="615"/>
      <c r="M277" s="615"/>
      <c r="N277" s="615"/>
      <c r="O277" s="615"/>
      <c r="P277" s="615"/>
      <c r="Q277" s="615"/>
      <c r="R277" s="162"/>
      <c r="S277" s="162"/>
    </row>
    <row r="278" spans="1:19" s="416" customFormat="1" hidden="1" outlineLevel="1" x14ac:dyDescent="0.2">
      <c r="A278" s="162"/>
      <c r="B278" s="162"/>
      <c r="C278" s="475">
        <f>IFERROR(VLOOKUP(E278,TxPhase2SourceCode,2,FALSE),0)</f>
        <v>1</v>
      </c>
      <c r="D278" s="429" t="s">
        <v>1165</v>
      </c>
      <c r="E278" s="263" t="s">
        <v>1166</v>
      </c>
      <c r="F278" s="435"/>
      <c r="G278" s="435"/>
      <c r="H278" s="435"/>
      <c r="I278" s="435"/>
      <c r="J278" s="435"/>
      <c r="K278" s="615"/>
      <c r="L278" s="615"/>
      <c r="M278" s="615"/>
      <c r="N278" s="615"/>
      <c r="O278" s="615"/>
      <c r="P278" s="615"/>
      <c r="Q278" s="615"/>
      <c r="R278" s="162"/>
      <c r="S278" s="162"/>
    </row>
    <row r="279" spans="1:19" s="416" customFormat="1" hidden="1" outlineLevel="1" x14ac:dyDescent="0.2">
      <c r="A279" s="162"/>
      <c r="B279" s="162"/>
      <c r="C279" s="162"/>
      <c r="D279" s="435"/>
      <c r="E279" s="435"/>
      <c r="F279" s="435"/>
      <c r="G279" s="435"/>
      <c r="H279" s="435"/>
      <c r="I279" s="435"/>
      <c r="J279" s="435"/>
      <c r="K279" s="615"/>
      <c r="L279" s="615"/>
      <c r="M279" s="615"/>
      <c r="N279" s="615"/>
      <c r="O279" s="615"/>
      <c r="P279" s="615"/>
      <c r="Q279" s="615"/>
      <c r="R279" s="162"/>
      <c r="S279" s="162"/>
    </row>
    <row r="280" spans="1:19" hidden="1" outlineLevel="1" x14ac:dyDescent="0.2">
      <c r="A280" s="162"/>
      <c r="B280" s="162"/>
      <c r="C280" s="162"/>
      <c r="D280" s="429" t="str">
        <f>TxPhase1Px</f>
        <v/>
      </c>
      <c r="E280" s="440">
        <f t="shared" ref="E280:J280" si="78">IF(TxPhase1&lt;&gt;"",E270*E273,0)</f>
        <v>0</v>
      </c>
      <c r="F280" s="440">
        <f t="shared" si="78"/>
        <v>0</v>
      </c>
      <c r="G280" s="440">
        <f t="shared" si="78"/>
        <v>0</v>
      </c>
      <c r="H280" s="440">
        <f t="shared" si="78"/>
        <v>0</v>
      </c>
      <c r="I280" s="440">
        <f t="shared" si="78"/>
        <v>0</v>
      </c>
      <c r="J280" s="440">
        <f t="shared" si="78"/>
        <v>0</v>
      </c>
      <c r="K280" s="615"/>
      <c r="L280" s="615"/>
      <c r="M280" s="615"/>
      <c r="N280" s="615"/>
      <c r="O280" s="615"/>
      <c r="P280" s="615"/>
      <c r="Q280" s="615"/>
      <c r="R280" s="162"/>
      <c r="S280" s="162"/>
    </row>
    <row r="281" spans="1:19" hidden="1" outlineLevel="1" x14ac:dyDescent="0.2">
      <c r="A281" s="162"/>
      <c r="B281" s="162"/>
      <c r="C281" s="162"/>
      <c r="D281" s="429" t="str">
        <f>TxPhase2Px</f>
        <v/>
      </c>
      <c r="E281" s="440">
        <f t="shared" ref="E281:J281" si="79">IF(TxPhase2&lt;&gt;"",IF($C278=1,E280,IF($C278=2,E270,0))*E276,0)</f>
        <v>0</v>
      </c>
      <c r="F281" s="440">
        <f t="shared" si="79"/>
        <v>0</v>
      </c>
      <c r="G281" s="440">
        <f t="shared" si="79"/>
        <v>0</v>
      </c>
      <c r="H281" s="440">
        <f t="shared" si="79"/>
        <v>0</v>
      </c>
      <c r="I281" s="440">
        <f t="shared" si="79"/>
        <v>0</v>
      </c>
      <c r="J281" s="440">
        <f t="shared" si="79"/>
        <v>0</v>
      </c>
      <c r="K281" s="615"/>
      <c r="L281" s="615"/>
      <c r="M281" s="615"/>
      <c r="N281" s="615"/>
      <c r="O281" s="615"/>
      <c r="P281" s="615"/>
      <c r="Q281" s="615"/>
      <c r="R281" s="162"/>
      <c r="S281" s="162"/>
    </row>
    <row r="282" spans="1:19" s="416" customFormat="1" hidden="1" outlineLevel="1" x14ac:dyDescent="0.2">
      <c r="A282" s="162"/>
      <c r="B282" s="162"/>
      <c r="C282" s="162"/>
      <c r="D282" s="417"/>
      <c r="E282" s="417"/>
      <c r="F282" s="162"/>
      <c r="G282" s="162"/>
      <c r="H282" s="162"/>
      <c r="I282" s="162"/>
      <c r="J282" s="162"/>
      <c r="K282" s="162"/>
      <c r="L282" s="162"/>
      <c r="M282" s="162"/>
      <c r="N282" s="638"/>
      <c r="O282" s="162"/>
      <c r="P282" s="641"/>
      <c r="Q282" s="641"/>
      <c r="R282" s="162"/>
      <c r="S282" s="162"/>
    </row>
    <row r="283" spans="1:19" s="416" customFormat="1" hidden="1" outlineLevel="1" x14ac:dyDescent="0.2">
      <c r="A283" s="162"/>
      <c r="B283" s="162"/>
      <c r="C283" s="475" t="str">
        <f>IF(E283&lt;&gt;"",E283,"")</f>
        <v/>
      </c>
      <c r="D283" s="89" t="s">
        <v>756</v>
      </c>
      <c r="E283" s="263"/>
      <c r="F283" s="162"/>
      <c r="G283" s="162"/>
      <c r="H283" s="162"/>
      <c r="I283" s="162"/>
      <c r="J283" s="162"/>
      <c r="K283" s="162"/>
      <c r="L283" s="162"/>
      <c r="M283" s="162"/>
      <c r="N283" s="638"/>
      <c r="O283" s="162"/>
      <c r="P283" s="641"/>
      <c r="Q283" s="641"/>
      <c r="R283" s="162"/>
      <c r="S283" s="162"/>
    </row>
    <row r="284" spans="1:19" hidden="1" outlineLevel="1" collapsed="1" x14ac:dyDescent="0.2">
      <c r="A284" s="162"/>
      <c r="B284" s="162"/>
      <c r="C284" s="162"/>
      <c r="D284" s="162"/>
      <c r="E284" s="162"/>
      <c r="F284" s="162"/>
      <c r="G284" s="162"/>
      <c r="H284" s="162"/>
      <c r="I284" s="162"/>
      <c r="J284" s="162"/>
      <c r="K284" s="162"/>
      <c r="L284" s="162"/>
      <c r="M284" s="162"/>
      <c r="N284" s="638"/>
      <c r="O284" s="162"/>
      <c r="P284" s="641"/>
      <c r="Q284" s="641"/>
      <c r="R284" s="162"/>
      <c r="S284" s="162"/>
    </row>
    <row r="285" spans="1:19" collapsed="1" x14ac:dyDescent="0.2">
      <c r="A285" s="162"/>
      <c r="B285" s="162"/>
      <c r="C285" s="162"/>
      <c r="D285" s="162"/>
      <c r="E285" s="162"/>
      <c r="F285" s="162"/>
      <c r="G285" s="162"/>
      <c r="H285" s="162"/>
      <c r="I285" s="162"/>
      <c r="J285" s="162"/>
      <c r="K285" s="162"/>
      <c r="L285" s="162"/>
      <c r="M285" s="162"/>
      <c r="N285" s="162"/>
      <c r="O285" s="162"/>
      <c r="P285" s="639"/>
      <c r="Q285" s="640"/>
      <c r="R285" s="162"/>
      <c r="S285" s="162"/>
    </row>
    <row r="286" spans="1:19" ht="15.75" x14ac:dyDescent="0.2">
      <c r="A286" s="162"/>
      <c r="B286" s="162"/>
      <c r="C286" s="573">
        <v>8</v>
      </c>
      <c r="D286" s="79" t="str">
        <f>IF(E290&lt;&gt;"",CONCATENATE("Prevalent ",C286,": ",G290,L286),MsgNotUsed)</f>
        <v>** NOT USED **</v>
      </c>
      <c r="E286" s="132"/>
      <c r="F286" s="132"/>
      <c r="G286" s="132"/>
      <c r="H286" s="132"/>
      <c r="I286" s="134"/>
      <c r="J286" s="126"/>
      <c r="K286" s="133"/>
      <c r="L286" s="325" t="str">
        <f>IF(S290&lt;&gt;"",CONCATENATE(" (",S290,")"),"")</f>
        <v/>
      </c>
      <c r="M286" s="133"/>
      <c r="N286" s="133"/>
      <c r="O286" s="133"/>
      <c r="P286" s="133"/>
      <c r="Q286" s="133"/>
      <c r="R286" s="133"/>
      <c r="S286" s="133"/>
    </row>
    <row r="287" spans="1:19" hidden="1" outlineLevel="1" x14ac:dyDescent="0.2">
      <c r="A287" s="162"/>
      <c r="B287" s="162"/>
      <c r="C287" s="162"/>
      <c r="D287" s="616"/>
      <c r="E287" s="162"/>
      <c r="F287" s="162"/>
      <c r="G287" s="162"/>
      <c r="H287" s="162"/>
      <c r="I287" s="162"/>
      <c r="J287" s="162"/>
      <c r="K287" s="162"/>
      <c r="L287" s="162"/>
      <c r="M287" s="162"/>
      <c r="N287" s="162"/>
      <c r="O287" s="162"/>
      <c r="P287" s="162"/>
      <c r="Q287" s="162"/>
      <c r="R287" s="162"/>
      <c r="S287" s="162"/>
    </row>
    <row r="288" spans="1:19" hidden="1" outlineLevel="1" x14ac:dyDescent="0.2">
      <c r="A288" s="162"/>
      <c r="B288" s="162"/>
      <c r="C288" s="162"/>
      <c r="D288" s="162" t="s">
        <v>840</v>
      </c>
      <c r="E288" s="162"/>
      <c r="F288" s="162"/>
      <c r="G288" s="162"/>
      <c r="H288" s="162"/>
      <c r="I288" s="162"/>
      <c r="J288" s="162"/>
      <c r="K288" s="162"/>
      <c r="L288" s="162"/>
      <c r="M288" s="162"/>
      <c r="N288" s="162"/>
      <c r="O288" s="162"/>
      <c r="P288" s="162"/>
      <c r="Q288" s="162"/>
      <c r="R288" s="162"/>
      <c r="S288" s="641"/>
    </row>
    <row r="289" spans="1:19" hidden="1" outlineLevel="1" x14ac:dyDescent="0.2">
      <c r="A289" s="162"/>
      <c r="B289" s="162"/>
      <c r="C289" s="162"/>
      <c r="D289" s="616"/>
      <c r="E289" s="162"/>
      <c r="F289" s="162"/>
      <c r="G289" s="162"/>
      <c r="H289" s="162"/>
      <c r="I289" s="162"/>
      <c r="J289" s="162"/>
      <c r="K289" s="162"/>
      <c r="L289" s="162"/>
      <c r="M289" s="162"/>
      <c r="N289" s="162"/>
      <c r="O289" s="162"/>
      <c r="P289" s="162"/>
      <c r="Q289" s="162"/>
      <c r="R289" s="162"/>
      <c r="S289" s="36" t="s">
        <v>424</v>
      </c>
    </row>
    <row r="290" spans="1:19" hidden="1" outlineLevel="1" x14ac:dyDescent="0.2">
      <c r="A290" s="129"/>
      <c r="B290" s="475">
        <f>IF(E290&lt;&gt;"",MATCH(E290,EPISource,0)-1,0)</f>
        <v>0</v>
      </c>
      <c r="C290" s="475">
        <f ca="1">IF(G290&lt;&gt;"",MATCH(G290,OFFSET(References!$AE$7,0,B290,PxPopMaxCount),0),0)</f>
        <v>0</v>
      </c>
      <c r="D290" s="423" t="s">
        <v>113</v>
      </c>
      <c r="E290" s="438"/>
      <c r="F290" s="436"/>
      <c r="G290" s="812"/>
      <c r="H290" s="813"/>
      <c r="I290" s="813"/>
      <c r="J290" s="813"/>
      <c r="K290" s="162"/>
      <c r="L290" s="162"/>
      <c r="M290" s="162"/>
      <c r="N290" s="162"/>
      <c r="O290" s="162"/>
      <c r="P290" s="162"/>
      <c r="Q290" s="162"/>
      <c r="R290" s="162"/>
      <c r="S290" s="439"/>
    </row>
    <row r="291" spans="1:19" hidden="1" outlineLevel="1" x14ac:dyDescent="0.2">
      <c r="A291" s="129"/>
      <c r="B291" s="475">
        <f>INDEX(PxPopValid,,B290+1)</f>
        <v>0</v>
      </c>
      <c r="C291" s="475">
        <f ca="1">(B290*PxPopMaxCount)+C290</f>
        <v>0</v>
      </c>
      <c r="D291" s="162"/>
      <c r="E291" s="650">
        <v>1</v>
      </c>
      <c r="F291" s="650">
        <v>2</v>
      </c>
      <c r="G291" s="650">
        <v>3</v>
      </c>
      <c r="H291" s="650">
        <v>4</v>
      </c>
      <c r="I291" s="650">
        <v>5</v>
      </c>
      <c r="J291" s="650">
        <v>6</v>
      </c>
      <c r="K291" s="162"/>
      <c r="L291" s="162"/>
      <c r="M291" s="162"/>
      <c r="N291" s="162"/>
      <c r="O291" s="162"/>
      <c r="P291" s="162"/>
      <c r="Q291" s="162"/>
      <c r="R291" s="162"/>
      <c r="S291" s="162"/>
    </row>
    <row r="292" spans="1:19" hidden="1" outlineLevel="1" x14ac:dyDescent="0.2">
      <c r="A292" s="129"/>
      <c r="B292" s="129"/>
      <c r="C292" s="129"/>
      <c r="D292" s="616"/>
      <c r="E292" s="814" t="s">
        <v>10</v>
      </c>
      <c r="F292" s="814"/>
      <c r="G292" s="814"/>
      <c r="H292" s="814"/>
      <c r="I292" s="814"/>
      <c r="J292" s="814"/>
      <c r="K292" s="162"/>
      <c r="L292" s="162"/>
      <c r="M292" s="162"/>
      <c r="N292" s="162"/>
      <c r="O292" s="162"/>
      <c r="P292" s="162"/>
      <c r="Q292" s="162"/>
      <c r="R292" s="162"/>
      <c r="S292" s="636" t="str">
        <f ca="1">IF(ISERROR($C291)=TRUE,MsgError&amp;VLOOKUP("BadPop",ErrorMessages,2,FALSE),IF(RIGHT(G290,11)="(Incidence)",MsgError&amp;VLOOKUP("BadIncPop",ErrorMessages,2,FALSE),""))</f>
        <v/>
      </c>
    </row>
    <row r="293" spans="1:19" hidden="1" outlineLevel="1" x14ac:dyDescent="0.2">
      <c r="A293" s="129"/>
      <c r="B293" s="129"/>
      <c r="C293" s="129"/>
      <c r="D293" s="643"/>
      <c r="E293" s="431">
        <f>FirstYear</f>
        <v>2021</v>
      </c>
      <c r="F293" s="431">
        <f>E293+1</f>
        <v>2022</v>
      </c>
      <c r="G293" s="431">
        <f>F293+1</f>
        <v>2023</v>
      </c>
      <c r="H293" s="431">
        <f>G293+1</f>
        <v>2024</v>
      </c>
      <c r="I293" s="431">
        <f>H293+1</f>
        <v>2025</v>
      </c>
      <c r="J293" s="431">
        <f>I293+1</f>
        <v>2026</v>
      </c>
      <c r="K293" s="162"/>
      <c r="L293" s="162"/>
      <c r="M293" s="162"/>
      <c r="N293" s="162"/>
      <c r="O293" s="162"/>
      <c r="P293" s="162"/>
      <c r="Q293" s="162"/>
      <c r="R293" s="162"/>
      <c r="S293" s="162"/>
    </row>
    <row r="294" spans="1:19" hidden="1" outlineLevel="1" x14ac:dyDescent="0.2">
      <c r="A294" s="162"/>
      <c r="B294" s="162"/>
      <c r="C294" s="162"/>
      <c r="D294" s="721" t="s">
        <v>92</v>
      </c>
      <c r="E294" s="437">
        <f t="shared" ref="E294:J294" ca="1" si="80">IF(AND(ISERROR($C291)&lt;&gt;TRUE,$G290&lt;&gt;""),INDEX(PxPopNumbers,$C291,E291),0)</f>
        <v>0</v>
      </c>
      <c r="F294" s="437">
        <f t="shared" ca="1" si="80"/>
        <v>0</v>
      </c>
      <c r="G294" s="437">
        <f t="shared" ca="1" si="80"/>
        <v>0</v>
      </c>
      <c r="H294" s="437">
        <f t="shared" ca="1" si="80"/>
        <v>0</v>
      </c>
      <c r="I294" s="437">
        <f t="shared" ca="1" si="80"/>
        <v>0</v>
      </c>
      <c r="J294" s="437">
        <f t="shared" ca="1" si="80"/>
        <v>0</v>
      </c>
      <c r="K294" s="162"/>
      <c r="L294" s="162"/>
      <c r="M294" s="162"/>
      <c r="N294" s="162"/>
      <c r="O294" s="162"/>
      <c r="P294" s="162"/>
      <c r="Q294" s="162"/>
      <c r="R294" s="616"/>
      <c r="S294" s="162"/>
    </row>
    <row r="295" spans="1:19" hidden="1" outlineLevel="1" x14ac:dyDescent="0.2">
      <c r="A295" s="162"/>
      <c r="B295" s="162"/>
      <c r="C295" s="162"/>
      <c r="D295" s="162"/>
      <c r="E295" s="435"/>
      <c r="F295" s="435"/>
      <c r="G295" s="435"/>
      <c r="H295" s="435"/>
      <c r="I295" s="435"/>
      <c r="J295" s="435"/>
      <c r="K295" s="162"/>
      <c r="L295" s="162"/>
      <c r="M295" s="162"/>
      <c r="N295" s="162"/>
      <c r="O295" s="162"/>
      <c r="P295" s="162"/>
      <c r="Q295" s="162"/>
      <c r="R295" s="162"/>
      <c r="S295" s="162"/>
    </row>
    <row r="296" spans="1:19" hidden="1" outlineLevel="1" x14ac:dyDescent="0.2">
      <c r="A296" s="162"/>
      <c r="B296" s="162"/>
      <c r="C296" s="162"/>
      <c r="D296" s="720" t="s">
        <v>205</v>
      </c>
      <c r="E296" s="435"/>
      <c r="F296" s="435"/>
      <c r="G296" s="435"/>
      <c r="H296" s="435"/>
      <c r="I296" s="435"/>
      <c r="J296" s="435"/>
      <c r="K296" s="162"/>
      <c r="L296" s="162"/>
      <c r="M296" s="162"/>
      <c r="N296" s="162"/>
      <c r="O296" s="162"/>
      <c r="P296" s="162"/>
      <c r="Q296" s="162"/>
      <c r="R296" s="162"/>
      <c r="S296" s="36" t="s">
        <v>258</v>
      </c>
    </row>
    <row r="297" spans="1:19" hidden="1" outlineLevel="1" x14ac:dyDescent="0.2">
      <c r="A297" s="162"/>
      <c r="B297" s="162"/>
      <c r="C297" s="162"/>
      <c r="D297" s="432"/>
      <c r="E297" s="443"/>
      <c r="F297" s="443"/>
      <c r="G297" s="443"/>
      <c r="H297" s="443"/>
      <c r="I297" s="443"/>
      <c r="J297" s="443"/>
      <c r="K297" s="435"/>
      <c r="L297" s="425">
        <f t="shared" ref="L297:L305" si="81">IF(E297="",1,E297)</f>
        <v>1</v>
      </c>
      <c r="M297" s="425">
        <f t="shared" ref="M297:M306" si="82">IF(F297="",1,F297)</f>
        <v>1</v>
      </c>
      <c r="N297" s="425">
        <f t="shared" ref="N297:N306" si="83">IF(G297="",1,G297)</f>
        <v>1</v>
      </c>
      <c r="O297" s="425">
        <f t="shared" ref="O297:O306" si="84">IF(H297="",1,H297)</f>
        <v>1</v>
      </c>
      <c r="P297" s="425">
        <f t="shared" ref="P297:P306" si="85">IF(I297="",1,I297)</f>
        <v>1</v>
      </c>
      <c r="Q297" s="425">
        <f t="shared" ref="Q297:Q306" si="86">IF(J297="",1,J297)</f>
        <v>1</v>
      </c>
      <c r="R297" s="162"/>
      <c r="S297" s="432"/>
    </row>
    <row r="298" spans="1:19" hidden="1" outlineLevel="1" x14ac:dyDescent="0.2">
      <c r="A298" s="162"/>
      <c r="B298" s="162"/>
      <c r="C298" s="162"/>
      <c r="D298" s="432"/>
      <c r="E298" s="443"/>
      <c r="F298" s="443"/>
      <c r="G298" s="443"/>
      <c r="H298" s="443"/>
      <c r="I298" s="443"/>
      <c r="J298" s="443"/>
      <c r="K298" s="435"/>
      <c r="L298" s="425">
        <f t="shared" si="81"/>
        <v>1</v>
      </c>
      <c r="M298" s="425">
        <f t="shared" si="82"/>
        <v>1</v>
      </c>
      <c r="N298" s="425">
        <f t="shared" si="83"/>
        <v>1</v>
      </c>
      <c r="O298" s="425">
        <f t="shared" si="84"/>
        <v>1</v>
      </c>
      <c r="P298" s="425">
        <f t="shared" si="85"/>
        <v>1</v>
      </c>
      <c r="Q298" s="425">
        <f t="shared" si="86"/>
        <v>1</v>
      </c>
      <c r="R298" s="162"/>
      <c r="S298" s="432"/>
    </row>
    <row r="299" spans="1:19" hidden="1" outlineLevel="1" x14ac:dyDescent="0.2">
      <c r="A299" s="162"/>
      <c r="B299" s="162"/>
      <c r="C299" s="162"/>
      <c r="D299" s="432"/>
      <c r="E299" s="443"/>
      <c r="F299" s="443"/>
      <c r="G299" s="443"/>
      <c r="H299" s="443"/>
      <c r="I299" s="443"/>
      <c r="J299" s="443"/>
      <c r="K299" s="435"/>
      <c r="L299" s="425">
        <f t="shared" si="81"/>
        <v>1</v>
      </c>
      <c r="M299" s="425">
        <f t="shared" si="82"/>
        <v>1</v>
      </c>
      <c r="N299" s="425">
        <f t="shared" si="83"/>
        <v>1</v>
      </c>
      <c r="O299" s="425">
        <f t="shared" si="84"/>
        <v>1</v>
      </c>
      <c r="P299" s="425">
        <f t="shared" si="85"/>
        <v>1</v>
      </c>
      <c r="Q299" s="425">
        <f t="shared" si="86"/>
        <v>1</v>
      </c>
      <c r="R299" s="162"/>
      <c r="S299" s="432"/>
    </row>
    <row r="300" spans="1:19" hidden="1" outlineLevel="1" x14ac:dyDescent="0.2">
      <c r="A300" s="162"/>
      <c r="B300" s="162"/>
      <c r="C300" s="162"/>
      <c r="D300" s="432"/>
      <c r="E300" s="443"/>
      <c r="F300" s="443"/>
      <c r="G300" s="443"/>
      <c r="H300" s="443"/>
      <c r="I300" s="443"/>
      <c r="J300" s="443"/>
      <c r="K300" s="435"/>
      <c r="L300" s="425">
        <f t="shared" si="81"/>
        <v>1</v>
      </c>
      <c r="M300" s="425">
        <f t="shared" si="82"/>
        <v>1</v>
      </c>
      <c r="N300" s="425">
        <f t="shared" si="83"/>
        <v>1</v>
      </c>
      <c r="O300" s="425">
        <f t="shared" si="84"/>
        <v>1</v>
      </c>
      <c r="P300" s="425">
        <f t="shared" si="85"/>
        <v>1</v>
      </c>
      <c r="Q300" s="425">
        <f t="shared" si="86"/>
        <v>1</v>
      </c>
      <c r="R300" s="162"/>
      <c r="S300" s="432"/>
    </row>
    <row r="301" spans="1:19" hidden="1" outlineLevel="1" x14ac:dyDescent="0.2">
      <c r="A301" s="162"/>
      <c r="B301" s="162"/>
      <c r="C301" s="162"/>
      <c r="D301" s="432"/>
      <c r="E301" s="443"/>
      <c r="F301" s="443"/>
      <c r="G301" s="443"/>
      <c r="H301" s="443"/>
      <c r="I301" s="443"/>
      <c r="J301" s="443"/>
      <c r="K301" s="435"/>
      <c r="L301" s="425">
        <f t="shared" si="81"/>
        <v>1</v>
      </c>
      <c r="M301" s="425">
        <f t="shared" si="82"/>
        <v>1</v>
      </c>
      <c r="N301" s="425">
        <f t="shared" si="83"/>
        <v>1</v>
      </c>
      <c r="O301" s="425">
        <f t="shared" si="84"/>
        <v>1</v>
      </c>
      <c r="P301" s="425">
        <f t="shared" si="85"/>
        <v>1</v>
      </c>
      <c r="Q301" s="425">
        <f t="shared" si="86"/>
        <v>1</v>
      </c>
      <c r="R301" s="162"/>
      <c r="S301" s="432"/>
    </row>
    <row r="302" spans="1:19" hidden="1" outlineLevel="1" x14ac:dyDescent="0.2">
      <c r="A302" s="162"/>
      <c r="B302" s="162"/>
      <c r="C302" s="162"/>
      <c r="D302" s="432"/>
      <c r="E302" s="443"/>
      <c r="F302" s="443"/>
      <c r="G302" s="443"/>
      <c r="H302" s="443"/>
      <c r="I302" s="443"/>
      <c r="J302" s="443"/>
      <c r="K302" s="435"/>
      <c r="L302" s="425">
        <f t="shared" si="81"/>
        <v>1</v>
      </c>
      <c r="M302" s="425">
        <f t="shared" si="82"/>
        <v>1</v>
      </c>
      <c r="N302" s="425">
        <f t="shared" si="83"/>
        <v>1</v>
      </c>
      <c r="O302" s="425">
        <f t="shared" si="84"/>
        <v>1</v>
      </c>
      <c r="P302" s="425">
        <f t="shared" si="85"/>
        <v>1</v>
      </c>
      <c r="Q302" s="425">
        <f t="shared" si="86"/>
        <v>1</v>
      </c>
      <c r="R302" s="162"/>
      <c r="S302" s="432"/>
    </row>
    <row r="303" spans="1:19" hidden="1" outlineLevel="1" x14ac:dyDescent="0.2">
      <c r="A303" s="162"/>
      <c r="B303" s="162"/>
      <c r="C303" s="162"/>
      <c r="D303" s="432"/>
      <c r="E303" s="443"/>
      <c r="F303" s="443"/>
      <c r="G303" s="443"/>
      <c r="H303" s="443"/>
      <c r="I303" s="443"/>
      <c r="J303" s="443"/>
      <c r="K303" s="435"/>
      <c r="L303" s="425">
        <f t="shared" si="81"/>
        <v>1</v>
      </c>
      <c r="M303" s="425">
        <f t="shared" si="82"/>
        <v>1</v>
      </c>
      <c r="N303" s="425">
        <f t="shared" si="83"/>
        <v>1</v>
      </c>
      <c r="O303" s="425">
        <f t="shared" si="84"/>
        <v>1</v>
      </c>
      <c r="P303" s="425">
        <f t="shared" si="85"/>
        <v>1</v>
      </c>
      <c r="Q303" s="425">
        <f t="shared" si="86"/>
        <v>1</v>
      </c>
      <c r="R303" s="162"/>
      <c r="S303" s="432"/>
    </row>
    <row r="304" spans="1:19" hidden="1" outlineLevel="1" x14ac:dyDescent="0.2">
      <c r="A304" s="162"/>
      <c r="B304" s="162"/>
      <c r="C304" s="162"/>
      <c r="D304" s="432"/>
      <c r="E304" s="443"/>
      <c r="F304" s="443"/>
      <c r="G304" s="443"/>
      <c r="H304" s="443"/>
      <c r="I304" s="443"/>
      <c r="J304" s="443"/>
      <c r="K304" s="435"/>
      <c r="L304" s="425">
        <f t="shared" si="81"/>
        <v>1</v>
      </c>
      <c r="M304" s="425">
        <f t="shared" si="82"/>
        <v>1</v>
      </c>
      <c r="N304" s="425">
        <f t="shared" si="83"/>
        <v>1</v>
      </c>
      <c r="O304" s="425">
        <f t="shared" si="84"/>
        <v>1</v>
      </c>
      <c r="P304" s="425">
        <f t="shared" si="85"/>
        <v>1</v>
      </c>
      <c r="Q304" s="425">
        <f t="shared" si="86"/>
        <v>1</v>
      </c>
      <c r="R304" s="162"/>
      <c r="S304" s="432"/>
    </row>
    <row r="305" spans="1:19" hidden="1" outlineLevel="1" x14ac:dyDescent="0.2">
      <c r="A305" s="162"/>
      <c r="B305" s="162"/>
      <c r="C305" s="162"/>
      <c r="D305" s="432"/>
      <c r="E305" s="443"/>
      <c r="F305" s="443"/>
      <c r="G305" s="443"/>
      <c r="H305" s="443"/>
      <c r="I305" s="443"/>
      <c r="J305" s="443"/>
      <c r="K305" s="435"/>
      <c r="L305" s="425">
        <f t="shared" si="81"/>
        <v>1</v>
      </c>
      <c r="M305" s="425">
        <f t="shared" si="82"/>
        <v>1</v>
      </c>
      <c r="N305" s="425">
        <f t="shared" si="83"/>
        <v>1</v>
      </c>
      <c r="O305" s="425">
        <f t="shared" si="84"/>
        <v>1</v>
      </c>
      <c r="P305" s="425">
        <f t="shared" si="85"/>
        <v>1</v>
      </c>
      <c r="Q305" s="425">
        <f t="shared" si="86"/>
        <v>1</v>
      </c>
      <c r="R305" s="162"/>
      <c r="S305" s="432"/>
    </row>
    <row r="306" spans="1:19" hidden="1" outlineLevel="1" x14ac:dyDescent="0.2">
      <c r="A306" s="162"/>
      <c r="B306" s="162"/>
      <c r="C306" s="162"/>
      <c r="D306" s="432"/>
      <c r="E306" s="443"/>
      <c r="F306" s="443"/>
      <c r="G306" s="443"/>
      <c r="H306" s="443"/>
      <c r="I306" s="443"/>
      <c r="J306" s="443"/>
      <c r="K306" s="435"/>
      <c r="L306" s="425">
        <f>IF(E306="",1,E306)</f>
        <v>1</v>
      </c>
      <c r="M306" s="425">
        <f t="shared" si="82"/>
        <v>1</v>
      </c>
      <c r="N306" s="425">
        <f t="shared" si="83"/>
        <v>1</v>
      </c>
      <c r="O306" s="425">
        <f t="shared" si="84"/>
        <v>1</v>
      </c>
      <c r="P306" s="425">
        <f t="shared" si="85"/>
        <v>1</v>
      </c>
      <c r="Q306" s="425">
        <f t="shared" si="86"/>
        <v>1</v>
      </c>
      <c r="R306" s="162"/>
      <c r="S306" s="432"/>
    </row>
    <row r="307" spans="1:19" hidden="1" outlineLevel="1" x14ac:dyDescent="0.2">
      <c r="A307" s="162"/>
      <c r="B307" s="162"/>
      <c r="C307" s="162"/>
      <c r="D307" s="424" t="s">
        <v>213</v>
      </c>
      <c r="E307" s="444">
        <f t="shared" ref="E307:J307" si="87">L297*L298*L299*L300*L306*L301*L302*L303*L304*L305</f>
        <v>1</v>
      </c>
      <c r="F307" s="444">
        <f t="shared" si="87"/>
        <v>1</v>
      </c>
      <c r="G307" s="444">
        <f t="shared" si="87"/>
        <v>1</v>
      </c>
      <c r="H307" s="444">
        <f t="shared" si="87"/>
        <v>1</v>
      </c>
      <c r="I307" s="444">
        <f t="shared" si="87"/>
        <v>1</v>
      </c>
      <c r="J307" s="444">
        <f t="shared" si="87"/>
        <v>1</v>
      </c>
      <c r="K307" s="162"/>
      <c r="L307" s="162"/>
      <c r="M307" s="162"/>
      <c r="N307" s="638"/>
      <c r="O307" s="162"/>
      <c r="P307" s="162"/>
      <c r="Q307" s="162"/>
      <c r="R307" s="162"/>
      <c r="S307" s="162"/>
    </row>
    <row r="308" spans="1:19" hidden="1" outlineLevel="1" x14ac:dyDescent="0.2">
      <c r="A308" s="638"/>
      <c r="B308" s="638"/>
      <c r="C308" s="638"/>
      <c r="D308" s="419" t="s">
        <v>90</v>
      </c>
      <c r="E308" s="440">
        <f t="shared" ref="E308:J308" ca="1" si="88">IF(ISNUMBER(E294),E294*E307,"")</f>
        <v>0</v>
      </c>
      <c r="F308" s="440">
        <f t="shared" ca="1" si="88"/>
        <v>0</v>
      </c>
      <c r="G308" s="440">
        <f t="shared" ca="1" si="88"/>
        <v>0</v>
      </c>
      <c r="H308" s="440">
        <f t="shared" ca="1" si="88"/>
        <v>0</v>
      </c>
      <c r="I308" s="440">
        <f t="shared" ca="1" si="88"/>
        <v>0</v>
      </c>
      <c r="J308" s="440">
        <f t="shared" ca="1" si="88"/>
        <v>0</v>
      </c>
      <c r="K308" s="162"/>
      <c r="L308" s="638"/>
      <c r="M308" s="162"/>
      <c r="N308" s="162"/>
      <c r="O308" s="162"/>
      <c r="P308" s="162"/>
      <c r="Q308" s="162"/>
      <c r="R308" s="162"/>
      <c r="S308" s="162"/>
    </row>
    <row r="309" spans="1:19" hidden="1" outlineLevel="1" x14ac:dyDescent="0.2">
      <c r="A309" s="162"/>
      <c r="B309" s="162"/>
      <c r="C309" s="162"/>
      <c r="D309" s="435"/>
      <c r="E309" s="162"/>
      <c r="F309" s="162"/>
      <c r="G309" s="162"/>
      <c r="H309" s="162"/>
      <c r="I309" s="162"/>
      <c r="J309" s="162"/>
      <c r="K309" s="162"/>
      <c r="L309" s="162"/>
      <c r="M309" s="162"/>
      <c r="N309" s="162"/>
      <c r="O309" s="162"/>
      <c r="P309" s="641"/>
      <c r="Q309" s="641"/>
      <c r="R309" s="162"/>
      <c r="S309" s="162"/>
    </row>
    <row r="310" spans="1:19" hidden="1" outlineLevel="1" x14ac:dyDescent="0.2">
      <c r="A310" s="162"/>
      <c r="B310" s="162"/>
      <c r="C310" s="162"/>
      <c r="D310" s="429" t="str">
        <f>TxPhase1Tx</f>
        <v/>
      </c>
      <c r="E310" s="495"/>
      <c r="F310" s="162"/>
      <c r="G310" s="162"/>
      <c r="H310" s="162"/>
      <c r="I310" s="162"/>
      <c r="J310" s="162"/>
      <c r="K310" s="615"/>
      <c r="L310" s="615"/>
      <c r="M310" s="615"/>
      <c r="N310" s="615"/>
      <c r="O310" s="615"/>
      <c r="P310" s="615"/>
      <c r="Q310" s="615"/>
      <c r="R310" s="162"/>
      <c r="S310" s="36" t="s">
        <v>258</v>
      </c>
    </row>
    <row r="311" spans="1:19" hidden="1" outlineLevel="1" x14ac:dyDescent="0.2">
      <c r="A311" s="162"/>
      <c r="B311" s="162"/>
      <c r="C311" s="162"/>
      <c r="D311" s="423" t="s">
        <v>91</v>
      </c>
      <c r="E311" s="428"/>
      <c r="F311" s="428"/>
      <c r="G311" s="428"/>
      <c r="H311" s="428"/>
      <c r="I311" s="428"/>
      <c r="J311" s="428"/>
      <c r="K311" s="615"/>
      <c r="L311" s="615"/>
      <c r="M311" s="615"/>
      <c r="N311" s="615"/>
      <c r="O311" s="615"/>
      <c r="P311" s="615"/>
      <c r="Q311" s="615"/>
      <c r="R311" s="162"/>
      <c r="S311" s="426"/>
    </row>
    <row r="312" spans="1:19" hidden="1" outlineLevel="1" x14ac:dyDescent="0.2">
      <c r="A312" s="162"/>
      <c r="B312" s="162"/>
      <c r="C312" s="162"/>
      <c r="D312" s="435"/>
      <c r="E312" s="162"/>
      <c r="F312" s="162"/>
      <c r="G312" s="162"/>
      <c r="H312" s="162"/>
      <c r="I312" s="162"/>
      <c r="J312" s="162"/>
      <c r="K312" s="615"/>
      <c r="L312" s="615"/>
      <c r="M312" s="615"/>
      <c r="N312" s="615"/>
      <c r="O312" s="615"/>
      <c r="P312" s="615"/>
      <c r="Q312" s="615"/>
      <c r="R312" s="162"/>
      <c r="S312" s="435"/>
    </row>
    <row r="313" spans="1:19" hidden="1" outlineLevel="1" x14ac:dyDescent="0.2">
      <c r="A313" s="162"/>
      <c r="B313" s="162"/>
      <c r="C313" s="162"/>
      <c r="D313" s="433" t="str">
        <f>TXPhase2Tx</f>
        <v/>
      </c>
      <c r="E313" s="495"/>
      <c r="F313" s="162"/>
      <c r="G313" s="162"/>
      <c r="H313" s="162"/>
      <c r="I313" s="162"/>
      <c r="J313" s="162"/>
      <c r="K313" s="615"/>
      <c r="L313" s="615"/>
      <c r="M313" s="615"/>
      <c r="N313" s="615"/>
      <c r="O313" s="615"/>
      <c r="P313" s="615"/>
      <c r="Q313" s="615"/>
      <c r="R313" s="162"/>
      <c r="S313" s="422" t="s">
        <v>258</v>
      </c>
    </row>
    <row r="314" spans="1:19" hidden="1" outlineLevel="1" x14ac:dyDescent="0.2">
      <c r="A314" s="162"/>
      <c r="B314" s="162"/>
      <c r="C314" s="162"/>
      <c r="D314" s="433" t="str">
        <f>IF(D313&lt;&gt;"","Patients electing treatment (%)","")</f>
        <v/>
      </c>
      <c r="E314" s="428"/>
      <c r="F314" s="428"/>
      <c r="G314" s="428"/>
      <c r="H314" s="428"/>
      <c r="I314" s="428"/>
      <c r="J314" s="428"/>
      <c r="K314" s="615"/>
      <c r="L314" s="615"/>
      <c r="M314" s="615"/>
      <c r="N314" s="615"/>
      <c r="O314" s="615"/>
      <c r="P314" s="615"/>
      <c r="Q314" s="615"/>
      <c r="R314" s="162"/>
      <c r="S314" s="426"/>
    </row>
    <row r="315" spans="1:19" hidden="1" outlineLevel="1" x14ac:dyDescent="0.2">
      <c r="A315" s="162"/>
      <c r="B315" s="162"/>
      <c r="C315" s="162"/>
      <c r="D315" s="435"/>
      <c r="E315" s="435"/>
      <c r="F315" s="435"/>
      <c r="G315" s="435"/>
      <c r="H315" s="435"/>
      <c r="I315" s="435"/>
      <c r="J315" s="435"/>
      <c r="K315" s="615"/>
      <c r="L315" s="615"/>
      <c r="M315" s="615"/>
      <c r="N315" s="615"/>
      <c r="O315" s="615"/>
      <c r="P315" s="615"/>
      <c r="Q315" s="615"/>
      <c r="R315" s="162"/>
      <c r="S315" s="162"/>
    </row>
    <row r="316" spans="1:19" s="416" customFormat="1" hidden="1" outlineLevel="1" x14ac:dyDescent="0.2">
      <c r="A316" s="162"/>
      <c r="B316" s="162"/>
      <c r="C316" s="475">
        <f>IFERROR(VLOOKUP(E316,TxPhase2SourceCode,2,FALSE),0)</f>
        <v>1</v>
      </c>
      <c r="D316" s="429" t="s">
        <v>1165</v>
      </c>
      <c r="E316" s="263" t="s">
        <v>1166</v>
      </c>
      <c r="F316" s="435"/>
      <c r="G316" s="435"/>
      <c r="H316" s="435"/>
      <c r="I316" s="435"/>
      <c r="J316" s="435"/>
      <c r="K316" s="615"/>
      <c r="L316" s="615"/>
      <c r="M316" s="615"/>
      <c r="N316" s="615"/>
      <c r="O316" s="615"/>
      <c r="P316" s="615"/>
      <c r="Q316" s="615"/>
      <c r="R316" s="162"/>
      <c r="S316" s="162"/>
    </row>
    <row r="317" spans="1:19" s="416" customFormat="1" hidden="1" outlineLevel="1" x14ac:dyDescent="0.2">
      <c r="A317" s="162"/>
      <c r="B317" s="162"/>
      <c r="C317" s="162"/>
      <c r="D317" s="435"/>
      <c r="E317" s="435"/>
      <c r="F317" s="435"/>
      <c r="G317" s="435"/>
      <c r="H317" s="435"/>
      <c r="I317" s="435"/>
      <c r="J317" s="435"/>
      <c r="K317" s="615"/>
      <c r="L317" s="615"/>
      <c r="M317" s="615"/>
      <c r="N317" s="615"/>
      <c r="O317" s="615"/>
      <c r="P317" s="615"/>
      <c r="Q317" s="615"/>
      <c r="R317" s="162"/>
      <c r="S317" s="162"/>
    </row>
    <row r="318" spans="1:19" hidden="1" outlineLevel="1" x14ac:dyDescent="0.2">
      <c r="A318" s="162"/>
      <c r="B318" s="162"/>
      <c r="C318" s="162"/>
      <c r="D318" s="429" t="str">
        <f>TxPhase1Px</f>
        <v/>
      </c>
      <c r="E318" s="440">
        <f t="shared" ref="E318:J318" si="89">IF(TxPhase1&lt;&gt;"",E308*E311,0)</f>
        <v>0</v>
      </c>
      <c r="F318" s="440">
        <f t="shared" si="89"/>
        <v>0</v>
      </c>
      <c r="G318" s="440">
        <f t="shared" si="89"/>
        <v>0</v>
      </c>
      <c r="H318" s="440">
        <f t="shared" si="89"/>
        <v>0</v>
      </c>
      <c r="I318" s="440">
        <f t="shared" si="89"/>
        <v>0</v>
      </c>
      <c r="J318" s="440">
        <f t="shared" si="89"/>
        <v>0</v>
      </c>
      <c r="K318" s="615"/>
      <c r="L318" s="615"/>
      <c r="M318" s="615"/>
      <c r="N318" s="615"/>
      <c r="O318" s="615"/>
      <c r="P318" s="615"/>
      <c r="Q318" s="615"/>
      <c r="R318" s="162"/>
      <c r="S318" s="162"/>
    </row>
    <row r="319" spans="1:19" hidden="1" outlineLevel="1" x14ac:dyDescent="0.2">
      <c r="A319" s="162"/>
      <c r="B319" s="162"/>
      <c r="C319" s="162"/>
      <c r="D319" s="429" t="str">
        <f>TxPhase2Px</f>
        <v/>
      </c>
      <c r="E319" s="440">
        <f t="shared" ref="E319:J319" si="90">IF(TxPhase2&lt;&gt;"",IF($C316=1,E318,IF($C316=2,E308,0))*E314,0)</f>
        <v>0</v>
      </c>
      <c r="F319" s="440">
        <f t="shared" si="90"/>
        <v>0</v>
      </c>
      <c r="G319" s="440">
        <f t="shared" si="90"/>
        <v>0</v>
      </c>
      <c r="H319" s="440">
        <f t="shared" si="90"/>
        <v>0</v>
      </c>
      <c r="I319" s="440">
        <f t="shared" si="90"/>
        <v>0</v>
      </c>
      <c r="J319" s="440">
        <f t="shared" si="90"/>
        <v>0</v>
      </c>
      <c r="K319" s="615"/>
      <c r="L319" s="615"/>
      <c r="M319" s="615"/>
      <c r="N319" s="615"/>
      <c r="O319" s="615"/>
      <c r="P319" s="615"/>
      <c r="Q319" s="615"/>
      <c r="R319" s="162"/>
      <c r="S319" s="162"/>
    </row>
    <row r="320" spans="1:19" s="416" customFormat="1" hidden="1" outlineLevel="1" x14ac:dyDescent="0.2">
      <c r="A320" s="162"/>
      <c r="B320" s="162"/>
      <c r="C320" s="162"/>
      <c r="D320" s="417"/>
      <c r="E320" s="417"/>
      <c r="F320" s="162"/>
      <c r="G320" s="162"/>
      <c r="H320" s="162"/>
      <c r="I320" s="162"/>
      <c r="J320" s="162"/>
      <c r="K320" s="162"/>
      <c r="L320" s="162"/>
      <c r="M320" s="162"/>
      <c r="N320" s="638"/>
      <c r="O320" s="162"/>
      <c r="P320" s="641"/>
      <c r="Q320" s="641"/>
      <c r="R320" s="162"/>
      <c r="S320" s="162"/>
    </row>
    <row r="321" spans="1:19" s="416" customFormat="1" hidden="1" outlineLevel="1" x14ac:dyDescent="0.2">
      <c r="A321" s="162"/>
      <c r="B321" s="162"/>
      <c r="C321" s="475" t="str">
        <f>IF(E321&lt;&gt;"",E321,"")</f>
        <v/>
      </c>
      <c r="D321" s="89" t="s">
        <v>756</v>
      </c>
      <c r="E321" s="263"/>
      <c r="F321" s="162"/>
      <c r="G321" s="162"/>
      <c r="H321" s="162"/>
      <c r="I321" s="162"/>
      <c r="J321" s="162"/>
      <c r="K321" s="162"/>
      <c r="L321" s="162"/>
      <c r="M321" s="162"/>
      <c r="N321" s="638"/>
      <c r="O321" s="162"/>
      <c r="P321" s="641"/>
      <c r="Q321" s="641"/>
      <c r="R321" s="162"/>
      <c r="S321" s="162"/>
    </row>
    <row r="322" spans="1:19" hidden="1" outlineLevel="1" collapsed="1" x14ac:dyDescent="0.2">
      <c r="A322" s="162"/>
      <c r="B322" s="162"/>
      <c r="C322" s="162"/>
      <c r="D322" s="162"/>
      <c r="E322" s="162"/>
      <c r="F322" s="162"/>
      <c r="G322" s="162"/>
      <c r="H322" s="162"/>
      <c r="I322" s="162"/>
      <c r="J322" s="162"/>
      <c r="K322" s="162"/>
      <c r="L322" s="162"/>
      <c r="M322" s="162"/>
      <c r="N322" s="638"/>
      <c r="O322" s="162"/>
      <c r="P322" s="641"/>
      <c r="Q322" s="641"/>
      <c r="R322" s="162"/>
      <c r="S322" s="162"/>
    </row>
    <row r="323" spans="1:19" collapsed="1" x14ac:dyDescent="0.2">
      <c r="A323" s="162"/>
      <c r="B323" s="162"/>
      <c r="C323" s="162"/>
      <c r="D323" s="162"/>
      <c r="E323" s="162"/>
      <c r="F323" s="162"/>
      <c r="G323" s="162"/>
      <c r="H323" s="162"/>
      <c r="I323" s="162"/>
      <c r="J323" s="162"/>
      <c r="K323" s="162"/>
      <c r="L323" s="162"/>
      <c r="M323" s="162"/>
      <c r="N323" s="162"/>
      <c r="O323" s="162"/>
      <c r="P323" s="639"/>
      <c r="Q323" s="640"/>
      <c r="R323" s="162"/>
      <c r="S323" s="162"/>
    </row>
    <row r="324" spans="1:19" ht="15.75" x14ac:dyDescent="0.2">
      <c r="A324" s="162"/>
      <c r="B324" s="162"/>
      <c r="C324" s="573">
        <v>9</v>
      </c>
      <c r="D324" s="79" t="str">
        <f>IF(E328&lt;&gt;"",CONCATENATE("Prevalent ",C324,": ",G328,L324),MsgNotUsed)</f>
        <v>** NOT USED **</v>
      </c>
      <c r="E324" s="132"/>
      <c r="F324" s="132"/>
      <c r="G324" s="132"/>
      <c r="H324" s="132"/>
      <c r="I324" s="134"/>
      <c r="J324" s="126"/>
      <c r="K324" s="133"/>
      <c r="L324" s="325" t="str">
        <f>IF(S328&lt;&gt;"",CONCATENATE(" (",S328,")"),"")</f>
        <v/>
      </c>
      <c r="M324" s="133"/>
      <c r="N324" s="133"/>
      <c r="O324" s="133"/>
      <c r="P324" s="133"/>
      <c r="Q324" s="133"/>
      <c r="R324" s="133"/>
      <c r="S324" s="133"/>
    </row>
    <row r="325" spans="1:19" hidden="1" outlineLevel="1" x14ac:dyDescent="0.2">
      <c r="A325" s="162"/>
      <c r="B325" s="162"/>
      <c r="C325" s="162"/>
      <c r="D325" s="616"/>
      <c r="E325" s="162"/>
      <c r="F325" s="162"/>
      <c r="G325" s="162"/>
      <c r="H325" s="162"/>
      <c r="I325" s="162"/>
      <c r="J325" s="162"/>
      <c r="K325" s="162"/>
      <c r="L325" s="162"/>
      <c r="M325" s="162"/>
      <c r="N325" s="162"/>
      <c r="O325" s="162"/>
      <c r="P325" s="162"/>
      <c r="Q325" s="162"/>
      <c r="R325" s="162"/>
      <c r="S325" s="162"/>
    </row>
    <row r="326" spans="1:19" hidden="1" outlineLevel="1" x14ac:dyDescent="0.2">
      <c r="A326" s="162"/>
      <c r="B326" s="162"/>
      <c r="C326" s="162"/>
      <c r="D326" s="162" t="s">
        <v>840</v>
      </c>
      <c r="E326" s="162"/>
      <c r="F326" s="162"/>
      <c r="G326" s="162"/>
      <c r="H326" s="162"/>
      <c r="I326" s="162"/>
      <c r="J326" s="162"/>
      <c r="K326" s="162"/>
      <c r="L326" s="162"/>
      <c r="M326" s="162"/>
      <c r="N326" s="162"/>
      <c r="O326" s="162"/>
      <c r="P326" s="162"/>
      <c r="Q326" s="162"/>
      <c r="R326" s="162"/>
      <c r="S326" s="641"/>
    </row>
    <row r="327" spans="1:19" hidden="1" outlineLevel="1" x14ac:dyDescent="0.2">
      <c r="A327" s="162"/>
      <c r="B327" s="162"/>
      <c r="C327" s="162"/>
      <c r="D327" s="616"/>
      <c r="E327" s="162"/>
      <c r="F327" s="162"/>
      <c r="G327" s="162"/>
      <c r="H327" s="162"/>
      <c r="I327" s="162"/>
      <c r="J327" s="162"/>
      <c r="K327" s="162"/>
      <c r="L327" s="162"/>
      <c r="M327" s="162"/>
      <c r="N327" s="162"/>
      <c r="O327" s="162"/>
      <c r="P327" s="162"/>
      <c r="Q327" s="162"/>
      <c r="R327" s="162"/>
      <c r="S327" s="36" t="s">
        <v>424</v>
      </c>
    </row>
    <row r="328" spans="1:19" hidden="1" outlineLevel="1" x14ac:dyDescent="0.2">
      <c r="A328" s="129"/>
      <c r="B328" s="475">
        <f>IF(E328&lt;&gt;"",MATCH(E328,EPISource,0)-1,0)</f>
        <v>0</v>
      </c>
      <c r="C328" s="475">
        <f ca="1">IF(G328&lt;&gt;"",MATCH(G328,OFFSET(References!$AE$7,0,B328,PxPopMaxCount),0),0)</f>
        <v>0</v>
      </c>
      <c r="D328" s="423" t="s">
        <v>113</v>
      </c>
      <c r="E328" s="438"/>
      <c r="F328" s="436"/>
      <c r="G328" s="812"/>
      <c r="H328" s="813"/>
      <c r="I328" s="813"/>
      <c r="J328" s="813"/>
      <c r="K328" s="162"/>
      <c r="L328" s="162"/>
      <c r="M328" s="162"/>
      <c r="N328" s="162"/>
      <c r="O328" s="162"/>
      <c r="P328" s="162"/>
      <c r="Q328" s="162"/>
      <c r="R328" s="162"/>
      <c r="S328" s="439"/>
    </row>
    <row r="329" spans="1:19" hidden="1" outlineLevel="1" x14ac:dyDescent="0.2">
      <c r="A329" s="129"/>
      <c r="B329" s="475">
        <f>INDEX(PxPopValid,,B328+1)</f>
        <v>0</v>
      </c>
      <c r="C329" s="475">
        <f ca="1">(B328*PxPopMaxCount)+C328</f>
        <v>0</v>
      </c>
      <c r="D329" s="162"/>
      <c r="E329" s="650">
        <v>1</v>
      </c>
      <c r="F329" s="650">
        <v>2</v>
      </c>
      <c r="G329" s="650">
        <v>3</v>
      </c>
      <c r="H329" s="650">
        <v>4</v>
      </c>
      <c r="I329" s="650">
        <v>5</v>
      </c>
      <c r="J329" s="650">
        <v>6</v>
      </c>
      <c r="K329" s="162"/>
      <c r="L329" s="162"/>
      <c r="M329" s="162"/>
      <c r="N329" s="162"/>
      <c r="O329" s="162"/>
      <c r="P329" s="162"/>
      <c r="Q329" s="162"/>
      <c r="R329" s="162"/>
      <c r="S329" s="162"/>
    </row>
    <row r="330" spans="1:19" hidden="1" outlineLevel="1" x14ac:dyDescent="0.2">
      <c r="A330" s="129"/>
      <c r="B330" s="129"/>
      <c r="C330" s="129"/>
      <c r="D330" s="616"/>
      <c r="E330" s="814" t="s">
        <v>10</v>
      </c>
      <c r="F330" s="814"/>
      <c r="G330" s="814"/>
      <c r="H330" s="814"/>
      <c r="I330" s="814"/>
      <c r="J330" s="814"/>
      <c r="K330" s="162"/>
      <c r="L330" s="162"/>
      <c r="M330" s="162"/>
      <c r="N330" s="162"/>
      <c r="O330" s="162"/>
      <c r="P330" s="162"/>
      <c r="Q330" s="162"/>
      <c r="R330" s="162"/>
      <c r="S330" s="636" t="str">
        <f ca="1">IF(ISERROR($C329)=TRUE,MsgError&amp;VLOOKUP("BadPop",ErrorMessages,2,FALSE),IF(RIGHT(G328,11)="(Incidence)",MsgError&amp;VLOOKUP("BadIncPop",ErrorMessages,2,FALSE),""))</f>
        <v/>
      </c>
    </row>
    <row r="331" spans="1:19" hidden="1" outlineLevel="1" x14ac:dyDescent="0.2">
      <c r="A331" s="129"/>
      <c r="B331" s="129"/>
      <c r="C331" s="129"/>
      <c r="D331" s="643"/>
      <c r="E331" s="431">
        <f>FirstYear</f>
        <v>2021</v>
      </c>
      <c r="F331" s="431">
        <f>E331+1</f>
        <v>2022</v>
      </c>
      <c r="G331" s="431">
        <f>F331+1</f>
        <v>2023</v>
      </c>
      <c r="H331" s="431">
        <f>G331+1</f>
        <v>2024</v>
      </c>
      <c r="I331" s="431">
        <f>H331+1</f>
        <v>2025</v>
      </c>
      <c r="J331" s="431">
        <f>I331+1</f>
        <v>2026</v>
      </c>
      <c r="K331" s="162"/>
      <c r="L331" s="162"/>
      <c r="M331" s="162"/>
      <c r="N331" s="162"/>
      <c r="O331" s="162"/>
      <c r="P331" s="162"/>
      <c r="Q331" s="162"/>
      <c r="R331" s="162"/>
      <c r="S331" s="162"/>
    </row>
    <row r="332" spans="1:19" hidden="1" outlineLevel="1" x14ac:dyDescent="0.2">
      <c r="A332" s="162"/>
      <c r="B332" s="162"/>
      <c r="C332" s="162"/>
      <c r="D332" s="721" t="s">
        <v>92</v>
      </c>
      <c r="E332" s="437">
        <f t="shared" ref="E332:J332" ca="1" si="91">IF(AND(ISERROR($C329)&lt;&gt;TRUE,$G328&lt;&gt;""),INDEX(PxPopNumbers,$C329,E329),0)</f>
        <v>0</v>
      </c>
      <c r="F332" s="437">
        <f t="shared" ca="1" si="91"/>
        <v>0</v>
      </c>
      <c r="G332" s="437">
        <f t="shared" ca="1" si="91"/>
        <v>0</v>
      </c>
      <c r="H332" s="437">
        <f t="shared" ca="1" si="91"/>
        <v>0</v>
      </c>
      <c r="I332" s="437">
        <f t="shared" ca="1" si="91"/>
        <v>0</v>
      </c>
      <c r="J332" s="437">
        <f t="shared" ca="1" si="91"/>
        <v>0</v>
      </c>
      <c r="K332" s="162"/>
      <c r="L332" s="162"/>
      <c r="M332" s="162"/>
      <c r="N332" s="162"/>
      <c r="O332" s="162"/>
      <c r="P332" s="162"/>
      <c r="Q332" s="162"/>
      <c r="R332" s="616"/>
      <c r="S332" s="162"/>
    </row>
    <row r="333" spans="1:19" hidden="1" outlineLevel="1" x14ac:dyDescent="0.2">
      <c r="A333" s="162"/>
      <c r="B333" s="162"/>
      <c r="C333" s="162"/>
      <c r="D333" s="162"/>
      <c r="E333" s="435"/>
      <c r="F333" s="435"/>
      <c r="G333" s="435"/>
      <c r="H333" s="435"/>
      <c r="I333" s="435"/>
      <c r="J333" s="435"/>
      <c r="K333" s="162"/>
      <c r="L333" s="162"/>
      <c r="M333" s="162"/>
      <c r="N333" s="162"/>
      <c r="O333" s="162"/>
      <c r="P333" s="162"/>
      <c r="Q333" s="162"/>
      <c r="R333" s="162"/>
      <c r="S333" s="162"/>
    </row>
    <row r="334" spans="1:19" hidden="1" outlineLevel="1" x14ac:dyDescent="0.2">
      <c r="A334" s="162"/>
      <c r="B334" s="162"/>
      <c r="C334" s="162"/>
      <c r="D334" s="720" t="s">
        <v>205</v>
      </c>
      <c r="E334" s="435"/>
      <c r="F334" s="435"/>
      <c r="G334" s="435"/>
      <c r="H334" s="435"/>
      <c r="I334" s="435"/>
      <c r="J334" s="435"/>
      <c r="K334" s="162"/>
      <c r="L334" s="162"/>
      <c r="M334" s="162"/>
      <c r="N334" s="162"/>
      <c r="O334" s="162"/>
      <c r="P334" s="162"/>
      <c r="Q334" s="162"/>
      <c r="R334" s="162"/>
      <c r="S334" s="36" t="s">
        <v>258</v>
      </c>
    </row>
    <row r="335" spans="1:19" hidden="1" outlineLevel="1" x14ac:dyDescent="0.2">
      <c r="A335" s="162"/>
      <c r="B335" s="162"/>
      <c r="C335" s="162"/>
      <c r="D335" s="432"/>
      <c r="E335" s="443"/>
      <c r="F335" s="443"/>
      <c r="G335" s="443"/>
      <c r="H335" s="443"/>
      <c r="I335" s="443"/>
      <c r="J335" s="443"/>
      <c r="K335" s="435"/>
      <c r="L335" s="425">
        <f t="shared" ref="L335:L343" si="92">IF(E335="",1,E335)</f>
        <v>1</v>
      </c>
      <c r="M335" s="425">
        <f t="shared" ref="M335:M344" si="93">IF(F335="",1,F335)</f>
        <v>1</v>
      </c>
      <c r="N335" s="425">
        <f t="shared" ref="N335:N344" si="94">IF(G335="",1,G335)</f>
        <v>1</v>
      </c>
      <c r="O335" s="425">
        <f t="shared" ref="O335:O344" si="95">IF(H335="",1,H335)</f>
        <v>1</v>
      </c>
      <c r="P335" s="425">
        <f t="shared" ref="P335:P344" si="96">IF(I335="",1,I335)</f>
        <v>1</v>
      </c>
      <c r="Q335" s="425">
        <f t="shared" ref="Q335:Q344" si="97">IF(J335="",1,J335)</f>
        <v>1</v>
      </c>
      <c r="R335" s="162"/>
      <c r="S335" s="432"/>
    </row>
    <row r="336" spans="1:19" hidden="1" outlineLevel="1" x14ac:dyDescent="0.2">
      <c r="A336" s="162"/>
      <c r="B336" s="162"/>
      <c r="C336" s="162"/>
      <c r="D336" s="432"/>
      <c r="E336" s="443"/>
      <c r="F336" s="443"/>
      <c r="G336" s="443"/>
      <c r="H336" s="443"/>
      <c r="I336" s="443"/>
      <c r="J336" s="443"/>
      <c r="K336" s="435"/>
      <c r="L336" s="425">
        <f t="shared" si="92"/>
        <v>1</v>
      </c>
      <c r="M336" s="425">
        <f t="shared" si="93"/>
        <v>1</v>
      </c>
      <c r="N336" s="425">
        <f t="shared" si="94"/>
        <v>1</v>
      </c>
      <c r="O336" s="425">
        <f t="shared" si="95"/>
        <v>1</v>
      </c>
      <c r="P336" s="425">
        <f t="shared" si="96"/>
        <v>1</v>
      </c>
      <c r="Q336" s="425">
        <f t="shared" si="97"/>
        <v>1</v>
      </c>
      <c r="R336" s="162"/>
      <c r="S336" s="432"/>
    </row>
    <row r="337" spans="1:19" hidden="1" outlineLevel="1" x14ac:dyDescent="0.2">
      <c r="A337" s="162"/>
      <c r="B337" s="162"/>
      <c r="C337" s="162"/>
      <c r="D337" s="432"/>
      <c r="E337" s="443"/>
      <c r="F337" s="443"/>
      <c r="G337" s="443"/>
      <c r="H337" s="443"/>
      <c r="I337" s="443"/>
      <c r="J337" s="443"/>
      <c r="K337" s="435"/>
      <c r="L337" s="425">
        <f t="shared" si="92"/>
        <v>1</v>
      </c>
      <c r="M337" s="425">
        <f t="shared" si="93"/>
        <v>1</v>
      </c>
      <c r="N337" s="425">
        <f t="shared" si="94"/>
        <v>1</v>
      </c>
      <c r="O337" s="425">
        <f t="shared" si="95"/>
        <v>1</v>
      </c>
      <c r="P337" s="425">
        <f t="shared" si="96"/>
        <v>1</v>
      </c>
      <c r="Q337" s="425">
        <f t="shared" si="97"/>
        <v>1</v>
      </c>
      <c r="R337" s="162"/>
      <c r="S337" s="432"/>
    </row>
    <row r="338" spans="1:19" hidden="1" outlineLevel="1" x14ac:dyDescent="0.2">
      <c r="A338" s="162"/>
      <c r="B338" s="162"/>
      <c r="C338" s="162"/>
      <c r="D338" s="432"/>
      <c r="E338" s="443"/>
      <c r="F338" s="443"/>
      <c r="G338" s="443"/>
      <c r="H338" s="443"/>
      <c r="I338" s="443"/>
      <c r="J338" s="443"/>
      <c r="K338" s="435"/>
      <c r="L338" s="425">
        <f t="shared" si="92"/>
        <v>1</v>
      </c>
      <c r="M338" s="425">
        <f t="shared" si="93"/>
        <v>1</v>
      </c>
      <c r="N338" s="425">
        <f t="shared" si="94"/>
        <v>1</v>
      </c>
      <c r="O338" s="425">
        <f t="shared" si="95"/>
        <v>1</v>
      </c>
      <c r="P338" s="425">
        <f t="shared" si="96"/>
        <v>1</v>
      </c>
      <c r="Q338" s="425">
        <f t="shared" si="97"/>
        <v>1</v>
      </c>
      <c r="R338" s="162"/>
      <c r="S338" s="432"/>
    </row>
    <row r="339" spans="1:19" hidden="1" outlineLevel="1" x14ac:dyDescent="0.2">
      <c r="A339" s="162"/>
      <c r="B339" s="162"/>
      <c r="C339" s="162"/>
      <c r="D339" s="432"/>
      <c r="E339" s="443"/>
      <c r="F339" s="443"/>
      <c r="G339" s="443"/>
      <c r="H339" s="443"/>
      <c r="I339" s="443"/>
      <c r="J339" s="443"/>
      <c r="K339" s="435"/>
      <c r="L339" s="425">
        <f t="shared" si="92"/>
        <v>1</v>
      </c>
      <c r="M339" s="425">
        <f t="shared" si="93"/>
        <v>1</v>
      </c>
      <c r="N339" s="425">
        <f t="shared" si="94"/>
        <v>1</v>
      </c>
      <c r="O339" s="425">
        <f t="shared" si="95"/>
        <v>1</v>
      </c>
      <c r="P339" s="425">
        <f t="shared" si="96"/>
        <v>1</v>
      </c>
      <c r="Q339" s="425">
        <f t="shared" si="97"/>
        <v>1</v>
      </c>
      <c r="R339" s="162"/>
      <c r="S339" s="432"/>
    </row>
    <row r="340" spans="1:19" hidden="1" outlineLevel="1" x14ac:dyDescent="0.2">
      <c r="A340" s="162"/>
      <c r="B340" s="162"/>
      <c r="C340" s="162"/>
      <c r="D340" s="432"/>
      <c r="E340" s="443"/>
      <c r="F340" s="443"/>
      <c r="G340" s="443"/>
      <c r="H340" s="443"/>
      <c r="I340" s="443"/>
      <c r="J340" s="443"/>
      <c r="K340" s="435"/>
      <c r="L340" s="425">
        <f t="shared" si="92"/>
        <v>1</v>
      </c>
      <c r="M340" s="425">
        <f t="shared" si="93"/>
        <v>1</v>
      </c>
      <c r="N340" s="425">
        <f t="shared" si="94"/>
        <v>1</v>
      </c>
      <c r="O340" s="425">
        <f t="shared" si="95"/>
        <v>1</v>
      </c>
      <c r="P340" s="425">
        <f t="shared" si="96"/>
        <v>1</v>
      </c>
      <c r="Q340" s="425">
        <f t="shared" si="97"/>
        <v>1</v>
      </c>
      <c r="R340" s="162"/>
      <c r="S340" s="432"/>
    </row>
    <row r="341" spans="1:19" hidden="1" outlineLevel="1" x14ac:dyDescent="0.2">
      <c r="A341" s="162"/>
      <c r="B341" s="162"/>
      <c r="C341" s="162"/>
      <c r="D341" s="432"/>
      <c r="E341" s="443"/>
      <c r="F341" s="443"/>
      <c r="G341" s="443"/>
      <c r="H341" s="443"/>
      <c r="I341" s="443"/>
      <c r="J341" s="443"/>
      <c r="K341" s="435"/>
      <c r="L341" s="425">
        <f t="shared" si="92"/>
        <v>1</v>
      </c>
      <c r="M341" s="425">
        <f t="shared" si="93"/>
        <v>1</v>
      </c>
      <c r="N341" s="425">
        <f t="shared" si="94"/>
        <v>1</v>
      </c>
      <c r="O341" s="425">
        <f t="shared" si="95"/>
        <v>1</v>
      </c>
      <c r="P341" s="425">
        <f t="shared" si="96"/>
        <v>1</v>
      </c>
      <c r="Q341" s="425">
        <f t="shared" si="97"/>
        <v>1</v>
      </c>
      <c r="R341" s="162"/>
      <c r="S341" s="432"/>
    </row>
    <row r="342" spans="1:19" hidden="1" outlineLevel="1" x14ac:dyDescent="0.2">
      <c r="A342" s="162"/>
      <c r="B342" s="162"/>
      <c r="C342" s="162"/>
      <c r="D342" s="432"/>
      <c r="E342" s="443"/>
      <c r="F342" s="443"/>
      <c r="G342" s="443"/>
      <c r="H342" s="443"/>
      <c r="I342" s="443"/>
      <c r="J342" s="443"/>
      <c r="K342" s="435"/>
      <c r="L342" s="425">
        <f t="shared" si="92"/>
        <v>1</v>
      </c>
      <c r="M342" s="425">
        <f t="shared" si="93"/>
        <v>1</v>
      </c>
      <c r="N342" s="425">
        <f t="shared" si="94"/>
        <v>1</v>
      </c>
      <c r="O342" s="425">
        <f t="shared" si="95"/>
        <v>1</v>
      </c>
      <c r="P342" s="425">
        <f t="shared" si="96"/>
        <v>1</v>
      </c>
      <c r="Q342" s="425">
        <f t="shared" si="97"/>
        <v>1</v>
      </c>
      <c r="R342" s="162"/>
      <c r="S342" s="432"/>
    </row>
    <row r="343" spans="1:19" hidden="1" outlineLevel="1" x14ac:dyDescent="0.2">
      <c r="A343" s="162"/>
      <c r="B343" s="162"/>
      <c r="C343" s="162"/>
      <c r="D343" s="432"/>
      <c r="E343" s="443"/>
      <c r="F343" s="443"/>
      <c r="G343" s="443"/>
      <c r="H343" s="443"/>
      <c r="I343" s="443"/>
      <c r="J343" s="443"/>
      <c r="K343" s="435"/>
      <c r="L343" s="425">
        <f t="shared" si="92"/>
        <v>1</v>
      </c>
      <c r="M343" s="425">
        <f t="shared" si="93"/>
        <v>1</v>
      </c>
      <c r="N343" s="425">
        <f t="shared" si="94"/>
        <v>1</v>
      </c>
      <c r="O343" s="425">
        <f t="shared" si="95"/>
        <v>1</v>
      </c>
      <c r="P343" s="425">
        <f t="shared" si="96"/>
        <v>1</v>
      </c>
      <c r="Q343" s="425">
        <f t="shared" si="97"/>
        <v>1</v>
      </c>
      <c r="R343" s="162"/>
      <c r="S343" s="432"/>
    </row>
    <row r="344" spans="1:19" hidden="1" outlineLevel="1" x14ac:dyDescent="0.2">
      <c r="A344" s="162"/>
      <c r="B344" s="162"/>
      <c r="C344" s="162"/>
      <c r="D344" s="432"/>
      <c r="E344" s="443"/>
      <c r="F344" s="443"/>
      <c r="G344" s="443"/>
      <c r="H344" s="443"/>
      <c r="I344" s="443"/>
      <c r="J344" s="443"/>
      <c r="K344" s="435"/>
      <c r="L344" s="425">
        <f>IF(E344="",1,E344)</f>
        <v>1</v>
      </c>
      <c r="M344" s="425">
        <f t="shared" si="93"/>
        <v>1</v>
      </c>
      <c r="N344" s="425">
        <f t="shared" si="94"/>
        <v>1</v>
      </c>
      <c r="O344" s="425">
        <f t="shared" si="95"/>
        <v>1</v>
      </c>
      <c r="P344" s="425">
        <f t="shared" si="96"/>
        <v>1</v>
      </c>
      <c r="Q344" s="425">
        <f t="shared" si="97"/>
        <v>1</v>
      </c>
      <c r="R344" s="162"/>
      <c r="S344" s="432"/>
    </row>
    <row r="345" spans="1:19" hidden="1" outlineLevel="1" x14ac:dyDescent="0.2">
      <c r="A345" s="162"/>
      <c r="B345" s="162"/>
      <c r="C345" s="162"/>
      <c r="D345" s="424" t="s">
        <v>213</v>
      </c>
      <c r="E345" s="444">
        <f t="shared" ref="E345:J345" si="98">L335*L336*L337*L338*L344*L339*L340*L341*L342*L343</f>
        <v>1</v>
      </c>
      <c r="F345" s="444">
        <f t="shared" si="98"/>
        <v>1</v>
      </c>
      <c r="G345" s="444">
        <f t="shared" si="98"/>
        <v>1</v>
      </c>
      <c r="H345" s="444">
        <f t="shared" si="98"/>
        <v>1</v>
      </c>
      <c r="I345" s="444">
        <f t="shared" si="98"/>
        <v>1</v>
      </c>
      <c r="J345" s="444">
        <f t="shared" si="98"/>
        <v>1</v>
      </c>
      <c r="K345" s="162"/>
      <c r="L345" s="162"/>
      <c r="M345" s="162"/>
      <c r="N345" s="638"/>
      <c r="O345" s="162"/>
      <c r="P345" s="162"/>
      <c r="Q345" s="162"/>
      <c r="R345" s="162"/>
      <c r="S345" s="162"/>
    </row>
    <row r="346" spans="1:19" hidden="1" outlineLevel="1" x14ac:dyDescent="0.2">
      <c r="A346" s="638"/>
      <c r="B346" s="638"/>
      <c r="C346" s="638"/>
      <c r="D346" s="419" t="s">
        <v>90</v>
      </c>
      <c r="E346" s="440">
        <f t="shared" ref="E346:J346" ca="1" si="99">IF(ISNUMBER(E332),E332*E345,"")</f>
        <v>0</v>
      </c>
      <c r="F346" s="440">
        <f t="shared" ca="1" si="99"/>
        <v>0</v>
      </c>
      <c r="G346" s="440">
        <f t="shared" ca="1" si="99"/>
        <v>0</v>
      </c>
      <c r="H346" s="440">
        <f t="shared" ca="1" si="99"/>
        <v>0</v>
      </c>
      <c r="I346" s="440">
        <f t="shared" ca="1" si="99"/>
        <v>0</v>
      </c>
      <c r="J346" s="440">
        <f t="shared" ca="1" si="99"/>
        <v>0</v>
      </c>
      <c r="K346" s="162"/>
      <c r="L346" s="638"/>
      <c r="M346" s="162"/>
      <c r="N346" s="162"/>
      <c r="O346" s="162"/>
      <c r="P346" s="162"/>
      <c r="Q346" s="162"/>
      <c r="R346" s="162"/>
      <c r="S346" s="162"/>
    </row>
    <row r="347" spans="1:19" hidden="1" outlineLevel="1" x14ac:dyDescent="0.2">
      <c r="A347" s="162"/>
      <c r="B347" s="162"/>
      <c r="C347" s="162"/>
      <c r="D347" s="435"/>
      <c r="E347" s="162"/>
      <c r="F347" s="162"/>
      <c r="G347" s="162"/>
      <c r="H347" s="162"/>
      <c r="I347" s="162"/>
      <c r="J347" s="162"/>
      <c r="K347" s="162"/>
      <c r="L347" s="162"/>
      <c r="M347" s="162"/>
      <c r="N347" s="162"/>
      <c r="O347" s="162"/>
      <c r="P347" s="641"/>
      <c r="Q347" s="641"/>
      <c r="R347" s="162"/>
      <c r="S347" s="162"/>
    </row>
    <row r="348" spans="1:19" hidden="1" outlineLevel="1" x14ac:dyDescent="0.2">
      <c r="A348" s="162"/>
      <c r="B348" s="162"/>
      <c r="C348" s="162"/>
      <c r="D348" s="429" t="str">
        <f>TxPhase1Tx</f>
        <v/>
      </c>
      <c r="E348" s="495"/>
      <c r="F348" s="162"/>
      <c r="G348" s="162"/>
      <c r="H348" s="162"/>
      <c r="I348" s="162"/>
      <c r="J348" s="162"/>
      <c r="K348" s="615"/>
      <c r="L348" s="615"/>
      <c r="M348" s="615"/>
      <c r="N348" s="615"/>
      <c r="O348" s="615"/>
      <c r="P348" s="615"/>
      <c r="Q348" s="615"/>
      <c r="R348" s="162"/>
      <c r="S348" s="36" t="s">
        <v>258</v>
      </c>
    </row>
    <row r="349" spans="1:19" hidden="1" outlineLevel="1" x14ac:dyDescent="0.2">
      <c r="A349" s="162"/>
      <c r="B349" s="162"/>
      <c r="C349" s="162"/>
      <c r="D349" s="423" t="s">
        <v>91</v>
      </c>
      <c r="E349" s="428"/>
      <c r="F349" s="428"/>
      <c r="G349" s="428"/>
      <c r="H349" s="428"/>
      <c r="I349" s="428"/>
      <c r="J349" s="428"/>
      <c r="K349" s="615"/>
      <c r="L349" s="615"/>
      <c r="M349" s="615"/>
      <c r="N349" s="615"/>
      <c r="O349" s="615"/>
      <c r="P349" s="615"/>
      <c r="Q349" s="615"/>
      <c r="R349" s="162"/>
      <c r="S349" s="426"/>
    </row>
    <row r="350" spans="1:19" hidden="1" outlineLevel="1" x14ac:dyDescent="0.2">
      <c r="A350" s="162"/>
      <c r="B350" s="162"/>
      <c r="C350" s="162"/>
      <c r="D350" s="435"/>
      <c r="E350" s="162"/>
      <c r="F350" s="162"/>
      <c r="G350" s="162"/>
      <c r="H350" s="162"/>
      <c r="I350" s="162"/>
      <c r="J350" s="162"/>
      <c r="K350" s="615"/>
      <c r="L350" s="615"/>
      <c r="M350" s="615"/>
      <c r="N350" s="615"/>
      <c r="O350" s="615"/>
      <c r="P350" s="615"/>
      <c r="Q350" s="615"/>
      <c r="R350" s="162"/>
      <c r="S350" s="435"/>
    </row>
    <row r="351" spans="1:19" hidden="1" outlineLevel="1" x14ac:dyDescent="0.2">
      <c r="A351" s="162"/>
      <c r="B351" s="162"/>
      <c r="C351" s="162"/>
      <c r="D351" s="433" t="str">
        <f>TXPhase2Tx</f>
        <v/>
      </c>
      <c r="E351" s="495"/>
      <c r="F351" s="162"/>
      <c r="G351" s="162"/>
      <c r="H351" s="162"/>
      <c r="I351" s="162"/>
      <c r="J351" s="162"/>
      <c r="K351" s="615"/>
      <c r="L351" s="615"/>
      <c r="M351" s="615"/>
      <c r="N351" s="615"/>
      <c r="O351" s="615"/>
      <c r="P351" s="615"/>
      <c r="Q351" s="615"/>
      <c r="R351" s="162"/>
      <c r="S351" s="422" t="s">
        <v>258</v>
      </c>
    </row>
    <row r="352" spans="1:19" hidden="1" outlineLevel="1" x14ac:dyDescent="0.2">
      <c r="A352" s="162"/>
      <c r="B352" s="162"/>
      <c r="C352" s="162"/>
      <c r="D352" s="433" t="str">
        <f>IF(D351&lt;&gt;"","Patients electing treatment (%)","")</f>
        <v/>
      </c>
      <c r="E352" s="428"/>
      <c r="F352" s="428"/>
      <c r="G352" s="428"/>
      <c r="H352" s="428"/>
      <c r="I352" s="428"/>
      <c r="J352" s="428"/>
      <c r="K352" s="615"/>
      <c r="L352" s="615"/>
      <c r="M352" s="615"/>
      <c r="N352" s="615"/>
      <c r="O352" s="615"/>
      <c r="P352" s="615"/>
      <c r="Q352" s="615"/>
      <c r="R352" s="162"/>
      <c r="S352" s="426"/>
    </row>
    <row r="353" spans="1:19" hidden="1" outlineLevel="1" x14ac:dyDescent="0.2">
      <c r="A353" s="162"/>
      <c r="B353" s="162"/>
      <c r="C353" s="162"/>
      <c r="D353" s="435"/>
      <c r="E353" s="435"/>
      <c r="F353" s="435"/>
      <c r="G353" s="435"/>
      <c r="H353" s="435"/>
      <c r="I353" s="435"/>
      <c r="J353" s="435"/>
      <c r="K353" s="615"/>
      <c r="L353" s="615"/>
      <c r="M353" s="615"/>
      <c r="N353" s="615"/>
      <c r="O353" s="615"/>
      <c r="P353" s="615"/>
      <c r="Q353" s="615"/>
      <c r="R353" s="162"/>
      <c r="S353" s="162"/>
    </row>
    <row r="354" spans="1:19" s="416" customFormat="1" hidden="1" outlineLevel="1" x14ac:dyDescent="0.2">
      <c r="A354" s="162"/>
      <c r="B354" s="162"/>
      <c r="C354" s="475">
        <f>IFERROR(VLOOKUP(E354,TxPhase2SourceCode,2,FALSE),0)</f>
        <v>1</v>
      </c>
      <c r="D354" s="429" t="s">
        <v>1165</v>
      </c>
      <c r="E354" s="263" t="s">
        <v>1166</v>
      </c>
      <c r="F354" s="435"/>
      <c r="G354" s="435"/>
      <c r="H354" s="435"/>
      <c r="I354" s="435"/>
      <c r="J354" s="435"/>
      <c r="K354" s="615"/>
      <c r="L354" s="615"/>
      <c r="M354" s="615"/>
      <c r="N354" s="615"/>
      <c r="O354" s="615"/>
      <c r="P354" s="615"/>
      <c r="Q354" s="615"/>
      <c r="R354" s="162"/>
      <c r="S354" s="162"/>
    </row>
    <row r="355" spans="1:19" s="416" customFormat="1" hidden="1" outlineLevel="1" x14ac:dyDescent="0.2">
      <c r="A355" s="162"/>
      <c r="B355" s="162"/>
      <c r="C355" s="162"/>
      <c r="D355" s="435"/>
      <c r="E355" s="435"/>
      <c r="F355" s="435"/>
      <c r="G355" s="435"/>
      <c r="H355" s="435"/>
      <c r="I355" s="435"/>
      <c r="J355" s="435"/>
      <c r="K355" s="615"/>
      <c r="L355" s="615"/>
      <c r="M355" s="615"/>
      <c r="N355" s="615"/>
      <c r="O355" s="615"/>
      <c r="P355" s="615"/>
      <c r="Q355" s="615"/>
      <c r="R355" s="162"/>
      <c r="S355" s="162"/>
    </row>
    <row r="356" spans="1:19" hidden="1" outlineLevel="1" x14ac:dyDescent="0.2">
      <c r="A356" s="162"/>
      <c r="B356" s="162"/>
      <c r="C356" s="162"/>
      <c r="D356" s="429" t="str">
        <f>TxPhase1Px</f>
        <v/>
      </c>
      <c r="E356" s="440">
        <f t="shared" ref="E356:J356" si="100">IF(TxPhase1&lt;&gt;"",E346*E349,0)</f>
        <v>0</v>
      </c>
      <c r="F356" s="440">
        <f t="shared" si="100"/>
        <v>0</v>
      </c>
      <c r="G356" s="440">
        <f t="shared" si="100"/>
        <v>0</v>
      </c>
      <c r="H356" s="440">
        <f t="shared" si="100"/>
        <v>0</v>
      </c>
      <c r="I356" s="440">
        <f t="shared" si="100"/>
        <v>0</v>
      </c>
      <c r="J356" s="440">
        <f t="shared" si="100"/>
        <v>0</v>
      </c>
      <c r="K356" s="615"/>
      <c r="L356" s="615"/>
      <c r="M356" s="615"/>
      <c r="N356" s="615"/>
      <c r="O356" s="615"/>
      <c r="P356" s="615"/>
      <c r="Q356" s="615"/>
      <c r="R356" s="162"/>
      <c r="S356" s="162"/>
    </row>
    <row r="357" spans="1:19" hidden="1" outlineLevel="1" x14ac:dyDescent="0.2">
      <c r="A357" s="162"/>
      <c r="B357" s="162"/>
      <c r="C357" s="162"/>
      <c r="D357" s="429" t="str">
        <f>TxPhase2Px</f>
        <v/>
      </c>
      <c r="E357" s="440">
        <f t="shared" ref="E357:J357" si="101">IF(TxPhase2&lt;&gt;"",IF($C354=1,E356,IF($C354=2,E346,0))*E352,0)</f>
        <v>0</v>
      </c>
      <c r="F357" s="440">
        <f t="shared" si="101"/>
        <v>0</v>
      </c>
      <c r="G357" s="440">
        <f t="shared" si="101"/>
        <v>0</v>
      </c>
      <c r="H357" s="440">
        <f t="shared" si="101"/>
        <v>0</v>
      </c>
      <c r="I357" s="440">
        <f t="shared" si="101"/>
        <v>0</v>
      </c>
      <c r="J357" s="440">
        <f t="shared" si="101"/>
        <v>0</v>
      </c>
      <c r="K357" s="615"/>
      <c r="L357" s="615"/>
      <c r="M357" s="615"/>
      <c r="N357" s="615"/>
      <c r="O357" s="615"/>
      <c r="P357" s="615"/>
      <c r="Q357" s="615"/>
      <c r="R357" s="162"/>
      <c r="S357" s="162"/>
    </row>
    <row r="358" spans="1:19" s="416" customFormat="1" hidden="1" outlineLevel="1" x14ac:dyDescent="0.2">
      <c r="A358" s="162"/>
      <c r="B358" s="162"/>
      <c r="C358" s="162"/>
      <c r="D358" s="417"/>
      <c r="E358" s="417"/>
      <c r="F358" s="162"/>
      <c r="G358" s="162"/>
      <c r="H358" s="162"/>
      <c r="I358" s="162"/>
      <c r="J358" s="162"/>
      <c r="K358" s="162"/>
      <c r="L358" s="162"/>
      <c r="M358" s="162"/>
      <c r="N358" s="638"/>
      <c r="O358" s="162"/>
      <c r="P358" s="641"/>
      <c r="Q358" s="641"/>
      <c r="R358" s="162"/>
      <c r="S358" s="162"/>
    </row>
    <row r="359" spans="1:19" s="416" customFormat="1" hidden="1" outlineLevel="1" x14ac:dyDescent="0.2">
      <c r="A359" s="162"/>
      <c r="B359" s="162"/>
      <c r="C359" s="475" t="str">
        <f>IF(E359&lt;&gt;"",E359,"")</f>
        <v/>
      </c>
      <c r="D359" s="89" t="s">
        <v>756</v>
      </c>
      <c r="E359" s="263"/>
      <c r="F359" s="162"/>
      <c r="G359" s="162"/>
      <c r="H359" s="162"/>
      <c r="I359" s="162"/>
      <c r="J359" s="162"/>
      <c r="K359" s="162"/>
      <c r="L359" s="162"/>
      <c r="M359" s="162"/>
      <c r="N359" s="638"/>
      <c r="O359" s="162"/>
      <c r="P359" s="641"/>
      <c r="Q359" s="641"/>
      <c r="R359" s="162"/>
      <c r="S359" s="162"/>
    </row>
    <row r="360" spans="1:19" hidden="1" outlineLevel="1" collapsed="1" x14ac:dyDescent="0.2">
      <c r="A360" s="162"/>
      <c r="B360" s="162"/>
      <c r="C360" s="162"/>
      <c r="D360" s="162"/>
      <c r="E360" s="162"/>
      <c r="F360" s="162"/>
      <c r="G360" s="162"/>
      <c r="H360" s="162"/>
      <c r="I360" s="162"/>
      <c r="J360" s="162"/>
      <c r="K360" s="162"/>
      <c r="L360" s="162"/>
      <c r="M360" s="162"/>
      <c r="N360" s="638"/>
      <c r="O360" s="162"/>
      <c r="P360" s="641"/>
      <c r="Q360" s="641"/>
      <c r="R360" s="162"/>
      <c r="S360" s="162"/>
    </row>
    <row r="361" spans="1:19" collapsed="1" x14ac:dyDescent="0.2">
      <c r="A361" s="162"/>
      <c r="B361" s="162"/>
      <c r="C361" s="162"/>
      <c r="D361" s="162"/>
      <c r="E361" s="162"/>
      <c r="F361" s="162"/>
      <c r="G361" s="162"/>
      <c r="H361" s="162"/>
      <c r="I361" s="162"/>
      <c r="J361" s="162"/>
      <c r="K361" s="162"/>
      <c r="L361" s="162"/>
      <c r="M361" s="162"/>
      <c r="N361" s="162"/>
      <c r="O361" s="162"/>
      <c r="P361" s="639"/>
      <c r="Q361" s="640"/>
      <c r="R361" s="162"/>
      <c r="S361" s="162"/>
    </row>
    <row r="362" spans="1:19" ht="15.75" x14ac:dyDescent="0.2">
      <c r="A362" s="162"/>
      <c r="B362" s="162"/>
      <c r="C362" s="573">
        <v>10</v>
      </c>
      <c r="D362" s="79" t="str">
        <f>IF(E366&lt;&gt;"",CONCATENATE("Prevalent ",C362,": ",G366,L362),MsgNotUsed)</f>
        <v>** NOT USED **</v>
      </c>
      <c r="E362" s="132"/>
      <c r="F362" s="132"/>
      <c r="G362" s="132"/>
      <c r="H362" s="132"/>
      <c r="I362" s="134"/>
      <c r="J362" s="126"/>
      <c r="K362" s="133"/>
      <c r="L362" s="325" t="str">
        <f>IF(S366&lt;&gt;"",CONCATENATE(" (",S366,")"),"")</f>
        <v/>
      </c>
      <c r="M362" s="133"/>
      <c r="N362" s="133"/>
      <c r="O362" s="133"/>
      <c r="P362" s="133"/>
      <c r="Q362" s="133"/>
      <c r="R362" s="133"/>
      <c r="S362" s="133"/>
    </row>
    <row r="363" spans="1:19" hidden="1" outlineLevel="1" x14ac:dyDescent="0.2">
      <c r="A363" s="162"/>
      <c r="B363" s="162"/>
      <c r="C363" s="162"/>
      <c r="D363" s="616"/>
      <c r="E363" s="162"/>
      <c r="F363" s="162"/>
      <c r="G363" s="162"/>
      <c r="H363" s="162"/>
      <c r="I363" s="162"/>
      <c r="J363" s="162"/>
      <c r="K363" s="162"/>
      <c r="L363" s="162"/>
      <c r="M363" s="162"/>
      <c r="N363" s="162"/>
      <c r="O363" s="162"/>
      <c r="P363" s="162"/>
      <c r="Q363" s="162"/>
      <c r="R363" s="162"/>
      <c r="S363" s="162"/>
    </row>
    <row r="364" spans="1:19" hidden="1" outlineLevel="1" x14ac:dyDescent="0.2">
      <c r="A364" s="162"/>
      <c r="B364" s="162"/>
      <c r="C364" s="162"/>
      <c r="D364" s="162" t="s">
        <v>840</v>
      </c>
      <c r="E364" s="162"/>
      <c r="F364" s="162"/>
      <c r="G364" s="162"/>
      <c r="H364" s="162"/>
      <c r="I364" s="162"/>
      <c r="J364" s="162"/>
      <c r="K364" s="162"/>
      <c r="L364" s="162"/>
      <c r="M364" s="162"/>
      <c r="N364" s="162"/>
      <c r="O364" s="162"/>
      <c r="P364" s="162"/>
      <c r="Q364" s="162"/>
      <c r="R364" s="162"/>
      <c r="S364" s="641"/>
    </row>
    <row r="365" spans="1:19" hidden="1" outlineLevel="1" x14ac:dyDescent="0.2">
      <c r="A365" s="162"/>
      <c r="B365" s="162"/>
      <c r="C365" s="162"/>
      <c r="D365" s="616"/>
      <c r="E365" s="162"/>
      <c r="F365" s="162"/>
      <c r="G365" s="162"/>
      <c r="H365" s="162"/>
      <c r="I365" s="162"/>
      <c r="J365" s="162"/>
      <c r="K365" s="162"/>
      <c r="L365" s="162"/>
      <c r="M365" s="162"/>
      <c r="N365" s="162"/>
      <c r="O365" s="162"/>
      <c r="P365" s="162"/>
      <c r="Q365" s="162"/>
      <c r="R365" s="162"/>
      <c r="S365" s="36" t="s">
        <v>424</v>
      </c>
    </row>
    <row r="366" spans="1:19" hidden="1" outlineLevel="1" x14ac:dyDescent="0.2">
      <c r="A366" s="129"/>
      <c r="B366" s="475">
        <f>IF(E366&lt;&gt;"",MATCH(E366,EPISource,0)-1,0)</f>
        <v>0</v>
      </c>
      <c r="C366" s="475">
        <f ca="1">IF(G366&lt;&gt;"",MATCH(G366,OFFSET(References!$AE$7,0,B366,PxPopMaxCount),0),0)</f>
        <v>0</v>
      </c>
      <c r="D366" s="423" t="s">
        <v>113</v>
      </c>
      <c r="E366" s="438"/>
      <c r="F366" s="436"/>
      <c r="G366" s="812"/>
      <c r="H366" s="813"/>
      <c r="I366" s="813"/>
      <c r="J366" s="813"/>
      <c r="K366" s="162"/>
      <c r="L366" s="162"/>
      <c r="M366" s="162"/>
      <c r="N366" s="162"/>
      <c r="O366" s="162"/>
      <c r="P366" s="162"/>
      <c r="Q366" s="162"/>
      <c r="R366" s="162"/>
      <c r="S366" s="439"/>
    </row>
    <row r="367" spans="1:19" hidden="1" outlineLevel="1" x14ac:dyDescent="0.2">
      <c r="A367" s="129"/>
      <c r="B367" s="475">
        <f>INDEX(PxPopValid,,B366+1)</f>
        <v>0</v>
      </c>
      <c r="C367" s="475">
        <f ca="1">(B366*PxPopMaxCount)+C366</f>
        <v>0</v>
      </c>
      <c r="D367" s="162"/>
      <c r="E367" s="650">
        <v>1</v>
      </c>
      <c r="F367" s="650">
        <v>2</v>
      </c>
      <c r="G367" s="650">
        <v>3</v>
      </c>
      <c r="H367" s="650">
        <v>4</v>
      </c>
      <c r="I367" s="650">
        <v>5</v>
      </c>
      <c r="J367" s="650">
        <v>6</v>
      </c>
      <c r="K367" s="162"/>
      <c r="L367" s="162"/>
      <c r="M367" s="162"/>
      <c r="N367" s="162"/>
      <c r="O367" s="162"/>
      <c r="P367" s="162"/>
      <c r="Q367" s="162"/>
      <c r="R367" s="162"/>
      <c r="S367" s="162"/>
    </row>
    <row r="368" spans="1:19" hidden="1" outlineLevel="1" x14ac:dyDescent="0.2">
      <c r="A368" s="129"/>
      <c r="B368" s="129"/>
      <c r="C368" s="129"/>
      <c r="D368" s="616"/>
      <c r="E368" s="814" t="s">
        <v>10</v>
      </c>
      <c r="F368" s="814"/>
      <c r="G368" s="814"/>
      <c r="H368" s="814"/>
      <c r="I368" s="814"/>
      <c r="J368" s="814"/>
      <c r="K368" s="162"/>
      <c r="L368" s="162"/>
      <c r="M368" s="162"/>
      <c r="N368" s="162"/>
      <c r="O368" s="162"/>
      <c r="P368" s="162"/>
      <c r="Q368" s="162"/>
      <c r="R368" s="162"/>
      <c r="S368" s="636" t="str">
        <f ca="1">IF(ISERROR($C367)=TRUE,MsgError&amp;VLOOKUP("BadPop",ErrorMessages,2,FALSE),IF(RIGHT(G366,11)="(Incidence)",MsgError&amp;VLOOKUP("BadIncPop",ErrorMessages,2,FALSE),""))</f>
        <v/>
      </c>
    </row>
    <row r="369" spans="1:19" hidden="1" outlineLevel="1" x14ac:dyDescent="0.2">
      <c r="A369" s="129"/>
      <c r="B369" s="129"/>
      <c r="C369" s="129"/>
      <c r="D369" s="643"/>
      <c r="E369" s="431">
        <f>FirstYear</f>
        <v>2021</v>
      </c>
      <c r="F369" s="431">
        <f>E369+1</f>
        <v>2022</v>
      </c>
      <c r="G369" s="431">
        <f>F369+1</f>
        <v>2023</v>
      </c>
      <c r="H369" s="431">
        <f>G369+1</f>
        <v>2024</v>
      </c>
      <c r="I369" s="431">
        <f>H369+1</f>
        <v>2025</v>
      </c>
      <c r="J369" s="431">
        <f>I369+1</f>
        <v>2026</v>
      </c>
      <c r="K369" s="162"/>
      <c r="L369" s="162"/>
      <c r="M369" s="162"/>
      <c r="N369" s="162"/>
      <c r="O369" s="162"/>
      <c r="P369" s="162"/>
      <c r="Q369" s="162"/>
      <c r="R369" s="162"/>
      <c r="S369" s="162"/>
    </row>
    <row r="370" spans="1:19" hidden="1" outlineLevel="1" x14ac:dyDescent="0.2">
      <c r="A370" s="162"/>
      <c r="B370" s="162"/>
      <c r="C370" s="162"/>
      <c r="D370" s="721" t="s">
        <v>92</v>
      </c>
      <c r="E370" s="437">
        <f t="shared" ref="E370:J370" ca="1" si="102">IF(AND(ISERROR($C367)&lt;&gt;TRUE,$G366&lt;&gt;""),INDEX(PxPopNumbers,$C367,E367),0)</f>
        <v>0</v>
      </c>
      <c r="F370" s="437">
        <f t="shared" ca="1" si="102"/>
        <v>0</v>
      </c>
      <c r="G370" s="437">
        <f t="shared" ca="1" si="102"/>
        <v>0</v>
      </c>
      <c r="H370" s="437">
        <f t="shared" ca="1" si="102"/>
        <v>0</v>
      </c>
      <c r="I370" s="437">
        <f t="shared" ca="1" si="102"/>
        <v>0</v>
      </c>
      <c r="J370" s="437">
        <f t="shared" ca="1" si="102"/>
        <v>0</v>
      </c>
      <c r="K370" s="162"/>
      <c r="L370" s="162"/>
      <c r="M370" s="162"/>
      <c r="N370" s="162"/>
      <c r="O370" s="162"/>
      <c r="P370" s="162"/>
      <c r="Q370" s="162"/>
      <c r="R370" s="616"/>
      <c r="S370" s="162"/>
    </row>
    <row r="371" spans="1:19" hidden="1" outlineLevel="1" x14ac:dyDescent="0.2">
      <c r="A371" s="162"/>
      <c r="B371" s="162"/>
      <c r="C371" s="162"/>
      <c r="D371" s="162"/>
      <c r="E371" s="435"/>
      <c r="F371" s="435"/>
      <c r="G371" s="435"/>
      <c r="H371" s="435"/>
      <c r="I371" s="435"/>
      <c r="J371" s="435"/>
      <c r="K371" s="162"/>
      <c r="L371" s="162"/>
      <c r="M371" s="162"/>
      <c r="N371" s="162"/>
      <c r="O371" s="162"/>
      <c r="P371" s="162"/>
      <c r="Q371" s="162"/>
      <c r="R371" s="162"/>
      <c r="S371" s="162"/>
    </row>
    <row r="372" spans="1:19" hidden="1" outlineLevel="1" x14ac:dyDescent="0.2">
      <c r="A372" s="162"/>
      <c r="B372" s="162"/>
      <c r="C372" s="162"/>
      <c r="D372" s="720" t="s">
        <v>205</v>
      </c>
      <c r="E372" s="435"/>
      <c r="F372" s="435"/>
      <c r="G372" s="435"/>
      <c r="H372" s="435"/>
      <c r="I372" s="435"/>
      <c r="J372" s="435"/>
      <c r="K372" s="162"/>
      <c r="L372" s="162"/>
      <c r="M372" s="162"/>
      <c r="N372" s="162"/>
      <c r="O372" s="162"/>
      <c r="P372" s="162"/>
      <c r="Q372" s="162"/>
      <c r="R372" s="162"/>
      <c r="S372" s="36" t="s">
        <v>258</v>
      </c>
    </row>
    <row r="373" spans="1:19" hidden="1" outlineLevel="1" x14ac:dyDescent="0.2">
      <c r="A373" s="162"/>
      <c r="B373" s="162"/>
      <c r="C373" s="162"/>
      <c r="D373" s="432"/>
      <c r="E373" s="443"/>
      <c r="F373" s="443"/>
      <c r="G373" s="443"/>
      <c r="H373" s="443"/>
      <c r="I373" s="443"/>
      <c r="J373" s="443"/>
      <c r="K373" s="435"/>
      <c r="L373" s="425">
        <f t="shared" ref="L373:L381" si="103">IF(E373="",1,E373)</f>
        <v>1</v>
      </c>
      <c r="M373" s="425">
        <f t="shared" ref="M373:M382" si="104">IF(F373="",1,F373)</f>
        <v>1</v>
      </c>
      <c r="N373" s="425">
        <f t="shared" ref="N373:N382" si="105">IF(G373="",1,G373)</f>
        <v>1</v>
      </c>
      <c r="O373" s="425">
        <f t="shared" ref="O373:O382" si="106">IF(H373="",1,H373)</f>
        <v>1</v>
      </c>
      <c r="P373" s="425">
        <f t="shared" ref="P373:P382" si="107">IF(I373="",1,I373)</f>
        <v>1</v>
      </c>
      <c r="Q373" s="425">
        <f t="shared" ref="Q373:Q382" si="108">IF(J373="",1,J373)</f>
        <v>1</v>
      </c>
      <c r="R373" s="162"/>
      <c r="S373" s="432"/>
    </row>
    <row r="374" spans="1:19" hidden="1" outlineLevel="1" x14ac:dyDescent="0.2">
      <c r="A374" s="162"/>
      <c r="B374" s="162"/>
      <c r="C374" s="162"/>
      <c r="D374" s="432"/>
      <c r="E374" s="443"/>
      <c r="F374" s="443"/>
      <c r="G374" s="443"/>
      <c r="H374" s="443"/>
      <c r="I374" s="443"/>
      <c r="J374" s="443"/>
      <c r="K374" s="435"/>
      <c r="L374" s="425">
        <f t="shared" si="103"/>
        <v>1</v>
      </c>
      <c r="M374" s="425">
        <f t="shared" si="104"/>
        <v>1</v>
      </c>
      <c r="N374" s="425">
        <f t="shared" si="105"/>
        <v>1</v>
      </c>
      <c r="O374" s="425">
        <f t="shared" si="106"/>
        <v>1</v>
      </c>
      <c r="P374" s="425">
        <f t="shared" si="107"/>
        <v>1</v>
      </c>
      <c r="Q374" s="425">
        <f t="shared" si="108"/>
        <v>1</v>
      </c>
      <c r="R374" s="162"/>
      <c r="S374" s="432"/>
    </row>
    <row r="375" spans="1:19" hidden="1" outlineLevel="1" x14ac:dyDescent="0.2">
      <c r="A375" s="162"/>
      <c r="B375" s="162"/>
      <c r="C375" s="162"/>
      <c r="D375" s="432"/>
      <c r="E375" s="443"/>
      <c r="F375" s="443"/>
      <c r="G375" s="443"/>
      <c r="H375" s="443"/>
      <c r="I375" s="443"/>
      <c r="J375" s="443"/>
      <c r="K375" s="435"/>
      <c r="L375" s="425">
        <f t="shared" si="103"/>
        <v>1</v>
      </c>
      <c r="M375" s="425">
        <f t="shared" si="104"/>
        <v>1</v>
      </c>
      <c r="N375" s="425">
        <f t="shared" si="105"/>
        <v>1</v>
      </c>
      <c r="O375" s="425">
        <f t="shared" si="106"/>
        <v>1</v>
      </c>
      <c r="P375" s="425">
        <f t="shared" si="107"/>
        <v>1</v>
      </c>
      <c r="Q375" s="425">
        <f t="shared" si="108"/>
        <v>1</v>
      </c>
      <c r="R375" s="162"/>
      <c r="S375" s="432"/>
    </row>
    <row r="376" spans="1:19" hidden="1" outlineLevel="1" x14ac:dyDescent="0.2">
      <c r="A376" s="162"/>
      <c r="B376" s="162"/>
      <c r="C376" s="162"/>
      <c r="D376" s="432"/>
      <c r="E376" s="443"/>
      <c r="F376" s="443"/>
      <c r="G376" s="443"/>
      <c r="H376" s="443"/>
      <c r="I376" s="443"/>
      <c r="J376" s="443"/>
      <c r="K376" s="435"/>
      <c r="L376" s="425">
        <f t="shared" si="103"/>
        <v>1</v>
      </c>
      <c r="M376" s="425">
        <f t="shared" si="104"/>
        <v>1</v>
      </c>
      <c r="N376" s="425">
        <f t="shared" si="105"/>
        <v>1</v>
      </c>
      <c r="O376" s="425">
        <f t="shared" si="106"/>
        <v>1</v>
      </c>
      <c r="P376" s="425">
        <f t="shared" si="107"/>
        <v>1</v>
      </c>
      <c r="Q376" s="425">
        <f t="shared" si="108"/>
        <v>1</v>
      </c>
      <c r="R376" s="162"/>
      <c r="S376" s="432"/>
    </row>
    <row r="377" spans="1:19" hidden="1" outlineLevel="1" x14ac:dyDescent="0.2">
      <c r="A377" s="162"/>
      <c r="B377" s="162"/>
      <c r="C377" s="162"/>
      <c r="D377" s="432"/>
      <c r="E377" s="443"/>
      <c r="F377" s="443"/>
      <c r="G377" s="443"/>
      <c r="H377" s="443"/>
      <c r="I377" s="443"/>
      <c r="J377" s="443"/>
      <c r="K377" s="435"/>
      <c r="L377" s="425">
        <f t="shared" si="103"/>
        <v>1</v>
      </c>
      <c r="M377" s="425">
        <f t="shared" si="104"/>
        <v>1</v>
      </c>
      <c r="N377" s="425">
        <f t="shared" si="105"/>
        <v>1</v>
      </c>
      <c r="O377" s="425">
        <f t="shared" si="106"/>
        <v>1</v>
      </c>
      <c r="P377" s="425">
        <f t="shared" si="107"/>
        <v>1</v>
      </c>
      <c r="Q377" s="425">
        <f t="shared" si="108"/>
        <v>1</v>
      </c>
      <c r="R377" s="162"/>
      <c r="S377" s="432"/>
    </row>
    <row r="378" spans="1:19" hidden="1" outlineLevel="1" x14ac:dyDescent="0.2">
      <c r="A378" s="162"/>
      <c r="B378" s="162"/>
      <c r="C378" s="162"/>
      <c r="D378" s="432"/>
      <c r="E378" s="443"/>
      <c r="F378" s="443"/>
      <c r="G378" s="443"/>
      <c r="H378" s="443"/>
      <c r="I378" s="443"/>
      <c r="J378" s="443"/>
      <c r="K378" s="435"/>
      <c r="L378" s="425">
        <f t="shared" si="103"/>
        <v>1</v>
      </c>
      <c r="M378" s="425">
        <f t="shared" si="104"/>
        <v>1</v>
      </c>
      <c r="N378" s="425">
        <f t="shared" si="105"/>
        <v>1</v>
      </c>
      <c r="O378" s="425">
        <f t="shared" si="106"/>
        <v>1</v>
      </c>
      <c r="P378" s="425">
        <f t="shared" si="107"/>
        <v>1</v>
      </c>
      <c r="Q378" s="425">
        <f t="shared" si="108"/>
        <v>1</v>
      </c>
      <c r="R378" s="162"/>
      <c r="S378" s="432"/>
    </row>
    <row r="379" spans="1:19" hidden="1" outlineLevel="1" x14ac:dyDescent="0.2">
      <c r="A379" s="162"/>
      <c r="B379" s="162"/>
      <c r="C379" s="162"/>
      <c r="D379" s="432"/>
      <c r="E379" s="443"/>
      <c r="F379" s="443"/>
      <c r="G379" s="443"/>
      <c r="H379" s="443"/>
      <c r="I379" s="443"/>
      <c r="J379" s="443"/>
      <c r="K379" s="435"/>
      <c r="L379" s="425">
        <f t="shared" si="103"/>
        <v>1</v>
      </c>
      <c r="M379" s="425">
        <f t="shared" si="104"/>
        <v>1</v>
      </c>
      <c r="N379" s="425">
        <f t="shared" si="105"/>
        <v>1</v>
      </c>
      <c r="O379" s="425">
        <f t="shared" si="106"/>
        <v>1</v>
      </c>
      <c r="P379" s="425">
        <f t="shared" si="107"/>
        <v>1</v>
      </c>
      <c r="Q379" s="425">
        <f t="shared" si="108"/>
        <v>1</v>
      </c>
      <c r="R379" s="162"/>
      <c r="S379" s="432"/>
    </row>
    <row r="380" spans="1:19" hidden="1" outlineLevel="1" x14ac:dyDescent="0.2">
      <c r="A380" s="162"/>
      <c r="B380" s="162"/>
      <c r="C380" s="162"/>
      <c r="D380" s="432"/>
      <c r="E380" s="443"/>
      <c r="F380" s="443"/>
      <c r="G380" s="443"/>
      <c r="H380" s="443"/>
      <c r="I380" s="443"/>
      <c r="J380" s="443"/>
      <c r="K380" s="435"/>
      <c r="L380" s="425">
        <f t="shared" si="103"/>
        <v>1</v>
      </c>
      <c r="M380" s="425">
        <f t="shared" si="104"/>
        <v>1</v>
      </c>
      <c r="N380" s="425">
        <f t="shared" si="105"/>
        <v>1</v>
      </c>
      <c r="O380" s="425">
        <f t="shared" si="106"/>
        <v>1</v>
      </c>
      <c r="P380" s="425">
        <f t="shared" si="107"/>
        <v>1</v>
      </c>
      <c r="Q380" s="425">
        <f t="shared" si="108"/>
        <v>1</v>
      </c>
      <c r="R380" s="162"/>
      <c r="S380" s="432"/>
    </row>
    <row r="381" spans="1:19" hidden="1" outlineLevel="1" x14ac:dyDescent="0.2">
      <c r="A381" s="162"/>
      <c r="B381" s="162"/>
      <c r="C381" s="162"/>
      <c r="D381" s="432"/>
      <c r="E381" s="443"/>
      <c r="F381" s="443"/>
      <c r="G381" s="443"/>
      <c r="H381" s="443"/>
      <c r="I381" s="443"/>
      <c r="J381" s="443"/>
      <c r="K381" s="435"/>
      <c r="L381" s="425">
        <f t="shared" si="103"/>
        <v>1</v>
      </c>
      <c r="M381" s="425">
        <f t="shared" si="104"/>
        <v>1</v>
      </c>
      <c r="N381" s="425">
        <f t="shared" si="105"/>
        <v>1</v>
      </c>
      <c r="O381" s="425">
        <f t="shared" si="106"/>
        <v>1</v>
      </c>
      <c r="P381" s="425">
        <f t="shared" si="107"/>
        <v>1</v>
      </c>
      <c r="Q381" s="425">
        <f t="shared" si="108"/>
        <v>1</v>
      </c>
      <c r="R381" s="162"/>
      <c r="S381" s="432"/>
    </row>
    <row r="382" spans="1:19" hidden="1" outlineLevel="1" x14ac:dyDescent="0.2">
      <c r="A382" s="162"/>
      <c r="B382" s="162"/>
      <c r="C382" s="162"/>
      <c r="D382" s="432"/>
      <c r="E382" s="443"/>
      <c r="F382" s="443"/>
      <c r="G382" s="443"/>
      <c r="H382" s="443"/>
      <c r="I382" s="443"/>
      <c r="J382" s="443"/>
      <c r="K382" s="435"/>
      <c r="L382" s="425">
        <f>IF(E382="",1,E382)</f>
        <v>1</v>
      </c>
      <c r="M382" s="425">
        <f t="shared" si="104"/>
        <v>1</v>
      </c>
      <c r="N382" s="425">
        <f t="shared" si="105"/>
        <v>1</v>
      </c>
      <c r="O382" s="425">
        <f t="shared" si="106"/>
        <v>1</v>
      </c>
      <c r="P382" s="425">
        <f t="shared" si="107"/>
        <v>1</v>
      </c>
      <c r="Q382" s="425">
        <f t="shared" si="108"/>
        <v>1</v>
      </c>
      <c r="R382" s="162"/>
      <c r="S382" s="432"/>
    </row>
    <row r="383" spans="1:19" hidden="1" outlineLevel="1" x14ac:dyDescent="0.2">
      <c r="A383" s="162"/>
      <c r="B383" s="162"/>
      <c r="C383" s="162"/>
      <c r="D383" s="424" t="s">
        <v>213</v>
      </c>
      <c r="E383" s="444">
        <f t="shared" ref="E383:J383" si="109">L373*L374*L375*L376*L382*L377*L378*L379*L380*L381</f>
        <v>1</v>
      </c>
      <c r="F383" s="444">
        <f t="shared" si="109"/>
        <v>1</v>
      </c>
      <c r="G383" s="444">
        <f t="shared" si="109"/>
        <v>1</v>
      </c>
      <c r="H383" s="444">
        <f t="shared" si="109"/>
        <v>1</v>
      </c>
      <c r="I383" s="444">
        <f t="shared" si="109"/>
        <v>1</v>
      </c>
      <c r="J383" s="444">
        <f t="shared" si="109"/>
        <v>1</v>
      </c>
      <c r="K383" s="162"/>
      <c r="L383" s="162"/>
      <c r="M383" s="162"/>
      <c r="N383" s="638"/>
      <c r="O383" s="162"/>
      <c r="P383" s="162"/>
      <c r="Q383" s="162"/>
      <c r="R383" s="162"/>
      <c r="S383" s="162"/>
    </row>
    <row r="384" spans="1:19" hidden="1" outlineLevel="1" x14ac:dyDescent="0.2">
      <c r="A384" s="638"/>
      <c r="B384" s="638"/>
      <c r="C384" s="638"/>
      <c r="D384" s="419" t="s">
        <v>90</v>
      </c>
      <c r="E384" s="440">
        <f t="shared" ref="E384:J384" ca="1" si="110">IF(ISNUMBER(E370),E370*E383,"")</f>
        <v>0</v>
      </c>
      <c r="F384" s="440">
        <f t="shared" ca="1" si="110"/>
        <v>0</v>
      </c>
      <c r="G384" s="440">
        <f t="shared" ca="1" si="110"/>
        <v>0</v>
      </c>
      <c r="H384" s="440">
        <f t="shared" ca="1" si="110"/>
        <v>0</v>
      </c>
      <c r="I384" s="440">
        <f t="shared" ca="1" si="110"/>
        <v>0</v>
      </c>
      <c r="J384" s="440">
        <f t="shared" ca="1" si="110"/>
        <v>0</v>
      </c>
      <c r="K384" s="162"/>
      <c r="L384" s="638"/>
      <c r="M384" s="162"/>
      <c r="N384" s="162"/>
      <c r="O384" s="162"/>
      <c r="P384" s="162"/>
      <c r="Q384" s="162"/>
      <c r="R384" s="162"/>
      <c r="S384" s="162"/>
    </row>
    <row r="385" spans="1:19" hidden="1" outlineLevel="1" x14ac:dyDescent="0.2">
      <c r="A385" s="162"/>
      <c r="B385" s="162"/>
      <c r="C385" s="162"/>
      <c r="D385" s="435"/>
      <c r="E385" s="162"/>
      <c r="F385" s="162"/>
      <c r="G385" s="162"/>
      <c r="H385" s="162"/>
      <c r="I385" s="162"/>
      <c r="J385" s="162"/>
      <c r="K385" s="162"/>
      <c r="L385" s="162"/>
      <c r="M385" s="162"/>
      <c r="N385" s="162"/>
      <c r="O385" s="162"/>
      <c r="P385" s="641"/>
      <c r="Q385" s="641"/>
      <c r="R385" s="162"/>
      <c r="S385" s="162"/>
    </row>
    <row r="386" spans="1:19" hidden="1" outlineLevel="1" x14ac:dyDescent="0.2">
      <c r="A386" s="162"/>
      <c r="B386" s="162"/>
      <c r="C386" s="162"/>
      <c r="D386" s="429" t="str">
        <f>TxPhase1Tx</f>
        <v/>
      </c>
      <c r="E386" s="495"/>
      <c r="F386" s="162"/>
      <c r="G386" s="162"/>
      <c r="H386" s="162"/>
      <c r="I386" s="162"/>
      <c r="J386" s="162"/>
      <c r="K386" s="615"/>
      <c r="L386" s="615"/>
      <c r="M386" s="615"/>
      <c r="N386" s="615"/>
      <c r="O386" s="615"/>
      <c r="P386" s="615"/>
      <c r="Q386" s="615"/>
      <c r="R386" s="162"/>
      <c r="S386" s="36" t="s">
        <v>258</v>
      </c>
    </row>
    <row r="387" spans="1:19" hidden="1" outlineLevel="1" x14ac:dyDescent="0.2">
      <c r="A387" s="162"/>
      <c r="B387" s="162"/>
      <c r="C387" s="162"/>
      <c r="D387" s="423" t="s">
        <v>91</v>
      </c>
      <c r="E387" s="428"/>
      <c r="F387" s="428"/>
      <c r="G387" s="428"/>
      <c r="H387" s="428"/>
      <c r="I387" s="428"/>
      <c r="J387" s="428"/>
      <c r="K387" s="615"/>
      <c r="L387" s="615"/>
      <c r="M387" s="615"/>
      <c r="N387" s="615"/>
      <c r="O387" s="615"/>
      <c r="P387" s="615"/>
      <c r="Q387" s="615"/>
      <c r="R387" s="162"/>
      <c r="S387" s="426"/>
    </row>
    <row r="388" spans="1:19" hidden="1" outlineLevel="1" x14ac:dyDescent="0.2">
      <c r="A388" s="162"/>
      <c r="B388" s="162"/>
      <c r="C388" s="162"/>
      <c r="D388" s="435"/>
      <c r="E388" s="162"/>
      <c r="F388" s="162"/>
      <c r="G388" s="162"/>
      <c r="H388" s="162"/>
      <c r="I388" s="162"/>
      <c r="J388" s="162"/>
      <c r="K388" s="615"/>
      <c r="L388" s="615"/>
      <c r="M388" s="615"/>
      <c r="N388" s="615"/>
      <c r="O388" s="615"/>
      <c r="P388" s="615"/>
      <c r="Q388" s="615"/>
      <c r="R388" s="162"/>
      <c r="S388" s="435"/>
    </row>
    <row r="389" spans="1:19" hidden="1" outlineLevel="1" x14ac:dyDescent="0.2">
      <c r="A389" s="162"/>
      <c r="B389" s="162"/>
      <c r="C389" s="162"/>
      <c r="D389" s="433" t="str">
        <f>TXPhase2Tx</f>
        <v/>
      </c>
      <c r="E389" s="495"/>
      <c r="F389" s="162"/>
      <c r="G389" s="162"/>
      <c r="H389" s="162"/>
      <c r="I389" s="162"/>
      <c r="J389" s="162"/>
      <c r="K389" s="615"/>
      <c r="L389" s="615"/>
      <c r="M389" s="615"/>
      <c r="N389" s="615"/>
      <c r="O389" s="615"/>
      <c r="P389" s="615"/>
      <c r="Q389" s="615"/>
      <c r="R389" s="162"/>
      <c r="S389" s="422" t="s">
        <v>258</v>
      </c>
    </row>
    <row r="390" spans="1:19" hidden="1" outlineLevel="1" x14ac:dyDescent="0.2">
      <c r="A390" s="162"/>
      <c r="B390" s="162"/>
      <c r="C390" s="162"/>
      <c r="D390" s="433" t="str">
        <f>IF(D389&lt;&gt;"","Patients electing treatment (%)","")</f>
        <v/>
      </c>
      <c r="E390" s="428"/>
      <c r="F390" s="428"/>
      <c r="G390" s="428"/>
      <c r="H390" s="428"/>
      <c r="I390" s="428"/>
      <c r="J390" s="428"/>
      <c r="K390" s="615"/>
      <c r="L390" s="615"/>
      <c r="M390" s="615"/>
      <c r="N390" s="615"/>
      <c r="O390" s="615"/>
      <c r="P390" s="615"/>
      <c r="Q390" s="615"/>
      <c r="R390" s="162"/>
      <c r="S390" s="426"/>
    </row>
    <row r="391" spans="1:19" hidden="1" outlineLevel="1" x14ac:dyDescent="0.2">
      <c r="A391" s="162"/>
      <c r="B391" s="162"/>
      <c r="C391" s="162"/>
      <c r="D391" s="435"/>
      <c r="E391" s="435"/>
      <c r="F391" s="435"/>
      <c r="G391" s="435"/>
      <c r="H391" s="435"/>
      <c r="I391" s="435"/>
      <c r="J391" s="435"/>
      <c r="K391" s="615"/>
      <c r="L391" s="615"/>
      <c r="M391" s="615"/>
      <c r="N391" s="615"/>
      <c r="O391" s="615"/>
      <c r="P391" s="615"/>
      <c r="Q391" s="615"/>
      <c r="R391" s="162"/>
      <c r="S391" s="162"/>
    </row>
    <row r="392" spans="1:19" s="416" customFormat="1" hidden="1" outlineLevel="1" x14ac:dyDescent="0.2">
      <c r="A392" s="162"/>
      <c r="B392" s="162"/>
      <c r="C392" s="475">
        <f>IFERROR(VLOOKUP(E392,TxPhase2SourceCode,2,FALSE),0)</f>
        <v>1</v>
      </c>
      <c r="D392" s="429" t="s">
        <v>1165</v>
      </c>
      <c r="E392" s="263" t="s">
        <v>1166</v>
      </c>
      <c r="F392" s="435"/>
      <c r="G392" s="435"/>
      <c r="H392" s="435"/>
      <c r="I392" s="435"/>
      <c r="J392" s="435"/>
      <c r="K392" s="615"/>
      <c r="L392" s="615"/>
      <c r="M392" s="615"/>
      <c r="N392" s="615"/>
      <c r="O392" s="615"/>
      <c r="P392" s="615"/>
      <c r="Q392" s="615"/>
      <c r="R392" s="162"/>
      <c r="S392" s="162"/>
    </row>
    <row r="393" spans="1:19" s="416" customFormat="1" hidden="1" outlineLevel="1" x14ac:dyDescent="0.2">
      <c r="A393" s="162"/>
      <c r="B393" s="162"/>
      <c r="C393" s="162"/>
      <c r="D393" s="435"/>
      <c r="E393" s="435"/>
      <c r="F393" s="435"/>
      <c r="G393" s="435"/>
      <c r="H393" s="435"/>
      <c r="I393" s="435"/>
      <c r="J393" s="435"/>
      <c r="K393" s="615"/>
      <c r="L393" s="615"/>
      <c r="M393" s="615"/>
      <c r="N393" s="615"/>
      <c r="O393" s="615"/>
      <c r="P393" s="615"/>
      <c r="Q393" s="615"/>
      <c r="R393" s="162"/>
      <c r="S393" s="162"/>
    </row>
    <row r="394" spans="1:19" hidden="1" outlineLevel="1" x14ac:dyDescent="0.2">
      <c r="A394" s="162"/>
      <c r="B394" s="162"/>
      <c r="C394" s="162"/>
      <c r="D394" s="429" t="str">
        <f>TxPhase1Px</f>
        <v/>
      </c>
      <c r="E394" s="440">
        <f t="shared" ref="E394:J394" si="111">IF(TxPhase1&lt;&gt;"",E384*E387,0)</f>
        <v>0</v>
      </c>
      <c r="F394" s="440">
        <f t="shared" si="111"/>
        <v>0</v>
      </c>
      <c r="G394" s="440">
        <f t="shared" si="111"/>
        <v>0</v>
      </c>
      <c r="H394" s="440">
        <f t="shared" si="111"/>
        <v>0</v>
      </c>
      <c r="I394" s="440">
        <f t="shared" si="111"/>
        <v>0</v>
      </c>
      <c r="J394" s="440">
        <f t="shared" si="111"/>
        <v>0</v>
      </c>
      <c r="K394" s="615"/>
      <c r="L394" s="615"/>
      <c r="M394" s="615"/>
      <c r="N394" s="615"/>
      <c r="O394" s="615"/>
      <c r="P394" s="615"/>
      <c r="Q394" s="615"/>
      <c r="R394" s="162"/>
      <c r="S394" s="162"/>
    </row>
    <row r="395" spans="1:19" hidden="1" outlineLevel="1" x14ac:dyDescent="0.2">
      <c r="A395" s="162"/>
      <c r="B395" s="162"/>
      <c r="C395" s="162"/>
      <c r="D395" s="429" t="str">
        <f>TxPhase2Px</f>
        <v/>
      </c>
      <c r="E395" s="440">
        <f t="shared" ref="E395:J395" si="112">IF(TxPhase2&lt;&gt;"",IF($C392=1,E394,IF($C392=2,E384,0))*E390,0)</f>
        <v>0</v>
      </c>
      <c r="F395" s="440">
        <f t="shared" si="112"/>
        <v>0</v>
      </c>
      <c r="G395" s="440">
        <f t="shared" si="112"/>
        <v>0</v>
      </c>
      <c r="H395" s="440">
        <f t="shared" si="112"/>
        <v>0</v>
      </c>
      <c r="I395" s="440">
        <f t="shared" si="112"/>
        <v>0</v>
      </c>
      <c r="J395" s="440">
        <f t="shared" si="112"/>
        <v>0</v>
      </c>
      <c r="K395" s="615"/>
      <c r="L395" s="615"/>
      <c r="M395" s="615"/>
      <c r="N395" s="615"/>
      <c r="O395" s="615"/>
      <c r="P395" s="615"/>
      <c r="Q395" s="615"/>
      <c r="R395" s="162"/>
      <c r="S395" s="162"/>
    </row>
    <row r="396" spans="1:19" s="416" customFormat="1" hidden="1" outlineLevel="1" x14ac:dyDescent="0.2">
      <c r="A396" s="162"/>
      <c r="B396" s="162"/>
      <c r="C396" s="162"/>
      <c r="D396" s="417"/>
      <c r="E396" s="417"/>
      <c r="F396" s="162"/>
      <c r="G396" s="162"/>
      <c r="H396" s="162"/>
      <c r="I396" s="162"/>
      <c r="J396" s="162"/>
      <c r="K396" s="162"/>
      <c r="L396" s="162"/>
      <c r="M396" s="162"/>
      <c r="N396" s="638"/>
      <c r="O396" s="162"/>
      <c r="P396" s="641"/>
      <c r="Q396" s="641"/>
      <c r="R396" s="162"/>
      <c r="S396" s="162"/>
    </row>
    <row r="397" spans="1:19" s="416" customFormat="1" hidden="1" outlineLevel="1" x14ac:dyDescent="0.2">
      <c r="A397" s="162"/>
      <c r="B397" s="162"/>
      <c r="C397" s="475" t="str">
        <f>IF(E397&lt;&gt;"",E397,"")</f>
        <v/>
      </c>
      <c r="D397" s="89" t="s">
        <v>756</v>
      </c>
      <c r="E397" s="263"/>
      <c r="F397" s="162"/>
      <c r="G397" s="162"/>
      <c r="H397" s="162"/>
      <c r="I397" s="162"/>
      <c r="J397" s="162"/>
      <c r="K397" s="162"/>
      <c r="L397" s="162"/>
      <c r="M397" s="162"/>
      <c r="N397" s="638"/>
      <c r="O397" s="162"/>
      <c r="P397" s="641"/>
      <c r="Q397" s="641"/>
      <c r="R397" s="162"/>
      <c r="S397" s="162"/>
    </row>
    <row r="398" spans="1:19" hidden="1" outlineLevel="1" x14ac:dyDescent="0.2">
      <c r="A398" s="162"/>
      <c r="B398" s="162"/>
      <c r="C398" s="162"/>
      <c r="D398" s="162"/>
      <c r="E398" s="162"/>
      <c r="F398" s="162"/>
      <c r="G398" s="162"/>
      <c r="H398" s="162"/>
      <c r="I398" s="162"/>
      <c r="J398" s="162"/>
      <c r="K398" s="162"/>
      <c r="L398" s="162"/>
      <c r="M398" s="162"/>
      <c r="N398" s="638"/>
      <c r="O398" s="162"/>
      <c r="P398" s="641"/>
      <c r="Q398" s="641"/>
      <c r="R398" s="162"/>
      <c r="S398" s="162"/>
    </row>
    <row r="399" spans="1:19" collapsed="1" x14ac:dyDescent="0.2">
      <c r="A399" s="162"/>
      <c r="B399" s="162"/>
      <c r="C399" s="162"/>
      <c r="D399" s="162"/>
      <c r="E399" s="162"/>
      <c r="F399" s="162"/>
      <c r="G399" s="162"/>
      <c r="H399" s="162"/>
      <c r="I399" s="162"/>
      <c r="J399" s="162"/>
      <c r="K399" s="162"/>
      <c r="L399" s="162"/>
      <c r="M399" s="162"/>
      <c r="N399" s="162"/>
      <c r="O399" s="162"/>
      <c r="P399" s="639"/>
      <c r="Q399" s="640"/>
      <c r="R399" s="162"/>
      <c r="S399" s="162"/>
    </row>
    <row r="400" spans="1:19" ht="15.75" x14ac:dyDescent="0.2">
      <c r="A400" s="162"/>
      <c r="B400" s="162"/>
      <c r="C400" s="75"/>
      <c r="D400" s="123" t="s">
        <v>27</v>
      </c>
      <c r="E400" s="126"/>
      <c r="F400" s="126"/>
      <c r="G400" s="126"/>
      <c r="H400" s="126"/>
      <c r="I400" s="126"/>
      <c r="J400" s="126"/>
      <c r="K400" s="126"/>
      <c r="L400" s="126"/>
      <c r="M400" s="126"/>
      <c r="N400" s="126"/>
      <c r="O400" s="126"/>
      <c r="P400" s="126"/>
      <c r="Q400" s="126"/>
      <c r="R400" s="126"/>
      <c r="S400" s="126"/>
    </row>
    <row r="401" spans="1:19" x14ac:dyDescent="0.2">
      <c r="A401" s="162"/>
      <c r="B401" s="162"/>
      <c r="C401" s="162"/>
      <c r="D401" s="162"/>
      <c r="E401" s="162"/>
      <c r="F401" s="162"/>
      <c r="G401" s="162"/>
      <c r="H401" s="162"/>
      <c r="I401" s="162"/>
      <c r="J401" s="162"/>
      <c r="K401" s="162"/>
      <c r="L401" s="162"/>
      <c r="M401" s="162"/>
      <c r="N401" s="162"/>
      <c r="O401" s="162"/>
      <c r="P401" s="162"/>
      <c r="Q401" s="162"/>
      <c r="R401" s="162"/>
      <c r="S401" s="162"/>
    </row>
    <row r="402" spans="1:19" x14ac:dyDescent="0.2">
      <c r="A402" s="162"/>
      <c r="B402" s="162"/>
      <c r="C402" s="162"/>
      <c r="D402" s="162" t="s">
        <v>838</v>
      </c>
      <c r="E402" s="162"/>
      <c r="F402" s="162"/>
      <c r="G402" s="162"/>
      <c r="H402" s="162"/>
      <c r="I402" s="162"/>
      <c r="J402" s="162"/>
      <c r="K402" s="162"/>
      <c r="L402" s="162"/>
      <c r="M402" s="162"/>
      <c r="N402" s="162"/>
      <c r="O402" s="162"/>
      <c r="P402" s="162"/>
      <c r="Q402" s="162"/>
      <c r="R402" s="162"/>
      <c r="S402" s="162"/>
    </row>
    <row r="403" spans="1:19" x14ac:dyDescent="0.2">
      <c r="A403" s="162"/>
      <c r="B403" s="162"/>
      <c r="C403" s="162"/>
      <c r="D403" s="162" t="s">
        <v>219</v>
      </c>
      <c r="E403" s="162"/>
      <c r="F403" s="162"/>
      <c r="G403" s="162"/>
      <c r="H403" s="162"/>
      <c r="I403" s="162"/>
      <c r="J403" s="162"/>
      <c r="K403" s="162"/>
      <c r="L403" s="162"/>
      <c r="M403" s="162"/>
      <c r="N403" s="162"/>
      <c r="O403" s="162"/>
      <c r="P403" s="162"/>
      <c r="Q403" s="162"/>
      <c r="R403" s="162"/>
      <c r="S403" s="162"/>
    </row>
    <row r="404" spans="1:19" x14ac:dyDescent="0.2">
      <c r="A404" s="162"/>
      <c r="B404" s="162"/>
      <c r="C404" s="162"/>
      <c r="D404" s="162"/>
      <c r="E404" s="162"/>
      <c r="F404" s="162"/>
      <c r="G404" s="162"/>
      <c r="H404" s="162"/>
      <c r="I404" s="162"/>
      <c r="J404" s="162"/>
      <c r="K404" s="162"/>
      <c r="L404" s="162"/>
      <c r="M404" s="162"/>
      <c r="N404" s="162"/>
      <c r="O404" s="162"/>
      <c r="P404" s="162"/>
      <c r="Q404" s="162"/>
      <c r="R404" s="162"/>
      <c r="S404" s="162"/>
    </row>
    <row r="405" spans="1:19" x14ac:dyDescent="0.2">
      <c r="A405" s="162"/>
      <c r="B405" s="162"/>
      <c r="C405" s="75"/>
      <c r="D405" s="138" t="s">
        <v>856</v>
      </c>
      <c r="E405" s="126"/>
      <c r="F405" s="126"/>
      <c r="G405" s="126"/>
      <c r="H405" s="126"/>
      <c r="I405" s="126"/>
      <c r="J405" s="126"/>
      <c r="K405" s="126"/>
      <c r="L405" s="126"/>
      <c r="M405" s="126"/>
      <c r="N405" s="126"/>
      <c r="O405" s="126"/>
      <c r="P405" s="126"/>
      <c r="Q405" s="126"/>
      <c r="R405" s="126"/>
      <c r="S405" s="126"/>
    </row>
    <row r="406" spans="1:19" x14ac:dyDescent="0.2">
      <c r="A406" s="162"/>
      <c r="B406" s="162"/>
      <c r="C406" s="162"/>
      <c r="D406" s="616"/>
      <c r="E406" s="162"/>
      <c r="F406" s="162"/>
      <c r="G406" s="162"/>
      <c r="H406" s="162"/>
      <c r="I406" s="162"/>
      <c r="J406" s="162"/>
      <c r="K406" s="162"/>
      <c r="L406" s="162"/>
      <c r="M406" s="162"/>
      <c r="N406" s="162"/>
      <c r="O406" s="162"/>
      <c r="P406" s="162"/>
      <c r="Q406" s="162"/>
      <c r="R406" s="162"/>
      <c r="S406" s="162"/>
    </row>
    <row r="407" spans="1:19" x14ac:dyDescent="0.2">
      <c r="A407" s="162"/>
      <c r="B407" s="162"/>
      <c r="C407" s="162"/>
      <c r="D407" s="162"/>
      <c r="E407" s="162"/>
      <c r="F407" s="162"/>
      <c r="G407" s="162"/>
      <c r="H407" s="162"/>
      <c r="I407" s="162"/>
      <c r="J407" s="162"/>
      <c r="K407" s="162"/>
      <c r="L407" s="162"/>
      <c r="M407" s="162"/>
      <c r="N407" s="162"/>
      <c r="O407" s="162"/>
      <c r="P407" s="162"/>
      <c r="Q407" s="162"/>
      <c r="R407" s="162"/>
      <c r="S407" s="162"/>
    </row>
    <row r="408" spans="1:19" x14ac:dyDescent="0.2">
      <c r="A408" s="162"/>
      <c r="B408" s="162"/>
      <c r="C408" s="75"/>
      <c r="D408" s="138" t="s">
        <v>857</v>
      </c>
      <c r="E408" s="126"/>
      <c r="F408" s="126"/>
      <c r="G408" s="126"/>
      <c r="H408" s="126"/>
      <c r="I408" s="126"/>
      <c r="J408" s="126"/>
      <c r="K408" s="126"/>
      <c r="L408" s="126"/>
      <c r="M408" s="126"/>
      <c r="N408" s="126"/>
      <c r="O408" s="126"/>
      <c r="P408" s="126"/>
      <c r="Q408" s="126"/>
      <c r="R408" s="126"/>
      <c r="S408" s="126"/>
    </row>
    <row r="409" spans="1:19" x14ac:dyDescent="0.2">
      <c r="A409" s="162"/>
      <c r="B409" s="162"/>
      <c r="C409" s="162"/>
      <c r="D409" s="616"/>
      <c r="E409" s="162"/>
      <c r="F409" s="162"/>
      <c r="G409" s="162"/>
      <c r="H409" s="162"/>
      <c r="I409" s="162"/>
      <c r="J409" s="162"/>
      <c r="K409" s="162"/>
      <c r="L409" s="162"/>
      <c r="M409" s="162"/>
      <c r="N409" s="162"/>
      <c r="O409" s="162"/>
      <c r="P409" s="162"/>
      <c r="Q409" s="162"/>
      <c r="R409" s="162"/>
      <c r="S409" s="162"/>
    </row>
    <row r="410" spans="1:19" x14ac:dyDescent="0.2">
      <c r="A410" s="162"/>
      <c r="B410" s="162"/>
      <c r="C410" s="162"/>
      <c r="D410" s="162"/>
      <c r="E410" s="162"/>
      <c r="F410" s="162"/>
      <c r="G410" s="162"/>
      <c r="H410" s="162"/>
      <c r="I410" s="162"/>
      <c r="J410" s="162"/>
      <c r="K410" s="162"/>
      <c r="L410" s="162"/>
      <c r="M410" s="162"/>
      <c r="N410" s="162"/>
      <c r="O410" s="162"/>
      <c r="P410" s="162"/>
      <c r="Q410" s="162"/>
      <c r="R410" s="162"/>
      <c r="S410" s="162"/>
    </row>
    <row r="411" spans="1:19" x14ac:dyDescent="0.2">
      <c r="A411" s="162"/>
      <c r="B411" s="162"/>
      <c r="C411" s="75"/>
      <c r="D411" s="138" t="s">
        <v>858</v>
      </c>
      <c r="E411" s="126"/>
      <c r="F411" s="126"/>
      <c r="G411" s="126"/>
      <c r="H411" s="126"/>
      <c r="I411" s="126"/>
      <c r="J411" s="126"/>
      <c r="K411" s="126"/>
      <c r="L411" s="126"/>
      <c r="M411" s="126"/>
      <c r="N411" s="126"/>
      <c r="O411" s="126"/>
      <c r="P411" s="126"/>
      <c r="Q411" s="126"/>
      <c r="R411" s="126"/>
      <c r="S411" s="126"/>
    </row>
    <row r="412" spans="1:19" x14ac:dyDescent="0.2">
      <c r="A412" s="615"/>
      <c r="K412" s="416"/>
      <c r="L412" s="416"/>
      <c r="M412" s="416"/>
      <c r="N412" s="416"/>
      <c r="O412" s="416"/>
      <c r="P412" s="416"/>
      <c r="Q412" s="416"/>
    </row>
    <row r="413" spans="1:19" x14ac:dyDescent="0.2">
      <c r="A413" s="615"/>
    </row>
    <row r="414" spans="1:19" x14ac:dyDescent="0.2">
      <c r="A414" s="615"/>
    </row>
    <row r="415" spans="1:19" x14ac:dyDescent="0.2">
      <c r="A415" s="615"/>
    </row>
    <row r="416" spans="1:19" x14ac:dyDescent="0.2">
      <c r="A416" s="615"/>
    </row>
    <row r="417" spans="1:1" x14ac:dyDescent="0.2">
      <c r="A417" s="615"/>
    </row>
    <row r="418" spans="1:1" x14ac:dyDescent="0.2">
      <c r="A418" s="615"/>
    </row>
    <row r="419" spans="1:1" x14ac:dyDescent="0.2">
      <c r="A419" s="615"/>
    </row>
    <row r="420" spans="1:1" x14ac:dyDescent="0.2">
      <c r="A420" s="615"/>
    </row>
    <row r="421" spans="1:1" x14ac:dyDescent="0.2">
      <c r="A421" s="615"/>
    </row>
    <row r="422" spans="1:1" x14ac:dyDescent="0.2">
      <c r="A422" s="615"/>
    </row>
    <row r="423" spans="1:1" x14ac:dyDescent="0.2">
      <c r="A423" s="615"/>
    </row>
    <row r="424" spans="1:1" x14ac:dyDescent="0.2">
      <c r="A424" s="615"/>
    </row>
    <row r="425" spans="1:1" x14ac:dyDescent="0.2">
      <c r="A425" s="615"/>
    </row>
    <row r="426" spans="1:1" x14ac:dyDescent="0.2">
      <c r="A426" s="615"/>
    </row>
    <row r="427" spans="1:1" x14ac:dyDescent="0.2">
      <c r="A427" s="615"/>
    </row>
    <row r="428" spans="1:1" x14ac:dyDescent="0.2">
      <c r="A428" s="615"/>
    </row>
    <row r="429" spans="1:1" x14ac:dyDescent="0.2">
      <c r="A429" s="615"/>
    </row>
    <row r="430" spans="1:1" x14ac:dyDescent="0.2">
      <c r="A430" s="615"/>
    </row>
    <row r="431" spans="1:1" x14ac:dyDescent="0.2">
      <c r="A431" s="615"/>
    </row>
    <row r="432" spans="1:1" x14ac:dyDescent="0.2">
      <c r="A432" s="615"/>
    </row>
    <row r="433" spans="1:1" x14ac:dyDescent="0.2">
      <c r="A433" s="615"/>
    </row>
    <row r="434" spans="1:1" x14ac:dyDescent="0.2">
      <c r="A434" s="615"/>
    </row>
    <row r="435" spans="1:1" x14ac:dyDescent="0.2">
      <c r="A435" s="615"/>
    </row>
    <row r="436" spans="1:1" x14ac:dyDescent="0.2">
      <c r="A436" s="615"/>
    </row>
    <row r="437" spans="1:1" x14ac:dyDescent="0.2">
      <c r="A437" s="615"/>
    </row>
    <row r="438" spans="1:1" x14ac:dyDescent="0.2">
      <c r="A438" s="615"/>
    </row>
    <row r="439" spans="1:1" x14ac:dyDescent="0.2">
      <c r="A439" s="615"/>
    </row>
    <row r="440" spans="1:1" x14ac:dyDescent="0.2">
      <c r="A440" s="615"/>
    </row>
    <row r="441" spans="1:1" x14ac:dyDescent="0.2">
      <c r="A441" s="615"/>
    </row>
    <row r="442" spans="1:1" x14ac:dyDescent="0.2">
      <c r="A442" s="615"/>
    </row>
    <row r="443" spans="1:1" x14ac:dyDescent="0.2">
      <c r="A443" s="615"/>
    </row>
    <row r="444" spans="1:1" x14ac:dyDescent="0.2">
      <c r="A444" s="615"/>
    </row>
    <row r="445" spans="1:1" x14ac:dyDescent="0.2">
      <c r="A445" s="615"/>
    </row>
    <row r="446" spans="1:1" x14ac:dyDescent="0.2">
      <c r="A446" s="615"/>
    </row>
    <row r="447" spans="1:1" x14ac:dyDescent="0.2">
      <c r="A447" s="615"/>
    </row>
    <row r="448" spans="1:1" x14ac:dyDescent="0.2">
      <c r="A448" s="615"/>
    </row>
    <row r="449" spans="1:1" x14ac:dyDescent="0.2">
      <c r="A449" s="615"/>
    </row>
  </sheetData>
  <mergeCells count="21">
    <mergeCell ref="E102:J102"/>
    <mergeCell ref="E64:J64"/>
    <mergeCell ref="G100:J100"/>
    <mergeCell ref="I1:J1"/>
    <mergeCell ref="G24:J24"/>
    <mergeCell ref="G62:J62"/>
    <mergeCell ref="E26:J26"/>
    <mergeCell ref="G214:J214"/>
    <mergeCell ref="E216:J216"/>
    <mergeCell ref="G252:J252"/>
    <mergeCell ref="G138:J138"/>
    <mergeCell ref="E140:J140"/>
    <mergeCell ref="G176:J176"/>
    <mergeCell ref="E178:J178"/>
    <mergeCell ref="G328:J328"/>
    <mergeCell ref="E330:J330"/>
    <mergeCell ref="G366:J366"/>
    <mergeCell ref="E368:J368"/>
    <mergeCell ref="E254:J254"/>
    <mergeCell ref="G290:J290"/>
    <mergeCell ref="E292:J292"/>
  </mergeCells>
  <conditionalFormatting sqref="S31:S40 D31:J40 E24 G24 E45:J45 E48:J48 S45 S48 S24 E55 E50">
    <cfRule type="expression" dxfId="398" priority="10">
      <formula>PxPrevalent&lt;&gt;1</formula>
    </cfRule>
  </conditionalFormatting>
  <conditionalFormatting sqref="S69:S78 D69:J78 E62 G62 E83:J83 S83 E86:J86 S86 S62 E93 E88">
    <cfRule type="expression" dxfId="397" priority="9">
      <formula>PxPrevalent&lt;&gt;1</formula>
    </cfRule>
  </conditionalFormatting>
  <conditionalFormatting sqref="S107:S116 D107:J116 E100 G100 E121:J121 S121 E124:J124 S124 S100 E131 E126">
    <cfRule type="expression" dxfId="396" priority="8">
      <formula>PxPrevalent&lt;&gt;1</formula>
    </cfRule>
  </conditionalFormatting>
  <conditionalFormatting sqref="S145:S154 D145:J154 E138 G138 E159:J159 S159 E162:J162 S162 S138 E169 E164">
    <cfRule type="expression" dxfId="395" priority="7">
      <formula>PxPrevalent&lt;&gt;1</formula>
    </cfRule>
  </conditionalFormatting>
  <conditionalFormatting sqref="S183:S192 D183:J192 E176 G176 E197:J197 S197 E200:J200 S200 S176 E207 E202">
    <cfRule type="expression" dxfId="394" priority="6">
      <formula>PxPrevalent&lt;&gt;1</formula>
    </cfRule>
  </conditionalFormatting>
  <conditionalFormatting sqref="D47 D48:J48 S48 E50 D53:J53">
    <cfRule type="expression" dxfId="393" priority="232">
      <formula>TPCont=0</formula>
    </cfRule>
  </conditionalFormatting>
  <conditionalFormatting sqref="D53">
    <cfRule type="expression" dxfId="392" priority="229">
      <formula>$D$53=""</formula>
    </cfRule>
  </conditionalFormatting>
  <conditionalFormatting sqref="D85 D86:J86 S86 E88 D91:J91">
    <cfRule type="expression" dxfId="391" priority="225">
      <formula>TPCont=0</formula>
    </cfRule>
  </conditionalFormatting>
  <conditionalFormatting sqref="D123 D124:J124 S124 E126 D129:J129">
    <cfRule type="expression" dxfId="390" priority="221">
      <formula>TPCont=0</formula>
    </cfRule>
  </conditionalFormatting>
  <conditionalFormatting sqref="D161 D162:J162 S162 E164 D167:J167">
    <cfRule type="expression" dxfId="389" priority="217">
      <formula>TPCont=0</formula>
    </cfRule>
  </conditionalFormatting>
  <conditionalFormatting sqref="D199 D200:J200 S200 E202 D205:J205">
    <cfRule type="expression" dxfId="388" priority="213">
      <formula>TPCont=0</formula>
    </cfRule>
  </conditionalFormatting>
  <conditionalFormatting sqref="S221:S230 D221:J230 E214 G214 E235:J235 S235 E238:J238 S238 S214 E245 E240">
    <cfRule type="expression" dxfId="387" priority="5">
      <formula>PxPrevalent&lt;&gt;1</formula>
    </cfRule>
  </conditionalFormatting>
  <conditionalFormatting sqref="D237 D238:J238 S238 E240 D243:J243">
    <cfRule type="expression" dxfId="386" priority="196">
      <formula>TPCont=0</formula>
    </cfRule>
  </conditionalFormatting>
  <conditionalFormatting sqref="S259:S268 D259:J268 E252 G252 E273:J273 S273 E276:J276 S276 S252 E283 E278">
    <cfRule type="expression" dxfId="385" priority="4">
      <formula>PxPrevalent&lt;&gt;1</formula>
    </cfRule>
  </conditionalFormatting>
  <conditionalFormatting sqref="D275 D276:J276 S276 E278 D281:J281">
    <cfRule type="expression" dxfId="384" priority="183">
      <formula>TPCont=0</formula>
    </cfRule>
  </conditionalFormatting>
  <conditionalFormatting sqref="S297:S306 D297:J306 E290 G290 E311:J311 S311 E314:J314 S314 S290 E321 E316">
    <cfRule type="expression" dxfId="383" priority="3">
      <formula>PxPrevalent&lt;&gt;1</formula>
    </cfRule>
  </conditionalFormatting>
  <conditionalFormatting sqref="D313 D314:J314 S314 E316 D319:J319">
    <cfRule type="expression" dxfId="382" priority="170">
      <formula>TPCont=0</formula>
    </cfRule>
  </conditionalFormatting>
  <conditionalFormatting sqref="S335:S344 D335:J344 E328 G328 E349:J349 S349 E352:J352 S352 S328 E359 E354">
    <cfRule type="expression" dxfId="381" priority="2">
      <formula>PxPrevalent&lt;&gt;1</formula>
    </cfRule>
  </conditionalFormatting>
  <conditionalFormatting sqref="D351 D352:J352 S352 E354 D357:J357">
    <cfRule type="expression" dxfId="380" priority="157">
      <formula>TPCont=0</formula>
    </cfRule>
  </conditionalFormatting>
  <conditionalFormatting sqref="S373:S382 D373:J382 E366 G366 E387:J387 S387 E390:J390 S390 S366 E397 E392">
    <cfRule type="expression" dxfId="379" priority="1">
      <formula>PxPrevalent&lt;&gt;1</formula>
    </cfRule>
  </conditionalFormatting>
  <conditionalFormatting sqref="D389 D390:J390 S390 E392 D395:J395">
    <cfRule type="expression" dxfId="378" priority="144">
      <formula>TPCont=0</formula>
    </cfRule>
  </conditionalFormatting>
  <conditionalFormatting sqref="S24">
    <cfRule type="expression" dxfId="377" priority="142">
      <formula>G24=""</formula>
    </cfRule>
  </conditionalFormatting>
  <conditionalFormatting sqref="S62">
    <cfRule type="expression" dxfId="376" priority="140">
      <formula>G62=""</formula>
    </cfRule>
  </conditionalFormatting>
  <conditionalFormatting sqref="S100">
    <cfRule type="expression" dxfId="375" priority="138">
      <formula>G100=""</formula>
    </cfRule>
  </conditionalFormatting>
  <conditionalFormatting sqref="S138">
    <cfRule type="expression" dxfId="374" priority="136">
      <formula>G138=""</formula>
    </cfRule>
  </conditionalFormatting>
  <conditionalFormatting sqref="S176">
    <cfRule type="expression" dxfId="373" priority="134">
      <formula>G176=""</formula>
    </cfRule>
  </conditionalFormatting>
  <conditionalFormatting sqref="S214">
    <cfRule type="expression" dxfId="372" priority="132">
      <formula>G214=""</formula>
    </cfRule>
  </conditionalFormatting>
  <conditionalFormatting sqref="S252">
    <cfRule type="expression" dxfId="371" priority="130">
      <formula>G252=""</formula>
    </cfRule>
  </conditionalFormatting>
  <conditionalFormatting sqref="S290">
    <cfRule type="expression" dxfId="370" priority="128">
      <formula>G290=""</formula>
    </cfRule>
  </conditionalFormatting>
  <conditionalFormatting sqref="S328">
    <cfRule type="expression" dxfId="369" priority="126">
      <formula>G328=""</formula>
    </cfRule>
  </conditionalFormatting>
  <conditionalFormatting sqref="S366">
    <cfRule type="expression" dxfId="368" priority="124">
      <formula>G366=""</formula>
    </cfRule>
  </conditionalFormatting>
  <conditionalFormatting sqref="D161">
    <cfRule type="expression" dxfId="367" priority="113">
      <formula>TPCont=0</formula>
    </cfRule>
  </conditionalFormatting>
  <conditionalFormatting sqref="D123">
    <cfRule type="expression" dxfId="366" priority="114">
      <formula>TPCont=0</formula>
    </cfRule>
  </conditionalFormatting>
  <conditionalFormatting sqref="D85">
    <cfRule type="expression" dxfId="365" priority="115">
      <formula>TPCont=0</formula>
    </cfRule>
  </conditionalFormatting>
  <conditionalFormatting sqref="D199">
    <cfRule type="expression" dxfId="364" priority="112">
      <formula>TPCont=0</formula>
    </cfRule>
  </conditionalFormatting>
  <conditionalFormatting sqref="D237">
    <cfRule type="expression" dxfId="363" priority="111">
      <formula>TPCont=0</formula>
    </cfRule>
  </conditionalFormatting>
  <conditionalFormatting sqref="D275">
    <cfRule type="expression" dxfId="362" priority="110">
      <formula>TPCont=0</formula>
    </cfRule>
  </conditionalFormatting>
  <conditionalFormatting sqref="D313">
    <cfRule type="expression" dxfId="361" priority="109">
      <formula>TPCont=0</formula>
    </cfRule>
  </conditionalFormatting>
  <conditionalFormatting sqref="D351">
    <cfRule type="expression" dxfId="360" priority="108">
      <formula>TPCont=0</formula>
    </cfRule>
  </conditionalFormatting>
  <conditionalFormatting sqref="D389">
    <cfRule type="expression" dxfId="359" priority="107">
      <formula>TPCont=0</formula>
    </cfRule>
  </conditionalFormatting>
  <conditionalFormatting sqref="D91">
    <cfRule type="expression" dxfId="358" priority="106">
      <formula>$D$53=""</formula>
    </cfRule>
  </conditionalFormatting>
  <conditionalFormatting sqref="D129">
    <cfRule type="expression" dxfId="357" priority="105">
      <formula>$D$53=""</formula>
    </cfRule>
  </conditionalFormatting>
  <conditionalFormatting sqref="D167">
    <cfRule type="expression" dxfId="356" priority="104">
      <formula>$D$53=""</formula>
    </cfRule>
  </conditionalFormatting>
  <conditionalFormatting sqref="D205">
    <cfRule type="expression" dxfId="355" priority="103">
      <formula>$D$53=""</formula>
    </cfRule>
  </conditionalFormatting>
  <conditionalFormatting sqref="D243">
    <cfRule type="expression" dxfId="354" priority="102">
      <formula>$D$53=""</formula>
    </cfRule>
  </conditionalFormatting>
  <conditionalFormatting sqref="D281">
    <cfRule type="expression" dxfId="353" priority="101">
      <formula>$D$53=""</formula>
    </cfRule>
  </conditionalFormatting>
  <conditionalFormatting sqref="D319">
    <cfRule type="expression" dxfId="352" priority="100">
      <formula>$D$53=""</formula>
    </cfRule>
  </conditionalFormatting>
  <conditionalFormatting sqref="D357">
    <cfRule type="expression" dxfId="351" priority="99">
      <formula>$D$53=""</formula>
    </cfRule>
  </conditionalFormatting>
  <conditionalFormatting sqref="D395">
    <cfRule type="expression" dxfId="350" priority="98">
      <formula>$D$53=""</formula>
    </cfRule>
  </conditionalFormatting>
  <conditionalFormatting sqref="S26">
    <cfRule type="notContainsBlanks" dxfId="349" priority="84">
      <formula>LEN(TRIM(S26))&gt;0</formula>
    </cfRule>
  </conditionalFormatting>
  <conditionalFormatting sqref="E28:J28">
    <cfRule type="expression" dxfId="348" priority="74">
      <formula>PxPrevalent&lt;&gt;1</formula>
    </cfRule>
  </conditionalFormatting>
  <conditionalFormatting sqref="E66:J66">
    <cfRule type="expression" dxfId="347" priority="46">
      <formula>PxPrevalent&lt;&gt;1</formula>
    </cfRule>
  </conditionalFormatting>
  <conditionalFormatting sqref="E104:J104">
    <cfRule type="expression" dxfId="346" priority="45">
      <formula>PxPrevalent&lt;&gt;1</formula>
    </cfRule>
  </conditionalFormatting>
  <conditionalFormatting sqref="E142:J142">
    <cfRule type="expression" dxfId="345" priority="44">
      <formula>PxPrevalent&lt;&gt;1</formula>
    </cfRule>
  </conditionalFormatting>
  <conditionalFormatting sqref="E180:J180">
    <cfRule type="expression" dxfId="344" priority="43">
      <formula>PxPrevalent&lt;&gt;1</formula>
    </cfRule>
  </conditionalFormatting>
  <conditionalFormatting sqref="E218:J218">
    <cfRule type="expression" dxfId="343" priority="42">
      <formula>PxPrevalent&lt;&gt;1</formula>
    </cfRule>
  </conditionalFormatting>
  <conditionalFormatting sqref="E256:J256">
    <cfRule type="expression" dxfId="342" priority="41">
      <formula>PxPrevalent&lt;&gt;1</formula>
    </cfRule>
  </conditionalFormatting>
  <conditionalFormatting sqref="E294:J294">
    <cfRule type="expression" dxfId="341" priority="40">
      <formula>PxPrevalent&lt;&gt;1</formula>
    </cfRule>
  </conditionalFormatting>
  <conditionalFormatting sqref="E332:J332">
    <cfRule type="expression" dxfId="340" priority="39">
      <formula>PxPrevalent&lt;&gt;1</formula>
    </cfRule>
  </conditionalFormatting>
  <conditionalFormatting sqref="E370:J370">
    <cfRule type="expression" dxfId="339" priority="38">
      <formula>PxPrevalent&lt;&gt;1</formula>
    </cfRule>
  </conditionalFormatting>
  <conditionalFormatting sqref="D15:J15">
    <cfRule type="expression" dxfId="338" priority="744">
      <formula>#REF!=""</formula>
    </cfRule>
  </conditionalFormatting>
  <conditionalFormatting sqref="S64">
    <cfRule type="notContainsBlanks" dxfId="337" priority="19">
      <formula>LEN(TRIM(S64))&gt;0</formula>
    </cfRule>
  </conditionalFormatting>
  <conditionalFormatting sqref="S102">
    <cfRule type="notContainsBlanks" dxfId="336" priority="18">
      <formula>LEN(TRIM(S102))&gt;0</formula>
    </cfRule>
  </conditionalFormatting>
  <conditionalFormatting sqref="S140">
    <cfRule type="notContainsBlanks" dxfId="335" priority="17">
      <formula>LEN(TRIM(S140))&gt;0</formula>
    </cfRule>
  </conditionalFormatting>
  <conditionalFormatting sqref="S178">
    <cfRule type="notContainsBlanks" dxfId="334" priority="16">
      <formula>LEN(TRIM(S178))&gt;0</formula>
    </cfRule>
  </conditionalFormatting>
  <conditionalFormatting sqref="S216">
    <cfRule type="notContainsBlanks" dxfId="333" priority="15">
      <formula>LEN(TRIM(S216))&gt;0</formula>
    </cfRule>
  </conditionalFormatting>
  <conditionalFormatting sqref="S254">
    <cfRule type="notContainsBlanks" dxfId="332" priority="14">
      <formula>LEN(TRIM(S254))&gt;0</formula>
    </cfRule>
  </conditionalFormatting>
  <conditionalFormatting sqref="S292">
    <cfRule type="notContainsBlanks" dxfId="331" priority="13">
      <formula>LEN(TRIM(S292))&gt;0</formula>
    </cfRule>
  </conditionalFormatting>
  <conditionalFormatting sqref="S330">
    <cfRule type="notContainsBlanks" dxfId="330" priority="12">
      <formula>LEN(TRIM(S330))&gt;0</formula>
    </cfRule>
  </conditionalFormatting>
  <conditionalFormatting sqref="S368">
    <cfRule type="notContainsBlanks" dxfId="329" priority="11">
      <formula>LEN(TRIM(S368))&gt;0</formula>
    </cfRule>
  </conditionalFormatting>
  <conditionalFormatting sqref="E31:J40 S31:S40">
    <cfRule type="expression" dxfId="328" priority="364">
      <formula>$D31=""</formula>
    </cfRule>
  </conditionalFormatting>
  <conditionalFormatting sqref="E69:J78 S69:S78">
    <cfRule type="expression" dxfId="327" priority="290">
      <formula>$D69=""</formula>
    </cfRule>
  </conditionalFormatting>
  <conditionalFormatting sqref="E107:J116 S107:S116">
    <cfRule type="expression" dxfId="326" priority="276">
      <formula>$D107=""</formula>
    </cfRule>
  </conditionalFormatting>
  <conditionalFormatting sqref="E145:J154 S145:S154">
    <cfRule type="expression" dxfId="325" priority="262">
      <formula>$D145=""</formula>
    </cfRule>
  </conditionalFormatting>
  <conditionalFormatting sqref="E183:J192 S183:S192">
    <cfRule type="expression" dxfId="324" priority="248">
      <formula>$D183=""</formula>
    </cfRule>
  </conditionalFormatting>
  <conditionalFormatting sqref="E221:J230 S221:S230">
    <cfRule type="expression" dxfId="323" priority="207">
      <formula>$D221=""</formula>
    </cfRule>
  </conditionalFormatting>
  <conditionalFormatting sqref="E259:J268 S259:S268">
    <cfRule type="expression" dxfId="322" priority="194">
      <formula>$D259=""</formula>
    </cfRule>
  </conditionalFormatting>
  <conditionalFormatting sqref="E297:J306 S297:S306">
    <cfRule type="expression" dxfId="321" priority="181">
      <formula>$D297=""</formula>
    </cfRule>
  </conditionalFormatting>
  <conditionalFormatting sqref="E335:J344 S335:S344">
    <cfRule type="expression" dxfId="320" priority="168">
      <formula>$D335=""</formula>
    </cfRule>
  </conditionalFormatting>
  <conditionalFormatting sqref="E373:J382 S373:S382">
    <cfRule type="expression" dxfId="319" priority="155">
      <formula>$D373=""</formula>
    </cfRule>
  </conditionalFormatting>
  <dataValidations count="13">
    <dataValidation type="list" allowBlank="1" showInputMessage="1" showErrorMessage="1" sqref="G366:J366">
      <formula1>PPops10</formula1>
    </dataValidation>
    <dataValidation type="list" allowBlank="1" showInputMessage="1" showErrorMessage="1" sqref="E24 E62 E100 E138 E176 E214 E252 E290 E328 E366">
      <formula1>EPISource</formula1>
    </dataValidation>
    <dataValidation type="list" allowBlank="1" showInputMessage="1" showErrorMessage="1" sqref="G24:J24">
      <formula1>PPops01</formula1>
    </dataValidation>
    <dataValidation type="list" allowBlank="1" showInputMessage="1" showErrorMessage="1" sqref="G62:J62">
      <formula1>PPops02</formula1>
    </dataValidation>
    <dataValidation type="list" allowBlank="1" showInputMessage="1" showErrorMessage="1" sqref="G100:J100">
      <formula1>PPops03</formula1>
    </dataValidation>
    <dataValidation type="list" allowBlank="1" showInputMessage="1" showErrorMessage="1" sqref="G138:J138">
      <formula1>PPops04</formula1>
    </dataValidation>
    <dataValidation type="list" allowBlank="1" showInputMessage="1" showErrorMessage="1" sqref="G214:J214">
      <formula1>PPops06</formula1>
    </dataValidation>
    <dataValidation type="list" allowBlank="1" showInputMessage="1" showErrorMessage="1" sqref="G176:J176">
      <formula1>PPops05</formula1>
    </dataValidation>
    <dataValidation type="list" allowBlank="1" showInputMessage="1" showErrorMessage="1" sqref="G252:J252">
      <formula1>PPops07</formula1>
    </dataValidation>
    <dataValidation type="list" allowBlank="1" showInputMessage="1" showErrorMessage="1" sqref="G290:J290">
      <formula1>PPops08</formula1>
    </dataValidation>
    <dataValidation type="list" allowBlank="1" showInputMessage="1" showErrorMessage="1" sqref="G328:J328">
      <formula1>PPops09</formula1>
    </dataValidation>
    <dataValidation type="list" allowBlank="1" showInputMessage="1" showErrorMessage="1" sqref="E55 E93 E131 E169 E207 E245 E283 E321 E359 E397">
      <formula1>CoPayBands</formula1>
    </dataValidation>
    <dataValidation type="list" allowBlank="1" showInputMessage="1" showErrorMessage="1" sqref="E50 E88 E126 E164 E202 E240 E278 E316 E354 E392">
      <formula1>TxPhase2Source</formula1>
    </dataValidation>
  </dataValidations>
  <pageMargins left="0.11811023622047245" right="0.11811023622047245" top="0.19685039370078741" bottom="0.15748031496062992" header="0.31496062992125984" footer="0.31496062992125984"/>
  <pageSetup paperSize="9" scale="66" orientation="landscape" horizontalDpi="300"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theme="6"/>
    <pageSetUpPr fitToPage="1"/>
  </sheetPr>
  <dimension ref="A1:O170"/>
  <sheetViews>
    <sheetView showGridLines="0" zoomScaleNormal="100" workbookViewId="0">
      <pane ySplit="3" topLeftCell="A4" activePane="bottomLeft" state="frozen"/>
      <selection activeCell="B7" sqref="B7:G7"/>
      <selection pane="bottomLeft"/>
    </sheetView>
  </sheetViews>
  <sheetFormatPr defaultRowHeight="12.75" customHeight="1" outlineLevelRow="1" x14ac:dyDescent="0.2"/>
  <cols>
    <col min="1" max="1" width="3.7109375" customWidth="1"/>
    <col min="2" max="2" width="3.7109375" style="416" hidden="1" customWidth="1"/>
    <col min="3" max="3" width="3.7109375" hidden="1" customWidth="1"/>
    <col min="4" max="4" width="45.7109375" customWidth="1"/>
    <col min="5" max="10" width="15.7109375" customWidth="1"/>
    <col min="11" max="11" width="3.7109375" customWidth="1"/>
    <col min="12" max="12" width="75.7109375" customWidth="1"/>
    <col min="13" max="13" width="3.7109375" customWidth="1"/>
    <col min="14" max="15" width="9.140625" customWidth="1"/>
  </cols>
  <sheetData>
    <row r="1" spans="1:14" ht="23.25" x14ac:dyDescent="0.2">
      <c r="A1" s="107">
        <f>IF((SUM(E14:J14)+SUM(E15:J15)&lt;&gt;0),2,0)</f>
        <v>0</v>
      </c>
      <c r="B1" s="107"/>
      <c r="C1" s="107"/>
      <c r="D1" s="116" t="s">
        <v>685</v>
      </c>
      <c r="E1" s="117"/>
      <c r="F1" s="117"/>
      <c r="G1" s="117"/>
      <c r="H1" s="117"/>
      <c r="I1" s="117"/>
      <c r="J1" s="117"/>
      <c r="K1" s="117"/>
      <c r="L1" s="119" t="str">
        <f>IF(PxGrandfathered&lt;&gt;1,MsgNotRequired,"")</f>
        <v>** NOT REQUIRED **</v>
      </c>
    </row>
    <row r="2" spans="1:14" ht="15.75" x14ac:dyDescent="0.2">
      <c r="A2" s="117"/>
      <c r="B2" s="117"/>
      <c r="C2" s="117"/>
      <c r="D2" s="110" t="str">
        <f>CONCATENATE("Name of medicine: ",MedicineBrand)</f>
        <v xml:space="preserve">Name of medicine: </v>
      </c>
      <c r="E2" s="117"/>
      <c r="F2" s="117"/>
      <c r="G2" s="117"/>
      <c r="H2" s="117"/>
      <c r="I2" s="117"/>
      <c r="J2" s="117"/>
      <c r="K2" s="117"/>
      <c r="L2" s="117"/>
    </row>
    <row r="3" spans="1:14" ht="15.75" x14ac:dyDescent="0.2">
      <c r="A3" s="117"/>
      <c r="B3" s="117"/>
      <c r="C3" s="117"/>
      <c r="D3" s="110" t="str">
        <f>CONCATENATE("Indication: ", Indication)</f>
        <v xml:space="preserve">Indication: </v>
      </c>
      <c r="E3" s="117"/>
      <c r="F3" s="117"/>
      <c r="G3" s="117"/>
      <c r="H3" s="117"/>
      <c r="I3" s="117"/>
      <c r="J3" s="117"/>
      <c r="K3" s="117"/>
      <c r="L3" s="117"/>
    </row>
    <row r="4" spans="1:14" x14ac:dyDescent="0.2">
      <c r="A4" s="125"/>
      <c r="B4" s="125"/>
      <c r="C4" s="125"/>
      <c r="D4" s="125"/>
      <c r="E4" s="162"/>
      <c r="F4" s="162"/>
      <c r="G4" s="162"/>
      <c r="H4" s="162"/>
      <c r="I4" s="162"/>
      <c r="J4" s="162"/>
      <c r="K4" s="125"/>
      <c r="L4" s="125"/>
    </row>
    <row r="5" spans="1:14" ht="15.75" x14ac:dyDescent="0.2">
      <c r="A5" s="122"/>
      <c r="B5" s="122"/>
      <c r="C5" s="122"/>
      <c r="D5" s="123" t="s">
        <v>2</v>
      </c>
      <c r="E5" s="124"/>
      <c r="F5" s="124"/>
      <c r="G5" s="124"/>
      <c r="H5" s="124"/>
      <c r="I5" s="124"/>
      <c r="J5" s="124"/>
      <c r="K5" s="124"/>
      <c r="L5" s="124"/>
    </row>
    <row r="6" spans="1:14" x14ac:dyDescent="0.2">
      <c r="A6" s="125"/>
      <c r="B6" s="125"/>
      <c r="C6" s="125"/>
      <c r="D6" s="125"/>
      <c r="E6" s="162"/>
      <c r="F6" s="162"/>
      <c r="G6" s="162"/>
      <c r="H6" s="162"/>
      <c r="I6" s="162"/>
      <c r="J6" s="162"/>
      <c r="K6" s="125"/>
      <c r="L6" s="125"/>
    </row>
    <row r="7" spans="1:14" x14ac:dyDescent="0.2">
      <c r="A7" s="125"/>
      <c r="B7" s="125"/>
      <c r="C7" s="125"/>
      <c r="D7" s="162" t="s">
        <v>843</v>
      </c>
      <c r="E7" s="162"/>
      <c r="F7" s="162"/>
      <c r="G7" s="615"/>
      <c r="H7" s="615"/>
      <c r="I7" s="615"/>
      <c r="J7" s="615"/>
      <c r="K7" s="125"/>
      <c r="L7" s="125"/>
    </row>
    <row r="8" spans="1:14" x14ac:dyDescent="0.2">
      <c r="A8" s="125"/>
      <c r="B8" s="125"/>
      <c r="C8" s="125"/>
      <c r="D8" s="162"/>
      <c r="E8" s="162"/>
      <c r="F8" s="162"/>
      <c r="G8" s="162"/>
      <c r="H8" s="162"/>
      <c r="I8" s="162"/>
      <c r="J8" s="125"/>
      <c r="K8" s="125"/>
      <c r="L8" s="125"/>
    </row>
    <row r="9" spans="1:14" ht="15.75" x14ac:dyDescent="0.2">
      <c r="A9" s="125"/>
      <c r="B9" s="125"/>
      <c r="C9" s="125"/>
      <c r="D9" s="123" t="s">
        <v>859</v>
      </c>
      <c r="E9" s="126"/>
      <c r="F9" s="126"/>
      <c r="G9" s="126"/>
      <c r="H9" s="126"/>
      <c r="I9" s="126"/>
      <c r="J9" s="127"/>
      <c r="K9" s="124"/>
      <c r="L9" s="124"/>
    </row>
    <row r="10" spans="1:14" x14ac:dyDescent="0.2">
      <c r="A10" s="162"/>
      <c r="B10" s="162"/>
      <c r="C10" s="162"/>
      <c r="D10" s="162"/>
      <c r="E10" s="162"/>
      <c r="F10" s="162"/>
      <c r="G10" s="162"/>
      <c r="H10" s="162"/>
      <c r="I10" s="162"/>
      <c r="J10" s="162"/>
      <c r="K10" s="162"/>
      <c r="L10" s="162"/>
    </row>
    <row r="11" spans="1:14" x14ac:dyDescent="0.2">
      <c r="A11" s="162"/>
      <c r="B11" s="162"/>
      <c r="C11" s="162"/>
      <c r="D11" s="162" t="s">
        <v>982</v>
      </c>
      <c r="E11" s="162"/>
      <c r="F11" s="162"/>
      <c r="G11" s="162"/>
      <c r="H11" s="162"/>
      <c r="I11" s="162"/>
      <c r="J11" s="162"/>
      <c r="K11" s="162"/>
      <c r="L11" s="162"/>
    </row>
    <row r="12" spans="1:14" x14ac:dyDescent="0.2">
      <c r="A12" s="162"/>
      <c r="B12" s="162"/>
      <c r="C12" s="162"/>
      <c r="D12" s="495"/>
      <c r="E12" s="162"/>
      <c r="F12" s="162"/>
      <c r="G12" s="162"/>
      <c r="H12" s="162"/>
      <c r="I12" s="162"/>
      <c r="J12" s="162"/>
      <c r="K12" s="162"/>
      <c r="L12" s="162"/>
    </row>
    <row r="13" spans="1:14" x14ac:dyDescent="0.2">
      <c r="A13" s="162"/>
      <c r="B13" s="162"/>
      <c r="C13" s="162"/>
      <c r="D13" s="495"/>
      <c r="E13" s="81">
        <f>FirstYear</f>
        <v>2021</v>
      </c>
      <c r="F13" s="81">
        <f>E13+1</f>
        <v>2022</v>
      </c>
      <c r="G13" s="81">
        <f>F13+1</f>
        <v>2023</v>
      </c>
      <c r="H13" s="81">
        <f>G13+1</f>
        <v>2024</v>
      </c>
      <c r="I13" s="81">
        <f>H13+1</f>
        <v>2025</v>
      </c>
      <c r="J13" s="81">
        <f>I13+1</f>
        <v>2026</v>
      </c>
      <c r="K13" s="162"/>
      <c r="L13" s="162"/>
    </row>
    <row r="14" spans="1:14" x14ac:dyDescent="0.2">
      <c r="A14" s="162"/>
      <c r="B14" s="162"/>
      <c r="C14" s="162"/>
      <c r="D14" s="59" t="str">
        <f>TxPhase1PxTotal</f>
        <v/>
      </c>
      <c r="E14" s="32">
        <f t="shared" ref="E14:J14" si="0">IF(OR(ScriptSourceCode=1,ScriptSourceCode=3),E43+E72+E101+E130+E159,0)</f>
        <v>0</v>
      </c>
      <c r="F14" s="32">
        <f t="shared" si="0"/>
        <v>0</v>
      </c>
      <c r="G14" s="32">
        <f t="shared" si="0"/>
        <v>0</v>
      </c>
      <c r="H14" s="32">
        <f t="shared" si="0"/>
        <v>0</v>
      </c>
      <c r="I14" s="32">
        <f t="shared" si="0"/>
        <v>0</v>
      </c>
      <c r="J14" s="32">
        <f t="shared" si="0"/>
        <v>0</v>
      </c>
      <c r="K14" s="162"/>
      <c r="L14" s="162"/>
    </row>
    <row r="15" spans="1:14" x14ac:dyDescent="0.2">
      <c r="A15" s="162"/>
      <c r="B15" s="162"/>
      <c r="C15" s="162"/>
      <c r="D15" s="59" t="str">
        <f>TxPhase2PxTotal</f>
        <v/>
      </c>
      <c r="E15" s="32">
        <f t="shared" ref="E15:J15" si="1">IF(OR(ScriptSourceCode=1,ScriptSourceCode=3),IF(TPCont&gt;0,E44+E73+E102+E131+E160,0),0)</f>
        <v>0</v>
      </c>
      <c r="F15" s="32">
        <f t="shared" si="1"/>
        <v>0</v>
      </c>
      <c r="G15" s="32">
        <f t="shared" si="1"/>
        <v>0</v>
      </c>
      <c r="H15" s="32">
        <f t="shared" si="1"/>
        <v>0</v>
      </c>
      <c r="I15" s="32">
        <f t="shared" si="1"/>
        <v>0</v>
      </c>
      <c r="J15" s="32">
        <f t="shared" si="1"/>
        <v>0</v>
      </c>
      <c r="K15" s="129"/>
      <c r="L15" s="162"/>
    </row>
    <row r="16" spans="1:14" x14ac:dyDescent="0.2">
      <c r="A16" s="162"/>
      <c r="B16" s="162"/>
      <c r="C16" s="162"/>
      <c r="D16" s="162"/>
      <c r="E16" s="718"/>
      <c r="F16" s="718"/>
      <c r="G16" s="718"/>
      <c r="H16" s="718"/>
      <c r="I16" s="718"/>
      <c r="J16" s="718"/>
      <c r="K16" s="162"/>
      <c r="L16" s="162"/>
      <c r="M16" s="615"/>
      <c r="N16" s="615"/>
    </row>
    <row r="17" spans="1:15" x14ac:dyDescent="0.2">
      <c r="A17" s="162"/>
      <c r="B17" s="162"/>
      <c r="C17" s="162"/>
      <c r="D17" s="162"/>
      <c r="E17" s="162"/>
      <c r="F17" s="162"/>
      <c r="G17" s="162"/>
      <c r="H17" s="162"/>
      <c r="I17" s="162"/>
      <c r="J17" s="162"/>
      <c r="K17" s="162"/>
      <c r="L17" s="162"/>
      <c r="M17" s="615"/>
      <c r="N17" s="615"/>
    </row>
    <row r="18" spans="1:15" ht="15.75" x14ac:dyDescent="0.2">
      <c r="A18" s="162"/>
      <c r="B18" s="162"/>
      <c r="C18" s="162"/>
      <c r="D18" s="123" t="s">
        <v>916</v>
      </c>
      <c r="E18" s="132"/>
      <c r="F18" s="132"/>
      <c r="G18" s="132"/>
      <c r="H18" s="132"/>
      <c r="I18" s="123"/>
      <c r="J18" s="139"/>
      <c r="K18" s="124"/>
      <c r="L18" s="133"/>
    </row>
    <row r="19" spans="1:15" x14ac:dyDescent="0.2">
      <c r="A19" s="162"/>
      <c r="B19" s="162"/>
      <c r="C19" s="162"/>
      <c r="D19" s="162"/>
      <c r="E19" s="162"/>
      <c r="F19" s="162"/>
      <c r="G19" s="162"/>
      <c r="H19" s="162"/>
      <c r="I19" s="162"/>
      <c r="J19" s="162"/>
      <c r="K19" s="162"/>
      <c r="L19" s="162"/>
      <c r="M19" s="615"/>
      <c r="N19" s="615"/>
    </row>
    <row r="20" spans="1:15" ht="15.75" x14ac:dyDescent="0.2">
      <c r="A20" s="162"/>
      <c r="B20" s="162"/>
      <c r="C20" s="573">
        <v>1</v>
      </c>
      <c r="D20" s="79" t="str">
        <f>IF(E25&lt;&gt;"",CONCATENATE("GF ",C20,": ",G25,L20),MsgNotUsed)</f>
        <v>** NOT USED **</v>
      </c>
      <c r="E20" s="132"/>
      <c r="F20" s="132"/>
      <c r="G20" s="132"/>
      <c r="H20" s="132"/>
      <c r="I20" s="134"/>
      <c r="J20" s="126"/>
      <c r="K20" s="124"/>
      <c r="L20" s="325" t="str">
        <f>IF(O24&lt;&gt;"",CONCATENATE(" (",O24,")"),"")</f>
        <v/>
      </c>
    </row>
    <row r="21" spans="1:15" hidden="1" outlineLevel="1" x14ac:dyDescent="0.2">
      <c r="A21" s="162"/>
      <c r="B21" s="162"/>
      <c r="C21" s="162"/>
      <c r="D21" s="162"/>
      <c r="E21" s="162"/>
      <c r="F21" s="162"/>
      <c r="G21" s="162"/>
      <c r="H21" s="162"/>
      <c r="I21" s="162"/>
      <c r="J21" s="162"/>
      <c r="K21" s="162"/>
      <c r="L21" s="162"/>
      <c r="M21" s="615"/>
      <c r="N21" s="615"/>
      <c r="O21" s="615"/>
    </row>
    <row r="22" spans="1:15" hidden="1" outlineLevel="1" x14ac:dyDescent="0.2">
      <c r="A22" s="162"/>
      <c r="B22" s="162"/>
      <c r="C22" s="162"/>
      <c r="D22" s="162" t="s">
        <v>842</v>
      </c>
      <c r="E22" s="162"/>
      <c r="F22" s="162"/>
      <c r="G22" s="162"/>
      <c r="H22" s="162"/>
      <c r="I22" s="162"/>
      <c r="J22" s="162"/>
      <c r="K22" s="162"/>
      <c r="L22" s="615"/>
      <c r="M22" s="615"/>
      <c r="N22" s="615"/>
      <c r="O22" s="615"/>
    </row>
    <row r="23" spans="1:15" hidden="1" outlineLevel="1" x14ac:dyDescent="0.2">
      <c r="A23" s="162"/>
      <c r="B23" s="162"/>
      <c r="C23" s="162"/>
      <c r="D23" s="162" t="s">
        <v>847</v>
      </c>
      <c r="E23" s="162"/>
      <c r="F23" s="162"/>
      <c r="G23" s="162"/>
      <c r="H23" s="162"/>
      <c r="I23" s="162"/>
      <c r="J23" s="162"/>
      <c r="K23" s="162"/>
      <c r="L23" s="615"/>
      <c r="M23" s="615"/>
      <c r="N23" s="615"/>
      <c r="O23" s="615"/>
    </row>
    <row r="24" spans="1:15" hidden="1" outlineLevel="1" x14ac:dyDescent="0.2">
      <c r="A24" s="162"/>
      <c r="B24" s="162"/>
      <c r="C24" s="162"/>
      <c r="D24" s="162"/>
      <c r="E24" s="162"/>
      <c r="F24" s="162"/>
      <c r="G24" s="162"/>
      <c r="H24" s="162"/>
      <c r="I24" s="162"/>
      <c r="J24" s="162"/>
      <c r="K24" s="162"/>
      <c r="L24" s="36" t="s">
        <v>424</v>
      </c>
      <c r="M24" s="615"/>
      <c r="N24" s="615"/>
      <c r="O24" s="615"/>
    </row>
    <row r="25" spans="1:15" hidden="1" outlineLevel="1" x14ac:dyDescent="0.2">
      <c r="A25" s="162"/>
      <c r="B25" s="291">
        <f>IF(E25&lt;&gt;"",MATCH(E25,EPISource,0)-1,0)</f>
        <v>0</v>
      </c>
      <c r="C25" s="291">
        <f ca="1">IF(G25&lt;&gt;"",MATCH(G25,OFFSET(References!$AE$7,0,B25,PxPopMaxCount),0),0)</f>
        <v>0</v>
      </c>
      <c r="D25" s="12" t="s">
        <v>113</v>
      </c>
      <c r="E25" s="267"/>
      <c r="F25" s="642"/>
      <c r="G25" s="812"/>
      <c r="H25" s="819"/>
      <c r="I25" s="819"/>
      <c r="J25" s="819"/>
      <c r="K25" s="3"/>
      <c r="L25" s="236"/>
    </row>
    <row r="26" spans="1:15" hidden="1" outlineLevel="1" x14ac:dyDescent="0.2">
      <c r="A26" s="162"/>
      <c r="B26" s="291">
        <f>INDEX(PxPopValid,,B25+1)</f>
        <v>0</v>
      </c>
      <c r="C26" s="291">
        <f ca="1">(B25*PxPopMaxCount)+C25</f>
        <v>0</v>
      </c>
      <c r="D26" s="162"/>
      <c r="E26" s="650">
        <v>1</v>
      </c>
      <c r="F26" s="650">
        <v>2</v>
      </c>
      <c r="G26" s="650">
        <v>3</v>
      </c>
      <c r="H26" s="650">
        <v>4</v>
      </c>
      <c r="I26" s="650">
        <v>5</v>
      </c>
      <c r="J26" s="650">
        <v>6</v>
      </c>
      <c r="K26" s="162"/>
      <c r="L26" s="162"/>
    </row>
    <row r="27" spans="1:15" hidden="1" outlineLevel="1" x14ac:dyDescent="0.2">
      <c r="A27" s="162"/>
      <c r="B27" s="162"/>
      <c r="C27" s="162"/>
      <c r="D27" s="162"/>
      <c r="E27" s="814" t="s">
        <v>10</v>
      </c>
      <c r="F27" s="814"/>
      <c r="G27" s="814"/>
      <c r="H27" s="814"/>
      <c r="I27" s="814"/>
      <c r="J27" s="814"/>
      <c r="K27" s="640"/>
      <c r="L27" s="629" t="str">
        <f ca="1">IF(ISERROR($C26)=TRUE,MsgError &amp; VLOOKUP("BadPop",ErrorMessages,2,FALSE),"")</f>
        <v/>
      </c>
    </row>
    <row r="28" spans="1:15" hidden="1" outlineLevel="1" x14ac:dyDescent="0.2">
      <c r="A28" s="162"/>
      <c r="B28" s="162"/>
      <c r="C28" s="162"/>
      <c r="D28" s="643"/>
      <c r="E28" s="487">
        <f>FirstYear</f>
        <v>2021</v>
      </c>
      <c r="F28" s="487">
        <f>E28+1</f>
        <v>2022</v>
      </c>
      <c r="G28" s="487">
        <f>F28+1</f>
        <v>2023</v>
      </c>
      <c r="H28" s="487">
        <f>G28+1</f>
        <v>2024</v>
      </c>
      <c r="I28" s="487">
        <f>H28+1</f>
        <v>2025</v>
      </c>
      <c r="J28" s="487">
        <f>I28+1</f>
        <v>2026</v>
      </c>
      <c r="K28" s="640"/>
      <c r="L28" s="162"/>
    </row>
    <row r="29" spans="1:15" hidden="1" outlineLevel="1" x14ac:dyDescent="0.2">
      <c r="A29" s="162"/>
      <c r="B29" s="162"/>
      <c r="C29" s="162"/>
      <c r="D29" s="421" t="s">
        <v>808</v>
      </c>
      <c r="E29" s="437">
        <f t="shared" ref="E29:J29" ca="1" si="2">IF(AND(ISERROR($C26)&lt;&gt;TRUE,$G25&lt;&gt;""),INDEX(PxPopNumbers,$C26,E26),0)</f>
        <v>0</v>
      </c>
      <c r="F29" s="437">
        <f t="shared" ca="1" si="2"/>
        <v>0</v>
      </c>
      <c r="G29" s="437">
        <f t="shared" ca="1" si="2"/>
        <v>0</v>
      </c>
      <c r="H29" s="437">
        <f t="shared" ca="1" si="2"/>
        <v>0</v>
      </c>
      <c r="I29" s="437">
        <f t="shared" ca="1" si="2"/>
        <v>0</v>
      </c>
      <c r="J29" s="437">
        <f t="shared" ca="1" si="2"/>
        <v>0</v>
      </c>
      <c r="K29" s="640"/>
      <c r="L29" s="615"/>
    </row>
    <row r="30" spans="1:15" hidden="1" outlineLevel="1" x14ac:dyDescent="0.2">
      <c r="A30" s="615"/>
      <c r="B30" s="615"/>
      <c r="C30" s="615"/>
      <c r="D30" s="615"/>
      <c r="K30" s="615"/>
      <c r="L30" s="615"/>
    </row>
    <row r="31" spans="1:15" s="416" customFormat="1" hidden="1" outlineLevel="1" x14ac:dyDescent="0.2">
      <c r="A31" s="615"/>
      <c r="B31" s="615"/>
      <c r="C31" s="615"/>
      <c r="D31" s="720" t="s">
        <v>205</v>
      </c>
      <c r="K31" s="615"/>
      <c r="L31" s="36" t="s">
        <v>258</v>
      </c>
    </row>
    <row r="32" spans="1:15" hidden="1" outlineLevel="1" x14ac:dyDescent="0.2">
      <c r="A32" s="162"/>
      <c r="B32" s="162"/>
      <c r="C32" s="162"/>
      <c r="D32" s="423" t="s">
        <v>861</v>
      </c>
      <c r="E32" s="54"/>
      <c r="F32" s="54"/>
      <c r="G32" s="54"/>
      <c r="H32" s="54"/>
      <c r="I32" s="54"/>
      <c r="J32" s="54"/>
      <c r="K32" s="719"/>
      <c r="L32" s="362"/>
    </row>
    <row r="33" spans="1:12" hidden="1" outlineLevel="1" x14ac:dyDescent="0.2">
      <c r="A33" s="162"/>
      <c r="B33" s="162"/>
      <c r="C33" s="162"/>
      <c r="D33" s="423" t="s">
        <v>848</v>
      </c>
      <c r="E33" s="32">
        <f t="shared" ref="E33:J33" ca="1" si="3">IF(E29&lt;&gt;"",E29*E32,0)</f>
        <v>0</v>
      </c>
      <c r="F33" s="32">
        <f t="shared" ca="1" si="3"/>
        <v>0</v>
      </c>
      <c r="G33" s="32">
        <f t="shared" ca="1" si="3"/>
        <v>0</v>
      </c>
      <c r="H33" s="32">
        <f t="shared" ca="1" si="3"/>
        <v>0</v>
      </c>
      <c r="I33" s="32">
        <f t="shared" ca="1" si="3"/>
        <v>0</v>
      </c>
      <c r="J33" s="32">
        <f t="shared" ca="1" si="3"/>
        <v>0</v>
      </c>
      <c r="K33" s="640"/>
      <c r="L33" s="162"/>
    </row>
    <row r="34" spans="1:12" hidden="1" outlineLevel="1" x14ac:dyDescent="0.2">
      <c r="A34" s="125"/>
      <c r="B34" s="125"/>
      <c r="C34" s="125"/>
      <c r="D34" s="121"/>
      <c r="E34" s="125"/>
      <c r="F34" s="125"/>
      <c r="G34" s="125"/>
      <c r="H34" s="125"/>
      <c r="I34" s="125"/>
      <c r="J34" s="125"/>
      <c r="K34" s="125"/>
      <c r="L34" s="125"/>
    </row>
    <row r="35" spans="1:12" hidden="1" outlineLevel="1" x14ac:dyDescent="0.2">
      <c r="A35" s="125"/>
      <c r="B35" s="125"/>
      <c r="C35" s="125"/>
      <c r="D35" s="429" t="str">
        <f>TxPhase1Tx</f>
        <v/>
      </c>
      <c r="E35" s="495"/>
      <c r="F35" s="125"/>
      <c r="G35" s="125"/>
      <c r="H35" s="125"/>
      <c r="I35" s="125"/>
      <c r="J35" s="125"/>
      <c r="K35" s="125"/>
      <c r="L35" s="36" t="s">
        <v>258</v>
      </c>
    </row>
    <row r="36" spans="1:12" hidden="1" outlineLevel="1" x14ac:dyDescent="0.2">
      <c r="A36" s="125"/>
      <c r="B36" s="125"/>
      <c r="C36" s="125"/>
      <c r="D36" s="12" t="s">
        <v>91</v>
      </c>
      <c r="E36" s="54"/>
      <c r="F36" s="54"/>
      <c r="G36" s="54"/>
      <c r="H36" s="54"/>
      <c r="I36" s="54"/>
      <c r="J36" s="54"/>
      <c r="K36" s="125"/>
      <c r="L36" s="363"/>
    </row>
    <row r="37" spans="1:12" ht="14.25" hidden="1" outlineLevel="1" x14ac:dyDescent="0.2">
      <c r="A37" s="125"/>
      <c r="B37" s="125"/>
      <c r="C37" s="125"/>
      <c r="D37" s="121"/>
      <c r="E37" s="125"/>
      <c r="F37" s="155"/>
      <c r="G37" s="125"/>
      <c r="H37" s="125"/>
      <c r="I37" s="125"/>
      <c r="J37" s="125"/>
      <c r="K37" s="125"/>
      <c r="L37" s="125"/>
    </row>
    <row r="38" spans="1:12" hidden="1" outlineLevel="1" x14ac:dyDescent="0.2">
      <c r="A38" s="125"/>
      <c r="B38" s="125"/>
      <c r="C38" s="125"/>
      <c r="D38" s="90" t="str">
        <f>TXPhase2Tx</f>
        <v/>
      </c>
      <c r="E38" s="650"/>
      <c r="F38" s="650"/>
      <c r="G38" s="125"/>
      <c r="H38" s="125"/>
      <c r="I38" s="125"/>
      <c r="J38" s="125"/>
      <c r="K38" s="125"/>
      <c r="L38" s="36" t="s">
        <v>258</v>
      </c>
    </row>
    <row r="39" spans="1:12" hidden="1" outlineLevel="1" x14ac:dyDescent="0.2">
      <c r="A39" s="125"/>
      <c r="B39" s="125"/>
      <c r="C39" s="125"/>
      <c r="D39" s="90" t="str">
        <f>IF(D38&lt;&gt;"","Patients electing treatment (%)","")</f>
        <v/>
      </c>
      <c r="E39" s="54"/>
      <c r="F39" s="54"/>
      <c r="G39" s="54"/>
      <c r="H39" s="54"/>
      <c r="I39" s="54"/>
      <c r="J39" s="54"/>
      <c r="K39" s="125"/>
      <c r="L39" s="46"/>
    </row>
    <row r="40" spans="1:12" hidden="1" outlineLevel="1" x14ac:dyDescent="0.2">
      <c r="A40" s="125"/>
      <c r="B40" s="125"/>
      <c r="C40" s="125"/>
      <c r="D40" s="121"/>
      <c r="E40" s="121"/>
      <c r="F40" s="121"/>
      <c r="G40" s="121"/>
      <c r="H40" s="121"/>
      <c r="I40" s="121"/>
      <c r="J40" s="121"/>
      <c r="K40" s="125"/>
      <c r="L40" s="121"/>
    </row>
    <row r="41" spans="1:12" s="416" customFormat="1" hidden="1" outlineLevel="1" x14ac:dyDescent="0.2">
      <c r="A41" s="125"/>
      <c r="B41" s="125"/>
      <c r="C41" s="475">
        <f>IFERROR(VLOOKUP(E41,TxPhase2SourceCode,2,FALSE),0)</f>
        <v>1</v>
      </c>
      <c r="D41" s="429" t="s">
        <v>1165</v>
      </c>
      <c r="E41" s="263" t="s">
        <v>1166</v>
      </c>
      <c r="F41" s="361"/>
      <c r="G41" s="361"/>
      <c r="H41" s="361"/>
      <c r="I41" s="361"/>
      <c r="J41" s="361"/>
      <c r="K41" s="125"/>
      <c r="L41" s="361"/>
    </row>
    <row r="42" spans="1:12" s="416" customFormat="1" hidden="1" outlineLevel="1" x14ac:dyDescent="0.2">
      <c r="A42" s="125"/>
      <c r="B42" s="125"/>
      <c r="C42" s="125"/>
      <c r="D42" s="361"/>
      <c r="E42" s="361"/>
      <c r="F42" s="361"/>
      <c r="G42" s="361"/>
      <c r="H42" s="361"/>
      <c r="I42" s="361"/>
      <c r="J42" s="361"/>
      <c r="K42" s="125"/>
      <c r="L42" s="125"/>
    </row>
    <row r="43" spans="1:12" hidden="1" outlineLevel="1" x14ac:dyDescent="0.2">
      <c r="A43" s="162"/>
      <c r="B43" s="162"/>
      <c r="C43" s="162"/>
      <c r="D43" s="60" t="str">
        <f>TxPhase1Px</f>
        <v/>
      </c>
      <c r="E43" s="440">
        <f t="shared" ref="E43:J43" si="4">IF(TxPhase1&lt;&gt;"",E33*E36,0)</f>
        <v>0</v>
      </c>
      <c r="F43" s="440">
        <f t="shared" si="4"/>
        <v>0</v>
      </c>
      <c r="G43" s="440">
        <f t="shared" si="4"/>
        <v>0</v>
      </c>
      <c r="H43" s="440">
        <f t="shared" si="4"/>
        <v>0</v>
      </c>
      <c r="I43" s="440">
        <f t="shared" si="4"/>
        <v>0</v>
      </c>
      <c r="J43" s="440">
        <f t="shared" si="4"/>
        <v>0</v>
      </c>
      <c r="K43" s="162"/>
      <c r="L43" s="162"/>
    </row>
    <row r="44" spans="1:12" hidden="1" outlineLevel="1" x14ac:dyDescent="0.2">
      <c r="A44" s="162"/>
      <c r="B44" s="162"/>
      <c r="C44" s="162"/>
      <c r="D44" s="60" t="str">
        <f>TxPhase2Px</f>
        <v/>
      </c>
      <c r="E44" s="440">
        <f t="shared" ref="E44:J44" si="5">IF(TxPhase2&lt;&gt;"",IF($C41=1,E43,IF($C41=2,E33,0))*E39,0)</f>
        <v>0</v>
      </c>
      <c r="F44" s="440">
        <f t="shared" si="5"/>
        <v>0</v>
      </c>
      <c r="G44" s="440">
        <f t="shared" si="5"/>
        <v>0</v>
      </c>
      <c r="H44" s="440">
        <f t="shared" si="5"/>
        <v>0</v>
      </c>
      <c r="I44" s="440">
        <f t="shared" si="5"/>
        <v>0</v>
      </c>
      <c r="J44" s="440">
        <f t="shared" si="5"/>
        <v>0</v>
      </c>
      <c r="K44" s="162"/>
      <c r="L44" s="162"/>
    </row>
    <row r="45" spans="1:12" s="416" customFormat="1" hidden="1" outlineLevel="1" x14ac:dyDescent="0.2">
      <c r="A45" s="162"/>
      <c r="B45" s="162"/>
      <c r="C45" s="162"/>
      <c r="D45" s="162"/>
      <c r="E45" s="162"/>
      <c r="F45" s="162"/>
      <c r="G45" s="162"/>
      <c r="H45" s="162"/>
      <c r="I45" s="162"/>
      <c r="J45" s="162"/>
      <c r="K45" s="162"/>
      <c r="L45" s="162"/>
    </row>
    <row r="46" spans="1:12" s="416" customFormat="1" hidden="1" outlineLevel="1" x14ac:dyDescent="0.2">
      <c r="A46" s="162"/>
      <c r="B46" s="162"/>
      <c r="C46" s="291" t="str">
        <f>IF(E46&lt;&gt;"",E46,"")</f>
        <v/>
      </c>
      <c r="D46" s="89" t="s">
        <v>756</v>
      </c>
      <c r="E46" s="263"/>
      <c r="F46" s="162"/>
      <c r="G46" s="162"/>
      <c r="H46" s="162"/>
      <c r="I46" s="162"/>
      <c r="J46" s="162"/>
      <c r="K46" s="162"/>
      <c r="L46" s="162"/>
    </row>
    <row r="47" spans="1:12" hidden="1" outlineLevel="1" x14ac:dyDescent="0.2">
      <c r="A47" s="162"/>
      <c r="B47" s="162"/>
      <c r="C47" s="162"/>
      <c r="D47" s="162"/>
      <c r="E47" s="162"/>
      <c r="F47" s="162"/>
      <c r="G47" s="162"/>
      <c r="H47" s="162"/>
      <c r="I47" s="162"/>
      <c r="J47" s="162"/>
      <c r="K47" s="162"/>
      <c r="L47" s="162"/>
    </row>
    <row r="48" spans="1:12" collapsed="1" x14ac:dyDescent="0.2">
      <c r="A48" s="162"/>
      <c r="B48" s="162"/>
      <c r="C48" s="162"/>
      <c r="D48" s="162"/>
      <c r="E48" s="162"/>
      <c r="F48" s="162"/>
      <c r="G48" s="162"/>
      <c r="H48" s="162"/>
      <c r="I48" s="162"/>
      <c r="J48" s="162"/>
      <c r="K48" s="162"/>
      <c r="L48" s="162"/>
    </row>
    <row r="49" spans="1:12" ht="15.75" x14ac:dyDescent="0.2">
      <c r="A49" s="162"/>
      <c r="B49" s="162"/>
      <c r="C49" s="573">
        <v>2</v>
      </c>
      <c r="D49" s="79" t="str">
        <f>IF(E54&lt;&gt;"",CONCATENATE("GF ",C49,": ",G54,L49),MsgNotUsed)</f>
        <v>** NOT USED **</v>
      </c>
      <c r="E49" s="132"/>
      <c r="F49" s="132"/>
      <c r="G49" s="132"/>
      <c r="H49" s="132"/>
      <c r="I49" s="134"/>
      <c r="J49" s="126"/>
      <c r="K49" s="124"/>
      <c r="L49" s="325" t="str">
        <f>IF(O53&lt;&gt;"",CONCATENATE(" (",O53,")"),"")</f>
        <v/>
      </c>
    </row>
    <row r="50" spans="1:12" hidden="1" outlineLevel="1" x14ac:dyDescent="0.2">
      <c r="A50" s="162"/>
      <c r="B50" s="162"/>
      <c r="C50" s="162"/>
      <c r="D50" s="162"/>
      <c r="E50" s="162"/>
      <c r="F50" s="162"/>
      <c r="G50" s="162"/>
      <c r="H50" s="162"/>
      <c r="I50" s="162"/>
      <c r="J50" s="162"/>
      <c r="K50" s="162"/>
      <c r="L50" s="162"/>
    </row>
    <row r="51" spans="1:12" hidden="1" outlineLevel="1" x14ac:dyDescent="0.2">
      <c r="A51" s="162"/>
      <c r="B51" s="162"/>
      <c r="C51" s="162"/>
      <c r="D51" s="162" t="s">
        <v>842</v>
      </c>
      <c r="E51" s="162"/>
      <c r="F51" s="162"/>
      <c r="G51" s="162"/>
      <c r="H51" s="162"/>
      <c r="I51" s="162"/>
      <c r="J51" s="162"/>
      <c r="K51" s="162"/>
      <c r="L51" s="615"/>
    </row>
    <row r="52" spans="1:12" hidden="1" outlineLevel="1" x14ac:dyDescent="0.2">
      <c r="A52" s="162"/>
      <c r="B52" s="162"/>
      <c r="C52" s="162"/>
      <c r="D52" s="162" t="s">
        <v>847</v>
      </c>
      <c r="E52" s="162"/>
      <c r="F52" s="162"/>
      <c r="G52" s="162"/>
      <c r="H52" s="162"/>
      <c r="I52" s="162"/>
      <c r="J52" s="162"/>
      <c r="K52" s="162"/>
      <c r="L52" s="162"/>
    </row>
    <row r="53" spans="1:12" hidden="1" outlineLevel="1" x14ac:dyDescent="0.2">
      <c r="A53" s="162"/>
      <c r="B53" s="162"/>
      <c r="C53" s="162"/>
      <c r="D53" s="162"/>
      <c r="E53" s="162"/>
      <c r="F53" s="162"/>
      <c r="G53" s="162"/>
      <c r="H53" s="162"/>
      <c r="I53" s="162"/>
      <c r="J53" s="162"/>
      <c r="K53" s="162"/>
      <c r="L53" s="36" t="s">
        <v>424</v>
      </c>
    </row>
    <row r="54" spans="1:12" hidden="1" outlineLevel="1" x14ac:dyDescent="0.2">
      <c r="A54" s="162"/>
      <c r="B54" s="291">
        <f>IF(E54&lt;&gt;"",MATCH(E54,EPISource,0)-1,0)</f>
        <v>0</v>
      </c>
      <c r="C54" s="291">
        <f ca="1">IF(G54&lt;&gt;"",MATCH(G54,OFFSET(References!$AE$7,0,B54,PxPopMaxCount),0),0)</f>
        <v>0</v>
      </c>
      <c r="D54" s="12" t="s">
        <v>113</v>
      </c>
      <c r="E54" s="267"/>
      <c r="F54" s="642"/>
      <c r="G54" s="812"/>
      <c r="H54" s="819"/>
      <c r="I54" s="819"/>
      <c r="J54" s="819"/>
      <c r="K54" s="3"/>
      <c r="L54" s="239"/>
    </row>
    <row r="55" spans="1:12" hidden="1" outlineLevel="1" x14ac:dyDescent="0.2">
      <c r="A55" s="162"/>
      <c r="B55" s="291">
        <f>INDEX(PxPopValid,,B54+1)</f>
        <v>0</v>
      </c>
      <c r="C55" s="291">
        <f ca="1">(B54*PxPopMaxCount)+C54</f>
        <v>0</v>
      </c>
      <c r="D55" s="162"/>
      <c r="E55" s="650">
        <v>1</v>
      </c>
      <c r="F55" s="650">
        <v>2</v>
      </c>
      <c r="G55" s="650">
        <v>3</v>
      </c>
      <c r="H55" s="650">
        <v>4</v>
      </c>
      <c r="I55" s="650">
        <v>5</v>
      </c>
      <c r="J55" s="650">
        <v>6</v>
      </c>
      <c r="K55" s="162"/>
      <c r="L55" s="162"/>
    </row>
    <row r="56" spans="1:12" hidden="1" outlineLevel="1" x14ac:dyDescent="0.2">
      <c r="A56" s="162"/>
      <c r="B56" s="162"/>
      <c r="C56" s="162"/>
      <c r="D56" s="162"/>
      <c r="E56" s="814" t="s">
        <v>10</v>
      </c>
      <c r="F56" s="814"/>
      <c r="G56" s="814"/>
      <c r="H56" s="814"/>
      <c r="I56" s="814"/>
      <c r="J56" s="814"/>
      <c r="K56" s="640"/>
      <c r="L56" s="629" t="str">
        <f ca="1">IF(ISERROR($C55)=TRUE,MsgError &amp; VLOOKUP("BadPop",ErrorMessages,2,FALSE),"")</f>
        <v/>
      </c>
    </row>
    <row r="57" spans="1:12" hidden="1" outlineLevel="1" x14ac:dyDescent="0.2">
      <c r="A57" s="162"/>
      <c r="B57" s="162"/>
      <c r="C57" s="162"/>
      <c r="D57" s="643"/>
      <c r="E57" s="487">
        <f>FirstYear</f>
        <v>2021</v>
      </c>
      <c r="F57" s="487">
        <f>E57+1</f>
        <v>2022</v>
      </c>
      <c r="G57" s="487">
        <f>F57+1</f>
        <v>2023</v>
      </c>
      <c r="H57" s="487">
        <f>G57+1</f>
        <v>2024</v>
      </c>
      <c r="I57" s="487">
        <f>H57+1</f>
        <v>2025</v>
      </c>
      <c r="J57" s="487">
        <f>I57+1</f>
        <v>2026</v>
      </c>
      <c r="K57" s="640"/>
      <c r="L57" s="162"/>
    </row>
    <row r="58" spans="1:12" hidden="1" outlineLevel="1" x14ac:dyDescent="0.2">
      <c r="A58" s="162"/>
      <c r="B58" s="162"/>
      <c r="C58" s="162"/>
      <c r="D58" s="421" t="s">
        <v>808</v>
      </c>
      <c r="E58" s="437">
        <f t="shared" ref="E58:J58" ca="1" si="6">IF(AND(ISERROR($C55)&lt;&gt;TRUE,$G54&lt;&gt;""),INDEX(PxPopNumbers,$C55,E55),0)</f>
        <v>0</v>
      </c>
      <c r="F58" s="437">
        <f t="shared" ca="1" si="6"/>
        <v>0</v>
      </c>
      <c r="G58" s="437">
        <f t="shared" ca="1" si="6"/>
        <v>0</v>
      </c>
      <c r="H58" s="437">
        <f t="shared" ca="1" si="6"/>
        <v>0</v>
      </c>
      <c r="I58" s="437">
        <f t="shared" ca="1" si="6"/>
        <v>0</v>
      </c>
      <c r="J58" s="437">
        <f t="shared" ca="1" si="6"/>
        <v>0</v>
      </c>
      <c r="K58" s="640"/>
      <c r="L58" s="615"/>
    </row>
    <row r="59" spans="1:12" hidden="1" outlineLevel="1" x14ac:dyDescent="0.2">
      <c r="A59" s="615"/>
      <c r="B59" s="615"/>
      <c r="C59" s="615"/>
      <c r="D59" s="615"/>
      <c r="K59" s="615"/>
      <c r="L59" s="615"/>
    </row>
    <row r="60" spans="1:12" s="416" customFormat="1" hidden="1" outlineLevel="1" x14ac:dyDescent="0.2">
      <c r="A60" s="615"/>
      <c r="B60" s="615"/>
      <c r="C60" s="615"/>
      <c r="D60" s="720" t="s">
        <v>205</v>
      </c>
      <c r="K60" s="615"/>
      <c r="L60" s="36" t="s">
        <v>258</v>
      </c>
    </row>
    <row r="61" spans="1:12" hidden="1" outlineLevel="1" x14ac:dyDescent="0.2">
      <c r="A61" s="162"/>
      <c r="B61" s="162"/>
      <c r="C61" s="162"/>
      <c r="D61" s="423" t="s">
        <v>861</v>
      </c>
      <c r="E61" s="54"/>
      <c r="F61" s="54"/>
      <c r="G61" s="54"/>
      <c r="H61" s="54"/>
      <c r="I61" s="54"/>
      <c r="J61" s="54"/>
      <c r="K61" s="226"/>
      <c r="L61" s="46"/>
    </row>
    <row r="62" spans="1:12" hidden="1" outlineLevel="1" x14ac:dyDescent="0.2">
      <c r="A62" s="162"/>
      <c r="B62" s="162"/>
      <c r="C62" s="162"/>
      <c r="D62" s="12" t="s">
        <v>848</v>
      </c>
      <c r="E62" s="32">
        <f t="shared" ref="E62:J62" ca="1" si="7">IF(E58&lt;&gt;"",E58*E61,0)</f>
        <v>0</v>
      </c>
      <c r="F62" s="32">
        <f t="shared" ca="1" si="7"/>
        <v>0</v>
      </c>
      <c r="G62" s="32">
        <f t="shared" ca="1" si="7"/>
        <v>0</v>
      </c>
      <c r="H62" s="32">
        <f t="shared" ca="1" si="7"/>
        <v>0</v>
      </c>
      <c r="I62" s="32">
        <f t="shared" ca="1" si="7"/>
        <v>0</v>
      </c>
      <c r="J62" s="32">
        <f t="shared" ca="1" si="7"/>
        <v>0</v>
      </c>
      <c r="K62" s="640"/>
      <c r="L62" s="162"/>
    </row>
    <row r="63" spans="1:12" hidden="1" outlineLevel="1" x14ac:dyDescent="0.2">
      <c r="A63" s="125"/>
      <c r="B63" s="125"/>
      <c r="C63" s="125"/>
      <c r="D63" s="125"/>
      <c r="E63" s="125"/>
      <c r="F63" s="125"/>
      <c r="G63" s="125"/>
      <c r="H63" s="125"/>
      <c r="I63" s="125"/>
      <c r="J63" s="125"/>
      <c r="K63" s="125"/>
      <c r="L63" s="125"/>
    </row>
    <row r="64" spans="1:12" hidden="1" outlineLevel="1" x14ac:dyDescent="0.2">
      <c r="A64" s="125"/>
      <c r="B64" s="125"/>
      <c r="C64" s="125"/>
      <c r="D64" s="429" t="str">
        <f>TxPhase1Tx</f>
        <v/>
      </c>
      <c r="E64" s="495"/>
      <c r="F64" s="125"/>
      <c r="G64" s="125"/>
      <c r="H64" s="125"/>
      <c r="I64" s="125"/>
      <c r="J64" s="121"/>
      <c r="K64" s="125"/>
      <c r="L64" s="36" t="s">
        <v>258</v>
      </c>
    </row>
    <row r="65" spans="1:12" hidden="1" outlineLevel="1" x14ac:dyDescent="0.2">
      <c r="A65" s="125"/>
      <c r="B65" s="125"/>
      <c r="C65" s="125"/>
      <c r="D65" s="60" t="str">
        <f>D36</f>
        <v>Patients electing treatment (%)</v>
      </c>
      <c r="E65" s="54"/>
      <c r="F65" s="54"/>
      <c r="G65" s="54"/>
      <c r="H65" s="54"/>
      <c r="I65" s="54"/>
      <c r="J65" s="54"/>
      <c r="K65" s="121"/>
      <c r="L65" s="46"/>
    </row>
    <row r="66" spans="1:12" ht="14.25" hidden="1" outlineLevel="1" x14ac:dyDescent="0.2">
      <c r="A66" s="125"/>
      <c r="B66" s="125"/>
      <c r="C66" s="125"/>
      <c r="D66" s="125"/>
      <c r="E66" s="125"/>
      <c r="F66" s="155"/>
      <c r="G66" s="125"/>
      <c r="H66" s="125"/>
      <c r="I66" s="125"/>
      <c r="J66" s="125"/>
      <c r="K66" s="121"/>
      <c r="L66" s="125"/>
    </row>
    <row r="67" spans="1:12" hidden="1" outlineLevel="1" x14ac:dyDescent="0.2">
      <c r="A67" s="125"/>
      <c r="B67" s="125"/>
      <c r="C67" s="125"/>
      <c r="D67" s="433" t="str">
        <f>TXPhase2Tx</f>
        <v/>
      </c>
      <c r="E67" s="495"/>
      <c r="F67" s="125"/>
      <c r="G67" s="125"/>
      <c r="H67" s="125"/>
      <c r="I67" s="125"/>
      <c r="J67" s="125"/>
      <c r="K67" s="121"/>
      <c r="L67" s="36" t="s">
        <v>258</v>
      </c>
    </row>
    <row r="68" spans="1:12" hidden="1" outlineLevel="1" x14ac:dyDescent="0.2">
      <c r="A68" s="125"/>
      <c r="B68" s="125"/>
      <c r="C68" s="125"/>
      <c r="D68" s="90" t="str">
        <f>D39</f>
        <v/>
      </c>
      <c r="E68" s="54"/>
      <c r="F68" s="54"/>
      <c r="G68" s="54"/>
      <c r="H68" s="54"/>
      <c r="I68" s="54"/>
      <c r="J68" s="54"/>
      <c r="K68" s="121"/>
      <c r="L68" s="46"/>
    </row>
    <row r="69" spans="1:12" hidden="1" outlineLevel="1" x14ac:dyDescent="0.2">
      <c r="A69" s="125"/>
      <c r="B69" s="125"/>
      <c r="C69" s="125"/>
      <c r="D69" s="121"/>
      <c r="E69" s="121"/>
      <c r="F69" s="121"/>
      <c r="G69" s="121"/>
      <c r="H69" s="121"/>
      <c r="I69" s="121"/>
      <c r="J69" s="121"/>
      <c r="K69" s="125"/>
      <c r="L69" s="125"/>
    </row>
    <row r="70" spans="1:12" s="416" customFormat="1" hidden="1" outlineLevel="1" x14ac:dyDescent="0.2">
      <c r="A70" s="125"/>
      <c r="B70" s="125"/>
      <c r="C70" s="475">
        <f>IFERROR(VLOOKUP(E70,TxPhase2SourceCode,2,FALSE),0)</f>
        <v>1</v>
      </c>
      <c r="D70" s="429" t="s">
        <v>1165</v>
      </c>
      <c r="E70" s="263" t="s">
        <v>1166</v>
      </c>
      <c r="F70" s="361"/>
      <c r="G70" s="361"/>
      <c r="H70" s="361"/>
      <c r="I70" s="361"/>
      <c r="J70" s="361"/>
      <c r="K70" s="125"/>
      <c r="L70" s="125"/>
    </row>
    <row r="71" spans="1:12" s="416" customFormat="1" hidden="1" outlineLevel="1" x14ac:dyDescent="0.2">
      <c r="A71" s="125"/>
      <c r="B71" s="125"/>
      <c r="C71" s="125"/>
      <c r="D71" s="361"/>
      <c r="E71" s="361"/>
      <c r="F71" s="361"/>
      <c r="G71" s="361"/>
      <c r="H71" s="361"/>
      <c r="I71" s="361"/>
      <c r="J71" s="361"/>
      <c r="K71" s="125"/>
      <c r="L71" s="125"/>
    </row>
    <row r="72" spans="1:12" hidden="1" outlineLevel="1" x14ac:dyDescent="0.2">
      <c r="A72" s="162"/>
      <c r="B72" s="162"/>
      <c r="C72" s="162"/>
      <c r="D72" s="429" t="str">
        <f>TxPhase1Px</f>
        <v/>
      </c>
      <c r="E72" s="440">
        <f t="shared" ref="E72:J72" si="8">IF(TxPhase1&lt;&gt;"",E62*E65,0)</f>
        <v>0</v>
      </c>
      <c r="F72" s="440">
        <f t="shared" si="8"/>
        <v>0</v>
      </c>
      <c r="G72" s="440">
        <f t="shared" si="8"/>
        <v>0</v>
      </c>
      <c r="H72" s="440">
        <f t="shared" si="8"/>
        <v>0</v>
      </c>
      <c r="I72" s="440">
        <f t="shared" si="8"/>
        <v>0</v>
      </c>
      <c r="J72" s="440">
        <f t="shared" si="8"/>
        <v>0</v>
      </c>
      <c r="K72" s="162"/>
      <c r="L72" s="162"/>
    </row>
    <row r="73" spans="1:12" hidden="1" outlineLevel="1" x14ac:dyDescent="0.2">
      <c r="A73" s="162"/>
      <c r="B73" s="162"/>
      <c r="C73" s="162"/>
      <c r="D73" s="429" t="str">
        <f>TxPhase2Px</f>
        <v/>
      </c>
      <c r="E73" s="440">
        <f t="shared" ref="E73:J73" si="9">IF(TxPhase2&lt;&gt;"",IF($C70=1,E72,IF($C70=2,E62,0))*E68,0)</f>
        <v>0</v>
      </c>
      <c r="F73" s="440">
        <f t="shared" si="9"/>
        <v>0</v>
      </c>
      <c r="G73" s="440">
        <f t="shared" si="9"/>
        <v>0</v>
      </c>
      <c r="H73" s="440">
        <f t="shared" si="9"/>
        <v>0</v>
      </c>
      <c r="I73" s="440">
        <f t="shared" si="9"/>
        <v>0</v>
      </c>
      <c r="J73" s="440">
        <f t="shared" si="9"/>
        <v>0</v>
      </c>
      <c r="K73" s="162"/>
      <c r="L73" s="162"/>
    </row>
    <row r="74" spans="1:12" s="416" customFormat="1" hidden="1" outlineLevel="1" x14ac:dyDescent="0.2">
      <c r="A74" s="162"/>
      <c r="B74" s="162"/>
      <c r="C74" s="162"/>
      <c r="D74" s="417"/>
      <c r="E74" s="417"/>
      <c r="F74" s="162"/>
      <c r="G74" s="162"/>
      <c r="H74" s="162"/>
      <c r="I74" s="162"/>
      <c r="J74" s="162"/>
      <c r="K74" s="162"/>
      <c r="L74" s="162"/>
    </row>
    <row r="75" spans="1:12" s="416" customFormat="1" hidden="1" outlineLevel="1" x14ac:dyDescent="0.2">
      <c r="A75" s="162"/>
      <c r="B75" s="162"/>
      <c r="C75" s="291" t="str">
        <f>IF(E75&lt;&gt;"",E75,"")</f>
        <v/>
      </c>
      <c r="D75" s="89" t="s">
        <v>756</v>
      </c>
      <c r="E75" s="263"/>
      <c r="F75" s="162"/>
      <c r="G75" s="162"/>
      <c r="H75" s="162"/>
      <c r="I75" s="162"/>
      <c r="J75" s="162"/>
      <c r="K75" s="162"/>
      <c r="L75" s="162"/>
    </row>
    <row r="76" spans="1:12" hidden="1" outlineLevel="1" x14ac:dyDescent="0.2">
      <c r="A76" s="162"/>
      <c r="B76" s="162"/>
      <c r="C76" s="162"/>
      <c r="D76" s="162"/>
      <c r="E76" s="162"/>
      <c r="F76" s="162"/>
      <c r="G76" s="162"/>
      <c r="H76" s="162"/>
      <c r="I76" s="162"/>
      <c r="J76" s="162"/>
      <c r="K76" s="162"/>
      <c r="L76" s="162"/>
    </row>
    <row r="77" spans="1:12" collapsed="1" x14ac:dyDescent="0.2">
      <c r="A77" s="162"/>
      <c r="B77" s="162"/>
      <c r="C77" s="162"/>
      <c r="D77" s="162"/>
      <c r="E77" s="162"/>
      <c r="F77" s="162"/>
      <c r="G77" s="162"/>
      <c r="H77" s="162"/>
      <c r="I77" s="162"/>
      <c r="J77" s="162"/>
      <c r="K77" s="162"/>
      <c r="L77" s="162"/>
    </row>
    <row r="78" spans="1:12" ht="15.75" x14ac:dyDescent="0.2">
      <c r="A78" s="162"/>
      <c r="B78" s="162"/>
      <c r="C78" s="573">
        <v>3</v>
      </c>
      <c r="D78" s="79" t="str">
        <f>IF(E83&lt;&gt;"",CONCATENATE("GF ",C78,": ",G83,L78),MsgNotUsed)</f>
        <v>** NOT USED **</v>
      </c>
      <c r="E78" s="132"/>
      <c r="F78" s="132"/>
      <c r="G78" s="132"/>
      <c r="H78" s="132"/>
      <c r="I78" s="134"/>
      <c r="J78" s="126"/>
      <c r="K78" s="124"/>
      <c r="L78" s="325" t="str">
        <f>IF(O82&lt;&gt;"",CONCATENATE(" (",O82,")"),"")</f>
        <v/>
      </c>
    </row>
    <row r="79" spans="1:12" hidden="1" outlineLevel="1" x14ac:dyDescent="0.2">
      <c r="A79" s="162"/>
      <c r="B79" s="162"/>
      <c r="C79" s="162"/>
      <c r="D79" s="162"/>
      <c r="E79" s="162"/>
      <c r="F79" s="162"/>
      <c r="G79" s="162"/>
      <c r="H79" s="162"/>
      <c r="I79" s="162"/>
      <c r="J79" s="162"/>
      <c r="K79" s="162"/>
      <c r="L79" s="162"/>
    </row>
    <row r="80" spans="1:12" hidden="1" outlineLevel="1" x14ac:dyDescent="0.2">
      <c r="A80" s="162"/>
      <c r="B80" s="162"/>
      <c r="C80" s="162"/>
      <c r="D80" s="162" t="s">
        <v>842</v>
      </c>
      <c r="E80" s="162"/>
      <c r="F80" s="162"/>
      <c r="G80" s="162"/>
      <c r="H80" s="162"/>
      <c r="I80" s="162"/>
      <c r="J80" s="162"/>
      <c r="K80" s="162"/>
      <c r="L80" s="615"/>
    </row>
    <row r="81" spans="1:12" hidden="1" outlineLevel="1" x14ac:dyDescent="0.2">
      <c r="A81" s="162"/>
      <c r="B81" s="162"/>
      <c r="C81" s="162"/>
      <c r="D81" s="162" t="s">
        <v>847</v>
      </c>
      <c r="E81" s="162"/>
      <c r="F81" s="162"/>
      <c r="G81" s="162"/>
      <c r="H81" s="162"/>
      <c r="I81" s="162"/>
      <c r="J81" s="162"/>
      <c r="K81" s="162"/>
      <c r="L81" s="162"/>
    </row>
    <row r="82" spans="1:12" hidden="1" outlineLevel="1" x14ac:dyDescent="0.2">
      <c r="A82" s="162"/>
      <c r="B82" s="162"/>
      <c r="C82" s="162"/>
      <c r="D82" s="162"/>
      <c r="E82" s="162"/>
      <c r="F82" s="162"/>
      <c r="G82" s="162"/>
      <c r="H82" s="162"/>
      <c r="I82" s="162"/>
      <c r="J82" s="162"/>
      <c r="K82" s="162"/>
      <c r="L82" s="36" t="s">
        <v>424</v>
      </c>
    </row>
    <row r="83" spans="1:12" hidden="1" outlineLevel="1" x14ac:dyDescent="0.2">
      <c r="A83" s="162"/>
      <c r="B83" s="291">
        <f>IF(E83&lt;&gt;"",MATCH(E83,EPISource,0)-1,0)</f>
        <v>0</v>
      </c>
      <c r="C83" s="291">
        <f ca="1">IF(G83&lt;&gt;"",MATCH(G83,OFFSET(References!$AE$7,0,B83,PxPopMaxCount),0),0)</f>
        <v>0</v>
      </c>
      <c r="D83" s="12" t="s">
        <v>113</v>
      </c>
      <c r="E83" s="267"/>
      <c r="F83" s="642"/>
      <c r="G83" s="812"/>
      <c r="H83" s="819"/>
      <c r="I83" s="819"/>
      <c r="J83" s="819"/>
      <c r="K83" s="3"/>
      <c r="L83" s="239"/>
    </row>
    <row r="84" spans="1:12" hidden="1" outlineLevel="1" x14ac:dyDescent="0.2">
      <c r="A84" s="162"/>
      <c r="B84" s="291">
        <f>INDEX(PxPopValid,,B83+1)</f>
        <v>0</v>
      </c>
      <c r="C84" s="291">
        <f ca="1">(B83*PxPopMaxCount)+C83</f>
        <v>0</v>
      </c>
      <c r="D84" s="162"/>
      <c r="E84" s="650">
        <v>1</v>
      </c>
      <c r="F84" s="650">
        <v>2</v>
      </c>
      <c r="G84" s="650">
        <v>3</v>
      </c>
      <c r="H84" s="650">
        <v>4</v>
      </c>
      <c r="I84" s="650">
        <v>5</v>
      </c>
      <c r="J84" s="650">
        <v>6</v>
      </c>
      <c r="K84" s="162"/>
      <c r="L84" s="162"/>
    </row>
    <row r="85" spans="1:12" hidden="1" outlineLevel="1" x14ac:dyDescent="0.2">
      <c r="A85" s="162"/>
      <c r="B85" s="162"/>
      <c r="C85" s="162"/>
      <c r="D85" s="162"/>
      <c r="E85" s="814" t="s">
        <v>10</v>
      </c>
      <c r="F85" s="814"/>
      <c r="G85" s="814"/>
      <c r="H85" s="814"/>
      <c r="I85" s="814"/>
      <c r="J85" s="814"/>
      <c r="K85" s="640"/>
      <c r="L85" s="629" t="str">
        <f ca="1">IF(ISERROR($C84)=TRUE,MsgError &amp; VLOOKUP("BadPop",ErrorMessages,2,FALSE),"")</f>
        <v/>
      </c>
    </row>
    <row r="86" spans="1:12" hidden="1" outlineLevel="1" x14ac:dyDescent="0.2">
      <c r="A86" s="162"/>
      <c r="B86" s="162"/>
      <c r="C86" s="162"/>
      <c r="D86" s="643"/>
      <c r="E86" s="487">
        <f>FirstYear</f>
        <v>2021</v>
      </c>
      <c r="F86" s="487">
        <f>E86+1</f>
        <v>2022</v>
      </c>
      <c r="G86" s="487">
        <f>F86+1</f>
        <v>2023</v>
      </c>
      <c r="H86" s="487">
        <f>G86+1</f>
        <v>2024</v>
      </c>
      <c r="I86" s="487">
        <f>H86+1</f>
        <v>2025</v>
      </c>
      <c r="J86" s="487">
        <f>I86+1</f>
        <v>2026</v>
      </c>
      <c r="K86" s="640"/>
      <c r="L86" s="162"/>
    </row>
    <row r="87" spans="1:12" hidden="1" outlineLevel="1" x14ac:dyDescent="0.2">
      <c r="A87" s="162"/>
      <c r="B87" s="162"/>
      <c r="C87" s="162"/>
      <c r="D87" s="421" t="s">
        <v>808</v>
      </c>
      <c r="E87" s="437">
        <f t="shared" ref="E87:J87" ca="1" si="10">IF(AND(ISERROR($C84)&lt;&gt;TRUE,$G83&lt;&gt;""),INDEX(PxPopNumbers,$C84,E84),0)</f>
        <v>0</v>
      </c>
      <c r="F87" s="437">
        <f t="shared" ca="1" si="10"/>
        <v>0</v>
      </c>
      <c r="G87" s="437">
        <f t="shared" ca="1" si="10"/>
        <v>0</v>
      </c>
      <c r="H87" s="437">
        <f t="shared" ca="1" si="10"/>
        <v>0</v>
      </c>
      <c r="I87" s="437">
        <f t="shared" ca="1" si="10"/>
        <v>0</v>
      </c>
      <c r="J87" s="437">
        <f t="shared" ca="1" si="10"/>
        <v>0</v>
      </c>
      <c r="K87" s="640"/>
      <c r="L87" s="615"/>
    </row>
    <row r="88" spans="1:12" hidden="1" outlineLevel="1" x14ac:dyDescent="0.2">
      <c r="A88" s="615"/>
      <c r="B88" s="615"/>
      <c r="C88" s="615"/>
      <c r="D88" s="615"/>
      <c r="K88" s="615"/>
      <c r="L88" s="615"/>
    </row>
    <row r="89" spans="1:12" hidden="1" outlineLevel="1" x14ac:dyDescent="0.2">
      <c r="A89" s="615"/>
      <c r="B89" s="615"/>
      <c r="C89" s="615"/>
      <c r="D89" s="720" t="s">
        <v>205</v>
      </c>
      <c r="K89" s="615"/>
      <c r="L89" s="36" t="s">
        <v>258</v>
      </c>
    </row>
    <row r="90" spans="1:12" hidden="1" outlineLevel="1" x14ac:dyDescent="0.2">
      <c r="A90" s="162"/>
      <c r="B90" s="162"/>
      <c r="C90" s="162"/>
      <c r="D90" s="423" t="s">
        <v>861</v>
      </c>
      <c r="E90" s="54"/>
      <c r="F90" s="54"/>
      <c r="G90" s="54"/>
      <c r="H90" s="54"/>
      <c r="I90" s="54"/>
      <c r="J90" s="54"/>
      <c r="K90" s="226"/>
      <c r="L90" s="46"/>
    </row>
    <row r="91" spans="1:12" hidden="1" outlineLevel="1" x14ac:dyDescent="0.2">
      <c r="A91" s="162"/>
      <c r="B91" s="162"/>
      <c r="C91" s="162"/>
      <c r="D91" s="12" t="s">
        <v>848</v>
      </c>
      <c r="E91" s="32">
        <f t="shared" ref="E91:J91" ca="1" si="11">IF(E87&lt;&gt;"",E87*E90,0)</f>
        <v>0</v>
      </c>
      <c r="F91" s="32">
        <f t="shared" ca="1" si="11"/>
        <v>0</v>
      </c>
      <c r="G91" s="32">
        <f t="shared" ca="1" si="11"/>
        <v>0</v>
      </c>
      <c r="H91" s="32">
        <f t="shared" ca="1" si="11"/>
        <v>0</v>
      </c>
      <c r="I91" s="32">
        <f t="shared" ca="1" si="11"/>
        <v>0</v>
      </c>
      <c r="J91" s="32">
        <f t="shared" ca="1" si="11"/>
        <v>0</v>
      </c>
      <c r="K91" s="640"/>
      <c r="L91" s="162"/>
    </row>
    <row r="92" spans="1:12" hidden="1" outlineLevel="1" x14ac:dyDescent="0.2">
      <c r="A92" s="125"/>
      <c r="B92" s="125"/>
      <c r="C92" s="125"/>
      <c r="D92" s="125"/>
      <c r="E92" s="125"/>
      <c r="F92" s="125"/>
      <c r="G92" s="125"/>
      <c r="H92" s="125"/>
      <c r="I92" s="125"/>
      <c r="J92" s="125"/>
      <c r="K92" s="125"/>
      <c r="L92" s="125"/>
    </row>
    <row r="93" spans="1:12" hidden="1" outlineLevel="1" x14ac:dyDescent="0.2">
      <c r="A93" s="125"/>
      <c r="B93" s="125"/>
      <c r="C93" s="125"/>
      <c r="D93" s="429" t="str">
        <f>TxPhase1Tx</f>
        <v/>
      </c>
      <c r="E93" s="495">
        <f>IF($D$13&lt;&gt;"",VLOOKUP($D$13,TPShortCode,2,FALSE),0)</f>
        <v>0</v>
      </c>
      <c r="F93" s="125"/>
      <c r="G93" s="125"/>
      <c r="H93" s="125"/>
      <c r="I93" s="125"/>
      <c r="J93" s="125"/>
      <c r="K93" s="125"/>
      <c r="L93" s="36" t="s">
        <v>258</v>
      </c>
    </row>
    <row r="94" spans="1:12" hidden="1" outlineLevel="1" x14ac:dyDescent="0.2">
      <c r="A94" s="125"/>
      <c r="B94" s="125"/>
      <c r="C94" s="125"/>
      <c r="D94" s="60" t="str">
        <f>D65</f>
        <v>Patients electing treatment (%)</v>
      </c>
      <c r="E94" s="54"/>
      <c r="F94" s="54"/>
      <c r="G94" s="54"/>
      <c r="H94" s="54"/>
      <c r="I94" s="54"/>
      <c r="J94" s="54"/>
      <c r="K94" s="121"/>
      <c r="L94" s="46"/>
    </row>
    <row r="95" spans="1:12" ht="14.25" hidden="1" outlineLevel="1" x14ac:dyDescent="0.2">
      <c r="A95" s="125"/>
      <c r="B95" s="125"/>
      <c r="C95" s="125"/>
      <c r="D95" s="125"/>
      <c r="E95" s="125"/>
      <c r="F95" s="155"/>
      <c r="G95" s="125"/>
      <c r="H95" s="121"/>
      <c r="I95" s="121"/>
      <c r="J95" s="121"/>
      <c r="K95" s="121"/>
      <c r="L95" s="125"/>
    </row>
    <row r="96" spans="1:12" hidden="1" outlineLevel="1" x14ac:dyDescent="0.2">
      <c r="A96" s="125"/>
      <c r="B96" s="125"/>
      <c r="C96" s="125"/>
      <c r="D96" s="433" t="str">
        <f>TXPhase2Tx</f>
        <v/>
      </c>
      <c r="E96" s="650"/>
      <c r="F96" s="650"/>
      <c r="G96" s="125"/>
      <c r="H96" s="125"/>
      <c r="I96" s="121"/>
      <c r="J96" s="121"/>
      <c r="K96" s="121"/>
      <c r="L96" s="36" t="s">
        <v>258</v>
      </c>
    </row>
    <row r="97" spans="1:12" hidden="1" outlineLevel="1" x14ac:dyDescent="0.2">
      <c r="A97" s="125"/>
      <c r="B97" s="125"/>
      <c r="C97" s="125"/>
      <c r="D97" s="90" t="str">
        <f>D68</f>
        <v/>
      </c>
      <c r="E97" s="54"/>
      <c r="F97" s="54"/>
      <c r="G97" s="54"/>
      <c r="H97" s="54"/>
      <c r="I97" s="54"/>
      <c r="J97" s="54"/>
      <c r="K97" s="121"/>
      <c r="L97" s="46"/>
    </row>
    <row r="98" spans="1:12" hidden="1" outlineLevel="1" x14ac:dyDescent="0.2">
      <c r="A98" s="125"/>
      <c r="B98" s="125"/>
      <c r="C98" s="125"/>
      <c r="D98" s="121"/>
      <c r="E98" s="121"/>
      <c r="F98" s="121"/>
      <c r="G98" s="121"/>
      <c r="H98" s="121"/>
      <c r="I98" s="121"/>
      <c r="J98" s="121"/>
      <c r="K98" s="125"/>
      <c r="L98" s="125"/>
    </row>
    <row r="99" spans="1:12" s="416" customFormat="1" hidden="1" outlineLevel="1" x14ac:dyDescent="0.2">
      <c r="A99" s="125"/>
      <c r="B99" s="125"/>
      <c r="C99" s="475">
        <f>IFERROR(VLOOKUP(E99,TxPhase2SourceCode,2,FALSE),0)</f>
        <v>1</v>
      </c>
      <c r="D99" s="429" t="s">
        <v>1165</v>
      </c>
      <c r="E99" s="263" t="s">
        <v>1166</v>
      </c>
      <c r="F99" s="361"/>
      <c r="G99" s="361"/>
      <c r="H99" s="361"/>
      <c r="I99" s="361"/>
      <c r="J99" s="361"/>
      <c r="K99" s="125"/>
      <c r="L99" s="125"/>
    </row>
    <row r="100" spans="1:12" s="416" customFormat="1" hidden="1" outlineLevel="1" x14ac:dyDescent="0.2">
      <c r="A100" s="125"/>
      <c r="B100" s="125"/>
      <c r="C100" s="125"/>
      <c r="D100" s="361"/>
      <c r="E100" s="361"/>
      <c r="F100" s="361"/>
      <c r="G100" s="361"/>
      <c r="H100" s="361"/>
      <c r="I100" s="361"/>
      <c r="J100" s="361"/>
      <c r="K100" s="125"/>
      <c r="L100" s="125"/>
    </row>
    <row r="101" spans="1:12" hidden="1" outlineLevel="1" x14ac:dyDescent="0.2">
      <c r="A101" s="162"/>
      <c r="B101" s="162"/>
      <c r="C101" s="162"/>
      <c r="D101" s="429" t="str">
        <f>TxPhase1Px</f>
        <v/>
      </c>
      <c r="E101" s="440">
        <f t="shared" ref="E101:J101" si="12">IF(TxPhase1&lt;&gt;"",E91*E94,0)</f>
        <v>0</v>
      </c>
      <c r="F101" s="440">
        <f t="shared" si="12"/>
        <v>0</v>
      </c>
      <c r="G101" s="440">
        <f t="shared" si="12"/>
        <v>0</v>
      </c>
      <c r="H101" s="440">
        <f t="shared" si="12"/>
        <v>0</v>
      </c>
      <c r="I101" s="440">
        <f t="shared" si="12"/>
        <v>0</v>
      </c>
      <c r="J101" s="440">
        <f t="shared" si="12"/>
        <v>0</v>
      </c>
      <c r="K101" s="162"/>
      <c r="L101" s="162"/>
    </row>
    <row r="102" spans="1:12" hidden="1" outlineLevel="1" x14ac:dyDescent="0.2">
      <c r="A102" s="162"/>
      <c r="B102" s="162"/>
      <c r="C102" s="162"/>
      <c r="D102" s="429" t="str">
        <f>TxPhase2Px</f>
        <v/>
      </c>
      <c r="E102" s="440">
        <f t="shared" ref="E102:J102" si="13">IF(TxPhase2&lt;&gt;"",IF($C99=1,E101,IF($C99=2,E91,0))*E97,0)</f>
        <v>0</v>
      </c>
      <c r="F102" s="440">
        <f t="shared" si="13"/>
        <v>0</v>
      </c>
      <c r="G102" s="440">
        <f t="shared" si="13"/>
        <v>0</v>
      </c>
      <c r="H102" s="440">
        <f t="shared" si="13"/>
        <v>0</v>
      </c>
      <c r="I102" s="440">
        <f t="shared" si="13"/>
        <v>0</v>
      </c>
      <c r="J102" s="440">
        <f t="shared" si="13"/>
        <v>0</v>
      </c>
      <c r="K102" s="162"/>
      <c r="L102" s="162"/>
    </row>
    <row r="103" spans="1:12" s="416" customFormat="1" hidden="1" outlineLevel="1" x14ac:dyDescent="0.2">
      <c r="A103" s="162"/>
      <c r="B103" s="162"/>
      <c r="C103" s="162"/>
      <c r="D103" s="417"/>
      <c r="E103" s="417"/>
      <c r="F103" s="162"/>
      <c r="G103" s="162"/>
      <c r="H103" s="162"/>
      <c r="I103" s="162"/>
      <c r="J103" s="162"/>
      <c r="K103" s="162"/>
      <c r="L103" s="162"/>
    </row>
    <row r="104" spans="1:12" s="416" customFormat="1" hidden="1" outlineLevel="1" x14ac:dyDescent="0.2">
      <c r="A104" s="162"/>
      <c r="B104" s="162"/>
      <c r="C104" s="291" t="str">
        <f>IF(E104&lt;&gt;"",E104,"")</f>
        <v/>
      </c>
      <c r="D104" s="89" t="s">
        <v>756</v>
      </c>
      <c r="E104" s="263"/>
      <c r="F104" s="162"/>
      <c r="G104" s="162"/>
      <c r="H104" s="162"/>
      <c r="I104" s="162"/>
      <c r="J104" s="162"/>
      <c r="K104" s="162"/>
      <c r="L104" s="162"/>
    </row>
    <row r="105" spans="1:12" hidden="1" outlineLevel="1" collapsed="1" x14ac:dyDescent="0.2">
      <c r="A105" s="162"/>
      <c r="B105" s="162"/>
      <c r="C105" s="162"/>
      <c r="D105" s="162"/>
      <c r="E105" s="162"/>
      <c r="F105" s="162"/>
      <c r="G105" s="162"/>
      <c r="H105" s="162"/>
      <c r="I105" s="162"/>
      <c r="J105" s="162"/>
      <c r="K105" s="162"/>
      <c r="L105" s="162"/>
    </row>
    <row r="106" spans="1:12" collapsed="1" x14ac:dyDescent="0.2">
      <c r="A106" s="162"/>
      <c r="B106" s="162"/>
      <c r="C106" s="162"/>
      <c r="D106" s="162"/>
      <c r="E106" s="162"/>
      <c r="F106" s="162"/>
      <c r="G106" s="162"/>
      <c r="H106" s="162"/>
      <c r="I106" s="162"/>
      <c r="J106" s="162"/>
      <c r="K106" s="162"/>
      <c r="L106" s="162"/>
    </row>
    <row r="107" spans="1:12" ht="15.75" x14ac:dyDescent="0.2">
      <c r="A107" s="162"/>
      <c r="B107" s="162"/>
      <c r="C107" s="573">
        <v>4</v>
      </c>
      <c r="D107" s="79" t="str">
        <f>IF(E112&lt;&gt;"",CONCATENATE("GF ",C107,": ",G112,L107),MsgNotUsed)</f>
        <v>** NOT USED **</v>
      </c>
      <c r="E107" s="132"/>
      <c r="F107" s="132"/>
      <c r="G107" s="132"/>
      <c r="H107" s="132"/>
      <c r="I107" s="134"/>
      <c r="J107" s="126"/>
      <c r="K107" s="124"/>
      <c r="L107" s="325" t="str">
        <f>IF(O111&lt;&gt;"",CONCATENATE(" (",O111,")"),"")</f>
        <v/>
      </c>
    </row>
    <row r="108" spans="1:12" hidden="1" outlineLevel="1" x14ac:dyDescent="0.2">
      <c r="A108" s="162"/>
      <c r="B108" s="162"/>
      <c r="C108" s="162"/>
      <c r="D108" s="162"/>
      <c r="E108" s="162"/>
      <c r="F108" s="162"/>
      <c r="G108" s="162"/>
      <c r="H108" s="162"/>
      <c r="I108" s="162"/>
      <c r="J108" s="162"/>
      <c r="K108" s="162"/>
      <c r="L108" s="162"/>
    </row>
    <row r="109" spans="1:12" hidden="1" outlineLevel="1" x14ac:dyDescent="0.2">
      <c r="A109" s="162"/>
      <c r="B109" s="162"/>
      <c r="C109" s="162"/>
      <c r="D109" s="162" t="s">
        <v>842</v>
      </c>
      <c r="E109" s="162"/>
      <c r="F109" s="162"/>
      <c r="G109" s="162"/>
      <c r="H109" s="162"/>
      <c r="I109" s="162"/>
      <c r="J109" s="162"/>
      <c r="K109" s="162"/>
      <c r="L109" s="615"/>
    </row>
    <row r="110" spans="1:12" hidden="1" outlineLevel="1" x14ac:dyDescent="0.2">
      <c r="A110" s="162"/>
      <c r="B110" s="162"/>
      <c r="C110" s="162"/>
      <c r="D110" s="162" t="s">
        <v>847</v>
      </c>
      <c r="E110" s="162"/>
      <c r="F110" s="162"/>
      <c r="G110" s="162"/>
      <c r="H110" s="162"/>
      <c r="I110" s="162"/>
      <c r="J110" s="162"/>
      <c r="K110" s="162"/>
      <c r="L110" s="162"/>
    </row>
    <row r="111" spans="1:12" hidden="1" outlineLevel="1" x14ac:dyDescent="0.2">
      <c r="A111" s="162"/>
      <c r="B111" s="162"/>
      <c r="C111" s="162"/>
      <c r="D111" s="162"/>
      <c r="E111" s="162"/>
      <c r="F111" s="162"/>
      <c r="G111" s="162"/>
      <c r="H111" s="162"/>
      <c r="I111" s="162"/>
      <c r="J111" s="162"/>
      <c r="K111" s="162"/>
      <c r="L111" s="36" t="s">
        <v>424</v>
      </c>
    </row>
    <row r="112" spans="1:12" hidden="1" outlineLevel="1" x14ac:dyDescent="0.2">
      <c r="A112" s="162"/>
      <c r="B112" s="291">
        <f>IF(E112&lt;&gt;"",MATCH(E112,EPISource,0)-1,0)</f>
        <v>0</v>
      </c>
      <c r="C112" s="291">
        <f ca="1">IF(G112&lt;&gt;"",MATCH(G112,OFFSET(References!$AE$7,0,B112,PxPopMaxCount),0),0)</f>
        <v>0</v>
      </c>
      <c r="D112" s="12" t="s">
        <v>113</v>
      </c>
      <c r="E112" s="267"/>
      <c r="F112" s="642"/>
      <c r="G112" s="812"/>
      <c r="H112" s="819"/>
      <c r="I112" s="819"/>
      <c r="J112" s="819"/>
      <c r="K112" s="3"/>
      <c r="L112" s="239"/>
    </row>
    <row r="113" spans="1:12" hidden="1" outlineLevel="1" x14ac:dyDescent="0.2">
      <c r="A113" s="162"/>
      <c r="B113" s="291">
        <f>INDEX(PxPopValid,,B112+1)</f>
        <v>0</v>
      </c>
      <c r="C113" s="291">
        <f ca="1">(B112*PxPopMaxCount)+C112</f>
        <v>0</v>
      </c>
      <c r="D113" s="162"/>
      <c r="E113" s="650">
        <v>1</v>
      </c>
      <c r="F113" s="650">
        <v>2</v>
      </c>
      <c r="G113" s="650">
        <v>3</v>
      </c>
      <c r="H113" s="650">
        <v>4</v>
      </c>
      <c r="I113" s="650">
        <v>5</v>
      </c>
      <c r="J113" s="650">
        <v>6</v>
      </c>
      <c r="K113" s="162"/>
      <c r="L113" s="162"/>
    </row>
    <row r="114" spans="1:12" hidden="1" outlineLevel="1" x14ac:dyDescent="0.2">
      <c r="A114" s="162"/>
      <c r="B114" s="162"/>
      <c r="C114" s="162"/>
      <c r="D114" s="162"/>
      <c r="E114" s="814" t="s">
        <v>10</v>
      </c>
      <c r="F114" s="814"/>
      <c r="G114" s="814"/>
      <c r="H114" s="814"/>
      <c r="I114" s="814"/>
      <c r="J114" s="814"/>
      <c r="K114" s="640"/>
      <c r="L114" s="629" t="str">
        <f ca="1">IF(ISERROR($C113)=TRUE,MsgError &amp; VLOOKUP("BadPop",ErrorMessages,2,FALSE),"")</f>
        <v/>
      </c>
    </row>
    <row r="115" spans="1:12" hidden="1" outlineLevel="1" x14ac:dyDescent="0.2">
      <c r="A115" s="162"/>
      <c r="B115" s="162"/>
      <c r="C115" s="162"/>
      <c r="D115" s="643"/>
      <c r="E115" s="487">
        <f>FirstYear</f>
        <v>2021</v>
      </c>
      <c r="F115" s="487">
        <f>E115+1</f>
        <v>2022</v>
      </c>
      <c r="G115" s="487">
        <f>F115+1</f>
        <v>2023</v>
      </c>
      <c r="H115" s="487">
        <f>G115+1</f>
        <v>2024</v>
      </c>
      <c r="I115" s="487">
        <f>H115+1</f>
        <v>2025</v>
      </c>
      <c r="J115" s="487">
        <f>I115+1</f>
        <v>2026</v>
      </c>
      <c r="K115" s="640"/>
      <c r="L115" s="162"/>
    </row>
    <row r="116" spans="1:12" hidden="1" outlineLevel="1" x14ac:dyDescent="0.2">
      <c r="A116" s="162"/>
      <c r="B116" s="162"/>
      <c r="C116" s="162"/>
      <c r="D116" s="421" t="s">
        <v>808</v>
      </c>
      <c r="E116" s="437">
        <f t="shared" ref="E116:J116" ca="1" si="14">IF(AND(ISERROR($C113)&lt;&gt;TRUE,$G112&lt;&gt;""),INDEX(PxPopNumbers,$C113,E113),0)</f>
        <v>0</v>
      </c>
      <c r="F116" s="437">
        <f t="shared" ca="1" si="14"/>
        <v>0</v>
      </c>
      <c r="G116" s="437">
        <f t="shared" ca="1" si="14"/>
        <v>0</v>
      </c>
      <c r="H116" s="437">
        <f t="shared" ca="1" si="14"/>
        <v>0</v>
      </c>
      <c r="I116" s="437">
        <f t="shared" ca="1" si="14"/>
        <v>0</v>
      </c>
      <c r="J116" s="437">
        <f t="shared" ca="1" si="14"/>
        <v>0</v>
      </c>
      <c r="K116" s="640"/>
      <c r="L116" s="615"/>
    </row>
    <row r="117" spans="1:12" hidden="1" outlineLevel="1" x14ac:dyDescent="0.2">
      <c r="A117" s="615"/>
      <c r="B117" s="615"/>
      <c r="C117" s="615"/>
      <c r="D117" s="615"/>
      <c r="E117" s="615"/>
      <c r="F117" s="615"/>
      <c r="G117" s="615"/>
      <c r="H117" s="615"/>
      <c r="I117" s="615"/>
      <c r="K117" s="615"/>
      <c r="L117" s="615"/>
    </row>
    <row r="118" spans="1:12" hidden="1" outlineLevel="1" x14ac:dyDescent="0.2">
      <c r="A118" s="615"/>
      <c r="B118" s="615"/>
      <c r="C118" s="615"/>
      <c r="D118" s="720" t="s">
        <v>205</v>
      </c>
      <c r="E118" s="615"/>
      <c r="F118" s="615"/>
      <c r="G118" s="615"/>
      <c r="H118" s="615"/>
      <c r="I118" s="615"/>
      <c r="K118" s="615"/>
      <c r="L118" s="36" t="s">
        <v>258</v>
      </c>
    </row>
    <row r="119" spans="1:12" hidden="1" outlineLevel="1" x14ac:dyDescent="0.2">
      <c r="A119" s="162"/>
      <c r="B119" s="162"/>
      <c r="C119" s="162"/>
      <c r="D119" s="423" t="s">
        <v>861</v>
      </c>
      <c r="E119" s="54"/>
      <c r="F119" s="54"/>
      <c r="G119" s="54"/>
      <c r="H119" s="54"/>
      <c r="I119" s="54"/>
      <c r="J119" s="54"/>
      <c r="K119" s="226"/>
      <c r="L119" s="46"/>
    </row>
    <row r="120" spans="1:12" hidden="1" outlineLevel="1" x14ac:dyDescent="0.2">
      <c r="A120" s="162"/>
      <c r="B120" s="162"/>
      <c r="C120" s="162"/>
      <c r="D120" s="12" t="s">
        <v>848</v>
      </c>
      <c r="E120" s="32">
        <f t="shared" ref="E120:J120" ca="1" si="15">IF(E116&lt;&gt;"",E116*E119,0)</f>
        <v>0</v>
      </c>
      <c r="F120" s="32">
        <f t="shared" ca="1" si="15"/>
        <v>0</v>
      </c>
      <c r="G120" s="32">
        <f t="shared" ca="1" si="15"/>
        <v>0</v>
      </c>
      <c r="H120" s="32">
        <f t="shared" ca="1" si="15"/>
        <v>0</v>
      </c>
      <c r="I120" s="32">
        <f t="shared" ca="1" si="15"/>
        <v>0</v>
      </c>
      <c r="J120" s="32">
        <f t="shared" ca="1" si="15"/>
        <v>0</v>
      </c>
      <c r="K120" s="640"/>
      <c r="L120" s="162"/>
    </row>
    <row r="121" spans="1:12" hidden="1" outlineLevel="1" x14ac:dyDescent="0.2">
      <c r="A121" s="125"/>
      <c r="B121" s="125"/>
      <c r="C121" s="125"/>
      <c r="D121" s="121"/>
      <c r="E121" s="125"/>
      <c r="F121" s="125"/>
      <c r="G121" s="125"/>
      <c r="H121" s="125"/>
      <c r="I121" s="125"/>
      <c r="J121" s="121"/>
      <c r="K121" s="125"/>
      <c r="L121" s="125"/>
    </row>
    <row r="122" spans="1:12" hidden="1" outlineLevel="1" x14ac:dyDescent="0.2">
      <c r="A122" s="125"/>
      <c r="B122" s="125"/>
      <c r="C122" s="125"/>
      <c r="D122" s="429" t="str">
        <f>TxPhase1Tx</f>
        <v/>
      </c>
      <c r="E122" s="495"/>
      <c r="F122" s="125"/>
      <c r="G122" s="125"/>
      <c r="H122" s="125"/>
      <c r="I122" s="125"/>
      <c r="J122" s="121"/>
      <c r="K122" s="125"/>
      <c r="L122" s="36" t="s">
        <v>258</v>
      </c>
    </row>
    <row r="123" spans="1:12" hidden="1" outlineLevel="1" x14ac:dyDescent="0.2">
      <c r="A123" s="125"/>
      <c r="B123" s="125"/>
      <c r="C123" s="125"/>
      <c r="D123" s="60" t="str">
        <f>D94</f>
        <v>Patients electing treatment (%)</v>
      </c>
      <c r="E123" s="54"/>
      <c r="F123" s="54"/>
      <c r="G123" s="54"/>
      <c r="H123" s="54"/>
      <c r="I123" s="54"/>
      <c r="J123" s="54"/>
      <c r="K123" s="121"/>
      <c r="L123" s="46"/>
    </row>
    <row r="124" spans="1:12" ht="14.25" hidden="1" outlineLevel="1" x14ac:dyDescent="0.2">
      <c r="A124" s="125"/>
      <c r="B124" s="125"/>
      <c r="C124" s="125"/>
      <c r="D124" s="121"/>
      <c r="E124" s="125"/>
      <c r="F124" s="155"/>
      <c r="G124" s="125"/>
      <c r="H124" s="125"/>
      <c r="I124" s="121"/>
      <c r="J124" s="121"/>
      <c r="K124" s="125"/>
      <c r="L124" s="125"/>
    </row>
    <row r="125" spans="1:12" hidden="1" outlineLevel="1" x14ac:dyDescent="0.2">
      <c r="A125" s="125"/>
      <c r="B125" s="125"/>
      <c r="C125" s="125"/>
      <c r="D125" s="433" t="str">
        <f>TXPhase2Tx</f>
        <v/>
      </c>
      <c r="E125" s="650"/>
      <c r="F125" s="650"/>
      <c r="G125" s="125"/>
      <c r="H125" s="125"/>
      <c r="I125" s="121"/>
      <c r="J125" s="121"/>
      <c r="K125" s="125"/>
      <c r="L125" s="36" t="s">
        <v>258</v>
      </c>
    </row>
    <row r="126" spans="1:12" hidden="1" outlineLevel="1" x14ac:dyDescent="0.2">
      <c r="A126" s="125"/>
      <c r="B126" s="125"/>
      <c r="C126" s="125"/>
      <c r="D126" s="90" t="str">
        <f>D97</f>
        <v/>
      </c>
      <c r="E126" s="54"/>
      <c r="F126" s="54"/>
      <c r="G126" s="54"/>
      <c r="H126" s="54"/>
      <c r="I126" s="54"/>
      <c r="J126" s="54"/>
      <c r="K126" s="121"/>
      <c r="L126" s="46"/>
    </row>
    <row r="127" spans="1:12" hidden="1" outlineLevel="1" x14ac:dyDescent="0.2">
      <c r="A127" s="125"/>
      <c r="B127" s="125"/>
      <c r="C127" s="125"/>
      <c r="D127" s="121"/>
      <c r="E127" s="121"/>
      <c r="F127" s="121"/>
      <c r="G127" s="121"/>
      <c r="H127" s="121"/>
      <c r="I127" s="121"/>
      <c r="J127" s="121"/>
      <c r="K127" s="121"/>
      <c r="L127" s="125"/>
    </row>
    <row r="128" spans="1:12" s="416" customFormat="1" hidden="1" outlineLevel="1" x14ac:dyDescent="0.2">
      <c r="A128" s="125"/>
      <c r="B128" s="125"/>
      <c r="C128" s="475">
        <f>IFERROR(VLOOKUP(E128,TxPhase2SourceCode,2,FALSE),0)</f>
        <v>1</v>
      </c>
      <c r="D128" s="429" t="s">
        <v>1165</v>
      </c>
      <c r="E128" s="263" t="s">
        <v>1166</v>
      </c>
      <c r="F128" s="361"/>
      <c r="G128" s="361"/>
      <c r="H128" s="361"/>
      <c r="I128" s="361"/>
      <c r="J128" s="361"/>
      <c r="K128" s="361"/>
      <c r="L128" s="125"/>
    </row>
    <row r="129" spans="1:12" s="416" customFormat="1" hidden="1" outlineLevel="1" x14ac:dyDescent="0.2">
      <c r="A129" s="125"/>
      <c r="B129" s="125"/>
      <c r="C129" s="125"/>
      <c r="D129" s="361"/>
      <c r="E129" s="361"/>
      <c r="F129" s="361"/>
      <c r="G129" s="361"/>
      <c r="H129" s="361"/>
      <c r="I129" s="361"/>
      <c r="J129" s="361"/>
      <c r="K129" s="125"/>
      <c r="L129" s="125"/>
    </row>
    <row r="130" spans="1:12" hidden="1" outlineLevel="1" x14ac:dyDescent="0.2">
      <c r="A130" s="162"/>
      <c r="B130" s="162"/>
      <c r="C130" s="162"/>
      <c r="D130" s="429" t="str">
        <f>TxPhase1Px</f>
        <v/>
      </c>
      <c r="E130" s="440">
        <f t="shared" ref="E130:J130" si="16">IF(TxPhase1&lt;&gt;"",E120*E123,0)</f>
        <v>0</v>
      </c>
      <c r="F130" s="440">
        <f t="shared" si="16"/>
        <v>0</v>
      </c>
      <c r="G130" s="440">
        <f t="shared" si="16"/>
        <v>0</v>
      </c>
      <c r="H130" s="440">
        <f t="shared" si="16"/>
        <v>0</v>
      </c>
      <c r="I130" s="440">
        <f t="shared" si="16"/>
        <v>0</v>
      </c>
      <c r="J130" s="440">
        <f t="shared" si="16"/>
        <v>0</v>
      </c>
      <c r="K130" s="162"/>
      <c r="L130" s="162"/>
    </row>
    <row r="131" spans="1:12" hidden="1" outlineLevel="1" x14ac:dyDescent="0.2">
      <c r="A131" s="162"/>
      <c r="B131" s="162"/>
      <c r="C131" s="162"/>
      <c r="D131" s="429" t="str">
        <f>TxPhase2Px</f>
        <v/>
      </c>
      <c r="E131" s="440">
        <f t="shared" ref="E131:J131" si="17">IF(TxPhase2&lt;&gt;"",IF($C128=1,E130,IF($C128=2,E120,0))*E126,0)</f>
        <v>0</v>
      </c>
      <c r="F131" s="440">
        <f t="shared" si="17"/>
        <v>0</v>
      </c>
      <c r="G131" s="440">
        <f t="shared" si="17"/>
        <v>0</v>
      </c>
      <c r="H131" s="440">
        <f t="shared" si="17"/>
        <v>0</v>
      </c>
      <c r="I131" s="440">
        <f t="shared" si="17"/>
        <v>0</v>
      </c>
      <c r="J131" s="440">
        <f t="shared" si="17"/>
        <v>0</v>
      </c>
      <c r="K131" s="162"/>
      <c r="L131" s="162"/>
    </row>
    <row r="132" spans="1:12" s="416" customFormat="1" hidden="1" outlineLevel="1" x14ac:dyDescent="0.2">
      <c r="A132" s="162"/>
      <c r="B132" s="162"/>
      <c r="C132" s="162"/>
      <c r="D132" s="417"/>
      <c r="E132" s="417"/>
      <c r="F132" s="162"/>
      <c r="G132" s="162"/>
      <c r="H132" s="162"/>
      <c r="I132" s="162"/>
      <c r="J132" s="162"/>
      <c r="K132" s="162"/>
      <c r="L132" s="162"/>
    </row>
    <row r="133" spans="1:12" s="416" customFormat="1" hidden="1" outlineLevel="1" x14ac:dyDescent="0.2">
      <c r="A133" s="162"/>
      <c r="B133" s="162"/>
      <c r="C133" s="291" t="str">
        <f>IF(E133&lt;&gt;"",E133,"")</f>
        <v/>
      </c>
      <c r="D133" s="89" t="s">
        <v>756</v>
      </c>
      <c r="E133" s="263"/>
      <c r="F133" s="162"/>
      <c r="G133" s="162"/>
      <c r="H133" s="162"/>
      <c r="I133" s="162"/>
      <c r="J133" s="162"/>
      <c r="K133" s="162"/>
      <c r="L133" s="162"/>
    </row>
    <row r="134" spans="1:12" hidden="1" outlineLevel="1" collapsed="1" x14ac:dyDescent="0.2">
      <c r="A134" s="162"/>
      <c r="B134" s="162"/>
      <c r="C134" s="162"/>
      <c r="D134" s="162"/>
      <c r="E134" s="162"/>
      <c r="F134" s="162"/>
      <c r="G134" s="162"/>
      <c r="H134" s="162"/>
      <c r="I134" s="162"/>
      <c r="J134" s="162"/>
      <c r="K134" s="162"/>
      <c r="L134" s="162"/>
    </row>
    <row r="135" spans="1:12" collapsed="1" x14ac:dyDescent="0.2">
      <c r="A135" s="162"/>
      <c r="B135" s="162"/>
      <c r="C135" s="162"/>
      <c r="D135" s="162"/>
      <c r="E135" s="162"/>
      <c r="F135" s="162"/>
      <c r="G135" s="162"/>
      <c r="H135" s="162"/>
      <c r="I135" s="162"/>
      <c r="J135" s="162"/>
      <c r="K135" s="162"/>
      <c r="L135" s="162"/>
    </row>
    <row r="136" spans="1:12" ht="15.75" x14ac:dyDescent="0.2">
      <c r="A136" s="162"/>
      <c r="B136" s="162"/>
      <c r="C136" s="573">
        <v>5</v>
      </c>
      <c r="D136" s="79" t="str">
        <f>IF(E141&lt;&gt;"",CONCATENATE("GF ",C136,": ",G141,L136),MsgNotUsed)</f>
        <v>** NOT USED **</v>
      </c>
      <c r="E136" s="132"/>
      <c r="F136" s="132"/>
      <c r="G136" s="132"/>
      <c r="H136" s="132"/>
      <c r="I136" s="134"/>
      <c r="J136" s="126"/>
      <c r="K136" s="124"/>
      <c r="L136" s="325" t="str">
        <f>IF(O140&lt;&gt;"",CONCATENATE(" (",O140,")"),"")</f>
        <v/>
      </c>
    </row>
    <row r="137" spans="1:12" hidden="1" outlineLevel="1" x14ac:dyDescent="0.2">
      <c r="A137" s="162"/>
      <c r="B137" s="162"/>
      <c r="C137" s="162"/>
      <c r="D137" s="162"/>
      <c r="E137" s="162"/>
      <c r="F137" s="162"/>
      <c r="G137" s="162"/>
      <c r="H137" s="162"/>
      <c r="I137" s="162"/>
      <c r="J137" s="162"/>
      <c r="K137" s="162"/>
      <c r="L137" s="162"/>
    </row>
    <row r="138" spans="1:12" hidden="1" outlineLevel="1" x14ac:dyDescent="0.2">
      <c r="A138" s="162"/>
      <c r="B138" s="162"/>
      <c r="C138" s="162"/>
      <c r="D138" s="162" t="s">
        <v>842</v>
      </c>
      <c r="E138" s="162"/>
      <c r="F138" s="162"/>
      <c r="G138" s="162"/>
      <c r="H138" s="162"/>
      <c r="I138" s="162"/>
      <c r="J138" s="162"/>
      <c r="K138" s="162"/>
      <c r="L138" s="615"/>
    </row>
    <row r="139" spans="1:12" hidden="1" outlineLevel="1" x14ac:dyDescent="0.2">
      <c r="A139" s="162"/>
      <c r="B139" s="162"/>
      <c r="C139" s="162"/>
      <c r="D139" s="162" t="s">
        <v>847</v>
      </c>
      <c r="E139" s="162"/>
      <c r="F139" s="162"/>
      <c r="G139" s="162"/>
      <c r="H139" s="162"/>
      <c r="I139" s="162"/>
      <c r="J139" s="162"/>
      <c r="K139" s="162"/>
      <c r="L139" s="162"/>
    </row>
    <row r="140" spans="1:12" hidden="1" outlineLevel="1" x14ac:dyDescent="0.2">
      <c r="A140" s="162"/>
      <c r="B140" s="162"/>
      <c r="C140" s="162"/>
      <c r="D140" s="162"/>
      <c r="E140" s="162"/>
      <c r="F140" s="162"/>
      <c r="G140" s="162"/>
      <c r="H140" s="162"/>
      <c r="I140" s="162"/>
      <c r="J140" s="162"/>
      <c r="K140" s="162"/>
      <c r="L140" s="36" t="s">
        <v>424</v>
      </c>
    </row>
    <row r="141" spans="1:12" hidden="1" outlineLevel="1" x14ac:dyDescent="0.2">
      <c r="A141" s="162"/>
      <c r="B141" s="291">
        <f>IF(E141&lt;&gt;"",MATCH(E141,EPISource,0)-1,0)</f>
        <v>0</v>
      </c>
      <c r="C141" s="291">
        <f ca="1">IF(G141&lt;&gt;"",MATCH(G141,OFFSET(References!$AE$7,0,B141,PxPopMaxCount),0),0)</f>
        <v>0</v>
      </c>
      <c r="D141" s="12" t="s">
        <v>113</v>
      </c>
      <c r="E141" s="267"/>
      <c r="F141" s="642"/>
      <c r="G141" s="812"/>
      <c r="H141" s="819"/>
      <c r="I141" s="819"/>
      <c r="J141" s="819"/>
      <c r="K141" s="162"/>
      <c r="L141" s="239"/>
    </row>
    <row r="142" spans="1:12" hidden="1" outlineLevel="1" x14ac:dyDescent="0.2">
      <c r="A142" s="162"/>
      <c r="B142" s="291">
        <f>INDEX(PxPopValid,,B141+1)</f>
        <v>0</v>
      </c>
      <c r="C142" s="291">
        <f ca="1">(B141*PxPopMaxCount)+C141</f>
        <v>0</v>
      </c>
      <c r="D142" s="162"/>
      <c r="E142" s="650">
        <v>1</v>
      </c>
      <c r="F142" s="650">
        <v>2</v>
      </c>
      <c r="G142" s="650">
        <v>3</v>
      </c>
      <c r="H142" s="650">
        <v>4</v>
      </c>
      <c r="I142" s="650">
        <v>5</v>
      </c>
      <c r="J142" s="650">
        <v>6</v>
      </c>
      <c r="K142" s="162"/>
      <c r="L142" s="162"/>
    </row>
    <row r="143" spans="1:12" hidden="1" outlineLevel="1" x14ac:dyDescent="0.2">
      <c r="A143" s="162"/>
      <c r="B143" s="162"/>
      <c r="C143" s="162"/>
      <c r="D143" s="162"/>
      <c r="E143" s="814" t="s">
        <v>10</v>
      </c>
      <c r="F143" s="814"/>
      <c r="G143" s="814"/>
      <c r="H143" s="814"/>
      <c r="I143" s="814"/>
      <c r="J143" s="814"/>
      <c r="K143" s="640"/>
      <c r="L143" s="629" t="str">
        <f ca="1">IF(ISERROR($C142)=TRUE,MsgError &amp; VLOOKUP("BadPop",ErrorMessages,2,FALSE),"")</f>
        <v/>
      </c>
    </row>
    <row r="144" spans="1:12" hidden="1" outlineLevel="1" x14ac:dyDescent="0.2">
      <c r="A144" s="162"/>
      <c r="B144" s="162"/>
      <c r="C144" s="162"/>
      <c r="D144" s="643"/>
      <c r="E144" s="487">
        <f>FirstYear</f>
        <v>2021</v>
      </c>
      <c r="F144" s="487">
        <f>E144+1</f>
        <v>2022</v>
      </c>
      <c r="G144" s="487">
        <f>F144+1</f>
        <v>2023</v>
      </c>
      <c r="H144" s="487">
        <f>G144+1</f>
        <v>2024</v>
      </c>
      <c r="I144" s="487">
        <f>H144+1</f>
        <v>2025</v>
      </c>
      <c r="J144" s="487">
        <f>I144+1</f>
        <v>2026</v>
      </c>
      <c r="K144" s="640"/>
      <c r="L144" s="162"/>
    </row>
    <row r="145" spans="1:12" hidden="1" outlineLevel="1" x14ac:dyDescent="0.2">
      <c r="A145" s="162"/>
      <c r="B145" s="162"/>
      <c r="C145" s="162"/>
      <c r="D145" s="421" t="s">
        <v>808</v>
      </c>
      <c r="E145" s="437">
        <f t="shared" ref="E145:J145" ca="1" si="18">IF(AND(ISERROR($C142)&lt;&gt;TRUE,$G141&lt;&gt;""),INDEX(PxPopNumbers,$C142,E142),0)</f>
        <v>0</v>
      </c>
      <c r="F145" s="437">
        <f t="shared" ca="1" si="18"/>
        <v>0</v>
      </c>
      <c r="G145" s="437">
        <f t="shared" ca="1" si="18"/>
        <v>0</v>
      </c>
      <c r="H145" s="437">
        <f t="shared" ca="1" si="18"/>
        <v>0</v>
      </c>
      <c r="I145" s="437">
        <f t="shared" ca="1" si="18"/>
        <v>0</v>
      </c>
      <c r="J145" s="437">
        <f t="shared" ca="1" si="18"/>
        <v>0</v>
      </c>
      <c r="K145" s="640"/>
      <c r="L145" s="615"/>
    </row>
    <row r="146" spans="1:12" hidden="1" outlineLevel="1" x14ac:dyDescent="0.2">
      <c r="A146" s="615"/>
      <c r="B146" s="615"/>
      <c r="C146" s="615"/>
      <c r="D146" s="615"/>
      <c r="K146" s="615"/>
      <c r="L146" s="615"/>
    </row>
    <row r="147" spans="1:12" hidden="1" outlineLevel="1" x14ac:dyDescent="0.2">
      <c r="A147" s="615"/>
      <c r="B147" s="615"/>
      <c r="C147" s="615"/>
      <c r="D147" s="720" t="s">
        <v>205</v>
      </c>
      <c r="K147" s="615"/>
      <c r="L147" s="36" t="s">
        <v>258</v>
      </c>
    </row>
    <row r="148" spans="1:12" hidden="1" outlineLevel="1" x14ac:dyDescent="0.2">
      <c r="A148" s="162"/>
      <c r="B148" s="162"/>
      <c r="C148" s="162"/>
      <c r="D148" s="423" t="s">
        <v>861</v>
      </c>
      <c r="E148" s="54"/>
      <c r="F148" s="54"/>
      <c r="G148" s="54"/>
      <c r="H148" s="54"/>
      <c r="I148" s="54"/>
      <c r="J148" s="54"/>
      <c r="K148" s="719"/>
      <c r="L148" s="46"/>
    </row>
    <row r="149" spans="1:12" hidden="1" outlineLevel="1" x14ac:dyDescent="0.2">
      <c r="A149" s="162"/>
      <c r="B149" s="162"/>
      <c r="C149" s="162"/>
      <c r="D149" s="12" t="s">
        <v>848</v>
      </c>
      <c r="E149" s="32">
        <f t="shared" ref="E149:J149" ca="1" si="19">IF(E145&lt;&gt;"",E145*E148,0)</f>
        <v>0</v>
      </c>
      <c r="F149" s="32">
        <f t="shared" ca="1" si="19"/>
        <v>0</v>
      </c>
      <c r="G149" s="32">
        <f t="shared" ca="1" si="19"/>
        <v>0</v>
      </c>
      <c r="H149" s="32">
        <f t="shared" ca="1" si="19"/>
        <v>0</v>
      </c>
      <c r="I149" s="32">
        <f t="shared" ca="1" si="19"/>
        <v>0</v>
      </c>
      <c r="J149" s="32">
        <f t="shared" ca="1" si="19"/>
        <v>0</v>
      </c>
      <c r="K149" s="640"/>
      <c r="L149" s="162"/>
    </row>
    <row r="150" spans="1:12" hidden="1" outlineLevel="1" x14ac:dyDescent="0.2">
      <c r="A150" s="125"/>
      <c r="B150" s="125"/>
      <c r="C150" s="125"/>
      <c r="D150" s="121"/>
      <c r="E150" s="125"/>
      <c r="F150" s="125"/>
      <c r="G150" s="125"/>
      <c r="H150" s="125"/>
      <c r="I150" s="125"/>
      <c r="J150" s="121"/>
      <c r="K150" s="125"/>
      <c r="L150" s="125"/>
    </row>
    <row r="151" spans="1:12" hidden="1" outlineLevel="1" x14ac:dyDescent="0.2">
      <c r="A151" s="125"/>
      <c r="B151" s="125"/>
      <c r="C151" s="125"/>
      <c r="D151" s="429" t="str">
        <f>TxPhase1Tx</f>
        <v/>
      </c>
      <c r="E151" s="495"/>
      <c r="F151" s="125"/>
      <c r="G151" s="125"/>
      <c r="H151" s="125"/>
      <c r="I151" s="125"/>
      <c r="J151" s="121"/>
      <c r="K151" s="125"/>
      <c r="L151" s="36" t="s">
        <v>258</v>
      </c>
    </row>
    <row r="152" spans="1:12" hidden="1" outlineLevel="1" x14ac:dyDescent="0.2">
      <c r="A152" s="125"/>
      <c r="B152" s="125"/>
      <c r="C152" s="125"/>
      <c r="D152" s="60" t="str">
        <f>D123</f>
        <v>Patients electing treatment (%)</v>
      </c>
      <c r="E152" s="54"/>
      <c r="F152" s="54"/>
      <c r="G152" s="54"/>
      <c r="H152" s="54"/>
      <c r="I152" s="54"/>
      <c r="J152" s="54"/>
      <c r="K152" s="125"/>
      <c r="L152" s="46"/>
    </row>
    <row r="153" spans="1:12" ht="14.25" hidden="1" outlineLevel="1" x14ac:dyDescent="0.2">
      <c r="A153" s="125"/>
      <c r="B153" s="125"/>
      <c r="C153" s="125"/>
      <c r="D153" s="121"/>
      <c r="E153" s="125"/>
      <c r="F153" s="155"/>
      <c r="G153" s="125"/>
      <c r="H153" s="121"/>
      <c r="I153" s="121"/>
      <c r="J153" s="121"/>
      <c r="K153" s="125"/>
      <c r="L153" s="125"/>
    </row>
    <row r="154" spans="1:12" hidden="1" outlineLevel="1" x14ac:dyDescent="0.2">
      <c r="A154" s="125"/>
      <c r="B154" s="125"/>
      <c r="C154" s="125"/>
      <c r="D154" s="433" t="str">
        <f>TXPhase2Tx</f>
        <v/>
      </c>
      <c r="E154" s="650"/>
      <c r="F154" s="650"/>
      <c r="G154" s="125"/>
      <c r="H154" s="121"/>
      <c r="I154" s="121"/>
      <c r="J154" s="121"/>
      <c r="K154" s="125"/>
      <c r="L154" s="36" t="s">
        <v>258</v>
      </c>
    </row>
    <row r="155" spans="1:12" hidden="1" outlineLevel="1" x14ac:dyDescent="0.2">
      <c r="A155" s="125"/>
      <c r="B155" s="125"/>
      <c r="C155" s="125"/>
      <c r="D155" s="90" t="str">
        <f>D126</f>
        <v/>
      </c>
      <c r="E155" s="54"/>
      <c r="F155" s="54"/>
      <c r="G155" s="54"/>
      <c r="H155" s="54"/>
      <c r="I155" s="54"/>
      <c r="J155" s="54"/>
      <c r="K155" s="125"/>
      <c r="L155" s="46"/>
    </row>
    <row r="156" spans="1:12" hidden="1" outlineLevel="1" x14ac:dyDescent="0.2">
      <c r="A156" s="125"/>
      <c r="B156" s="125"/>
      <c r="C156" s="125"/>
      <c r="D156" s="121"/>
      <c r="E156" s="121"/>
      <c r="F156" s="121"/>
      <c r="G156" s="121"/>
      <c r="H156" s="121"/>
      <c r="I156" s="121"/>
      <c r="J156" s="121"/>
      <c r="K156" s="125"/>
      <c r="L156" s="125"/>
    </row>
    <row r="157" spans="1:12" s="416" customFormat="1" hidden="1" outlineLevel="1" x14ac:dyDescent="0.2">
      <c r="A157" s="125"/>
      <c r="B157" s="125"/>
      <c r="C157" s="475">
        <f>IFERROR(VLOOKUP(E157,TxPhase2SourceCode,2,FALSE),0)</f>
        <v>1</v>
      </c>
      <c r="D157" s="429" t="s">
        <v>1165</v>
      </c>
      <c r="E157" s="263" t="s">
        <v>1166</v>
      </c>
      <c r="F157" s="361"/>
      <c r="G157" s="361"/>
      <c r="H157" s="361"/>
      <c r="I157" s="361"/>
      <c r="J157" s="361"/>
      <c r="K157" s="125"/>
      <c r="L157" s="125"/>
    </row>
    <row r="158" spans="1:12" s="416" customFormat="1" hidden="1" outlineLevel="1" x14ac:dyDescent="0.2">
      <c r="A158" s="125"/>
      <c r="B158" s="125"/>
      <c r="C158" s="125"/>
      <c r="D158" s="361"/>
      <c r="E158" s="361"/>
      <c r="F158" s="361"/>
      <c r="G158" s="361"/>
      <c r="H158" s="361"/>
      <c r="I158" s="361"/>
      <c r="J158" s="361"/>
      <c r="K158" s="125"/>
      <c r="L158" s="125"/>
    </row>
    <row r="159" spans="1:12" hidden="1" outlineLevel="1" x14ac:dyDescent="0.2">
      <c r="A159" s="162"/>
      <c r="B159" s="162"/>
      <c r="C159" s="162"/>
      <c r="D159" s="429" t="str">
        <f>TxPhase1Px</f>
        <v/>
      </c>
      <c r="E159" s="440">
        <f t="shared" ref="E159:J159" si="20">IF(TxPhase1&lt;&gt;"",E149*E152,0)</f>
        <v>0</v>
      </c>
      <c r="F159" s="440">
        <f t="shared" si="20"/>
        <v>0</v>
      </c>
      <c r="G159" s="440">
        <f t="shared" si="20"/>
        <v>0</v>
      </c>
      <c r="H159" s="440">
        <f t="shared" si="20"/>
        <v>0</v>
      </c>
      <c r="I159" s="440">
        <f t="shared" si="20"/>
        <v>0</v>
      </c>
      <c r="J159" s="440">
        <f t="shared" si="20"/>
        <v>0</v>
      </c>
      <c r="K159" s="162"/>
      <c r="L159" s="162"/>
    </row>
    <row r="160" spans="1:12" hidden="1" outlineLevel="1" x14ac:dyDescent="0.2">
      <c r="A160" s="162"/>
      <c r="B160" s="162"/>
      <c r="C160" s="162"/>
      <c r="D160" s="429" t="str">
        <f>TxPhase2Px</f>
        <v/>
      </c>
      <c r="E160" s="440">
        <f t="shared" ref="E160:J160" si="21">IF(TxPhase2&lt;&gt;"",IF($C157=1,E159,IF($C157=2,E149,0))*E155,0)</f>
        <v>0</v>
      </c>
      <c r="F160" s="440">
        <f t="shared" si="21"/>
        <v>0</v>
      </c>
      <c r="G160" s="440">
        <f t="shared" si="21"/>
        <v>0</v>
      </c>
      <c r="H160" s="440">
        <f t="shared" si="21"/>
        <v>0</v>
      </c>
      <c r="I160" s="440">
        <f t="shared" si="21"/>
        <v>0</v>
      </c>
      <c r="J160" s="440">
        <f t="shared" si="21"/>
        <v>0</v>
      </c>
      <c r="K160" s="162"/>
      <c r="L160" s="162"/>
    </row>
    <row r="161" spans="1:12" s="416" customFormat="1" hidden="1" outlineLevel="1" x14ac:dyDescent="0.2">
      <c r="A161" s="162"/>
      <c r="B161" s="162"/>
      <c r="C161" s="162"/>
      <c r="D161" s="162"/>
      <c r="E161" s="162"/>
      <c r="F161" s="162"/>
      <c r="G161" s="162"/>
      <c r="H161" s="162"/>
      <c r="I161" s="162"/>
      <c r="J161" s="162"/>
      <c r="K161" s="162"/>
      <c r="L161" s="162"/>
    </row>
    <row r="162" spans="1:12" s="416" customFormat="1" hidden="1" outlineLevel="1" x14ac:dyDescent="0.2">
      <c r="A162" s="162"/>
      <c r="B162" s="162"/>
      <c r="C162" s="291" t="str">
        <f>IF(E162&lt;&gt;"",E162,"")</f>
        <v/>
      </c>
      <c r="D162" s="89" t="s">
        <v>756</v>
      </c>
      <c r="E162" s="263"/>
      <c r="F162" s="162"/>
      <c r="G162" s="162"/>
      <c r="H162" s="162"/>
      <c r="I162" s="162"/>
      <c r="J162" s="162"/>
      <c r="K162" s="162"/>
      <c r="L162" s="162"/>
    </row>
    <row r="163" spans="1:12" hidden="1" outlineLevel="1" x14ac:dyDescent="0.2">
      <c r="A163" s="162"/>
      <c r="B163" s="162"/>
      <c r="C163" s="162"/>
      <c r="D163" s="162"/>
      <c r="E163" s="162"/>
      <c r="F163" s="162"/>
      <c r="G163" s="162"/>
      <c r="H163" s="162"/>
      <c r="I163" s="162"/>
      <c r="J163" s="162"/>
      <c r="K163" s="162"/>
      <c r="L163" s="162"/>
    </row>
    <row r="164" spans="1:12" collapsed="1" x14ac:dyDescent="0.2">
      <c r="A164" s="162"/>
      <c r="B164" s="162"/>
      <c r="C164" s="162"/>
      <c r="D164" s="162"/>
      <c r="E164" s="162"/>
      <c r="F164" s="162"/>
      <c r="G164" s="162"/>
      <c r="H164" s="162"/>
      <c r="I164" s="162"/>
      <c r="J164" s="162"/>
      <c r="K164" s="162"/>
      <c r="L164" s="162"/>
    </row>
    <row r="165" spans="1:12" ht="15.75" x14ac:dyDescent="0.2">
      <c r="A165" s="162"/>
      <c r="B165" s="162"/>
      <c r="C165" s="162"/>
      <c r="D165" s="123" t="s">
        <v>27</v>
      </c>
      <c r="E165" s="126"/>
      <c r="F165" s="126"/>
      <c r="G165" s="126"/>
      <c r="H165" s="126"/>
      <c r="I165" s="126"/>
      <c r="J165" s="126"/>
      <c r="K165" s="124"/>
      <c r="L165" s="124"/>
    </row>
    <row r="166" spans="1:12" x14ac:dyDescent="0.2">
      <c r="A166" s="162"/>
      <c r="B166" s="162"/>
      <c r="C166" s="162"/>
      <c r="D166" s="162"/>
      <c r="E166" s="162"/>
      <c r="F166" s="162"/>
      <c r="G166" s="162"/>
      <c r="H166" s="162"/>
      <c r="I166" s="162"/>
      <c r="J166" s="162"/>
      <c r="K166" s="162"/>
      <c r="L166" s="162"/>
    </row>
    <row r="167" spans="1:12" x14ac:dyDescent="0.2">
      <c r="A167" s="162"/>
      <c r="B167" s="162"/>
      <c r="C167" s="162"/>
      <c r="D167" s="162" t="s">
        <v>217</v>
      </c>
      <c r="E167" s="162"/>
      <c r="F167" s="162"/>
      <c r="G167" s="162"/>
      <c r="H167" s="162"/>
      <c r="I167" s="162"/>
      <c r="J167" s="162"/>
      <c r="K167" s="162"/>
      <c r="L167" s="162"/>
    </row>
    <row r="168" spans="1:12" x14ac:dyDescent="0.2">
      <c r="A168" s="162"/>
      <c r="B168" s="162"/>
      <c r="C168" s="162"/>
      <c r="D168" s="162" t="s">
        <v>219</v>
      </c>
      <c r="E168" s="162"/>
      <c r="F168" s="162"/>
      <c r="G168" s="162"/>
      <c r="H168" s="162"/>
      <c r="I168" s="162"/>
      <c r="J168" s="162"/>
      <c r="K168" s="162"/>
      <c r="L168" s="162"/>
    </row>
    <row r="169" spans="1:12" x14ac:dyDescent="0.2">
      <c r="A169" s="162"/>
      <c r="B169" s="162"/>
      <c r="C169" s="162"/>
      <c r="D169" s="162"/>
      <c r="E169" s="162"/>
      <c r="F169" s="162"/>
      <c r="G169" s="162"/>
      <c r="H169" s="162"/>
      <c r="I169" s="162"/>
      <c r="J169" s="162"/>
      <c r="K169" s="162"/>
      <c r="L169" s="162"/>
    </row>
    <row r="170" spans="1:12" ht="15" x14ac:dyDescent="0.2">
      <c r="A170" s="162"/>
      <c r="B170" s="162"/>
      <c r="C170" s="162"/>
      <c r="D170" s="138" t="s">
        <v>860</v>
      </c>
      <c r="E170" s="126"/>
      <c r="F170" s="126"/>
      <c r="G170" s="126"/>
      <c r="H170" s="126"/>
      <c r="I170" s="126"/>
      <c r="J170" s="126"/>
      <c r="K170" s="124"/>
      <c r="L170" s="126"/>
    </row>
  </sheetData>
  <mergeCells count="10">
    <mergeCell ref="E27:J27"/>
    <mergeCell ref="G25:J25"/>
    <mergeCell ref="E114:J114"/>
    <mergeCell ref="G141:J141"/>
    <mergeCell ref="E143:J143"/>
    <mergeCell ref="E56:J56"/>
    <mergeCell ref="G54:J54"/>
    <mergeCell ref="G83:J83"/>
    <mergeCell ref="E85:J85"/>
    <mergeCell ref="G112:J112"/>
  </mergeCells>
  <conditionalFormatting sqref="E25 G25 E32:J32 E36:J36 L36 E39:J39 L39 L32 L25 E46 E41">
    <cfRule type="expression" dxfId="318" priority="185">
      <formula>PxGrandfathered&lt;&gt;1</formula>
    </cfRule>
  </conditionalFormatting>
  <conditionalFormatting sqref="D38 D39:J39 L39 E41 D44:J44">
    <cfRule type="expression" dxfId="317" priority="176">
      <formula>TPCont=0</formula>
    </cfRule>
  </conditionalFormatting>
  <conditionalFormatting sqref="D44">
    <cfRule type="expression" dxfId="316" priority="173">
      <formula>$D$44=""</formula>
    </cfRule>
  </conditionalFormatting>
  <conditionalFormatting sqref="E54 G54 E61:J61 E65:J65 L65 E68:J68 L68 L61 L54 E75 E70">
    <cfRule type="expression" dxfId="315" priority="60">
      <formula>PxGrandfathered&lt;&gt;1</formula>
    </cfRule>
  </conditionalFormatting>
  <conditionalFormatting sqref="E83 G83 E90:J90 E94:J94 L94 E97:J97 L97 L90 L83 E104 E99">
    <cfRule type="expression" dxfId="314" priority="59">
      <formula>PxGrandfathered&lt;&gt;1</formula>
    </cfRule>
  </conditionalFormatting>
  <conditionalFormatting sqref="E112 G112 E119:J119 E123:J123 L123 L126 E126:J126 L119 L112 E133 E128">
    <cfRule type="expression" dxfId="313" priority="58">
      <formula>PxGrandfathered&lt;&gt;1</formula>
    </cfRule>
  </conditionalFormatting>
  <conditionalFormatting sqref="E141 G141 E148:J148 E152:J152 L152 E155:J155 L155 L148 L141 E162 E157">
    <cfRule type="expression" dxfId="312" priority="57">
      <formula>PxGrandfathered&lt;&gt;1</formula>
    </cfRule>
  </conditionalFormatting>
  <conditionalFormatting sqref="D67 D68:J68 L68 E70 D73:J73">
    <cfRule type="expression" dxfId="311" priority="47">
      <formula>TPCont=0</formula>
    </cfRule>
  </conditionalFormatting>
  <conditionalFormatting sqref="D96 D97:J97 L97 E99 D102:J102">
    <cfRule type="expression" dxfId="310" priority="46">
      <formula>TPCont=0</formula>
    </cfRule>
  </conditionalFormatting>
  <conditionalFormatting sqref="D125 D126:J126 L126 E128 D131:J131">
    <cfRule type="expression" dxfId="309" priority="45">
      <formula>TPCont=0</formula>
    </cfRule>
  </conditionalFormatting>
  <conditionalFormatting sqref="D154 D155:J155 L155 E157 D160:J160">
    <cfRule type="expression" dxfId="308" priority="44">
      <formula>TPCont=0</formula>
    </cfRule>
  </conditionalFormatting>
  <conditionalFormatting sqref="L25">
    <cfRule type="expression" dxfId="307" priority="41">
      <formula>G25=""</formula>
    </cfRule>
  </conditionalFormatting>
  <conditionalFormatting sqref="L141">
    <cfRule type="expression" dxfId="306" priority="40">
      <formula>$G$141=""</formula>
    </cfRule>
  </conditionalFormatting>
  <conditionalFormatting sqref="L112">
    <cfRule type="expression" dxfId="305" priority="39">
      <formula>$G$112=""</formula>
    </cfRule>
  </conditionalFormatting>
  <conditionalFormatting sqref="L83">
    <cfRule type="expression" dxfId="304" priority="38">
      <formula>$G$83=""</formula>
    </cfRule>
  </conditionalFormatting>
  <conditionalFormatting sqref="L54">
    <cfRule type="expression" dxfId="303" priority="37">
      <formula>$G$54=""</formula>
    </cfRule>
  </conditionalFormatting>
  <conditionalFormatting sqref="D67">
    <cfRule type="expression" dxfId="302" priority="33">
      <formula>TPCont=0</formula>
    </cfRule>
  </conditionalFormatting>
  <conditionalFormatting sqref="D96">
    <cfRule type="expression" dxfId="301" priority="32">
      <formula>TPCont=0</formula>
    </cfRule>
  </conditionalFormatting>
  <conditionalFormatting sqref="D125">
    <cfRule type="expression" dxfId="300" priority="31">
      <formula>TPCont=0</formula>
    </cfRule>
  </conditionalFormatting>
  <conditionalFormatting sqref="D154">
    <cfRule type="expression" dxfId="299" priority="30">
      <formula>TPCont=0</formula>
    </cfRule>
  </conditionalFormatting>
  <conditionalFormatting sqref="D73">
    <cfRule type="expression" dxfId="298" priority="29">
      <formula>$D$44=""</formula>
    </cfRule>
  </conditionalFormatting>
  <conditionalFormatting sqref="D102">
    <cfRule type="expression" dxfId="297" priority="28">
      <formula>$D$44=""</formula>
    </cfRule>
  </conditionalFormatting>
  <conditionalFormatting sqref="D131">
    <cfRule type="expression" dxfId="296" priority="27">
      <formula>$D$44=""</formula>
    </cfRule>
  </conditionalFormatting>
  <conditionalFormatting sqref="D160">
    <cfRule type="expression" dxfId="295" priority="26">
      <formula>$D$44=""</formula>
    </cfRule>
  </conditionalFormatting>
  <conditionalFormatting sqref="L27">
    <cfRule type="notContainsBlanks" dxfId="294" priority="726">
      <formula>LEN(TRIM(L27))&gt;0</formula>
    </cfRule>
  </conditionalFormatting>
  <conditionalFormatting sqref="E29:J29">
    <cfRule type="expression" dxfId="293" priority="17">
      <formula>PxGrandfathered&lt;&gt;1</formula>
    </cfRule>
  </conditionalFormatting>
  <conditionalFormatting sqref="E58:J58">
    <cfRule type="expression" dxfId="292" priority="12">
      <formula>PxGrandfathered&lt;&gt;1</formula>
    </cfRule>
  </conditionalFormatting>
  <conditionalFormatting sqref="E87:J87">
    <cfRule type="expression" dxfId="291" priority="11">
      <formula>PxGrandfathered&lt;&gt;1</formula>
    </cfRule>
  </conditionalFormatting>
  <conditionalFormatting sqref="E116:J116">
    <cfRule type="expression" dxfId="290" priority="10">
      <formula>PxGrandfathered&lt;&gt;1</formula>
    </cfRule>
  </conditionalFormatting>
  <conditionalFormatting sqref="E145:J145">
    <cfRule type="expression" dxfId="289" priority="9">
      <formula>PxGrandfathered&lt;&gt;1</formula>
    </cfRule>
  </conditionalFormatting>
  <conditionalFormatting sqref="D15:J15">
    <cfRule type="expression" dxfId="288" priority="725">
      <formula>#REF!=""</formula>
    </cfRule>
  </conditionalFormatting>
  <conditionalFormatting sqref="L143">
    <cfRule type="notContainsBlanks" dxfId="287" priority="730">
      <formula>LEN(TRIM(L143))&gt;0</formula>
    </cfRule>
  </conditionalFormatting>
  <conditionalFormatting sqref="L56">
    <cfRule type="notContainsBlanks" dxfId="286" priority="727">
      <formula>LEN(TRIM(L56))&gt;0</formula>
    </cfRule>
  </conditionalFormatting>
  <conditionalFormatting sqref="L85">
    <cfRule type="notContainsBlanks" dxfId="285" priority="728">
      <formula>LEN(TRIM(L85))&gt;0</formula>
    </cfRule>
  </conditionalFormatting>
  <conditionalFormatting sqref="L114">
    <cfRule type="notContainsBlanks" dxfId="284" priority="729">
      <formula>LEN(TRIM(L114))&gt;0</formula>
    </cfRule>
  </conditionalFormatting>
  <dataValidations count="8">
    <dataValidation type="list" allowBlank="1" showInputMessage="1" showErrorMessage="1" sqref="E25 E54 E83 E112 E141">
      <formula1>EPISource</formula1>
    </dataValidation>
    <dataValidation type="list" allowBlank="1" showInputMessage="1" showErrorMessage="1" sqref="G25:J25">
      <formula1>GFPops01</formula1>
    </dataValidation>
    <dataValidation type="list" allowBlank="1" showInputMessage="1" showErrorMessage="1" sqref="G54:J54">
      <formula1>GFPops02</formula1>
    </dataValidation>
    <dataValidation type="list" allowBlank="1" showInputMessage="1" showErrorMessage="1" sqref="G83:J83">
      <formula1>GFPops03</formula1>
    </dataValidation>
    <dataValidation type="list" allowBlank="1" showInputMessage="1" showErrorMessage="1" sqref="G112:J112">
      <formula1>GFPops04</formula1>
    </dataValidation>
    <dataValidation type="list" allowBlank="1" showInputMessage="1" showErrorMessage="1" sqref="G141:J141">
      <formula1>GFPops05</formula1>
    </dataValidation>
    <dataValidation type="list" allowBlank="1" showInputMessage="1" showErrorMessage="1" sqref="E46 E75 E104 E133 E162">
      <formula1>CoPayBands</formula1>
    </dataValidation>
    <dataValidation type="list" allowBlank="1" showInputMessage="1" showErrorMessage="1" sqref="E41 E70 E99 E128 E157">
      <formula1>TxPhase2Source</formula1>
    </dataValidation>
  </dataValidations>
  <pageMargins left="0.11811023622047245" right="0.11811023622047245" top="0.19685039370078741" bottom="0.15748031496062992" header="0.31496062992125984" footer="0.31496062992125984"/>
  <pageSetup paperSize="9" scale="66" orientation="landscape" horizontalDpi="300" verticalDpi="3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AA571"/>
  <sheetViews>
    <sheetView showGridLines="0" zoomScaleNormal="100" workbookViewId="0"/>
  </sheetViews>
  <sheetFormatPr defaultRowHeight="12.75" outlineLevelRow="1" x14ac:dyDescent="0.2"/>
  <cols>
    <col min="1" max="1" width="3.7109375" customWidth="1"/>
    <col min="2" max="4" width="3.7109375" hidden="1" customWidth="1"/>
    <col min="5" max="5" width="45.7109375" customWidth="1"/>
    <col min="6" max="11" width="15.7109375" customWidth="1"/>
    <col min="12" max="12" width="3.7109375" customWidth="1"/>
    <col min="13" max="13" width="45.7109375" customWidth="1"/>
    <col min="14" max="19" width="15.7109375" customWidth="1"/>
    <col min="20" max="20" width="3.7109375" hidden="1" customWidth="1"/>
    <col min="21" max="27" width="10.7109375" hidden="1" customWidth="1"/>
  </cols>
  <sheetData>
    <row r="1" spans="1:27" ht="23.25" x14ac:dyDescent="0.2">
      <c r="A1" s="107">
        <f ca="1">IF((SUM(F15:K15)+SUM(F16:K16)&lt;&gt;0),2,0)</f>
        <v>0</v>
      </c>
      <c r="B1" s="107"/>
      <c r="C1" s="107"/>
      <c r="D1" s="107"/>
      <c r="E1" s="108" t="s">
        <v>1205</v>
      </c>
      <c r="F1" s="109"/>
      <c r="G1" s="109"/>
      <c r="H1" s="109"/>
      <c r="I1" s="109"/>
      <c r="J1" s="109"/>
      <c r="K1" s="820" t="str">
        <f>IF(OR(ScriptSourceCode=0,ScriptSourceCode=2),MsgNotRequired,"")</f>
        <v>** NOT REQUIRED **</v>
      </c>
      <c r="L1" s="820"/>
      <c r="M1" s="820"/>
      <c r="N1" s="109"/>
      <c r="O1" s="109"/>
      <c r="P1" s="109"/>
      <c r="Q1" s="109"/>
      <c r="R1" s="109"/>
      <c r="S1" s="109"/>
      <c r="T1" s="109"/>
      <c r="U1" s="109"/>
      <c r="V1" s="109"/>
      <c r="W1" s="109"/>
      <c r="X1" s="109"/>
      <c r="Y1" s="109"/>
      <c r="Z1" s="109"/>
      <c r="AA1" s="109"/>
    </row>
    <row r="2" spans="1:27" ht="15.75" x14ac:dyDescent="0.2">
      <c r="A2" s="109"/>
      <c r="B2" s="109"/>
      <c r="C2" s="109"/>
      <c r="D2" s="109"/>
      <c r="E2" s="110" t="str">
        <f>CONCATENATE("Name of medicine: ",MedicineBrand)</f>
        <v xml:space="preserve">Name of medicine: </v>
      </c>
      <c r="F2" s="109"/>
      <c r="G2" s="109"/>
      <c r="H2" s="109"/>
      <c r="I2" s="109"/>
      <c r="J2" s="109"/>
      <c r="K2" s="109"/>
      <c r="L2" s="111"/>
      <c r="M2" s="111"/>
      <c r="N2" s="109"/>
      <c r="O2" s="109"/>
      <c r="P2" s="109"/>
      <c r="Q2" s="109"/>
      <c r="R2" s="109"/>
      <c r="S2" s="109"/>
      <c r="T2" s="109"/>
      <c r="U2" s="109"/>
      <c r="V2" s="109"/>
      <c r="W2" s="109"/>
      <c r="X2" s="109"/>
      <c r="Y2" s="109"/>
      <c r="Z2" s="109"/>
      <c r="AA2" s="109"/>
    </row>
    <row r="3" spans="1:27" ht="15.75" x14ac:dyDescent="0.2">
      <c r="A3" s="109"/>
      <c r="B3" s="109"/>
      <c r="C3" s="109"/>
      <c r="D3" s="109"/>
      <c r="E3" s="110" t="str">
        <f>CONCATENATE("Indication: ", Indication)</f>
        <v xml:space="preserve">Indication: </v>
      </c>
      <c r="F3" s="109"/>
      <c r="G3" s="109"/>
      <c r="H3" s="109"/>
      <c r="I3" s="109"/>
      <c r="J3" s="109"/>
      <c r="K3" s="109"/>
      <c r="L3" s="111"/>
      <c r="M3" s="111"/>
      <c r="N3" s="109"/>
      <c r="O3" s="109"/>
      <c r="P3" s="109"/>
      <c r="Q3" s="109"/>
      <c r="R3" s="109"/>
      <c r="S3" s="109"/>
      <c r="T3" s="109"/>
      <c r="U3" s="109"/>
      <c r="V3" s="109"/>
      <c r="W3" s="109"/>
      <c r="X3" s="109"/>
      <c r="Y3" s="109"/>
      <c r="Z3" s="109"/>
      <c r="AA3" s="109"/>
    </row>
    <row r="4" spans="1:27" x14ac:dyDescent="0.2">
      <c r="P4" s="416"/>
      <c r="Q4" s="416"/>
      <c r="R4" s="416"/>
      <c r="S4" s="416"/>
      <c r="T4" s="416"/>
      <c r="U4" s="416"/>
      <c r="V4" s="416"/>
      <c r="W4" s="416"/>
      <c r="X4" s="416"/>
      <c r="Y4" s="416"/>
      <c r="Z4" s="416"/>
      <c r="AA4" s="416"/>
    </row>
    <row r="5" spans="1:27" ht="15.75" x14ac:dyDescent="0.2">
      <c r="E5" s="79" t="s">
        <v>2</v>
      </c>
      <c r="F5" s="112"/>
      <c r="G5" s="112"/>
      <c r="H5" s="112"/>
      <c r="I5" s="112"/>
      <c r="J5" s="112"/>
      <c r="K5" s="112"/>
      <c r="L5" s="112"/>
      <c r="M5" s="112"/>
      <c r="N5" s="112"/>
      <c r="O5" s="112"/>
      <c r="P5" s="112"/>
      <c r="Q5" s="112"/>
      <c r="R5" s="112"/>
      <c r="S5" s="112"/>
      <c r="T5" s="112"/>
      <c r="U5" s="112"/>
      <c r="V5" s="112"/>
      <c r="W5" s="112"/>
      <c r="X5" s="112"/>
      <c r="Y5" s="112"/>
      <c r="Z5" s="112"/>
      <c r="AA5" s="112"/>
    </row>
    <row r="6" spans="1:27" x14ac:dyDescent="0.2">
      <c r="E6" s="615"/>
    </row>
    <row r="7" spans="1:27" x14ac:dyDescent="0.2">
      <c r="E7" s="243" t="s">
        <v>1202</v>
      </c>
      <c r="O7" s="416"/>
      <c r="P7" s="416"/>
      <c r="Q7" s="416"/>
      <c r="R7" s="416"/>
      <c r="S7" s="416"/>
      <c r="T7" s="416"/>
      <c r="U7" s="416"/>
      <c r="V7" s="416"/>
      <c r="W7" s="416"/>
      <c r="X7" s="416"/>
      <c r="Y7" s="416"/>
      <c r="Z7" s="416"/>
      <c r="AA7" s="416"/>
    </row>
    <row r="8" spans="1:27" x14ac:dyDescent="0.2">
      <c r="E8" s="243" t="s">
        <v>1203</v>
      </c>
      <c r="O8" s="416"/>
      <c r="P8" s="416"/>
      <c r="Q8" s="416"/>
      <c r="R8" s="416"/>
      <c r="S8" s="416"/>
      <c r="T8" s="416"/>
      <c r="U8" s="416"/>
      <c r="V8" s="416"/>
      <c r="W8" s="416"/>
      <c r="X8" s="416"/>
      <c r="Y8" s="416"/>
      <c r="Z8" s="416"/>
      <c r="AA8" s="416"/>
    </row>
    <row r="9" spans="1:27" x14ac:dyDescent="0.2">
      <c r="E9" s="243"/>
      <c r="O9" s="416"/>
      <c r="P9" s="416"/>
      <c r="Q9" s="416"/>
      <c r="R9" s="416"/>
      <c r="S9" s="416"/>
      <c r="T9" s="416"/>
      <c r="U9" s="416"/>
      <c r="V9" s="416"/>
      <c r="W9" s="416"/>
      <c r="X9" s="416"/>
      <c r="Y9" s="416"/>
      <c r="Z9" s="416"/>
      <c r="AA9" s="416"/>
    </row>
    <row r="10" spans="1:27" ht="15.75" x14ac:dyDescent="0.2">
      <c r="E10" s="79" t="s">
        <v>1297</v>
      </c>
      <c r="F10" s="114"/>
      <c r="G10" s="114"/>
      <c r="H10" s="114"/>
      <c r="I10" s="114"/>
      <c r="J10" s="114"/>
      <c r="K10" s="115"/>
      <c r="L10" s="112"/>
      <c r="M10" s="112"/>
      <c r="N10" s="112"/>
      <c r="O10" s="112"/>
      <c r="P10" s="112"/>
      <c r="Q10" s="112"/>
      <c r="R10" s="112"/>
      <c r="S10" s="112"/>
      <c r="T10" s="112"/>
      <c r="U10" s="112"/>
      <c r="V10" s="112"/>
      <c r="W10" s="112"/>
      <c r="X10" s="112"/>
      <c r="Y10" s="112"/>
      <c r="Z10" s="112"/>
      <c r="AA10" s="112"/>
    </row>
    <row r="11" spans="1:27" x14ac:dyDescent="0.2">
      <c r="E11" s="113"/>
      <c r="F11" s="113"/>
      <c r="G11" s="113"/>
      <c r="H11" s="113"/>
      <c r="I11" s="113"/>
      <c r="J11" s="113"/>
      <c r="K11" s="113"/>
    </row>
    <row r="12" spans="1:27" x14ac:dyDescent="0.2">
      <c r="E12" s="243" t="s">
        <v>1204</v>
      </c>
      <c r="F12" s="243"/>
      <c r="G12" s="243"/>
      <c r="H12" s="243"/>
      <c r="I12" s="243"/>
      <c r="J12" s="243"/>
      <c r="K12" s="243"/>
    </row>
    <row r="13" spans="1:27" x14ac:dyDescent="0.2">
      <c r="E13" s="495" t="str">
        <f>UPPER(LEFT(E14,1)) &amp; MID(E14,2,99)</f>
        <v/>
      </c>
      <c r="F13" s="495">
        <v>1</v>
      </c>
      <c r="G13" s="495">
        <v>2</v>
      </c>
      <c r="H13" s="495">
        <v>3</v>
      </c>
      <c r="I13" s="495">
        <v>4</v>
      </c>
      <c r="J13" s="495">
        <v>5</v>
      </c>
      <c r="K13" s="495">
        <v>6</v>
      </c>
    </row>
    <row r="14" spans="1:27" x14ac:dyDescent="0.2">
      <c r="E14" s="495"/>
      <c r="F14" s="610">
        <f>FirstYear</f>
        <v>2021</v>
      </c>
      <c r="G14" s="610">
        <f>F14+1</f>
        <v>2022</v>
      </c>
      <c r="H14" s="610">
        <f>G14+1</f>
        <v>2023</v>
      </c>
      <c r="I14" s="610">
        <f>H14+1</f>
        <v>2024</v>
      </c>
      <c r="J14" s="610">
        <f>I14+1</f>
        <v>2025</v>
      </c>
      <c r="K14" s="610">
        <f>J14+1</f>
        <v>2026</v>
      </c>
    </row>
    <row r="15" spans="1:27" x14ac:dyDescent="0.2">
      <c r="C15" s="475">
        <f>SUM(B22:B550)</f>
        <v>0</v>
      </c>
      <c r="D15" s="573">
        <v>31</v>
      </c>
      <c r="E15" s="59" t="str">
        <f>TxPhase1PxUnitsTx</f>
        <v/>
      </c>
      <c r="F15" s="32">
        <f t="shared" ref="F15:K15" ca="1" si="0">INDEX(PxTxPhase1Adj,$D15,F13)</f>
        <v>0</v>
      </c>
      <c r="G15" s="32">
        <f t="shared" ca="1" si="0"/>
        <v>0</v>
      </c>
      <c r="H15" s="32">
        <f t="shared" ca="1" si="0"/>
        <v>0</v>
      </c>
      <c r="I15" s="32">
        <f t="shared" ca="1" si="0"/>
        <v>0</v>
      </c>
      <c r="J15" s="32">
        <f t="shared" ca="1" si="0"/>
        <v>0</v>
      </c>
      <c r="K15" s="32">
        <f t="shared" ca="1" si="0"/>
        <v>0</v>
      </c>
    </row>
    <row r="16" spans="1:27" x14ac:dyDescent="0.2">
      <c r="C16" s="416"/>
      <c r="D16" s="573">
        <v>31</v>
      </c>
      <c r="E16" s="59" t="str">
        <f>TxPhase2PxUnitsTx</f>
        <v/>
      </c>
      <c r="F16" s="32">
        <f t="shared" ref="F16:K16" ca="1" si="1">INDEX(PxTxPhase2Adj,$D16,F13)</f>
        <v>0</v>
      </c>
      <c r="G16" s="32">
        <f t="shared" ca="1" si="1"/>
        <v>0</v>
      </c>
      <c r="H16" s="32">
        <f t="shared" ca="1" si="1"/>
        <v>0</v>
      </c>
      <c r="I16" s="32">
        <f t="shared" ca="1" si="1"/>
        <v>0</v>
      </c>
      <c r="J16" s="32">
        <f t="shared" ca="1" si="1"/>
        <v>0</v>
      </c>
      <c r="K16" s="32">
        <f t="shared" ca="1" si="1"/>
        <v>0</v>
      </c>
    </row>
    <row r="17" spans="2:27" hidden="1" x14ac:dyDescent="0.2">
      <c r="F17" s="248">
        <f ca="1">SUM(F15:F16)</f>
        <v>0</v>
      </c>
      <c r="G17" s="248">
        <f t="shared" ref="G17:K17" ca="1" si="2">SUM(G15:G16)</f>
        <v>0</v>
      </c>
      <c r="H17" s="248">
        <f t="shared" ca="1" si="2"/>
        <v>0</v>
      </c>
      <c r="I17" s="248">
        <f t="shared" ca="1" si="2"/>
        <v>0</v>
      </c>
      <c r="J17" s="248">
        <f t="shared" ca="1" si="2"/>
        <v>0</v>
      </c>
      <c r="K17" s="248">
        <f t="shared" ca="1" si="2"/>
        <v>0</v>
      </c>
    </row>
    <row r="18" spans="2:27" s="416" customFormat="1" x14ac:dyDescent="0.2"/>
    <row r="20" spans="2:27" s="416" customFormat="1" ht="15.75" x14ac:dyDescent="0.2">
      <c r="E20" s="79" t="s">
        <v>1244</v>
      </c>
      <c r="F20" s="114"/>
      <c r="G20" s="114"/>
      <c r="H20" s="114"/>
      <c r="I20" s="114"/>
      <c r="J20" s="114"/>
      <c r="K20" s="115"/>
      <c r="L20" s="112"/>
      <c r="M20" s="112"/>
      <c r="N20" s="112"/>
      <c r="O20" s="112"/>
      <c r="P20" s="112"/>
      <c r="Q20" s="112"/>
      <c r="R20" s="112"/>
      <c r="S20" s="112"/>
      <c r="T20" s="112"/>
      <c r="U20" s="112"/>
      <c r="V20" s="112"/>
      <c r="W20" s="112"/>
      <c r="X20" s="112"/>
      <c r="Y20" s="112"/>
      <c r="Z20" s="112"/>
      <c r="AA20" s="112"/>
    </row>
    <row r="22" spans="2:27" ht="15.75" x14ac:dyDescent="0.2">
      <c r="B22" s="475">
        <f>IF(F32+N32&gt;12,1,0)</f>
        <v>0</v>
      </c>
      <c r="C22" s="291">
        <f ca="1">IFERROR(INDEX(PxTxPhase1,$D27,7),0)</f>
        <v>0</v>
      </c>
      <c r="D22" s="573">
        <v>1</v>
      </c>
      <c r="E22" s="79" t="str">
        <f>IF(F26&lt;&gt;"",CONCATENATE("DTG ",D22,": ",H26,": ",N22),MsgNotUsed)</f>
        <v>** NOT USED **</v>
      </c>
      <c r="F22" s="132"/>
      <c r="G22" s="132"/>
      <c r="H22" s="132"/>
      <c r="I22" s="132"/>
      <c r="J22" s="134"/>
      <c r="K22" s="134"/>
      <c r="L22" s="134"/>
      <c r="M22" s="325"/>
      <c r="N22" s="637" t="str">
        <f>IF(AND(F32="",N32=""),"Full year",IF(AND(F32&lt;&gt;"",N32=""),CONCATENATE(F32," ",G32),IF(AND(F32="",N32&lt;&gt;""),CONCATENATE(N32," ",G32),CONCATENATE(F32," + ",N32," ",G32))))</f>
        <v>Full year</v>
      </c>
      <c r="O22" s="325"/>
      <c r="P22" s="325"/>
      <c r="Q22" s="325"/>
      <c r="R22" s="325"/>
      <c r="S22" s="325"/>
      <c r="T22" s="325"/>
      <c r="U22" s="325"/>
      <c r="V22" s="325"/>
      <c r="W22" s="325"/>
      <c r="X22" s="325"/>
      <c r="Y22" s="325"/>
      <c r="Z22" s="325"/>
      <c r="AA22" s="325"/>
    </row>
    <row r="23" spans="2:27" hidden="1" outlineLevel="1" x14ac:dyDescent="0.2">
      <c r="C23" s="615"/>
      <c r="D23" s="615"/>
      <c r="E23" s="615"/>
      <c r="F23" s="624">
        <v>1</v>
      </c>
      <c r="G23" s="397">
        <v>2</v>
      </c>
      <c r="H23" s="397">
        <v>3</v>
      </c>
      <c r="I23" s="397">
        <v>4</v>
      </c>
      <c r="J23" s="397">
        <v>5</v>
      </c>
      <c r="K23" s="397">
        <v>6</v>
      </c>
      <c r="N23" s="397">
        <v>1</v>
      </c>
      <c r="O23" s="397">
        <v>2</v>
      </c>
      <c r="P23" s="397">
        <v>3</v>
      </c>
      <c r="Q23" s="397">
        <v>4</v>
      </c>
      <c r="R23" s="397">
        <v>5</v>
      </c>
      <c r="S23" s="397">
        <v>6</v>
      </c>
    </row>
    <row r="24" spans="2:27" hidden="1" outlineLevel="1" x14ac:dyDescent="0.2">
      <c r="C24" s="243"/>
      <c r="D24" s="243"/>
      <c r="E24" s="162" t="s">
        <v>1206</v>
      </c>
      <c r="F24" s="615"/>
    </row>
    <row r="25" spans="2:27" hidden="1" outlineLevel="1" x14ac:dyDescent="0.2">
      <c r="C25" s="243"/>
      <c r="D25" s="243"/>
      <c r="E25" s="616"/>
      <c r="F25" s="615"/>
      <c r="N25" s="615"/>
      <c r="O25" s="615"/>
      <c r="P25" s="615"/>
      <c r="Q25" s="615"/>
      <c r="R25" s="615"/>
      <c r="S25" s="615"/>
    </row>
    <row r="26" spans="2:27" hidden="1" outlineLevel="1" x14ac:dyDescent="0.2">
      <c r="C26" s="291">
        <f>IF(F26&lt;&gt;"",MATCH(F26,PxTxSource,0)-1,0)</f>
        <v>0</v>
      </c>
      <c r="D26" s="291">
        <f ca="1">IF(H26&lt;&gt;"",MATCH(H26,OFFSET(References!$AE$23,0,C26,PxPopMaxCount),0),0)</f>
        <v>0</v>
      </c>
      <c r="E26" s="423" t="s">
        <v>113</v>
      </c>
      <c r="F26" s="609"/>
      <c r="H26" s="812"/>
      <c r="I26" s="813"/>
      <c r="J26" s="813"/>
      <c r="K26" s="813"/>
      <c r="L26" s="615"/>
      <c r="N26" s="806" t="str">
        <f ca="1">IF(ISERROR($D27)=TRUE,MsgError &amp; VLOOKUP("BadPop",ErrorMessages,2,FALSE),"")</f>
        <v/>
      </c>
      <c r="O26" s="806"/>
      <c r="P26" s="806"/>
      <c r="Q26" s="806"/>
      <c r="R26" s="806"/>
      <c r="S26" s="806"/>
    </row>
    <row r="27" spans="2:27" hidden="1" outlineLevel="1" x14ac:dyDescent="0.2">
      <c r="C27" s="291">
        <f>INDEX(PxTxValid,,C26+1)</f>
        <v>0</v>
      </c>
      <c r="D27" s="291" t="str">
        <f ca="1">IF(AND(C26=0,D26=0),"",(C26*PxPopMaxCount)+D26)</f>
        <v/>
      </c>
      <c r="E27" s="243"/>
      <c r="L27" s="615"/>
      <c r="M27" s="615"/>
      <c r="N27" s="615"/>
      <c r="O27" s="615"/>
      <c r="P27" s="615"/>
      <c r="Q27" s="615"/>
      <c r="R27" s="615"/>
      <c r="S27" s="615"/>
    </row>
    <row r="28" spans="2:27" hidden="1" outlineLevel="1" x14ac:dyDescent="0.2">
      <c r="C28" s="615"/>
      <c r="E28" s="495"/>
      <c r="F28" s="610">
        <f>FirstYear</f>
        <v>2021</v>
      </c>
      <c r="G28" s="610">
        <f>F28+1</f>
        <v>2022</v>
      </c>
      <c r="H28" s="610">
        <f>G28+1</f>
        <v>2023</v>
      </c>
      <c r="I28" s="610">
        <f>H28+1</f>
        <v>2024</v>
      </c>
      <c r="J28" s="610">
        <f>I28+1</f>
        <v>2025</v>
      </c>
      <c r="K28" s="610">
        <f>J28+1</f>
        <v>2026</v>
      </c>
      <c r="L28" s="243"/>
      <c r="M28" s="416"/>
      <c r="N28" s="610">
        <f>FirstYear</f>
        <v>2021</v>
      </c>
      <c r="O28" s="610">
        <f>N28+1</f>
        <v>2022</v>
      </c>
      <c r="P28" s="610">
        <f>O28+1</f>
        <v>2023</v>
      </c>
      <c r="Q28" s="610">
        <f>P28+1</f>
        <v>2024</v>
      </c>
      <c r="R28" s="610">
        <f>Q28+1</f>
        <v>2025</v>
      </c>
      <c r="S28" s="610">
        <f>R28+1</f>
        <v>2026</v>
      </c>
      <c r="T28" s="416"/>
      <c r="U28" s="416"/>
      <c r="V28" s="416"/>
      <c r="W28" s="416"/>
      <c r="X28" s="416"/>
      <c r="Y28" s="416"/>
      <c r="Z28" s="416"/>
      <c r="AA28" s="416"/>
    </row>
    <row r="29" spans="2:27" hidden="1" outlineLevel="1" x14ac:dyDescent="0.2">
      <c r="E29" s="59" t="str">
        <f>TxPhase1Px</f>
        <v/>
      </c>
      <c r="F29" s="32">
        <f ca="1">IFERROR(INDEX(PxTxPhase1,$D27,F23),0)</f>
        <v>0</v>
      </c>
      <c r="G29" s="32">
        <f t="shared" ref="G29:K29" ca="1" si="3">IFERROR(INDEX(PxTxPhase1,$D27,G23),0)</f>
        <v>0</v>
      </c>
      <c r="H29" s="32">
        <f t="shared" ca="1" si="3"/>
        <v>0</v>
      </c>
      <c r="I29" s="32">
        <f t="shared" ca="1" si="3"/>
        <v>0</v>
      </c>
      <c r="J29" s="32">
        <f t="shared" ca="1" si="3"/>
        <v>0</v>
      </c>
      <c r="K29" s="32">
        <f t="shared" ca="1" si="3"/>
        <v>0</v>
      </c>
      <c r="L29" s="243"/>
      <c r="M29" s="59" t="str">
        <f>TxPhase2Px</f>
        <v/>
      </c>
      <c r="N29" s="32">
        <f t="shared" ref="N29:S29" ca="1" si="4">IFERROR(INDEX(PxTxPhase2,$D27,N23),0)</f>
        <v>0</v>
      </c>
      <c r="O29" s="32">
        <f t="shared" ca="1" si="4"/>
        <v>0</v>
      </c>
      <c r="P29" s="32">
        <f t="shared" ca="1" si="4"/>
        <v>0</v>
      </c>
      <c r="Q29" s="32">
        <f t="shared" ca="1" si="4"/>
        <v>0</v>
      </c>
      <c r="R29" s="32">
        <f t="shared" ca="1" si="4"/>
        <v>0</v>
      </c>
      <c r="S29" s="32">
        <f t="shared" ca="1" si="4"/>
        <v>0</v>
      </c>
      <c r="T29" s="416"/>
      <c r="U29" s="416"/>
      <c r="V29" s="416"/>
      <c r="W29" s="416"/>
      <c r="X29" s="416"/>
      <c r="Y29" s="416"/>
      <c r="Z29" s="416"/>
      <c r="AA29" s="416"/>
    </row>
    <row r="30" spans="2:27" hidden="1" outlineLevel="1" x14ac:dyDescent="0.2">
      <c r="D30" s="615"/>
      <c r="E30" s="615"/>
      <c r="F30" s="615"/>
      <c r="G30" s="615"/>
      <c r="H30" s="615"/>
      <c r="I30" s="615"/>
      <c r="J30" s="615"/>
      <c r="K30" s="615"/>
      <c r="L30" s="243"/>
      <c r="M30" s="615"/>
      <c r="N30" s="615"/>
      <c r="O30" s="416"/>
      <c r="P30" s="416"/>
      <c r="Q30" s="416"/>
      <c r="R30" s="416"/>
      <c r="S30" s="416"/>
      <c r="T30" s="416"/>
      <c r="U30" s="416"/>
      <c r="V30" s="416"/>
      <c r="W30" s="416"/>
      <c r="X30" s="416"/>
      <c r="Y30" s="416"/>
      <c r="Z30" s="416"/>
      <c r="AA30" s="416"/>
    </row>
    <row r="31" spans="2:27" hidden="1" outlineLevel="1" x14ac:dyDescent="0.2">
      <c r="D31" s="615"/>
      <c r="E31" s="243"/>
      <c r="F31" s="243"/>
      <c r="G31" s="243"/>
      <c r="H31" s="243"/>
      <c r="I31" s="243"/>
      <c r="J31" s="243"/>
      <c r="K31" s="243"/>
      <c r="L31" s="243"/>
      <c r="M31" s="243"/>
      <c r="N31" s="615"/>
      <c r="O31" s="416"/>
      <c r="P31" s="416"/>
      <c r="Q31" s="416"/>
      <c r="R31" s="416"/>
      <c r="S31" s="416"/>
      <c r="T31" s="416"/>
      <c r="U31" s="578"/>
      <c r="V31" s="579">
        <f>$W41*1</f>
        <v>0</v>
      </c>
      <c r="W31" s="579">
        <f>$W41*2</f>
        <v>0</v>
      </c>
      <c r="X31" s="579">
        <f>$W41*3</f>
        <v>0</v>
      </c>
      <c r="Y31" s="579">
        <f>$W41*4</f>
        <v>0</v>
      </c>
      <c r="Z31" s="579">
        <f>$W41*5</f>
        <v>0</v>
      </c>
      <c r="AA31" s="579">
        <f>$W41*6</f>
        <v>0</v>
      </c>
    </row>
    <row r="32" spans="2:27" hidden="1" outlineLevel="1" x14ac:dyDescent="0.2">
      <c r="E32" s="433" t="s">
        <v>1160</v>
      </c>
      <c r="F32" s="586"/>
      <c r="G32" s="268"/>
      <c r="H32" s="621"/>
      <c r="I32" s="621"/>
      <c r="J32" s="621"/>
      <c r="K32" s="621"/>
      <c r="L32" s="243"/>
      <c r="M32" s="433" t="s">
        <v>1160</v>
      </c>
      <c r="N32" s="586"/>
      <c r="O32" s="587" t="str">
        <f>IF(G32&lt;&gt;"",G32,"")</f>
        <v/>
      </c>
      <c r="P32" s="525"/>
      <c r="Q32" s="525"/>
      <c r="R32" s="525"/>
      <c r="S32" s="525"/>
      <c r="T32" s="416"/>
      <c r="U32" s="580" t="s">
        <v>1156</v>
      </c>
      <c r="V32" s="581">
        <f>IF($F32&gt;=V31,$W41,IF($F32&gt;0,$F32,0))</f>
        <v>0</v>
      </c>
      <c r="W32" s="581">
        <f>IF($F32&gt;=W31,$W$41,IF($F32&gt;V31,($F32-V31),0))</f>
        <v>0</v>
      </c>
      <c r="X32" s="581">
        <f>IF($F32&gt;=X31,$W$41,IF($F32&gt;W31,($F32-W31),0))</f>
        <v>0</v>
      </c>
      <c r="Y32" s="581">
        <f>IF($F32&gt;=Y31,$W$41,IF($F32&gt;X31,($F32-X31),0))</f>
        <v>0</v>
      </c>
      <c r="Z32" s="581">
        <f>IF($F32&gt;=Z31,$W$41,IF($F32&gt;Y31,($F32-Y31),0))</f>
        <v>0</v>
      </c>
      <c r="AA32" s="581">
        <f>IF($F32&gt;=AA31,$W$41,IF($F32&gt;Z31,($F32-Z31),0))</f>
        <v>0</v>
      </c>
    </row>
    <row r="33" spans="2:27" hidden="1" outlineLevel="1" x14ac:dyDescent="0.2">
      <c r="D33" s="615"/>
      <c r="E33" s="622"/>
      <c r="F33" s="622"/>
      <c r="G33" s="583"/>
      <c r="H33" s="622"/>
      <c r="I33" s="622"/>
      <c r="J33" s="622"/>
      <c r="K33" s="622"/>
      <c r="L33" s="243"/>
      <c r="M33" s="617"/>
      <c r="N33" s="618"/>
      <c r="O33" s="618"/>
      <c r="P33" s="618"/>
      <c r="Q33" s="618"/>
      <c r="R33" s="618"/>
      <c r="S33" s="618"/>
      <c r="T33" s="416"/>
      <c r="U33" s="582" t="s">
        <v>1157</v>
      </c>
      <c r="V33" s="579">
        <f t="shared" ref="V33:AA33" si="5">IF(V32&gt;0,$W41-V32,$W41)</f>
        <v>0</v>
      </c>
      <c r="W33" s="579">
        <f t="shared" si="5"/>
        <v>0</v>
      </c>
      <c r="X33" s="579">
        <f t="shared" si="5"/>
        <v>0</v>
      </c>
      <c r="Y33" s="579">
        <f t="shared" si="5"/>
        <v>0</v>
      </c>
      <c r="Z33" s="579">
        <f t="shared" si="5"/>
        <v>0</v>
      </c>
      <c r="AA33" s="579">
        <f t="shared" si="5"/>
        <v>0</v>
      </c>
    </row>
    <row r="34" spans="2:27" hidden="1" outlineLevel="1" x14ac:dyDescent="0.2">
      <c r="D34" s="615"/>
      <c r="E34" s="617" t="str">
        <f>E29</f>
        <v/>
      </c>
      <c r="F34" s="623"/>
      <c r="G34" s="588"/>
      <c r="H34" s="623"/>
      <c r="I34" s="623"/>
      <c r="J34" s="623"/>
      <c r="K34" s="623"/>
      <c r="L34" s="243"/>
      <c r="M34" s="617" t="str">
        <f>M29</f>
        <v/>
      </c>
      <c r="N34" s="619"/>
      <c r="O34" s="620"/>
      <c r="P34" s="620"/>
      <c r="Q34" s="620"/>
      <c r="R34" s="620"/>
      <c r="S34" s="620"/>
      <c r="T34" s="416"/>
      <c r="U34" s="525"/>
      <c r="V34" s="525"/>
      <c r="W34" s="525"/>
      <c r="X34" s="525"/>
      <c r="Y34" s="525"/>
      <c r="Z34" s="525"/>
      <c r="AA34" s="525"/>
    </row>
    <row r="35" spans="2:27" hidden="1" outlineLevel="1" x14ac:dyDescent="0.2">
      <c r="E35" s="589" t="s">
        <v>1207</v>
      </c>
      <c r="F35" s="63">
        <f ca="1">$F29*V38</f>
        <v>0</v>
      </c>
      <c r="G35" s="63">
        <f t="shared" ref="G35:K35" ca="1" si="6">$F29*W38</f>
        <v>0</v>
      </c>
      <c r="H35" s="63">
        <f t="shared" ca="1" si="6"/>
        <v>0</v>
      </c>
      <c r="I35" s="63">
        <f t="shared" ca="1" si="6"/>
        <v>0</v>
      </c>
      <c r="J35" s="63">
        <f t="shared" ca="1" si="6"/>
        <v>0</v>
      </c>
      <c r="K35" s="63">
        <f t="shared" ca="1" si="6"/>
        <v>0</v>
      </c>
      <c r="L35" s="243"/>
      <c r="M35" s="589" t="s">
        <v>1207</v>
      </c>
      <c r="N35" s="63">
        <f ca="1">$N29*V39</f>
        <v>0</v>
      </c>
      <c r="O35" s="63">
        <f ca="1">$N29*W39</f>
        <v>0</v>
      </c>
      <c r="P35" s="63">
        <f t="shared" ref="P35:S35" ca="1" si="7">$N29*X39</f>
        <v>0</v>
      </c>
      <c r="Q35" s="63">
        <f t="shared" ca="1" si="7"/>
        <v>0</v>
      </c>
      <c r="R35" s="63">
        <f t="shared" ca="1" si="7"/>
        <v>0</v>
      </c>
      <c r="S35" s="63">
        <f t="shared" ca="1" si="7"/>
        <v>0</v>
      </c>
      <c r="T35" s="416"/>
      <c r="U35" s="582" t="s">
        <v>1158</v>
      </c>
      <c r="V35" s="581">
        <f>IF($N32&gt;=V33,V33,N32)</f>
        <v>0</v>
      </c>
      <c r="W35" s="581">
        <f>IF(V36&gt;=W33,W33,V36)</f>
        <v>0</v>
      </c>
      <c r="X35" s="581">
        <f>IF(W36&gt;=X33,X33,W36)</f>
        <v>0</v>
      </c>
      <c r="Y35" s="581">
        <f>IF(X36&gt;=Y33,Y33,X36)</f>
        <v>0</v>
      </c>
      <c r="Z35" s="581">
        <f>IF(Y36&gt;=Z33,Z33,Y36)</f>
        <v>0</v>
      </c>
      <c r="AA35" s="581">
        <f>IF(Z36&gt;=AA33,AA33,Z36)</f>
        <v>0</v>
      </c>
    </row>
    <row r="36" spans="2:27" hidden="1" outlineLevel="1" x14ac:dyDescent="0.2">
      <c r="E36" s="589" t="s">
        <v>1208</v>
      </c>
      <c r="F36" s="130"/>
      <c r="G36" s="63">
        <f ca="1">$G29*V38</f>
        <v>0</v>
      </c>
      <c r="H36" s="63">
        <f t="shared" ref="H36:K36" ca="1" si="8">$G29*W38</f>
        <v>0</v>
      </c>
      <c r="I36" s="63">
        <f t="shared" ca="1" si="8"/>
        <v>0</v>
      </c>
      <c r="J36" s="63">
        <f t="shared" ca="1" si="8"/>
        <v>0</v>
      </c>
      <c r="K36" s="63">
        <f t="shared" ca="1" si="8"/>
        <v>0</v>
      </c>
      <c r="L36" s="243"/>
      <c r="M36" s="589" t="s">
        <v>1208</v>
      </c>
      <c r="N36" s="130"/>
      <c r="O36" s="63">
        <f ca="1">$O29*V39</f>
        <v>0</v>
      </c>
      <c r="P36" s="63">
        <f t="shared" ref="P36:S36" ca="1" si="9">$O29*W39</f>
        <v>0</v>
      </c>
      <c r="Q36" s="63">
        <f t="shared" ca="1" si="9"/>
        <v>0</v>
      </c>
      <c r="R36" s="63">
        <f t="shared" ca="1" si="9"/>
        <v>0</v>
      </c>
      <c r="S36" s="63">
        <f t="shared" ca="1" si="9"/>
        <v>0</v>
      </c>
      <c r="T36" s="416"/>
      <c r="U36" s="582" t="s">
        <v>1159</v>
      </c>
      <c r="V36" s="579">
        <f>$N32-V35</f>
        <v>0</v>
      </c>
      <c r="W36" s="579">
        <f>$N32-SUM($V35:W35)</f>
        <v>0</v>
      </c>
      <c r="X36" s="579">
        <f>$N32-SUM($V35:X35)</f>
        <v>0</v>
      </c>
      <c r="Y36" s="579">
        <f>$N32-SUM($V35:Y35)</f>
        <v>0</v>
      </c>
      <c r="Z36" s="579">
        <f>$N32-SUM($V35:Z35)</f>
        <v>0</v>
      </c>
      <c r="AA36" s="579">
        <f>$N32-SUM($V35:AA35)</f>
        <v>0</v>
      </c>
    </row>
    <row r="37" spans="2:27" hidden="1" outlineLevel="1" x14ac:dyDescent="0.2">
      <c r="E37" s="589" t="s">
        <v>1209</v>
      </c>
      <c r="F37" s="130"/>
      <c r="G37" s="130"/>
      <c r="H37" s="63">
        <f ca="1">$H29*V38</f>
        <v>0</v>
      </c>
      <c r="I37" s="63">
        <f t="shared" ref="I37:K37" ca="1" si="10">$H29*W38</f>
        <v>0</v>
      </c>
      <c r="J37" s="63">
        <f t="shared" ca="1" si="10"/>
        <v>0</v>
      </c>
      <c r="K37" s="63">
        <f t="shared" ca="1" si="10"/>
        <v>0</v>
      </c>
      <c r="L37" s="243"/>
      <c r="M37" s="589" t="s">
        <v>1209</v>
      </c>
      <c r="N37" s="130"/>
      <c r="O37" s="130"/>
      <c r="P37" s="63">
        <f ca="1">$P29*V39</f>
        <v>0</v>
      </c>
      <c r="Q37" s="63">
        <f t="shared" ref="Q37:S37" ca="1" si="11">$P29*W39</f>
        <v>0</v>
      </c>
      <c r="R37" s="63">
        <f t="shared" ca="1" si="11"/>
        <v>0</v>
      </c>
      <c r="S37" s="63">
        <f t="shared" ca="1" si="11"/>
        <v>0</v>
      </c>
      <c r="T37" s="416"/>
      <c r="U37" s="583"/>
      <c r="V37" s="584"/>
      <c r="W37" s="583"/>
      <c r="X37" s="583"/>
      <c r="Y37" s="583"/>
      <c r="Z37" s="583"/>
      <c r="AA37" s="525"/>
    </row>
    <row r="38" spans="2:27" hidden="1" outlineLevel="1" x14ac:dyDescent="0.2">
      <c r="E38" s="589" t="s">
        <v>1210</v>
      </c>
      <c r="F38" s="130"/>
      <c r="G38" s="130"/>
      <c r="H38" s="130"/>
      <c r="I38" s="63">
        <f ca="1">$I29*V38</f>
        <v>0</v>
      </c>
      <c r="J38" s="63">
        <f t="shared" ref="J38:K38" ca="1" si="12">$I29*W38</f>
        <v>0</v>
      </c>
      <c r="K38" s="63">
        <f t="shared" ca="1" si="12"/>
        <v>0</v>
      </c>
      <c r="L38" s="243"/>
      <c r="M38" s="589" t="s">
        <v>1210</v>
      </c>
      <c r="N38" s="130"/>
      <c r="O38" s="130"/>
      <c r="P38" s="130"/>
      <c r="Q38" s="63">
        <f ca="1">$Q29*V39</f>
        <v>0</v>
      </c>
      <c r="R38" s="63">
        <f t="shared" ref="R38:S38" ca="1" si="13">$Q29*W39</f>
        <v>0</v>
      </c>
      <c r="S38" s="63">
        <f t="shared" ca="1" si="13"/>
        <v>0</v>
      </c>
      <c r="T38" s="416"/>
      <c r="U38" s="580" t="s">
        <v>1156</v>
      </c>
      <c r="V38" s="585">
        <f t="shared" ref="V38:AA38" si="14">IFERROR(V32/$W41,0)</f>
        <v>0</v>
      </c>
      <c r="W38" s="585">
        <f t="shared" si="14"/>
        <v>0</v>
      </c>
      <c r="X38" s="585">
        <f t="shared" si="14"/>
        <v>0</v>
      </c>
      <c r="Y38" s="585">
        <f t="shared" si="14"/>
        <v>0</v>
      </c>
      <c r="Z38" s="585">
        <f t="shared" si="14"/>
        <v>0</v>
      </c>
      <c r="AA38" s="585">
        <f t="shared" si="14"/>
        <v>0</v>
      </c>
    </row>
    <row r="39" spans="2:27" hidden="1" outlineLevel="1" x14ac:dyDescent="0.2">
      <c r="E39" s="589" t="s">
        <v>1211</v>
      </c>
      <c r="F39" s="130"/>
      <c r="G39" s="130"/>
      <c r="H39" s="130"/>
      <c r="I39" s="130"/>
      <c r="J39" s="63">
        <f ca="1">$J29*V38</f>
        <v>0</v>
      </c>
      <c r="K39" s="63">
        <f ca="1">$J29*W38</f>
        <v>0</v>
      </c>
      <c r="L39" s="243"/>
      <c r="M39" s="589" t="s">
        <v>1211</v>
      </c>
      <c r="N39" s="130"/>
      <c r="O39" s="130"/>
      <c r="P39" s="130"/>
      <c r="Q39" s="130"/>
      <c r="R39" s="63">
        <f ca="1">$R29*V39</f>
        <v>0</v>
      </c>
      <c r="S39" s="63">
        <f ca="1">$R29*W39</f>
        <v>0</v>
      </c>
      <c r="T39" s="416"/>
      <c r="U39" s="582" t="s">
        <v>1158</v>
      </c>
      <c r="V39" s="585">
        <f t="shared" ref="V39:AA39" si="15">IFERROR(V35/$W41,0)</f>
        <v>0</v>
      </c>
      <c r="W39" s="585">
        <f t="shared" si="15"/>
        <v>0</v>
      </c>
      <c r="X39" s="585">
        <f t="shared" si="15"/>
        <v>0</v>
      </c>
      <c r="Y39" s="585">
        <f t="shared" si="15"/>
        <v>0</v>
      </c>
      <c r="Z39" s="585">
        <f t="shared" si="15"/>
        <v>0</v>
      </c>
      <c r="AA39" s="585">
        <f t="shared" si="15"/>
        <v>0</v>
      </c>
    </row>
    <row r="40" spans="2:27" hidden="1" outlineLevel="1" x14ac:dyDescent="0.2">
      <c r="E40" s="589" t="s">
        <v>1212</v>
      </c>
      <c r="F40" s="130"/>
      <c r="G40" s="130"/>
      <c r="H40" s="130"/>
      <c r="I40" s="130"/>
      <c r="J40" s="130"/>
      <c r="K40" s="63">
        <f ca="1">$K29*V38</f>
        <v>0</v>
      </c>
      <c r="L40" s="243"/>
      <c r="M40" s="589" t="s">
        <v>1212</v>
      </c>
      <c r="N40" s="130"/>
      <c r="O40" s="130"/>
      <c r="P40" s="130"/>
      <c r="Q40" s="130"/>
      <c r="R40" s="130"/>
      <c r="S40" s="63">
        <f ca="1">$S29*V39</f>
        <v>0</v>
      </c>
      <c r="T40" s="416"/>
      <c r="U40" s="416"/>
      <c r="V40" s="416"/>
      <c r="W40" s="416"/>
      <c r="X40" s="416"/>
      <c r="Y40" s="416"/>
      <c r="Z40" s="416"/>
      <c r="AA40" s="416"/>
    </row>
    <row r="41" spans="2:27" hidden="1" outlineLevel="1" x14ac:dyDescent="0.2">
      <c r="E41" s="590" t="str">
        <f>TxPhase1PxUnitsTx</f>
        <v/>
      </c>
      <c r="F41" s="591">
        <f ca="1">IF(F32&lt;&gt;"",SUM(F35:F40),F29)</f>
        <v>0</v>
      </c>
      <c r="G41" s="591">
        <f ca="1">IF(F32&lt;&gt;"",SUM(G35:G40),G29)</f>
        <v>0</v>
      </c>
      <c r="H41" s="591">
        <f ca="1">IF(F32&lt;&gt;"",SUM(H35:H40),H29)</f>
        <v>0</v>
      </c>
      <c r="I41" s="591">
        <f ca="1">IF(F32&lt;&gt;"",SUM(I35:I40),I29)</f>
        <v>0</v>
      </c>
      <c r="J41" s="591">
        <f ca="1">IF(F32&lt;&gt;"",SUM(J35:J40),J29)</f>
        <v>0</v>
      </c>
      <c r="K41" s="591">
        <f ca="1">IF(F32&lt;&gt;"",SUM(K35:K40),K29)</f>
        <v>0</v>
      </c>
      <c r="L41" s="243"/>
      <c r="M41" s="590" t="str">
        <f>TxPhase2PxUnitsTx</f>
        <v/>
      </c>
      <c r="N41" s="591">
        <f ca="1">IF(N32&lt;&gt;"",SUM(N35:N40),N29)</f>
        <v>0</v>
      </c>
      <c r="O41" s="591">
        <f ca="1">IF(N32&lt;&gt;"",SUM(O35:O40),O29)</f>
        <v>0</v>
      </c>
      <c r="P41" s="591">
        <f ca="1">IF(N32&lt;&gt;"",SUM(P35:P40),P29)</f>
        <v>0</v>
      </c>
      <c r="Q41" s="591">
        <f ca="1">IF(N32&lt;&gt;"",SUM(Q35:Q40),Q29)</f>
        <v>0</v>
      </c>
      <c r="R41" s="591">
        <f ca="1">IF(N32&lt;&gt;"",SUM(R35:R40),R29)</f>
        <v>0</v>
      </c>
      <c r="S41" s="591">
        <f ca="1">IF(N32&lt;&gt;"",SUM(S35:S40),S29)</f>
        <v>0</v>
      </c>
      <c r="T41" s="416"/>
      <c r="U41" s="582" t="s">
        <v>1161</v>
      </c>
      <c r="V41" s="579">
        <f>IFERROR(VLOOKUP(G32,TimeUnitCode,2,FALSE),0)</f>
        <v>0</v>
      </c>
      <c r="W41" s="579">
        <f>IFERROR(INDEX(TimeUnitCount,V41,2),0)</f>
        <v>0</v>
      </c>
      <c r="X41" s="416"/>
      <c r="Y41" s="416"/>
      <c r="Z41" s="416"/>
      <c r="AA41" s="416"/>
    </row>
    <row r="42" spans="2:27" hidden="1" outlineLevel="1" x14ac:dyDescent="0.2">
      <c r="L42" s="615"/>
    </row>
    <row r="43" spans="2:27" collapsed="1" x14ac:dyDescent="0.2"/>
    <row r="44" spans="2:27" s="416" customFormat="1" ht="15.75" x14ac:dyDescent="0.2">
      <c r="B44" s="475">
        <f>IF(F54+N54&gt;12,1,0)</f>
        <v>0</v>
      </c>
      <c r="C44" s="291">
        <f ca="1">IFERROR(INDEX(PxTxPhase1,$D49,7),0)</f>
        <v>0</v>
      </c>
      <c r="D44" s="573">
        <v>2</v>
      </c>
      <c r="E44" s="79" t="str">
        <f>IF(F48&lt;&gt;"",CONCATENATE("DTG ",D44,": ",H48,": ",N44),MsgNotUsed)</f>
        <v>** NOT USED **</v>
      </c>
      <c r="F44" s="132"/>
      <c r="G44" s="132"/>
      <c r="H44" s="132"/>
      <c r="I44" s="132"/>
      <c r="J44" s="134"/>
      <c r="K44" s="134"/>
      <c r="L44" s="134"/>
      <c r="M44" s="325"/>
      <c r="N44" s="637" t="str">
        <f>IF(AND(F54="",N54=""),"Full year",IF(AND(F54&lt;&gt;"",N54=""),CONCATENATE(F54," ",G54),IF(AND(F54="",N54&lt;&gt;""),CONCATENATE(N54," ",G54),CONCATENATE(F54," + ",N54," ",G54))))</f>
        <v>Full year</v>
      </c>
      <c r="O44" s="325"/>
      <c r="P44" s="325"/>
      <c r="Q44" s="325"/>
      <c r="R44" s="325"/>
      <c r="S44" s="325"/>
      <c r="T44" s="325"/>
      <c r="U44" s="325"/>
      <c r="V44" s="325"/>
      <c r="W44" s="325"/>
      <c r="X44" s="325"/>
      <c r="Y44" s="325"/>
      <c r="Z44" s="325"/>
      <c r="AA44" s="325"/>
    </row>
    <row r="45" spans="2:27" s="416" customFormat="1" hidden="1" outlineLevel="1" x14ac:dyDescent="0.2">
      <c r="C45" s="615"/>
      <c r="D45" s="615"/>
      <c r="E45" s="615"/>
      <c r="F45" s="624">
        <v>1</v>
      </c>
      <c r="G45" s="397">
        <v>2</v>
      </c>
      <c r="H45" s="397">
        <v>3</v>
      </c>
      <c r="I45" s="397">
        <v>4</v>
      </c>
      <c r="J45" s="397">
        <v>5</v>
      </c>
      <c r="K45" s="397">
        <v>6</v>
      </c>
      <c r="N45" s="397">
        <v>1</v>
      </c>
      <c r="O45" s="397">
        <v>2</v>
      </c>
      <c r="P45" s="397">
        <v>3</v>
      </c>
      <c r="Q45" s="397">
        <v>4</v>
      </c>
      <c r="R45" s="397">
        <v>5</v>
      </c>
      <c r="S45" s="397">
        <v>6</v>
      </c>
    </row>
    <row r="46" spans="2:27" s="416" customFormat="1" hidden="1" outlineLevel="1" x14ac:dyDescent="0.2">
      <c r="C46" s="243"/>
      <c r="D46" s="243"/>
      <c r="E46" s="162" t="s">
        <v>1206</v>
      </c>
      <c r="F46" s="615"/>
    </row>
    <row r="47" spans="2:27" s="416" customFormat="1" hidden="1" outlineLevel="1" x14ac:dyDescent="0.2">
      <c r="C47" s="243"/>
      <c r="D47" s="243"/>
      <c r="E47" s="616"/>
      <c r="F47" s="615"/>
      <c r="N47" s="615"/>
      <c r="O47" s="615"/>
      <c r="P47" s="615"/>
      <c r="Q47" s="615"/>
      <c r="R47" s="615"/>
      <c r="S47" s="615"/>
    </row>
    <row r="48" spans="2:27" s="416" customFormat="1" hidden="1" outlineLevel="1" x14ac:dyDescent="0.2">
      <c r="C48" s="291">
        <f>IF(F48&lt;&gt;"",MATCH(F48,PxTxSource,0)-1,0)</f>
        <v>0</v>
      </c>
      <c r="D48" s="291">
        <f ca="1">IF(H48&lt;&gt;"",MATCH(H48,OFFSET(References!$AE$23,0,C48,PxPopMaxCount),0),0)</f>
        <v>0</v>
      </c>
      <c r="E48" s="423" t="s">
        <v>113</v>
      </c>
      <c r="F48" s="613"/>
      <c r="H48" s="812"/>
      <c r="I48" s="813"/>
      <c r="J48" s="813"/>
      <c r="K48" s="813"/>
      <c r="L48" s="615"/>
      <c r="N48" s="806" t="str">
        <f ca="1">IF(ISERROR($D49)=TRUE,MsgError &amp; VLOOKUP("BadPop",ErrorMessages,2,FALSE),"")</f>
        <v/>
      </c>
      <c r="O48" s="806"/>
      <c r="P48" s="806"/>
      <c r="Q48" s="806"/>
      <c r="R48" s="806"/>
      <c r="S48" s="806"/>
    </row>
    <row r="49" spans="3:27" s="416" customFormat="1" hidden="1" outlineLevel="1" x14ac:dyDescent="0.2">
      <c r="C49" s="291">
        <f>INDEX(PxTxValid,,C48+1)</f>
        <v>0</v>
      </c>
      <c r="D49" s="291" t="str">
        <f ca="1">IF(AND(C48=0,D48=0),"",(C48*PxPopMaxCount)+D48)</f>
        <v/>
      </c>
      <c r="E49" s="243"/>
      <c r="L49" s="615"/>
      <c r="M49" s="615"/>
      <c r="N49" s="615"/>
      <c r="O49" s="615"/>
      <c r="P49" s="615"/>
      <c r="Q49" s="615"/>
      <c r="R49" s="615"/>
      <c r="S49" s="615"/>
    </row>
    <row r="50" spans="3:27" s="416" customFormat="1" hidden="1" outlineLevel="1" x14ac:dyDescent="0.2">
      <c r="C50" s="615"/>
      <c r="E50" s="495"/>
      <c r="F50" s="614">
        <f>FirstYear</f>
        <v>2021</v>
      </c>
      <c r="G50" s="614">
        <f>F50+1</f>
        <v>2022</v>
      </c>
      <c r="H50" s="614">
        <f>G50+1</f>
        <v>2023</v>
      </c>
      <c r="I50" s="614">
        <f>H50+1</f>
        <v>2024</v>
      </c>
      <c r="J50" s="614">
        <f>I50+1</f>
        <v>2025</v>
      </c>
      <c r="K50" s="614">
        <f>J50+1</f>
        <v>2026</v>
      </c>
      <c r="L50" s="243"/>
      <c r="N50" s="614">
        <f>FirstYear</f>
        <v>2021</v>
      </c>
      <c r="O50" s="614">
        <f>N50+1</f>
        <v>2022</v>
      </c>
      <c r="P50" s="614">
        <f>O50+1</f>
        <v>2023</v>
      </c>
      <c r="Q50" s="614">
        <f>P50+1</f>
        <v>2024</v>
      </c>
      <c r="R50" s="614">
        <f>Q50+1</f>
        <v>2025</v>
      </c>
      <c r="S50" s="614">
        <f>R50+1</f>
        <v>2026</v>
      </c>
    </row>
    <row r="51" spans="3:27" s="416" customFormat="1" hidden="1" outlineLevel="1" x14ac:dyDescent="0.2">
      <c r="E51" s="59" t="str">
        <f>TxPhase1Px</f>
        <v/>
      </c>
      <c r="F51" s="32">
        <f ca="1">IFERROR(INDEX(PxTxPhase1,$D49,F45),0)</f>
        <v>0</v>
      </c>
      <c r="G51" s="32">
        <f t="shared" ref="G51:K51" ca="1" si="16">IFERROR(INDEX(PxTxPhase1,$D49,G45),0)</f>
        <v>0</v>
      </c>
      <c r="H51" s="32">
        <f t="shared" ca="1" si="16"/>
        <v>0</v>
      </c>
      <c r="I51" s="32">
        <f t="shared" ca="1" si="16"/>
        <v>0</v>
      </c>
      <c r="J51" s="32">
        <f t="shared" ca="1" si="16"/>
        <v>0</v>
      </c>
      <c r="K51" s="32">
        <f t="shared" ca="1" si="16"/>
        <v>0</v>
      </c>
      <c r="L51" s="243"/>
      <c r="M51" s="59" t="str">
        <f>TxPhase2Px</f>
        <v/>
      </c>
      <c r="N51" s="32">
        <f t="shared" ref="N51:S51" ca="1" si="17">IFERROR(INDEX(PxTxPhase2,$D49,N45),0)</f>
        <v>0</v>
      </c>
      <c r="O51" s="32">
        <f t="shared" ca="1" si="17"/>
        <v>0</v>
      </c>
      <c r="P51" s="32">
        <f t="shared" ca="1" si="17"/>
        <v>0</v>
      </c>
      <c r="Q51" s="32">
        <f t="shared" ca="1" si="17"/>
        <v>0</v>
      </c>
      <c r="R51" s="32">
        <f t="shared" ca="1" si="17"/>
        <v>0</v>
      </c>
      <c r="S51" s="32">
        <f t="shared" ca="1" si="17"/>
        <v>0</v>
      </c>
    </row>
    <row r="52" spans="3:27" s="416" customFormat="1" hidden="1" outlineLevel="1" x14ac:dyDescent="0.2">
      <c r="D52" s="615"/>
      <c r="E52" s="615"/>
      <c r="F52" s="615"/>
      <c r="G52" s="615"/>
      <c r="H52" s="615"/>
      <c r="I52" s="615"/>
      <c r="J52" s="615"/>
      <c r="K52" s="615"/>
      <c r="L52" s="243"/>
      <c r="M52" s="615"/>
      <c r="N52" s="615"/>
    </row>
    <row r="53" spans="3:27" s="416" customFormat="1" hidden="1" outlineLevel="1" x14ac:dyDescent="0.2">
      <c r="D53" s="615"/>
      <c r="E53" s="243"/>
      <c r="F53" s="243"/>
      <c r="G53" s="243"/>
      <c r="H53" s="243"/>
      <c r="I53" s="243"/>
      <c r="J53" s="243"/>
      <c r="K53" s="243"/>
      <c r="L53" s="243"/>
      <c r="M53" s="243"/>
      <c r="N53" s="615"/>
      <c r="U53" s="578"/>
      <c r="V53" s="579">
        <f>$W63*1</f>
        <v>0</v>
      </c>
      <c r="W53" s="579">
        <f>$W63*2</f>
        <v>0</v>
      </c>
      <c r="X53" s="579">
        <f>$W63*3</f>
        <v>0</v>
      </c>
      <c r="Y53" s="579">
        <f>$W63*4</f>
        <v>0</v>
      </c>
      <c r="Z53" s="579">
        <f>$W63*5</f>
        <v>0</v>
      </c>
      <c r="AA53" s="579">
        <f>$W63*6</f>
        <v>0</v>
      </c>
    </row>
    <row r="54" spans="3:27" s="416" customFormat="1" hidden="1" outlineLevel="1" x14ac:dyDescent="0.2">
      <c r="E54" s="433" t="s">
        <v>1160</v>
      </c>
      <c r="F54" s="586"/>
      <c r="G54" s="268"/>
      <c r="H54" s="621"/>
      <c r="I54" s="621"/>
      <c r="J54" s="621"/>
      <c r="K54" s="621"/>
      <c r="L54" s="243"/>
      <c r="M54" s="433" t="s">
        <v>1160</v>
      </c>
      <c r="N54" s="586"/>
      <c r="O54" s="587" t="str">
        <f>IF(G54&lt;&gt;"",G54,"")</f>
        <v/>
      </c>
      <c r="P54" s="525"/>
      <c r="Q54" s="525"/>
      <c r="R54" s="525"/>
      <c r="S54" s="525"/>
      <c r="U54" s="580" t="s">
        <v>1156</v>
      </c>
      <c r="V54" s="581">
        <f>IF($F54&gt;=V53,$W63,IF($F54&gt;0,$F54,0))</f>
        <v>0</v>
      </c>
      <c r="W54" s="581">
        <f>IF($F54&gt;=W53,$W$41,IF($F54&gt;V53,($F54-V53),0))</f>
        <v>0</v>
      </c>
      <c r="X54" s="581">
        <f>IF($F54&gt;=X53,$W$41,IF($F54&gt;W53,($F54-W53),0))</f>
        <v>0</v>
      </c>
      <c r="Y54" s="581">
        <f>IF($F54&gt;=Y53,$W$41,IF($F54&gt;X53,($F54-X53),0))</f>
        <v>0</v>
      </c>
      <c r="Z54" s="581">
        <f>IF($F54&gt;=Z53,$W$41,IF($F54&gt;Y53,($F54-Y53),0))</f>
        <v>0</v>
      </c>
      <c r="AA54" s="581">
        <f>IF($F54&gt;=AA53,$W$41,IF($F54&gt;Z53,($F54-Z53),0))</f>
        <v>0</v>
      </c>
    </row>
    <row r="55" spans="3:27" s="416" customFormat="1" hidden="1" outlineLevel="1" x14ac:dyDescent="0.2">
      <c r="D55" s="615"/>
      <c r="E55" s="622"/>
      <c r="F55" s="622"/>
      <c r="G55" s="583"/>
      <c r="H55" s="622"/>
      <c r="I55" s="622"/>
      <c r="J55" s="622"/>
      <c r="K55" s="622"/>
      <c r="L55" s="243"/>
      <c r="M55" s="617"/>
      <c r="N55" s="618"/>
      <c r="O55" s="618"/>
      <c r="P55" s="618"/>
      <c r="Q55" s="618"/>
      <c r="R55" s="618"/>
      <c r="S55" s="618"/>
      <c r="U55" s="582" t="s">
        <v>1157</v>
      </c>
      <c r="V55" s="579">
        <f t="shared" ref="V55:AA55" si="18">IF(V54&gt;0,$W63-V54,$W63)</f>
        <v>0</v>
      </c>
      <c r="W55" s="579">
        <f t="shared" si="18"/>
        <v>0</v>
      </c>
      <c r="X55" s="579">
        <f t="shared" si="18"/>
        <v>0</v>
      </c>
      <c r="Y55" s="579">
        <f t="shared" si="18"/>
        <v>0</v>
      </c>
      <c r="Z55" s="579">
        <f t="shared" si="18"/>
        <v>0</v>
      </c>
      <c r="AA55" s="579">
        <f t="shared" si="18"/>
        <v>0</v>
      </c>
    </row>
    <row r="56" spans="3:27" s="416" customFormat="1" hidden="1" outlineLevel="1" x14ac:dyDescent="0.2">
      <c r="D56" s="615"/>
      <c r="E56" s="617" t="str">
        <f>E51</f>
        <v/>
      </c>
      <c r="F56" s="623"/>
      <c r="G56" s="588"/>
      <c r="H56" s="623"/>
      <c r="I56" s="623"/>
      <c r="J56" s="623"/>
      <c r="K56" s="623"/>
      <c r="L56" s="243"/>
      <c r="M56" s="617" t="str">
        <f>M51</f>
        <v/>
      </c>
      <c r="N56" s="619"/>
      <c r="O56" s="620"/>
      <c r="P56" s="620"/>
      <c r="Q56" s="620"/>
      <c r="R56" s="620"/>
      <c r="S56" s="620"/>
      <c r="U56" s="525"/>
      <c r="V56" s="525"/>
      <c r="W56" s="525"/>
      <c r="X56" s="525"/>
      <c r="Y56" s="525"/>
      <c r="Z56" s="525"/>
      <c r="AA56" s="525"/>
    </row>
    <row r="57" spans="3:27" s="416" customFormat="1" hidden="1" outlineLevel="1" x14ac:dyDescent="0.2">
      <c r="E57" s="589" t="s">
        <v>1207</v>
      </c>
      <c r="F57" s="63">
        <f ca="1">$F51*V60</f>
        <v>0</v>
      </c>
      <c r="G57" s="63">
        <f t="shared" ref="G57" ca="1" si="19">$F51*W60</f>
        <v>0</v>
      </c>
      <c r="H57" s="63">
        <f t="shared" ref="H57" ca="1" si="20">$F51*X60</f>
        <v>0</v>
      </c>
      <c r="I57" s="63">
        <f t="shared" ref="I57" ca="1" si="21">$F51*Y60</f>
        <v>0</v>
      </c>
      <c r="J57" s="63">
        <f t="shared" ref="J57" ca="1" si="22">$F51*Z60</f>
        <v>0</v>
      </c>
      <c r="K57" s="63">
        <f t="shared" ref="K57" ca="1" si="23">$F51*AA60</f>
        <v>0</v>
      </c>
      <c r="L57" s="243"/>
      <c r="M57" s="589" t="s">
        <v>1207</v>
      </c>
      <c r="N57" s="63">
        <f ca="1">$N51*V61</f>
        <v>0</v>
      </c>
      <c r="O57" s="63">
        <f ca="1">$N51*W61</f>
        <v>0</v>
      </c>
      <c r="P57" s="63">
        <f t="shared" ref="P57" ca="1" si="24">$N51*X61</f>
        <v>0</v>
      </c>
      <c r="Q57" s="63">
        <f t="shared" ref="Q57" ca="1" si="25">$N51*Y61</f>
        <v>0</v>
      </c>
      <c r="R57" s="63">
        <f t="shared" ref="R57" ca="1" si="26">$N51*Z61</f>
        <v>0</v>
      </c>
      <c r="S57" s="63">
        <f t="shared" ref="S57" ca="1" si="27">$N51*AA61</f>
        <v>0</v>
      </c>
      <c r="U57" s="582" t="s">
        <v>1158</v>
      </c>
      <c r="V57" s="581">
        <f>IF($N54&gt;=V55,V55,N54)</f>
        <v>0</v>
      </c>
      <c r="W57" s="581">
        <f>IF(V58&gt;=W55,W55,V58)</f>
        <v>0</v>
      </c>
      <c r="X57" s="581">
        <f>IF(W58&gt;=X55,X55,W58)</f>
        <v>0</v>
      </c>
      <c r="Y57" s="581">
        <f>IF(X58&gt;=Y55,Y55,X58)</f>
        <v>0</v>
      </c>
      <c r="Z57" s="581">
        <f>IF(Y58&gt;=Z55,Z55,Y58)</f>
        <v>0</v>
      </c>
      <c r="AA57" s="581">
        <f>IF(Z58&gt;=AA55,AA55,Z58)</f>
        <v>0</v>
      </c>
    </row>
    <row r="58" spans="3:27" s="416" customFormat="1" hidden="1" outlineLevel="1" x14ac:dyDescent="0.2">
      <c r="E58" s="589" t="s">
        <v>1208</v>
      </c>
      <c r="F58" s="130"/>
      <c r="G58" s="63">
        <f ca="1">$G51*V60</f>
        <v>0</v>
      </c>
      <c r="H58" s="63">
        <f t="shared" ref="H58" ca="1" si="28">$G51*W60</f>
        <v>0</v>
      </c>
      <c r="I58" s="63">
        <f t="shared" ref="I58" ca="1" si="29">$G51*X60</f>
        <v>0</v>
      </c>
      <c r="J58" s="63">
        <f t="shared" ref="J58" ca="1" si="30">$G51*Y60</f>
        <v>0</v>
      </c>
      <c r="K58" s="63">
        <f t="shared" ref="K58" ca="1" si="31">$G51*Z60</f>
        <v>0</v>
      </c>
      <c r="L58" s="243"/>
      <c r="M58" s="589" t="s">
        <v>1208</v>
      </c>
      <c r="N58" s="130"/>
      <c r="O58" s="63">
        <f ca="1">$O51*V61</f>
        <v>0</v>
      </c>
      <c r="P58" s="63">
        <f t="shared" ref="P58" ca="1" si="32">$O51*W61</f>
        <v>0</v>
      </c>
      <c r="Q58" s="63">
        <f t="shared" ref="Q58" ca="1" si="33">$O51*X61</f>
        <v>0</v>
      </c>
      <c r="R58" s="63">
        <f t="shared" ref="R58" ca="1" si="34">$O51*Y61</f>
        <v>0</v>
      </c>
      <c r="S58" s="63">
        <f t="shared" ref="S58" ca="1" si="35">$O51*Z61</f>
        <v>0</v>
      </c>
      <c r="U58" s="582" t="s">
        <v>1159</v>
      </c>
      <c r="V58" s="579">
        <f>$N54-V57</f>
        <v>0</v>
      </c>
      <c r="W58" s="579">
        <f>$N54-SUM($V57:W57)</f>
        <v>0</v>
      </c>
      <c r="X58" s="579">
        <f>$N54-SUM($V57:X57)</f>
        <v>0</v>
      </c>
      <c r="Y58" s="579">
        <f>$N54-SUM($V57:Y57)</f>
        <v>0</v>
      </c>
      <c r="Z58" s="579">
        <f>$N54-SUM($V57:Z57)</f>
        <v>0</v>
      </c>
      <c r="AA58" s="579">
        <f>$N54-SUM($V57:AA57)</f>
        <v>0</v>
      </c>
    </row>
    <row r="59" spans="3:27" s="416" customFormat="1" hidden="1" outlineLevel="1" x14ac:dyDescent="0.2">
      <c r="E59" s="589" t="s">
        <v>1209</v>
      </c>
      <c r="F59" s="130"/>
      <c r="G59" s="130"/>
      <c r="H59" s="63">
        <f ca="1">$H51*V60</f>
        <v>0</v>
      </c>
      <c r="I59" s="63">
        <f t="shared" ref="I59" ca="1" si="36">$H51*W60</f>
        <v>0</v>
      </c>
      <c r="J59" s="63">
        <f t="shared" ref="J59" ca="1" si="37">$H51*X60</f>
        <v>0</v>
      </c>
      <c r="K59" s="63">
        <f t="shared" ref="K59" ca="1" si="38">$H51*Y60</f>
        <v>0</v>
      </c>
      <c r="L59" s="243"/>
      <c r="M59" s="589" t="s">
        <v>1209</v>
      </c>
      <c r="N59" s="130"/>
      <c r="O59" s="130"/>
      <c r="P59" s="63">
        <f ca="1">$P51*V61</f>
        <v>0</v>
      </c>
      <c r="Q59" s="63">
        <f t="shared" ref="Q59" ca="1" si="39">$P51*W61</f>
        <v>0</v>
      </c>
      <c r="R59" s="63">
        <f t="shared" ref="R59" ca="1" si="40">$P51*X61</f>
        <v>0</v>
      </c>
      <c r="S59" s="63">
        <f t="shared" ref="S59" ca="1" si="41">$P51*Y61</f>
        <v>0</v>
      </c>
      <c r="U59" s="583"/>
      <c r="V59" s="584"/>
      <c r="W59" s="583"/>
      <c r="X59" s="583"/>
      <c r="Y59" s="583"/>
      <c r="Z59" s="583"/>
      <c r="AA59" s="525"/>
    </row>
    <row r="60" spans="3:27" s="416" customFormat="1" hidden="1" outlineLevel="1" x14ac:dyDescent="0.2">
      <c r="E60" s="589" t="s">
        <v>1210</v>
      </c>
      <c r="F60" s="130"/>
      <c r="G60" s="130"/>
      <c r="H60" s="130"/>
      <c r="I60" s="63">
        <f ca="1">$I51*V60</f>
        <v>0</v>
      </c>
      <c r="J60" s="63">
        <f t="shared" ref="J60" ca="1" si="42">$I51*W60</f>
        <v>0</v>
      </c>
      <c r="K60" s="63">
        <f t="shared" ref="K60" ca="1" si="43">$I51*X60</f>
        <v>0</v>
      </c>
      <c r="L60" s="243"/>
      <c r="M60" s="589" t="s">
        <v>1210</v>
      </c>
      <c r="N60" s="130"/>
      <c r="O60" s="130"/>
      <c r="P60" s="130"/>
      <c r="Q60" s="63">
        <f ca="1">$Q51*V61</f>
        <v>0</v>
      </c>
      <c r="R60" s="63">
        <f t="shared" ref="R60" ca="1" si="44">$Q51*W61</f>
        <v>0</v>
      </c>
      <c r="S60" s="63">
        <f t="shared" ref="S60" ca="1" si="45">$Q51*X61</f>
        <v>0</v>
      </c>
      <c r="U60" s="580" t="s">
        <v>1156</v>
      </c>
      <c r="V60" s="585">
        <f t="shared" ref="V60:AA60" si="46">IFERROR(V54/$W63,0)</f>
        <v>0</v>
      </c>
      <c r="W60" s="585">
        <f t="shared" si="46"/>
        <v>0</v>
      </c>
      <c r="X60" s="585">
        <f t="shared" si="46"/>
        <v>0</v>
      </c>
      <c r="Y60" s="585">
        <f t="shared" si="46"/>
        <v>0</v>
      </c>
      <c r="Z60" s="585">
        <f t="shared" si="46"/>
        <v>0</v>
      </c>
      <c r="AA60" s="585">
        <f t="shared" si="46"/>
        <v>0</v>
      </c>
    </row>
    <row r="61" spans="3:27" s="416" customFormat="1" hidden="1" outlineLevel="1" x14ac:dyDescent="0.2">
      <c r="E61" s="589" t="s">
        <v>1211</v>
      </c>
      <c r="F61" s="130"/>
      <c r="G61" s="130"/>
      <c r="H61" s="130"/>
      <c r="I61" s="130"/>
      <c r="J61" s="63">
        <f ca="1">$J51*V60</f>
        <v>0</v>
      </c>
      <c r="K61" s="63">
        <f ca="1">$J51*W60</f>
        <v>0</v>
      </c>
      <c r="L61" s="243"/>
      <c r="M61" s="589" t="s">
        <v>1211</v>
      </c>
      <c r="N61" s="130"/>
      <c r="O61" s="130"/>
      <c r="P61" s="130"/>
      <c r="Q61" s="130"/>
      <c r="R61" s="63">
        <f ca="1">$R51*V61</f>
        <v>0</v>
      </c>
      <c r="S61" s="63">
        <f ca="1">$R51*W61</f>
        <v>0</v>
      </c>
      <c r="U61" s="582" t="s">
        <v>1158</v>
      </c>
      <c r="V61" s="585">
        <f t="shared" ref="V61:AA61" si="47">IFERROR(V57/$W63,0)</f>
        <v>0</v>
      </c>
      <c r="W61" s="585">
        <f t="shared" si="47"/>
        <v>0</v>
      </c>
      <c r="X61" s="585">
        <f t="shared" si="47"/>
        <v>0</v>
      </c>
      <c r="Y61" s="585">
        <f t="shared" si="47"/>
        <v>0</v>
      </c>
      <c r="Z61" s="585">
        <f t="shared" si="47"/>
        <v>0</v>
      </c>
      <c r="AA61" s="585">
        <f t="shared" si="47"/>
        <v>0</v>
      </c>
    </row>
    <row r="62" spans="3:27" s="416" customFormat="1" hidden="1" outlineLevel="1" x14ac:dyDescent="0.2">
      <c r="E62" s="589" t="s">
        <v>1212</v>
      </c>
      <c r="F62" s="130"/>
      <c r="G62" s="130"/>
      <c r="H62" s="130"/>
      <c r="I62" s="130"/>
      <c r="J62" s="130"/>
      <c r="K62" s="63">
        <f ca="1">$K51*V60</f>
        <v>0</v>
      </c>
      <c r="L62" s="243"/>
      <c r="M62" s="589" t="s">
        <v>1212</v>
      </c>
      <c r="N62" s="130"/>
      <c r="O62" s="130"/>
      <c r="P62" s="130"/>
      <c r="Q62" s="130"/>
      <c r="R62" s="130"/>
      <c r="S62" s="63">
        <f ca="1">$S51*V61</f>
        <v>0</v>
      </c>
    </row>
    <row r="63" spans="3:27" s="416" customFormat="1" hidden="1" outlineLevel="1" x14ac:dyDescent="0.2">
      <c r="E63" s="590" t="str">
        <f>TxPhase1PxUnitsTx</f>
        <v/>
      </c>
      <c r="F63" s="591">
        <f ca="1">IF(F54&lt;&gt;"",SUM(F57:F62),F51)</f>
        <v>0</v>
      </c>
      <c r="G63" s="591">
        <f ca="1">IF(F54&lt;&gt;"",SUM(G57:G62),G51)</f>
        <v>0</v>
      </c>
      <c r="H63" s="591">
        <f ca="1">IF(F54&lt;&gt;"",SUM(H57:H62),H51)</f>
        <v>0</v>
      </c>
      <c r="I63" s="591">
        <f ca="1">IF(F54&lt;&gt;"",SUM(I57:I62),I51)</f>
        <v>0</v>
      </c>
      <c r="J63" s="591">
        <f ca="1">IF(F54&lt;&gt;"",SUM(J57:J62),J51)</f>
        <v>0</v>
      </c>
      <c r="K63" s="591">
        <f ca="1">IF(F54&lt;&gt;"",SUM(K57:K62),K51)</f>
        <v>0</v>
      </c>
      <c r="L63" s="243"/>
      <c r="M63" s="590" t="str">
        <f>TxPhase2PxUnitsTx</f>
        <v/>
      </c>
      <c r="N63" s="591">
        <f ca="1">IF(N54&lt;&gt;"",SUM(N57:N62),N51)</f>
        <v>0</v>
      </c>
      <c r="O63" s="591">
        <f ca="1">IF(N54&lt;&gt;"",SUM(O57:O62),O51)</f>
        <v>0</v>
      </c>
      <c r="P63" s="591">
        <f ca="1">IF(N54&lt;&gt;"",SUM(P57:P62),P51)</f>
        <v>0</v>
      </c>
      <c r="Q63" s="591">
        <f ca="1">IF(N54&lt;&gt;"",SUM(Q57:Q62),Q51)</f>
        <v>0</v>
      </c>
      <c r="R63" s="591">
        <f ca="1">IF(N54&lt;&gt;"",SUM(R57:R62),R51)</f>
        <v>0</v>
      </c>
      <c r="S63" s="591">
        <f ca="1">IF(N54&lt;&gt;"",SUM(S57:S62),S51)</f>
        <v>0</v>
      </c>
      <c r="U63" s="582" t="s">
        <v>1161</v>
      </c>
      <c r="V63" s="579">
        <f>IFERROR(VLOOKUP(G54,TimeUnitCode,2,FALSE),0)</f>
        <v>0</v>
      </c>
      <c r="W63" s="579">
        <f>IFERROR(INDEX(TimeUnitCount,V63,2),0)</f>
        <v>0</v>
      </c>
    </row>
    <row r="64" spans="3:27" hidden="1" outlineLevel="1" x14ac:dyDescent="0.2"/>
    <row r="65" spans="2:27" collapsed="1" x14ac:dyDescent="0.2"/>
    <row r="66" spans="2:27" s="416" customFormat="1" ht="15.75" x14ac:dyDescent="0.2">
      <c r="B66" s="475">
        <f>IF(F76+N76&gt;12,1,0)</f>
        <v>0</v>
      </c>
      <c r="C66" s="291">
        <f ca="1">IFERROR(INDEX(PxTxPhase1,$D71,7),0)</f>
        <v>0</v>
      </c>
      <c r="D66" s="573">
        <v>3</v>
      </c>
      <c r="E66" s="79" t="str">
        <f>IF(F70&lt;&gt;"",CONCATENATE("DTG ",D66,": ",H70,": ",N66),MsgNotUsed)</f>
        <v>** NOT USED **</v>
      </c>
      <c r="F66" s="132"/>
      <c r="G66" s="132"/>
      <c r="H66" s="132"/>
      <c r="I66" s="132"/>
      <c r="J66" s="134"/>
      <c r="K66" s="134"/>
      <c r="L66" s="134"/>
      <c r="M66" s="325"/>
      <c r="N66" s="637" t="str">
        <f>IF(AND(F76="",N76=""),"Full year",IF(AND(F76&lt;&gt;"",N76=""),CONCATENATE(F76," ",G76),IF(AND(F76="",N76&lt;&gt;""),CONCATENATE(N76," ",G76),CONCATENATE(F76," + ",N76," ",G76))))</f>
        <v>Full year</v>
      </c>
      <c r="O66" s="325"/>
      <c r="P66" s="325"/>
      <c r="Q66" s="325"/>
      <c r="R66" s="325"/>
      <c r="S66" s="325"/>
      <c r="T66" s="325"/>
      <c r="U66" s="325"/>
      <c r="V66" s="325"/>
      <c r="W66" s="325"/>
      <c r="X66" s="325"/>
      <c r="Y66" s="325"/>
      <c r="Z66" s="325"/>
      <c r="AA66" s="325"/>
    </row>
    <row r="67" spans="2:27" s="416" customFormat="1" hidden="1" outlineLevel="1" x14ac:dyDescent="0.2">
      <c r="C67" s="615"/>
      <c r="D67" s="615"/>
      <c r="E67" s="615"/>
      <c r="F67" s="624">
        <v>1</v>
      </c>
      <c r="G67" s="397">
        <v>2</v>
      </c>
      <c r="H67" s="397">
        <v>3</v>
      </c>
      <c r="I67" s="397">
        <v>4</v>
      </c>
      <c r="J67" s="397">
        <v>5</v>
      </c>
      <c r="K67" s="397">
        <v>6</v>
      </c>
      <c r="N67" s="397">
        <v>1</v>
      </c>
      <c r="O67" s="397">
        <v>2</v>
      </c>
      <c r="P67" s="397">
        <v>3</v>
      </c>
      <c r="Q67" s="397">
        <v>4</v>
      </c>
      <c r="R67" s="397">
        <v>5</v>
      </c>
      <c r="S67" s="397">
        <v>6</v>
      </c>
    </row>
    <row r="68" spans="2:27" s="416" customFormat="1" hidden="1" outlineLevel="1" x14ac:dyDescent="0.2">
      <c r="C68" s="243"/>
      <c r="D68" s="243"/>
      <c r="E68" s="162" t="s">
        <v>1206</v>
      </c>
      <c r="F68" s="615"/>
    </row>
    <row r="69" spans="2:27" s="416" customFormat="1" hidden="1" outlineLevel="1" x14ac:dyDescent="0.2">
      <c r="C69" s="243"/>
      <c r="D69" s="243"/>
      <c r="E69" s="616"/>
      <c r="F69" s="615"/>
      <c r="N69" s="615"/>
      <c r="O69" s="615"/>
      <c r="P69" s="615"/>
      <c r="Q69" s="615"/>
      <c r="R69" s="615"/>
      <c r="S69" s="615"/>
    </row>
    <row r="70" spans="2:27" s="416" customFormat="1" hidden="1" outlineLevel="1" x14ac:dyDescent="0.2">
      <c r="C70" s="291">
        <f>IF(F70&lt;&gt;"",MATCH(F70,PxTxSource,0)-1,0)</f>
        <v>0</v>
      </c>
      <c r="D70" s="291">
        <f ca="1">IF(H70&lt;&gt;"",MATCH(H70,OFFSET(References!$AE$23,0,C70,PxPopMaxCount),0),0)</f>
        <v>0</v>
      </c>
      <c r="E70" s="423" t="s">
        <v>113</v>
      </c>
      <c r="F70" s="613"/>
      <c r="H70" s="812"/>
      <c r="I70" s="813"/>
      <c r="J70" s="813"/>
      <c r="K70" s="813"/>
      <c r="L70" s="615"/>
      <c r="N70" s="806" t="str">
        <f ca="1">IF(ISERROR($D71)=TRUE,MsgError &amp; VLOOKUP("BadPop",ErrorMessages,2,FALSE),"")</f>
        <v/>
      </c>
      <c r="O70" s="806"/>
      <c r="P70" s="806"/>
      <c r="Q70" s="806"/>
      <c r="R70" s="806"/>
      <c r="S70" s="806"/>
    </row>
    <row r="71" spans="2:27" s="416" customFormat="1" hidden="1" outlineLevel="1" x14ac:dyDescent="0.2">
      <c r="C71" s="291">
        <f>INDEX(PxTxValid,,C70+1)</f>
        <v>0</v>
      </c>
      <c r="D71" s="291" t="str">
        <f ca="1">IF(AND(C70=0,D70=0),"",(C70*PxPopMaxCount)+D70)</f>
        <v/>
      </c>
      <c r="E71" s="243"/>
      <c r="L71" s="615"/>
      <c r="M71" s="615"/>
      <c r="N71" s="615"/>
      <c r="O71" s="615"/>
      <c r="P71" s="615"/>
      <c r="Q71" s="615"/>
      <c r="R71" s="615"/>
      <c r="S71" s="615"/>
    </row>
    <row r="72" spans="2:27" s="416" customFormat="1" hidden="1" outlineLevel="1" x14ac:dyDescent="0.2">
      <c r="C72" s="615"/>
      <c r="E72" s="495"/>
      <c r="F72" s="614">
        <f>FirstYear</f>
        <v>2021</v>
      </c>
      <c r="G72" s="614">
        <f>F72+1</f>
        <v>2022</v>
      </c>
      <c r="H72" s="614">
        <f>G72+1</f>
        <v>2023</v>
      </c>
      <c r="I72" s="614">
        <f>H72+1</f>
        <v>2024</v>
      </c>
      <c r="J72" s="614">
        <f>I72+1</f>
        <v>2025</v>
      </c>
      <c r="K72" s="614">
        <f>J72+1</f>
        <v>2026</v>
      </c>
      <c r="L72" s="243"/>
      <c r="N72" s="614">
        <f>FirstYear</f>
        <v>2021</v>
      </c>
      <c r="O72" s="614">
        <f>N72+1</f>
        <v>2022</v>
      </c>
      <c r="P72" s="614">
        <f>O72+1</f>
        <v>2023</v>
      </c>
      <c r="Q72" s="614">
        <f>P72+1</f>
        <v>2024</v>
      </c>
      <c r="R72" s="614">
        <f>Q72+1</f>
        <v>2025</v>
      </c>
      <c r="S72" s="614">
        <f>R72+1</f>
        <v>2026</v>
      </c>
    </row>
    <row r="73" spans="2:27" s="416" customFormat="1" hidden="1" outlineLevel="1" x14ac:dyDescent="0.2">
      <c r="E73" s="59" t="str">
        <f>TxPhase1Px</f>
        <v/>
      </c>
      <c r="F73" s="32">
        <f t="shared" ref="F73:K73" ca="1" si="48">IFERROR(INDEX(PxTxPhase1,$D71,F67),0)</f>
        <v>0</v>
      </c>
      <c r="G73" s="32">
        <f t="shared" ca="1" si="48"/>
        <v>0</v>
      </c>
      <c r="H73" s="32">
        <f t="shared" ca="1" si="48"/>
        <v>0</v>
      </c>
      <c r="I73" s="32">
        <f t="shared" ca="1" si="48"/>
        <v>0</v>
      </c>
      <c r="J73" s="32">
        <f t="shared" ca="1" si="48"/>
        <v>0</v>
      </c>
      <c r="K73" s="32">
        <f t="shared" ca="1" si="48"/>
        <v>0</v>
      </c>
      <c r="L73" s="243"/>
      <c r="M73" s="59" t="str">
        <f>TxPhase2Px</f>
        <v/>
      </c>
      <c r="N73" s="32">
        <f t="shared" ref="N73:S73" ca="1" si="49">IFERROR(INDEX(PxTxPhase2,$D71,N67),0)</f>
        <v>0</v>
      </c>
      <c r="O73" s="32">
        <f t="shared" ca="1" si="49"/>
        <v>0</v>
      </c>
      <c r="P73" s="32">
        <f t="shared" ca="1" si="49"/>
        <v>0</v>
      </c>
      <c r="Q73" s="32">
        <f t="shared" ca="1" si="49"/>
        <v>0</v>
      </c>
      <c r="R73" s="32">
        <f t="shared" ca="1" si="49"/>
        <v>0</v>
      </c>
      <c r="S73" s="32">
        <f t="shared" ca="1" si="49"/>
        <v>0</v>
      </c>
    </row>
    <row r="74" spans="2:27" s="416" customFormat="1" hidden="1" outlineLevel="1" x14ac:dyDescent="0.2">
      <c r="D74" s="615"/>
      <c r="E74" s="615"/>
      <c r="F74" s="615"/>
      <c r="G74" s="615"/>
      <c r="H74" s="615"/>
      <c r="I74" s="615"/>
      <c r="J74" s="615"/>
      <c r="K74" s="615"/>
      <c r="L74" s="243"/>
      <c r="M74" s="615"/>
      <c r="N74" s="615"/>
    </row>
    <row r="75" spans="2:27" s="416" customFormat="1" hidden="1" outlineLevel="1" x14ac:dyDescent="0.2">
      <c r="D75" s="615"/>
      <c r="E75" s="243"/>
      <c r="F75" s="243"/>
      <c r="G75" s="243"/>
      <c r="H75" s="243"/>
      <c r="I75" s="243"/>
      <c r="J75" s="243"/>
      <c r="K75" s="243"/>
      <c r="L75" s="243"/>
      <c r="M75" s="243"/>
      <c r="N75" s="615"/>
      <c r="U75" s="578"/>
      <c r="V75" s="579">
        <f>$W85*1</f>
        <v>0</v>
      </c>
      <c r="W75" s="579">
        <f>$W85*2</f>
        <v>0</v>
      </c>
      <c r="X75" s="579">
        <f>$W85*3</f>
        <v>0</v>
      </c>
      <c r="Y75" s="579">
        <f>$W85*4</f>
        <v>0</v>
      </c>
      <c r="Z75" s="579">
        <f>$W85*5</f>
        <v>0</v>
      </c>
      <c r="AA75" s="579">
        <f>$W85*6</f>
        <v>0</v>
      </c>
    </row>
    <row r="76" spans="2:27" s="416" customFormat="1" hidden="1" outlineLevel="1" x14ac:dyDescent="0.2">
      <c r="E76" s="433" t="s">
        <v>1160</v>
      </c>
      <c r="F76" s="586"/>
      <c r="G76" s="268"/>
      <c r="H76" s="621"/>
      <c r="I76" s="621"/>
      <c r="J76" s="621"/>
      <c r="K76" s="621"/>
      <c r="L76" s="243"/>
      <c r="M76" s="433" t="s">
        <v>1160</v>
      </c>
      <c r="N76" s="586"/>
      <c r="O76" s="587" t="str">
        <f>IF(G76&lt;&gt;"",G76,"")</f>
        <v/>
      </c>
      <c r="P76" s="525"/>
      <c r="Q76" s="525"/>
      <c r="R76" s="525"/>
      <c r="S76" s="525"/>
      <c r="U76" s="580" t="s">
        <v>1156</v>
      </c>
      <c r="V76" s="581">
        <f>IF($F76&gt;=V75,$W85,IF($F76&gt;0,$F76,0))</f>
        <v>0</v>
      </c>
      <c r="W76" s="581">
        <f>IF($F76&gt;=W75,$W$41,IF($F76&gt;V75,($F76-V75),0))</f>
        <v>0</v>
      </c>
      <c r="X76" s="581">
        <f>IF($F76&gt;=X75,$W$41,IF($F76&gt;W75,($F76-W75),0))</f>
        <v>0</v>
      </c>
      <c r="Y76" s="581">
        <f>IF($F76&gt;=Y75,$W$41,IF($F76&gt;X75,($F76-X75),0))</f>
        <v>0</v>
      </c>
      <c r="Z76" s="581">
        <f>IF($F76&gt;=Z75,$W$41,IF($F76&gt;Y75,($F76-Y75),0))</f>
        <v>0</v>
      </c>
      <c r="AA76" s="581">
        <f>IF($F76&gt;=AA75,$W$41,IF($F76&gt;Z75,($F76-Z75),0))</f>
        <v>0</v>
      </c>
    </row>
    <row r="77" spans="2:27" s="416" customFormat="1" hidden="1" outlineLevel="1" x14ac:dyDescent="0.2">
      <c r="D77" s="615"/>
      <c r="E77" s="622"/>
      <c r="F77" s="622"/>
      <c r="G77" s="583"/>
      <c r="H77" s="622"/>
      <c r="I77" s="622"/>
      <c r="J77" s="622"/>
      <c r="K77" s="622"/>
      <c r="L77" s="243"/>
      <c r="M77" s="617"/>
      <c r="N77" s="618"/>
      <c r="O77" s="618"/>
      <c r="P77" s="618"/>
      <c r="Q77" s="618"/>
      <c r="R77" s="618"/>
      <c r="S77" s="618"/>
      <c r="U77" s="582" t="s">
        <v>1157</v>
      </c>
      <c r="V77" s="579">
        <f t="shared" ref="V77:AA77" si="50">IF(V76&gt;0,$W85-V76,$W85)</f>
        <v>0</v>
      </c>
      <c r="W77" s="579">
        <f t="shared" si="50"/>
        <v>0</v>
      </c>
      <c r="X77" s="579">
        <f t="shared" si="50"/>
        <v>0</v>
      </c>
      <c r="Y77" s="579">
        <f t="shared" si="50"/>
        <v>0</v>
      </c>
      <c r="Z77" s="579">
        <f t="shared" si="50"/>
        <v>0</v>
      </c>
      <c r="AA77" s="579">
        <f t="shared" si="50"/>
        <v>0</v>
      </c>
    </row>
    <row r="78" spans="2:27" s="416" customFormat="1" hidden="1" outlineLevel="1" x14ac:dyDescent="0.2">
      <c r="D78" s="615"/>
      <c r="E78" s="617" t="str">
        <f>E73</f>
        <v/>
      </c>
      <c r="F78" s="623"/>
      <c r="G78" s="588"/>
      <c r="H78" s="623"/>
      <c r="I78" s="623"/>
      <c r="J78" s="623"/>
      <c r="K78" s="623"/>
      <c r="L78" s="243"/>
      <c r="M78" s="617" t="str">
        <f>M73</f>
        <v/>
      </c>
      <c r="N78" s="619"/>
      <c r="O78" s="620"/>
      <c r="P78" s="620"/>
      <c r="Q78" s="620"/>
      <c r="R78" s="620"/>
      <c r="S78" s="620"/>
      <c r="U78" s="525"/>
      <c r="V78" s="525"/>
      <c r="W78" s="525"/>
      <c r="X78" s="525"/>
      <c r="Y78" s="525"/>
      <c r="Z78" s="525"/>
      <c r="AA78" s="525"/>
    </row>
    <row r="79" spans="2:27" s="416" customFormat="1" hidden="1" outlineLevel="1" x14ac:dyDescent="0.2">
      <c r="E79" s="589" t="s">
        <v>1207</v>
      </c>
      <c r="F79" s="63">
        <f ca="1">$F73*V82</f>
        <v>0</v>
      </c>
      <c r="G79" s="63">
        <f t="shared" ref="G79" ca="1" si="51">$F73*W82</f>
        <v>0</v>
      </c>
      <c r="H79" s="63">
        <f t="shared" ref="H79" ca="1" si="52">$F73*X82</f>
        <v>0</v>
      </c>
      <c r="I79" s="63">
        <f t="shared" ref="I79" ca="1" si="53">$F73*Y82</f>
        <v>0</v>
      </c>
      <c r="J79" s="63">
        <f t="shared" ref="J79" ca="1" si="54">$F73*Z82</f>
        <v>0</v>
      </c>
      <c r="K79" s="63">
        <f t="shared" ref="K79" ca="1" si="55">$F73*AA82</f>
        <v>0</v>
      </c>
      <c r="L79" s="243"/>
      <c r="M79" s="589" t="s">
        <v>1207</v>
      </c>
      <c r="N79" s="63">
        <f ca="1">$N73*V83</f>
        <v>0</v>
      </c>
      <c r="O79" s="63">
        <f ca="1">$N73*W83</f>
        <v>0</v>
      </c>
      <c r="P79" s="63">
        <f t="shared" ref="P79" ca="1" si="56">$N73*X83</f>
        <v>0</v>
      </c>
      <c r="Q79" s="63">
        <f t="shared" ref="Q79" ca="1" si="57">$N73*Y83</f>
        <v>0</v>
      </c>
      <c r="R79" s="63">
        <f t="shared" ref="R79" ca="1" si="58">$N73*Z83</f>
        <v>0</v>
      </c>
      <c r="S79" s="63">
        <f t="shared" ref="S79" ca="1" si="59">$N73*AA83</f>
        <v>0</v>
      </c>
      <c r="U79" s="582" t="s">
        <v>1158</v>
      </c>
      <c r="V79" s="581">
        <f>IF($N76&gt;=V77,V77,N76)</f>
        <v>0</v>
      </c>
      <c r="W79" s="581">
        <f>IF(V80&gt;=W77,W77,V80)</f>
        <v>0</v>
      </c>
      <c r="X79" s="581">
        <f>IF(W80&gt;=X77,X77,W80)</f>
        <v>0</v>
      </c>
      <c r="Y79" s="581">
        <f>IF(X80&gt;=Y77,Y77,X80)</f>
        <v>0</v>
      </c>
      <c r="Z79" s="581">
        <f>IF(Y80&gt;=Z77,Z77,Y80)</f>
        <v>0</v>
      </c>
      <c r="AA79" s="581">
        <f>IF(Z80&gt;=AA77,AA77,Z80)</f>
        <v>0</v>
      </c>
    </row>
    <row r="80" spans="2:27" s="416" customFormat="1" hidden="1" outlineLevel="1" x14ac:dyDescent="0.2">
      <c r="E80" s="589" t="s">
        <v>1208</v>
      </c>
      <c r="F80" s="130"/>
      <c r="G80" s="63">
        <f ca="1">$G73*V82</f>
        <v>0</v>
      </c>
      <c r="H80" s="63">
        <f t="shared" ref="H80" ca="1" si="60">$G73*W82</f>
        <v>0</v>
      </c>
      <c r="I80" s="63">
        <f t="shared" ref="I80" ca="1" si="61">$G73*X82</f>
        <v>0</v>
      </c>
      <c r="J80" s="63">
        <f t="shared" ref="J80" ca="1" si="62">$G73*Y82</f>
        <v>0</v>
      </c>
      <c r="K80" s="63">
        <f t="shared" ref="K80" ca="1" si="63">$G73*Z82</f>
        <v>0</v>
      </c>
      <c r="L80" s="243"/>
      <c r="M80" s="589" t="s">
        <v>1208</v>
      </c>
      <c r="N80" s="130"/>
      <c r="O80" s="63">
        <f ca="1">$O73*V83</f>
        <v>0</v>
      </c>
      <c r="P80" s="63">
        <f t="shared" ref="P80" ca="1" si="64">$O73*W83</f>
        <v>0</v>
      </c>
      <c r="Q80" s="63">
        <f t="shared" ref="Q80" ca="1" si="65">$O73*X83</f>
        <v>0</v>
      </c>
      <c r="R80" s="63">
        <f t="shared" ref="R80" ca="1" si="66">$O73*Y83</f>
        <v>0</v>
      </c>
      <c r="S80" s="63">
        <f t="shared" ref="S80" ca="1" si="67">$O73*Z83</f>
        <v>0</v>
      </c>
      <c r="U80" s="582" t="s">
        <v>1159</v>
      </c>
      <c r="V80" s="579">
        <f>$N76-V79</f>
        <v>0</v>
      </c>
      <c r="W80" s="579">
        <f>$N76-SUM($V79:W79)</f>
        <v>0</v>
      </c>
      <c r="X80" s="579">
        <f>$N76-SUM($V79:X79)</f>
        <v>0</v>
      </c>
      <c r="Y80" s="579">
        <f>$N76-SUM($V79:Y79)</f>
        <v>0</v>
      </c>
      <c r="Z80" s="579">
        <f>$N76-SUM($V79:Z79)</f>
        <v>0</v>
      </c>
      <c r="AA80" s="579">
        <f>$N76-SUM($V79:AA79)</f>
        <v>0</v>
      </c>
    </row>
    <row r="81" spans="2:27" s="416" customFormat="1" hidden="1" outlineLevel="1" x14ac:dyDescent="0.2">
      <c r="E81" s="589" t="s">
        <v>1209</v>
      </c>
      <c r="F81" s="130"/>
      <c r="G81" s="130"/>
      <c r="H81" s="63">
        <f ca="1">$H73*V82</f>
        <v>0</v>
      </c>
      <c r="I81" s="63">
        <f t="shared" ref="I81" ca="1" si="68">$H73*W82</f>
        <v>0</v>
      </c>
      <c r="J81" s="63">
        <f t="shared" ref="J81" ca="1" si="69">$H73*X82</f>
        <v>0</v>
      </c>
      <c r="K81" s="63">
        <f t="shared" ref="K81" ca="1" si="70">$H73*Y82</f>
        <v>0</v>
      </c>
      <c r="L81" s="243"/>
      <c r="M81" s="589" t="s">
        <v>1209</v>
      </c>
      <c r="N81" s="130"/>
      <c r="O81" s="130"/>
      <c r="P81" s="63">
        <f ca="1">$P73*V83</f>
        <v>0</v>
      </c>
      <c r="Q81" s="63">
        <f t="shared" ref="Q81" ca="1" si="71">$P73*W83</f>
        <v>0</v>
      </c>
      <c r="R81" s="63">
        <f t="shared" ref="R81" ca="1" si="72">$P73*X83</f>
        <v>0</v>
      </c>
      <c r="S81" s="63">
        <f t="shared" ref="S81" ca="1" si="73">$P73*Y83</f>
        <v>0</v>
      </c>
      <c r="U81" s="583"/>
      <c r="V81" s="584"/>
      <c r="W81" s="583"/>
      <c r="X81" s="583"/>
      <c r="Y81" s="583"/>
      <c r="Z81" s="583"/>
      <c r="AA81" s="525"/>
    </row>
    <row r="82" spans="2:27" s="416" customFormat="1" hidden="1" outlineLevel="1" x14ac:dyDescent="0.2">
      <c r="E82" s="589" t="s">
        <v>1210</v>
      </c>
      <c r="F82" s="130"/>
      <c r="G82" s="130"/>
      <c r="H82" s="130"/>
      <c r="I82" s="63">
        <f ca="1">$I73*V82</f>
        <v>0</v>
      </c>
      <c r="J82" s="63">
        <f t="shared" ref="J82" ca="1" si="74">$I73*W82</f>
        <v>0</v>
      </c>
      <c r="K82" s="63">
        <f t="shared" ref="K82" ca="1" si="75">$I73*X82</f>
        <v>0</v>
      </c>
      <c r="L82" s="243"/>
      <c r="M82" s="589" t="s">
        <v>1210</v>
      </c>
      <c r="N82" s="130"/>
      <c r="O82" s="130"/>
      <c r="P82" s="130"/>
      <c r="Q82" s="63">
        <f ca="1">$Q73*V83</f>
        <v>0</v>
      </c>
      <c r="R82" s="63">
        <f t="shared" ref="R82" ca="1" si="76">$Q73*W83</f>
        <v>0</v>
      </c>
      <c r="S82" s="63">
        <f t="shared" ref="S82" ca="1" si="77">$Q73*X83</f>
        <v>0</v>
      </c>
      <c r="U82" s="580" t="s">
        <v>1156</v>
      </c>
      <c r="V82" s="585">
        <f t="shared" ref="V82:AA82" si="78">IFERROR(V76/$W85,0)</f>
        <v>0</v>
      </c>
      <c r="W82" s="585">
        <f t="shared" si="78"/>
        <v>0</v>
      </c>
      <c r="X82" s="585">
        <f t="shared" si="78"/>
        <v>0</v>
      </c>
      <c r="Y82" s="585">
        <f t="shared" si="78"/>
        <v>0</v>
      </c>
      <c r="Z82" s="585">
        <f t="shared" si="78"/>
        <v>0</v>
      </c>
      <c r="AA82" s="585">
        <f t="shared" si="78"/>
        <v>0</v>
      </c>
    </row>
    <row r="83" spans="2:27" s="416" customFormat="1" hidden="1" outlineLevel="1" x14ac:dyDescent="0.2">
      <c r="E83" s="589" t="s">
        <v>1211</v>
      </c>
      <c r="F83" s="130"/>
      <c r="G83" s="130"/>
      <c r="H83" s="130"/>
      <c r="I83" s="130"/>
      <c r="J83" s="63">
        <f ca="1">$J73*V82</f>
        <v>0</v>
      </c>
      <c r="K83" s="63">
        <f ca="1">$J73*W82</f>
        <v>0</v>
      </c>
      <c r="L83" s="243"/>
      <c r="M83" s="589" t="s">
        <v>1211</v>
      </c>
      <c r="N83" s="130"/>
      <c r="O83" s="130"/>
      <c r="P83" s="130"/>
      <c r="Q83" s="130"/>
      <c r="R83" s="63">
        <f ca="1">$R73*V83</f>
        <v>0</v>
      </c>
      <c r="S83" s="63">
        <f ca="1">$R73*W83</f>
        <v>0</v>
      </c>
      <c r="U83" s="582" t="s">
        <v>1158</v>
      </c>
      <c r="V83" s="585">
        <f t="shared" ref="V83:AA83" si="79">IFERROR(V79/$W85,0)</f>
        <v>0</v>
      </c>
      <c r="W83" s="585">
        <f t="shared" si="79"/>
        <v>0</v>
      </c>
      <c r="X83" s="585">
        <f t="shared" si="79"/>
        <v>0</v>
      </c>
      <c r="Y83" s="585">
        <f t="shared" si="79"/>
        <v>0</v>
      </c>
      <c r="Z83" s="585">
        <f t="shared" si="79"/>
        <v>0</v>
      </c>
      <c r="AA83" s="585">
        <f t="shared" si="79"/>
        <v>0</v>
      </c>
    </row>
    <row r="84" spans="2:27" s="416" customFormat="1" hidden="1" outlineLevel="1" x14ac:dyDescent="0.2">
      <c r="E84" s="589" t="s">
        <v>1212</v>
      </c>
      <c r="F84" s="130"/>
      <c r="G84" s="130"/>
      <c r="H84" s="130"/>
      <c r="I84" s="130"/>
      <c r="J84" s="130"/>
      <c r="K84" s="63">
        <f ca="1">$K73*V82</f>
        <v>0</v>
      </c>
      <c r="L84" s="243"/>
      <c r="M84" s="589" t="s">
        <v>1212</v>
      </c>
      <c r="N84" s="130"/>
      <c r="O84" s="130"/>
      <c r="P84" s="130"/>
      <c r="Q84" s="130"/>
      <c r="R84" s="130"/>
      <c r="S84" s="63">
        <f ca="1">$S73*V83</f>
        <v>0</v>
      </c>
    </row>
    <row r="85" spans="2:27" s="416" customFormat="1" hidden="1" outlineLevel="1" x14ac:dyDescent="0.2">
      <c r="E85" s="590" t="str">
        <f>TxPhase1PxUnitsTx</f>
        <v/>
      </c>
      <c r="F85" s="591">
        <f ca="1">IF(F76&lt;&gt;"",SUM(F79:F84),F73)</f>
        <v>0</v>
      </c>
      <c r="G85" s="591">
        <f ca="1">IF(F76&lt;&gt;"",SUM(G79:G84),G73)</f>
        <v>0</v>
      </c>
      <c r="H85" s="591">
        <f ca="1">IF(F76&lt;&gt;"",SUM(H79:H84),H73)</f>
        <v>0</v>
      </c>
      <c r="I85" s="591">
        <f ca="1">IF(F76&lt;&gt;"",SUM(I79:I84),I73)</f>
        <v>0</v>
      </c>
      <c r="J85" s="591">
        <f ca="1">IF(F76&lt;&gt;"",SUM(J79:J84),J73)</f>
        <v>0</v>
      </c>
      <c r="K85" s="591">
        <f ca="1">IF(F76&lt;&gt;"",SUM(K79:K84),K73)</f>
        <v>0</v>
      </c>
      <c r="L85" s="243"/>
      <c r="M85" s="590" t="str">
        <f>TxPhase2PxUnitsTx</f>
        <v/>
      </c>
      <c r="N85" s="591">
        <f ca="1">IF(N76&lt;&gt;"",SUM(N79:N84),N73)</f>
        <v>0</v>
      </c>
      <c r="O85" s="591">
        <f ca="1">IF(N76&lt;&gt;"",SUM(O79:O84),O73)</f>
        <v>0</v>
      </c>
      <c r="P85" s="591">
        <f ca="1">IF(N76&lt;&gt;"",SUM(P79:P84),P73)</f>
        <v>0</v>
      </c>
      <c r="Q85" s="591">
        <f ca="1">IF(N76&lt;&gt;"",SUM(Q79:Q84),Q73)</f>
        <v>0</v>
      </c>
      <c r="R85" s="591">
        <f ca="1">IF(N76&lt;&gt;"",SUM(R79:R84),R73)</f>
        <v>0</v>
      </c>
      <c r="S85" s="591">
        <f ca="1">IF(N76&lt;&gt;"",SUM(S79:S84),S73)</f>
        <v>0</v>
      </c>
      <c r="U85" s="582" t="s">
        <v>1161</v>
      </c>
      <c r="V85" s="579">
        <f>IFERROR(VLOOKUP(G76,TimeUnitCode,2,FALSE),0)</f>
        <v>0</v>
      </c>
      <c r="W85" s="579">
        <f>IFERROR(INDEX(TimeUnitCount,V85,2),0)</f>
        <v>0</v>
      </c>
    </row>
    <row r="86" spans="2:27" hidden="1" outlineLevel="1" x14ac:dyDescent="0.2"/>
    <row r="87" spans="2:27" collapsed="1" x14ac:dyDescent="0.2"/>
    <row r="88" spans="2:27" s="416" customFormat="1" ht="15.75" x14ac:dyDescent="0.2">
      <c r="B88" s="475">
        <f>IF(F98+N98&gt;12,1,0)</f>
        <v>0</v>
      </c>
      <c r="C88" s="291">
        <f ca="1">IFERROR(INDEX(PxTxPhase1,$D93,7),0)</f>
        <v>0</v>
      </c>
      <c r="D88" s="573">
        <v>4</v>
      </c>
      <c r="E88" s="79" t="str">
        <f>IF(F92&lt;&gt;"",CONCATENATE("DTG ",D88,": ",H92,": ",N88),MsgNotUsed)</f>
        <v>** NOT USED **</v>
      </c>
      <c r="F88" s="132"/>
      <c r="G88" s="132"/>
      <c r="H88" s="132"/>
      <c r="I88" s="132"/>
      <c r="J88" s="134"/>
      <c r="K88" s="134"/>
      <c r="L88" s="134"/>
      <c r="M88" s="325"/>
      <c r="N88" s="637" t="str">
        <f>IF(AND(F98="",N98=""),"Full year",IF(AND(F98&lt;&gt;"",N98=""),CONCATENATE(F98," ",G98),IF(AND(F98="",N98&lt;&gt;""),CONCATENATE(N98," ",G98),CONCATENATE(F98," + ",N98," ",G98))))</f>
        <v>Full year</v>
      </c>
      <c r="O88" s="325"/>
      <c r="P88" s="325"/>
      <c r="Q88" s="325"/>
      <c r="R88" s="325"/>
      <c r="S88" s="325"/>
      <c r="T88" s="325"/>
      <c r="U88" s="325"/>
      <c r="V88" s="325"/>
      <c r="W88" s="325"/>
      <c r="X88" s="325"/>
      <c r="Y88" s="325"/>
      <c r="Z88" s="325"/>
      <c r="AA88" s="325"/>
    </row>
    <row r="89" spans="2:27" s="416" customFormat="1" hidden="1" outlineLevel="1" x14ac:dyDescent="0.2">
      <c r="C89" s="615"/>
      <c r="D89" s="615"/>
      <c r="E89" s="615"/>
      <c r="F89" s="624">
        <v>1</v>
      </c>
      <c r="G89" s="397">
        <v>2</v>
      </c>
      <c r="H89" s="397">
        <v>3</v>
      </c>
      <c r="I89" s="397">
        <v>4</v>
      </c>
      <c r="J89" s="397">
        <v>5</v>
      </c>
      <c r="K89" s="397">
        <v>6</v>
      </c>
      <c r="N89" s="397">
        <v>1</v>
      </c>
      <c r="O89" s="397">
        <v>2</v>
      </c>
      <c r="P89" s="397">
        <v>3</v>
      </c>
      <c r="Q89" s="397">
        <v>4</v>
      </c>
      <c r="R89" s="397">
        <v>5</v>
      </c>
      <c r="S89" s="397">
        <v>6</v>
      </c>
    </row>
    <row r="90" spans="2:27" s="416" customFormat="1" hidden="1" outlineLevel="1" x14ac:dyDescent="0.2">
      <c r="C90" s="243"/>
      <c r="D90" s="243"/>
      <c r="E90" s="162" t="s">
        <v>1206</v>
      </c>
      <c r="F90" s="615"/>
    </row>
    <row r="91" spans="2:27" s="416" customFormat="1" hidden="1" outlineLevel="1" x14ac:dyDescent="0.2">
      <c r="C91" s="243"/>
      <c r="D91" s="243"/>
      <c r="E91" s="616"/>
      <c r="F91" s="615"/>
      <c r="N91" s="615"/>
      <c r="O91" s="615"/>
      <c r="P91" s="615"/>
      <c r="Q91" s="615"/>
      <c r="R91" s="615"/>
      <c r="S91" s="615"/>
    </row>
    <row r="92" spans="2:27" s="416" customFormat="1" hidden="1" outlineLevel="1" x14ac:dyDescent="0.2">
      <c r="C92" s="291">
        <f>IF(F92&lt;&gt;"",MATCH(F92,PxTxSource,0)-1,0)</f>
        <v>0</v>
      </c>
      <c r="D92" s="291">
        <f ca="1">IF(H92&lt;&gt;"",MATCH(H92,OFFSET(References!$AE$23,0,C92,PxPopMaxCount),0),0)</f>
        <v>0</v>
      </c>
      <c r="E92" s="423" t="s">
        <v>113</v>
      </c>
      <c r="F92" s="613"/>
      <c r="H92" s="812"/>
      <c r="I92" s="813"/>
      <c r="J92" s="813"/>
      <c r="K92" s="813"/>
      <c r="L92" s="615"/>
      <c r="N92" s="806" t="str">
        <f ca="1">IF(ISERROR($D93)=TRUE,MsgError &amp; VLOOKUP("BadPop",ErrorMessages,2,FALSE),"")</f>
        <v/>
      </c>
      <c r="O92" s="806"/>
      <c r="P92" s="806"/>
      <c r="Q92" s="806"/>
      <c r="R92" s="806"/>
      <c r="S92" s="806"/>
    </row>
    <row r="93" spans="2:27" s="416" customFormat="1" hidden="1" outlineLevel="1" x14ac:dyDescent="0.2">
      <c r="C93" s="291">
        <f>INDEX(PxTxValid,,C92+1)</f>
        <v>0</v>
      </c>
      <c r="D93" s="291" t="str">
        <f ca="1">IF(AND(C92=0,D92=0),"",(C92*PxPopMaxCount)+D92)</f>
        <v/>
      </c>
      <c r="E93" s="243"/>
      <c r="L93" s="615"/>
      <c r="M93" s="615"/>
      <c r="N93" s="615"/>
      <c r="O93" s="615"/>
      <c r="P93" s="615"/>
      <c r="Q93" s="615"/>
      <c r="R93" s="615"/>
      <c r="S93" s="615"/>
    </row>
    <row r="94" spans="2:27" s="416" customFormat="1" hidden="1" outlineLevel="1" x14ac:dyDescent="0.2">
      <c r="C94" s="615"/>
      <c r="E94" s="495"/>
      <c r="F94" s="614">
        <f>FirstYear</f>
        <v>2021</v>
      </c>
      <c r="G94" s="614">
        <f>F94+1</f>
        <v>2022</v>
      </c>
      <c r="H94" s="614">
        <f>G94+1</f>
        <v>2023</v>
      </c>
      <c r="I94" s="614">
        <f>H94+1</f>
        <v>2024</v>
      </c>
      <c r="J94" s="614">
        <f>I94+1</f>
        <v>2025</v>
      </c>
      <c r="K94" s="614">
        <f>J94+1</f>
        <v>2026</v>
      </c>
      <c r="L94" s="243"/>
      <c r="N94" s="614">
        <f>FirstYear</f>
        <v>2021</v>
      </c>
      <c r="O94" s="614">
        <f>N94+1</f>
        <v>2022</v>
      </c>
      <c r="P94" s="614">
        <f>O94+1</f>
        <v>2023</v>
      </c>
      <c r="Q94" s="614">
        <f>P94+1</f>
        <v>2024</v>
      </c>
      <c r="R94" s="614">
        <f>Q94+1</f>
        <v>2025</v>
      </c>
      <c r="S94" s="614">
        <f>R94+1</f>
        <v>2026</v>
      </c>
    </row>
    <row r="95" spans="2:27" s="416" customFormat="1" hidden="1" outlineLevel="1" x14ac:dyDescent="0.2">
      <c r="E95" s="59" t="str">
        <f>TxPhase1Px</f>
        <v/>
      </c>
      <c r="F95" s="32">
        <f t="shared" ref="F95:K95" ca="1" si="80">IFERROR(INDEX(PxTxPhase1,$D93,F89),0)</f>
        <v>0</v>
      </c>
      <c r="G95" s="32">
        <f t="shared" ca="1" si="80"/>
        <v>0</v>
      </c>
      <c r="H95" s="32">
        <f t="shared" ca="1" si="80"/>
        <v>0</v>
      </c>
      <c r="I95" s="32">
        <f t="shared" ca="1" si="80"/>
        <v>0</v>
      </c>
      <c r="J95" s="32">
        <f t="shared" ca="1" si="80"/>
        <v>0</v>
      </c>
      <c r="K95" s="32">
        <f t="shared" ca="1" si="80"/>
        <v>0</v>
      </c>
      <c r="L95" s="243"/>
      <c r="M95" s="59" t="str">
        <f>TxPhase2Px</f>
        <v/>
      </c>
      <c r="N95" s="32">
        <f t="shared" ref="N95:S95" ca="1" si="81">IFERROR(INDEX(PxTxPhase2,$D93,N89),0)</f>
        <v>0</v>
      </c>
      <c r="O95" s="32">
        <f t="shared" ca="1" si="81"/>
        <v>0</v>
      </c>
      <c r="P95" s="32">
        <f t="shared" ca="1" si="81"/>
        <v>0</v>
      </c>
      <c r="Q95" s="32">
        <f t="shared" ca="1" si="81"/>
        <v>0</v>
      </c>
      <c r="R95" s="32">
        <f t="shared" ca="1" si="81"/>
        <v>0</v>
      </c>
      <c r="S95" s="32">
        <f t="shared" ca="1" si="81"/>
        <v>0</v>
      </c>
    </row>
    <row r="96" spans="2:27" s="416" customFormat="1" hidden="1" outlineLevel="1" x14ac:dyDescent="0.2">
      <c r="D96" s="615"/>
      <c r="E96" s="615"/>
      <c r="F96" s="615"/>
      <c r="G96" s="615"/>
      <c r="H96" s="615"/>
      <c r="I96" s="615"/>
      <c r="J96" s="615"/>
      <c r="K96" s="615"/>
      <c r="L96" s="243"/>
      <c r="M96" s="615"/>
      <c r="N96" s="615"/>
    </row>
    <row r="97" spans="2:27" s="416" customFormat="1" hidden="1" outlineLevel="1" x14ac:dyDescent="0.2">
      <c r="D97" s="615"/>
      <c r="E97" s="243"/>
      <c r="F97" s="243"/>
      <c r="G97" s="243"/>
      <c r="H97" s="243"/>
      <c r="I97" s="243"/>
      <c r="J97" s="243"/>
      <c r="K97" s="243"/>
      <c r="L97" s="243"/>
      <c r="M97" s="243"/>
      <c r="N97" s="615"/>
      <c r="U97" s="578"/>
      <c r="V97" s="579">
        <f>$W107*1</f>
        <v>0</v>
      </c>
      <c r="W97" s="579">
        <f>$W107*2</f>
        <v>0</v>
      </c>
      <c r="X97" s="579">
        <f>$W107*3</f>
        <v>0</v>
      </c>
      <c r="Y97" s="579">
        <f>$W107*4</f>
        <v>0</v>
      </c>
      <c r="Z97" s="579">
        <f>$W107*5</f>
        <v>0</v>
      </c>
      <c r="AA97" s="579">
        <f>$W107*6</f>
        <v>0</v>
      </c>
    </row>
    <row r="98" spans="2:27" s="416" customFormat="1" hidden="1" outlineLevel="1" x14ac:dyDescent="0.2">
      <c r="E98" s="433" t="s">
        <v>1160</v>
      </c>
      <c r="F98" s="586"/>
      <c r="G98" s="268"/>
      <c r="H98" s="621"/>
      <c r="I98" s="621"/>
      <c r="J98" s="621"/>
      <c r="K98" s="621"/>
      <c r="L98" s="243"/>
      <c r="M98" s="433" t="s">
        <v>1160</v>
      </c>
      <c r="N98" s="586"/>
      <c r="O98" s="587" t="str">
        <f>IF(G98&lt;&gt;"",G98,"")</f>
        <v/>
      </c>
      <c r="P98" s="525"/>
      <c r="Q98" s="525"/>
      <c r="R98" s="525"/>
      <c r="S98" s="525"/>
      <c r="U98" s="580" t="s">
        <v>1156</v>
      </c>
      <c r="V98" s="581">
        <f>IF($F98&gt;=V97,$W107,IF($F98&gt;0,$F98,0))</f>
        <v>0</v>
      </c>
      <c r="W98" s="581">
        <f>IF($F98&gt;=W97,$W$41,IF($F98&gt;V97,($F98-V97),0))</f>
        <v>0</v>
      </c>
      <c r="X98" s="581">
        <f>IF($F98&gt;=X97,$W$41,IF($F98&gt;W97,($F98-W97),0))</f>
        <v>0</v>
      </c>
      <c r="Y98" s="581">
        <f>IF($F98&gt;=Y97,$W$41,IF($F98&gt;X97,($F98-X97),0))</f>
        <v>0</v>
      </c>
      <c r="Z98" s="581">
        <f>IF($F98&gt;=Z97,$W$41,IF($F98&gt;Y97,($F98-Y97),0))</f>
        <v>0</v>
      </c>
      <c r="AA98" s="581">
        <f>IF($F98&gt;=AA97,$W$41,IF($F98&gt;Z97,($F98-Z97),0))</f>
        <v>0</v>
      </c>
    </row>
    <row r="99" spans="2:27" s="416" customFormat="1" hidden="1" outlineLevel="1" x14ac:dyDescent="0.2">
      <c r="D99" s="615"/>
      <c r="E99" s="622"/>
      <c r="F99" s="622"/>
      <c r="G99" s="583"/>
      <c r="H99" s="622"/>
      <c r="I99" s="622"/>
      <c r="J99" s="622"/>
      <c r="K99" s="622"/>
      <c r="L99" s="243"/>
      <c r="M99" s="617"/>
      <c r="N99" s="618"/>
      <c r="O99" s="618"/>
      <c r="P99" s="618"/>
      <c r="Q99" s="618"/>
      <c r="R99" s="618"/>
      <c r="S99" s="618"/>
      <c r="U99" s="582" t="s">
        <v>1157</v>
      </c>
      <c r="V99" s="579">
        <f t="shared" ref="V99:AA99" si="82">IF(V98&gt;0,$W107-V98,$W107)</f>
        <v>0</v>
      </c>
      <c r="W99" s="579">
        <f t="shared" si="82"/>
        <v>0</v>
      </c>
      <c r="X99" s="579">
        <f t="shared" si="82"/>
        <v>0</v>
      </c>
      <c r="Y99" s="579">
        <f t="shared" si="82"/>
        <v>0</v>
      </c>
      <c r="Z99" s="579">
        <f t="shared" si="82"/>
        <v>0</v>
      </c>
      <c r="AA99" s="579">
        <f t="shared" si="82"/>
        <v>0</v>
      </c>
    </row>
    <row r="100" spans="2:27" s="416" customFormat="1" hidden="1" outlineLevel="1" x14ac:dyDescent="0.2">
      <c r="D100" s="615"/>
      <c r="E100" s="617" t="str">
        <f>E95</f>
        <v/>
      </c>
      <c r="F100" s="623"/>
      <c r="G100" s="588"/>
      <c r="H100" s="623"/>
      <c r="I100" s="623"/>
      <c r="J100" s="623"/>
      <c r="K100" s="623"/>
      <c r="L100" s="243"/>
      <c r="M100" s="617" t="str">
        <f>M95</f>
        <v/>
      </c>
      <c r="N100" s="619"/>
      <c r="O100" s="620"/>
      <c r="P100" s="620"/>
      <c r="Q100" s="620"/>
      <c r="R100" s="620"/>
      <c r="S100" s="620"/>
      <c r="U100" s="525"/>
      <c r="V100" s="525"/>
      <c r="W100" s="525"/>
      <c r="X100" s="525"/>
      <c r="Y100" s="525"/>
      <c r="Z100" s="525"/>
      <c r="AA100" s="525"/>
    </row>
    <row r="101" spans="2:27" s="416" customFormat="1" hidden="1" outlineLevel="1" x14ac:dyDescent="0.2">
      <c r="E101" s="589" t="s">
        <v>1207</v>
      </c>
      <c r="F101" s="63">
        <f ca="1">$F95*V104</f>
        <v>0</v>
      </c>
      <c r="G101" s="63">
        <f t="shared" ref="G101" ca="1" si="83">$F95*W104</f>
        <v>0</v>
      </c>
      <c r="H101" s="63">
        <f t="shared" ref="H101" ca="1" si="84">$F95*X104</f>
        <v>0</v>
      </c>
      <c r="I101" s="63">
        <f t="shared" ref="I101" ca="1" si="85">$F95*Y104</f>
        <v>0</v>
      </c>
      <c r="J101" s="63">
        <f t="shared" ref="J101" ca="1" si="86">$F95*Z104</f>
        <v>0</v>
      </c>
      <c r="K101" s="63">
        <f t="shared" ref="K101" ca="1" si="87">$F95*AA104</f>
        <v>0</v>
      </c>
      <c r="L101" s="243"/>
      <c r="M101" s="589" t="s">
        <v>1207</v>
      </c>
      <c r="N101" s="63">
        <f ca="1">$N95*V105</f>
        <v>0</v>
      </c>
      <c r="O101" s="63">
        <f ca="1">$N95*W105</f>
        <v>0</v>
      </c>
      <c r="P101" s="63">
        <f t="shared" ref="P101" ca="1" si="88">$N95*X105</f>
        <v>0</v>
      </c>
      <c r="Q101" s="63">
        <f t="shared" ref="Q101" ca="1" si="89">$N95*Y105</f>
        <v>0</v>
      </c>
      <c r="R101" s="63">
        <f t="shared" ref="R101" ca="1" si="90">$N95*Z105</f>
        <v>0</v>
      </c>
      <c r="S101" s="63">
        <f t="shared" ref="S101" ca="1" si="91">$N95*AA105</f>
        <v>0</v>
      </c>
      <c r="U101" s="582" t="s">
        <v>1158</v>
      </c>
      <c r="V101" s="581">
        <f>IF($N98&gt;=V99,V99,N98)</f>
        <v>0</v>
      </c>
      <c r="W101" s="581">
        <f>IF(V102&gt;=W99,W99,V102)</f>
        <v>0</v>
      </c>
      <c r="X101" s="581">
        <f>IF(W102&gt;=X99,X99,W102)</f>
        <v>0</v>
      </c>
      <c r="Y101" s="581">
        <f>IF(X102&gt;=Y99,Y99,X102)</f>
        <v>0</v>
      </c>
      <c r="Z101" s="581">
        <f>IF(Y102&gt;=Z99,Z99,Y102)</f>
        <v>0</v>
      </c>
      <c r="AA101" s="581">
        <f>IF(Z102&gt;=AA99,AA99,Z102)</f>
        <v>0</v>
      </c>
    </row>
    <row r="102" spans="2:27" s="416" customFormat="1" hidden="1" outlineLevel="1" x14ac:dyDescent="0.2">
      <c r="E102" s="589" t="s">
        <v>1208</v>
      </c>
      <c r="F102" s="130"/>
      <c r="G102" s="63">
        <f ca="1">$G95*V104</f>
        <v>0</v>
      </c>
      <c r="H102" s="63">
        <f t="shared" ref="H102" ca="1" si="92">$G95*W104</f>
        <v>0</v>
      </c>
      <c r="I102" s="63">
        <f t="shared" ref="I102" ca="1" si="93">$G95*X104</f>
        <v>0</v>
      </c>
      <c r="J102" s="63">
        <f t="shared" ref="J102" ca="1" si="94">$G95*Y104</f>
        <v>0</v>
      </c>
      <c r="K102" s="63">
        <f t="shared" ref="K102" ca="1" si="95">$G95*Z104</f>
        <v>0</v>
      </c>
      <c r="L102" s="243"/>
      <c r="M102" s="589" t="s">
        <v>1208</v>
      </c>
      <c r="N102" s="130"/>
      <c r="O102" s="63">
        <f ca="1">$O95*V105</f>
        <v>0</v>
      </c>
      <c r="P102" s="63">
        <f t="shared" ref="P102" ca="1" si="96">$O95*W105</f>
        <v>0</v>
      </c>
      <c r="Q102" s="63">
        <f t="shared" ref="Q102" ca="1" si="97">$O95*X105</f>
        <v>0</v>
      </c>
      <c r="R102" s="63">
        <f t="shared" ref="R102" ca="1" si="98">$O95*Y105</f>
        <v>0</v>
      </c>
      <c r="S102" s="63">
        <f t="shared" ref="S102" ca="1" si="99">$O95*Z105</f>
        <v>0</v>
      </c>
      <c r="U102" s="582" t="s">
        <v>1159</v>
      </c>
      <c r="V102" s="579">
        <f>$N98-V101</f>
        <v>0</v>
      </c>
      <c r="W102" s="579">
        <f>$N98-SUM($V101:W101)</f>
        <v>0</v>
      </c>
      <c r="X102" s="579">
        <f>$N98-SUM($V101:X101)</f>
        <v>0</v>
      </c>
      <c r="Y102" s="579">
        <f>$N98-SUM($V101:Y101)</f>
        <v>0</v>
      </c>
      <c r="Z102" s="579">
        <f>$N98-SUM($V101:Z101)</f>
        <v>0</v>
      </c>
      <c r="AA102" s="579">
        <f>$N98-SUM($V101:AA101)</f>
        <v>0</v>
      </c>
    </row>
    <row r="103" spans="2:27" s="416" customFormat="1" hidden="1" outlineLevel="1" x14ac:dyDescent="0.2">
      <c r="E103" s="589" t="s">
        <v>1209</v>
      </c>
      <c r="F103" s="130"/>
      <c r="G103" s="130"/>
      <c r="H103" s="63">
        <f ca="1">$H95*V104</f>
        <v>0</v>
      </c>
      <c r="I103" s="63">
        <f t="shared" ref="I103" ca="1" si="100">$H95*W104</f>
        <v>0</v>
      </c>
      <c r="J103" s="63">
        <f t="shared" ref="J103" ca="1" si="101">$H95*X104</f>
        <v>0</v>
      </c>
      <c r="K103" s="63">
        <f t="shared" ref="K103" ca="1" si="102">$H95*Y104</f>
        <v>0</v>
      </c>
      <c r="L103" s="243"/>
      <c r="M103" s="589" t="s">
        <v>1209</v>
      </c>
      <c r="N103" s="130"/>
      <c r="O103" s="130"/>
      <c r="P103" s="63">
        <f ca="1">$P95*V105</f>
        <v>0</v>
      </c>
      <c r="Q103" s="63">
        <f t="shared" ref="Q103" ca="1" si="103">$P95*W105</f>
        <v>0</v>
      </c>
      <c r="R103" s="63">
        <f t="shared" ref="R103" ca="1" si="104">$P95*X105</f>
        <v>0</v>
      </c>
      <c r="S103" s="63">
        <f t="shared" ref="S103" ca="1" si="105">$P95*Y105</f>
        <v>0</v>
      </c>
      <c r="U103" s="583"/>
      <c r="V103" s="584"/>
      <c r="W103" s="583"/>
      <c r="X103" s="583"/>
      <c r="Y103" s="583"/>
      <c r="Z103" s="583"/>
      <c r="AA103" s="525"/>
    </row>
    <row r="104" spans="2:27" s="416" customFormat="1" hidden="1" outlineLevel="1" x14ac:dyDescent="0.2">
      <c r="E104" s="589" t="s">
        <v>1210</v>
      </c>
      <c r="F104" s="130"/>
      <c r="G104" s="130"/>
      <c r="H104" s="130"/>
      <c r="I104" s="63">
        <f ca="1">$I95*V104</f>
        <v>0</v>
      </c>
      <c r="J104" s="63">
        <f t="shared" ref="J104" ca="1" si="106">$I95*W104</f>
        <v>0</v>
      </c>
      <c r="K104" s="63">
        <f t="shared" ref="K104" ca="1" si="107">$I95*X104</f>
        <v>0</v>
      </c>
      <c r="L104" s="243"/>
      <c r="M104" s="589" t="s">
        <v>1210</v>
      </c>
      <c r="N104" s="130"/>
      <c r="O104" s="130"/>
      <c r="P104" s="130"/>
      <c r="Q104" s="63">
        <f ca="1">$Q95*V105</f>
        <v>0</v>
      </c>
      <c r="R104" s="63">
        <f t="shared" ref="R104" ca="1" si="108">$Q95*W105</f>
        <v>0</v>
      </c>
      <c r="S104" s="63">
        <f t="shared" ref="S104" ca="1" si="109">$Q95*X105</f>
        <v>0</v>
      </c>
      <c r="U104" s="580" t="s">
        <v>1156</v>
      </c>
      <c r="V104" s="585">
        <f t="shared" ref="V104:AA104" si="110">IFERROR(V98/$W107,0)</f>
        <v>0</v>
      </c>
      <c r="W104" s="585">
        <f t="shared" si="110"/>
        <v>0</v>
      </c>
      <c r="X104" s="585">
        <f t="shared" si="110"/>
        <v>0</v>
      </c>
      <c r="Y104" s="585">
        <f t="shared" si="110"/>
        <v>0</v>
      </c>
      <c r="Z104" s="585">
        <f t="shared" si="110"/>
        <v>0</v>
      </c>
      <c r="AA104" s="585">
        <f t="shared" si="110"/>
        <v>0</v>
      </c>
    </row>
    <row r="105" spans="2:27" s="416" customFormat="1" hidden="1" outlineLevel="1" x14ac:dyDescent="0.2">
      <c r="E105" s="589" t="s">
        <v>1211</v>
      </c>
      <c r="F105" s="130"/>
      <c r="G105" s="130"/>
      <c r="H105" s="130"/>
      <c r="I105" s="130"/>
      <c r="J105" s="63">
        <f ca="1">$J95*V104</f>
        <v>0</v>
      </c>
      <c r="K105" s="63">
        <f ca="1">$J95*W104</f>
        <v>0</v>
      </c>
      <c r="L105" s="243"/>
      <c r="M105" s="589" t="s">
        <v>1211</v>
      </c>
      <c r="N105" s="130"/>
      <c r="O105" s="130"/>
      <c r="P105" s="130"/>
      <c r="Q105" s="130"/>
      <c r="R105" s="63">
        <f ca="1">$R95*V105</f>
        <v>0</v>
      </c>
      <c r="S105" s="63">
        <f ca="1">$R95*W105</f>
        <v>0</v>
      </c>
      <c r="U105" s="582" t="s">
        <v>1158</v>
      </c>
      <c r="V105" s="585">
        <f t="shared" ref="V105:AA105" si="111">IFERROR(V101/$W107,0)</f>
        <v>0</v>
      </c>
      <c r="W105" s="585">
        <f t="shared" si="111"/>
        <v>0</v>
      </c>
      <c r="X105" s="585">
        <f t="shared" si="111"/>
        <v>0</v>
      </c>
      <c r="Y105" s="585">
        <f t="shared" si="111"/>
        <v>0</v>
      </c>
      <c r="Z105" s="585">
        <f t="shared" si="111"/>
        <v>0</v>
      </c>
      <c r="AA105" s="585">
        <f t="shared" si="111"/>
        <v>0</v>
      </c>
    </row>
    <row r="106" spans="2:27" s="416" customFormat="1" hidden="1" outlineLevel="1" x14ac:dyDescent="0.2">
      <c r="E106" s="589" t="s">
        <v>1212</v>
      </c>
      <c r="F106" s="130"/>
      <c r="G106" s="130"/>
      <c r="H106" s="130"/>
      <c r="I106" s="130"/>
      <c r="J106" s="130"/>
      <c r="K106" s="63">
        <f ca="1">$K95*V104</f>
        <v>0</v>
      </c>
      <c r="L106" s="243"/>
      <c r="M106" s="589" t="s">
        <v>1212</v>
      </c>
      <c r="N106" s="130"/>
      <c r="O106" s="130"/>
      <c r="P106" s="130"/>
      <c r="Q106" s="130"/>
      <c r="R106" s="130"/>
      <c r="S106" s="63">
        <f ca="1">$S95*V105</f>
        <v>0</v>
      </c>
    </row>
    <row r="107" spans="2:27" s="416" customFormat="1" hidden="1" outlineLevel="1" x14ac:dyDescent="0.2">
      <c r="E107" s="590" t="str">
        <f>TxPhase1PxUnitsTx</f>
        <v/>
      </c>
      <c r="F107" s="591">
        <f ca="1">IF(F98&lt;&gt;"",SUM(F101:F106),F95)</f>
        <v>0</v>
      </c>
      <c r="G107" s="591">
        <f ca="1">IF(F98&lt;&gt;"",SUM(G101:G106),G95)</f>
        <v>0</v>
      </c>
      <c r="H107" s="591">
        <f ca="1">IF(F98&lt;&gt;"",SUM(H101:H106),H95)</f>
        <v>0</v>
      </c>
      <c r="I107" s="591">
        <f ca="1">IF(F98&lt;&gt;"",SUM(I101:I106),I95)</f>
        <v>0</v>
      </c>
      <c r="J107" s="591">
        <f ca="1">IF(F98&lt;&gt;"",SUM(J101:J106),J95)</f>
        <v>0</v>
      </c>
      <c r="K107" s="591">
        <f ca="1">IF(F98&lt;&gt;"",SUM(K101:K106),K95)</f>
        <v>0</v>
      </c>
      <c r="L107" s="243"/>
      <c r="M107" s="590" t="str">
        <f>TxPhase2PxUnitsTx</f>
        <v/>
      </c>
      <c r="N107" s="591">
        <f ca="1">IF(N98&lt;&gt;"",SUM(N101:N106),N95)</f>
        <v>0</v>
      </c>
      <c r="O107" s="591">
        <f ca="1">IF(N98&lt;&gt;"",SUM(O101:O106),O95)</f>
        <v>0</v>
      </c>
      <c r="P107" s="591">
        <f ca="1">IF(N98&lt;&gt;"",SUM(P101:P106),P95)</f>
        <v>0</v>
      </c>
      <c r="Q107" s="591">
        <f ca="1">IF(N98&lt;&gt;"",SUM(Q101:Q106),Q95)</f>
        <v>0</v>
      </c>
      <c r="R107" s="591">
        <f ca="1">IF(N98&lt;&gt;"",SUM(R101:R106),R95)</f>
        <v>0</v>
      </c>
      <c r="S107" s="591">
        <f ca="1">IF(N98&lt;&gt;"",SUM(S101:S106),S95)</f>
        <v>0</v>
      </c>
      <c r="U107" s="582" t="s">
        <v>1161</v>
      </c>
      <c r="V107" s="579">
        <f>IFERROR(VLOOKUP(G98,TimeUnitCode,2,FALSE),0)</f>
        <v>0</v>
      </c>
      <c r="W107" s="579">
        <f>IFERROR(INDEX(TimeUnitCount,V107,2),0)</f>
        <v>0</v>
      </c>
    </row>
    <row r="108" spans="2:27" hidden="1" outlineLevel="1" x14ac:dyDescent="0.2"/>
    <row r="109" spans="2:27" collapsed="1" x14ac:dyDescent="0.2"/>
    <row r="110" spans="2:27" s="416" customFormat="1" ht="15.75" x14ac:dyDescent="0.2">
      <c r="B110" s="475">
        <f>IF(F120+N120&gt;12,1,0)</f>
        <v>0</v>
      </c>
      <c r="C110" s="291">
        <f ca="1">IFERROR(INDEX(PxTxPhase1,$D115,7),0)</f>
        <v>0</v>
      </c>
      <c r="D110" s="573">
        <v>5</v>
      </c>
      <c r="E110" s="79" t="str">
        <f>IF(F114&lt;&gt;"",CONCATENATE("DTG ",D110,": ",H114,": ",N110),MsgNotUsed)</f>
        <v>** NOT USED **</v>
      </c>
      <c r="F110" s="132"/>
      <c r="G110" s="132"/>
      <c r="H110" s="132"/>
      <c r="I110" s="132"/>
      <c r="J110" s="134"/>
      <c r="K110" s="134"/>
      <c r="L110" s="134"/>
      <c r="M110" s="325"/>
      <c r="N110" s="637" t="str">
        <f>IF(AND(F120="",N120=""),"Full year",IF(AND(F120&lt;&gt;"",N120=""),CONCATENATE(F120," ",G120),IF(AND(F120="",N120&lt;&gt;""),CONCATENATE(N120," ",G120),CONCATENATE(F120," + ",N120," ",G120))))</f>
        <v>Full year</v>
      </c>
      <c r="O110" s="325"/>
      <c r="P110" s="325"/>
      <c r="Q110" s="325"/>
      <c r="R110" s="325"/>
      <c r="S110" s="325"/>
      <c r="T110" s="325"/>
      <c r="U110" s="325"/>
      <c r="V110" s="325"/>
      <c r="W110" s="325"/>
      <c r="X110" s="325"/>
      <c r="Y110" s="325"/>
      <c r="Z110" s="325"/>
      <c r="AA110" s="325"/>
    </row>
    <row r="111" spans="2:27" s="416" customFormat="1" hidden="1" outlineLevel="1" x14ac:dyDescent="0.2">
      <c r="C111" s="615"/>
      <c r="D111" s="615"/>
      <c r="E111" s="615"/>
      <c r="F111" s="624">
        <v>1</v>
      </c>
      <c r="G111" s="397">
        <v>2</v>
      </c>
      <c r="H111" s="397">
        <v>3</v>
      </c>
      <c r="I111" s="397">
        <v>4</v>
      </c>
      <c r="J111" s="397">
        <v>5</v>
      </c>
      <c r="K111" s="397">
        <v>6</v>
      </c>
      <c r="N111" s="397">
        <v>1</v>
      </c>
      <c r="O111" s="397">
        <v>2</v>
      </c>
      <c r="P111" s="397">
        <v>3</v>
      </c>
      <c r="Q111" s="397">
        <v>4</v>
      </c>
      <c r="R111" s="397">
        <v>5</v>
      </c>
      <c r="S111" s="397">
        <v>6</v>
      </c>
    </row>
    <row r="112" spans="2:27" s="416" customFormat="1" hidden="1" outlineLevel="1" x14ac:dyDescent="0.2">
      <c r="C112" s="243"/>
      <c r="D112" s="243"/>
      <c r="E112" s="162" t="s">
        <v>1206</v>
      </c>
      <c r="F112" s="615"/>
    </row>
    <row r="113" spans="3:27" s="416" customFormat="1" hidden="1" outlineLevel="1" x14ac:dyDescent="0.2">
      <c r="C113" s="243"/>
      <c r="D113" s="243"/>
      <c r="E113" s="616"/>
      <c r="F113" s="615"/>
      <c r="N113" s="615"/>
      <c r="O113" s="615"/>
      <c r="P113" s="615"/>
      <c r="Q113" s="615"/>
      <c r="R113" s="615"/>
      <c r="S113" s="615"/>
    </row>
    <row r="114" spans="3:27" s="416" customFormat="1" hidden="1" outlineLevel="1" x14ac:dyDescent="0.2">
      <c r="C114" s="291">
        <f>IF(F114&lt;&gt;"",MATCH(F114,PxTxSource,0)-1,0)</f>
        <v>0</v>
      </c>
      <c r="D114" s="291">
        <f ca="1">IF(H114&lt;&gt;"",MATCH(H114,OFFSET(References!$AE$23,0,C114,PxPopMaxCount),0),0)</f>
        <v>0</v>
      </c>
      <c r="E114" s="423" t="s">
        <v>113</v>
      </c>
      <c r="F114" s="613"/>
      <c r="H114" s="812"/>
      <c r="I114" s="813"/>
      <c r="J114" s="813"/>
      <c r="K114" s="813"/>
      <c r="L114" s="615"/>
      <c r="N114" s="806" t="str">
        <f ca="1">IF(ISERROR($D115)=TRUE,MsgError &amp; VLOOKUP("BadPop",ErrorMessages,2,FALSE),"")</f>
        <v/>
      </c>
      <c r="O114" s="806"/>
      <c r="P114" s="806"/>
      <c r="Q114" s="806"/>
      <c r="R114" s="806"/>
      <c r="S114" s="806"/>
    </row>
    <row r="115" spans="3:27" s="416" customFormat="1" hidden="1" outlineLevel="1" x14ac:dyDescent="0.2">
      <c r="C115" s="291">
        <f>INDEX(PxTxValid,,C114+1)</f>
        <v>0</v>
      </c>
      <c r="D115" s="291" t="str">
        <f ca="1">IF(AND(C114=0,D114=0),"",(C114*PxPopMaxCount)+D114)</f>
        <v/>
      </c>
      <c r="E115" s="243"/>
      <c r="L115" s="615"/>
      <c r="M115" s="615"/>
      <c r="N115" s="615"/>
      <c r="O115" s="615"/>
      <c r="P115" s="615"/>
      <c r="Q115" s="615"/>
      <c r="R115" s="615"/>
      <c r="S115" s="615"/>
    </row>
    <row r="116" spans="3:27" s="416" customFormat="1" hidden="1" outlineLevel="1" x14ac:dyDescent="0.2">
      <c r="C116" s="615"/>
      <c r="E116" s="495"/>
      <c r="F116" s="614">
        <f>FirstYear</f>
        <v>2021</v>
      </c>
      <c r="G116" s="614">
        <f>F116+1</f>
        <v>2022</v>
      </c>
      <c r="H116" s="614">
        <f>G116+1</f>
        <v>2023</v>
      </c>
      <c r="I116" s="614">
        <f>H116+1</f>
        <v>2024</v>
      </c>
      <c r="J116" s="614">
        <f>I116+1</f>
        <v>2025</v>
      </c>
      <c r="K116" s="614">
        <f>J116+1</f>
        <v>2026</v>
      </c>
      <c r="L116" s="243"/>
      <c r="N116" s="614">
        <f>FirstYear</f>
        <v>2021</v>
      </c>
      <c r="O116" s="614">
        <f>N116+1</f>
        <v>2022</v>
      </c>
      <c r="P116" s="614">
        <f>O116+1</f>
        <v>2023</v>
      </c>
      <c r="Q116" s="614">
        <f>P116+1</f>
        <v>2024</v>
      </c>
      <c r="R116" s="614">
        <f>Q116+1</f>
        <v>2025</v>
      </c>
      <c r="S116" s="614">
        <f>R116+1</f>
        <v>2026</v>
      </c>
    </row>
    <row r="117" spans="3:27" s="416" customFormat="1" hidden="1" outlineLevel="1" x14ac:dyDescent="0.2">
      <c r="E117" s="59" t="str">
        <f>TxPhase1Px</f>
        <v/>
      </c>
      <c r="F117" s="32">
        <f t="shared" ref="F117:K117" ca="1" si="112">IFERROR(INDEX(PxTxPhase1,$D115,F111),0)</f>
        <v>0</v>
      </c>
      <c r="G117" s="32">
        <f t="shared" ca="1" si="112"/>
        <v>0</v>
      </c>
      <c r="H117" s="32">
        <f t="shared" ca="1" si="112"/>
        <v>0</v>
      </c>
      <c r="I117" s="32">
        <f t="shared" ca="1" si="112"/>
        <v>0</v>
      </c>
      <c r="J117" s="32">
        <f t="shared" ca="1" si="112"/>
        <v>0</v>
      </c>
      <c r="K117" s="32">
        <f t="shared" ca="1" si="112"/>
        <v>0</v>
      </c>
      <c r="L117" s="243"/>
      <c r="M117" s="59" t="str">
        <f>TxPhase2Px</f>
        <v/>
      </c>
      <c r="N117" s="32">
        <f t="shared" ref="N117:S117" ca="1" si="113">IFERROR(INDEX(PxTxPhase2,$D115,N111),0)</f>
        <v>0</v>
      </c>
      <c r="O117" s="32">
        <f t="shared" ca="1" si="113"/>
        <v>0</v>
      </c>
      <c r="P117" s="32">
        <f t="shared" ca="1" si="113"/>
        <v>0</v>
      </c>
      <c r="Q117" s="32">
        <f t="shared" ca="1" si="113"/>
        <v>0</v>
      </c>
      <c r="R117" s="32">
        <f t="shared" ca="1" si="113"/>
        <v>0</v>
      </c>
      <c r="S117" s="32">
        <f t="shared" ca="1" si="113"/>
        <v>0</v>
      </c>
    </row>
    <row r="118" spans="3:27" s="416" customFormat="1" hidden="1" outlineLevel="1" x14ac:dyDescent="0.2">
      <c r="D118" s="615"/>
      <c r="E118" s="615"/>
      <c r="F118" s="615"/>
      <c r="G118" s="615"/>
      <c r="H118" s="615"/>
      <c r="I118" s="615"/>
      <c r="J118" s="615"/>
      <c r="K118" s="615"/>
      <c r="L118" s="243"/>
      <c r="M118" s="615"/>
      <c r="N118" s="615"/>
    </row>
    <row r="119" spans="3:27" s="416" customFormat="1" hidden="1" outlineLevel="1" x14ac:dyDescent="0.2">
      <c r="D119" s="615"/>
      <c r="E119" s="243"/>
      <c r="F119" s="243"/>
      <c r="G119" s="243"/>
      <c r="H119" s="243"/>
      <c r="I119" s="243"/>
      <c r="J119" s="243"/>
      <c r="K119" s="243"/>
      <c r="L119" s="243"/>
      <c r="M119" s="243"/>
      <c r="N119" s="615"/>
      <c r="U119" s="578"/>
      <c r="V119" s="579">
        <f>$W129*1</f>
        <v>0</v>
      </c>
      <c r="W119" s="579">
        <f>$W129*2</f>
        <v>0</v>
      </c>
      <c r="X119" s="579">
        <f>$W129*3</f>
        <v>0</v>
      </c>
      <c r="Y119" s="579">
        <f>$W129*4</f>
        <v>0</v>
      </c>
      <c r="Z119" s="579">
        <f>$W129*5</f>
        <v>0</v>
      </c>
      <c r="AA119" s="579">
        <f>$W129*6</f>
        <v>0</v>
      </c>
    </row>
    <row r="120" spans="3:27" s="416" customFormat="1" hidden="1" outlineLevel="1" x14ac:dyDescent="0.2">
      <c r="E120" s="433" t="s">
        <v>1160</v>
      </c>
      <c r="F120" s="586"/>
      <c r="G120" s="268"/>
      <c r="H120" s="621"/>
      <c r="I120" s="621"/>
      <c r="J120" s="621"/>
      <c r="K120" s="621"/>
      <c r="L120" s="243"/>
      <c r="M120" s="433" t="s">
        <v>1160</v>
      </c>
      <c r="N120" s="586"/>
      <c r="O120" s="587" t="str">
        <f>IF(G120&lt;&gt;"",G120,"")</f>
        <v/>
      </c>
      <c r="P120" s="525"/>
      <c r="Q120" s="525"/>
      <c r="R120" s="525"/>
      <c r="S120" s="525"/>
      <c r="U120" s="580" t="s">
        <v>1156</v>
      </c>
      <c r="V120" s="581">
        <f>IF($F120&gt;=V119,$W129,IF($F120&gt;0,$F120,0))</f>
        <v>0</v>
      </c>
      <c r="W120" s="581">
        <f>IF($F120&gt;=W119,$W$41,IF($F120&gt;V119,($F120-V119),0))</f>
        <v>0</v>
      </c>
      <c r="X120" s="581">
        <f>IF($F120&gt;=X119,$W$41,IF($F120&gt;W119,($F120-W119),0))</f>
        <v>0</v>
      </c>
      <c r="Y120" s="581">
        <f>IF($F120&gt;=Y119,$W$41,IF($F120&gt;X119,($F120-X119),0))</f>
        <v>0</v>
      </c>
      <c r="Z120" s="581">
        <f>IF($F120&gt;=Z119,$W$41,IF($F120&gt;Y119,($F120-Y119),0))</f>
        <v>0</v>
      </c>
      <c r="AA120" s="581">
        <f>IF($F120&gt;=AA119,$W$41,IF($F120&gt;Z119,($F120-Z119),0))</f>
        <v>0</v>
      </c>
    </row>
    <row r="121" spans="3:27" s="416" customFormat="1" hidden="1" outlineLevel="1" x14ac:dyDescent="0.2">
      <c r="D121" s="615"/>
      <c r="E121" s="622"/>
      <c r="F121" s="622"/>
      <c r="G121" s="583"/>
      <c r="H121" s="622"/>
      <c r="I121" s="622"/>
      <c r="J121" s="622"/>
      <c r="K121" s="622"/>
      <c r="L121" s="243"/>
      <c r="M121" s="617"/>
      <c r="N121" s="618"/>
      <c r="O121" s="618"/>
      <c r="P121" s="618"/>
      <c r="Q121" s="618"/>
      <c r="R121" s="618"/>
      <c r="S121" s="618"/>
      <c r="U121" s="582" t="s">
        <v>1157</v>
      </c>
      <c r="V121" s="579">
        <f t="shared" ref="V121:AA121" si="114">IF(V120&gt;0,$W129-V120,$W129)</f>
        <v>0</v>
      </c>
      <c r="W121" s="579">
        <f t="shared" si="114"/>
        <v>0</v>
      </c>
      <c r="X121" s="579">
        <f t="shared" si="114"/>
        <v>0</v>
      </c>
      <c r="Y121" s="579">
        <f t="shared" si="114"/>
        <v>0</v>
      </c>
      <c r="Z121" s="579">
        <f t="shared" si="114"/>
        <v>0</v>
      </c>
      <c r="AA121" s="579">
        <f t="shared" si="114"/>
        <v>0</v>
      </c>
    </row>
    <row r="122" spans="3:27" s="416" customFormat="1" hidden="1" outlineLevel="1" x14ac:dyDescent="0.2">
      <c r="D122" s="615"/>
      <c r="E122" s="617" t="str">
        <f>E117</f>
        <v/>
      </c>
      <c r="F122" s="623"/>
      <c r="G122" s="588"/>
      <c r="H122" s="623"/>
      <c r="I122" s="623"/>
      <c r="J122" s="623"/>
      <c r="K122" s="623"/>
      <c r="L122" s="243"/>
      <c r="M122" s="617" t="str">
        <f>M117</f>
        <v/>
      </c>
      <c r="N122" s="619"/>
      <c r="O122" s="620"/>
      <c r="P122" s="620"/>
      <c r="Q122" s="620"/>
      <c r="R122" s="620"/>
      <c r="S122" s="620"/>
      <c r="U122" s="525"/>
      <c r="V122" s="525"/>
      <c r="W122" s="525"/>
      <c r="X122" s="525"/>
      <c r="Y122" s="525"/>
      <c r="Z122" s="525"/>
      <c r="AA122" s="525"/>
    </row>
    <row r="123" spans="3:27" s="416" customFormat="1" hidden="1" outlineLevel="1" x14ac:dyDescent="0.2">
      <c r="E123" s="589" t="s">
        <v>1207</v>
      </c>
      <c r="F123" s="63">
        <f ca="1">$F117*V126</f>
        <v>0</v>
      </c>
      <c r="G123" s="63">
        <f t="shared" ref="G123" ca="1" si="115">$F117*W126</f>
        <v>0</v>
      </c>
      <c r="H123" s="63">
        <f t="shared" ref="H123" ca="1" si="116">$F117*X126</f>
        <v>0</v>
      </c>
      <c r="I123" s="63">
        <f t="shared" ref="I123" ca="1" si="117">$F117*Y126</f>
        <v>0</v>
      </c>
      <c r="J123" s="63">
        <f t="shared" ref="J123" ca="1" si="118">$F117*Z126</f>
        <v>0</v>
      </c>
      <c r="K123" s="63">
        <f t="shared" ref="K123" ca="1" si="119">$F117*AA126</f>
        <v>0</v>
      </c>
      <c r="L123" s="243"/>
      <c r="M123" s="589" t="s">
        <v>1207</v>
      </c>
      <c r="N123" s="63">
        <f ca="1">$N117*V127</f>
        <v>0</v>
      </c>
      <c r="O123" s="63">
        <f ca="1">$N117*W127</f>
        <v>0</v>
      </c>
      <c r="P123" s="63">
        <f t="shared" ref="P123" ca="1" si="120">$N117*X127</f>
        <v>0</v>
      </c>
      <c r="Q123" s="63">
        <f t="shared" ref="Q123" ca="1" si="121">$N117*Y127</f>
        <v>0</v>
      </c>
      <c r="R123" s="63">
        <f t="shared" ref="R123" ca="1" si="122">$N117*Z127</f>
        <v>0</v>
      </c>
      <c r="S123" s="63">
        <f t="shared" ref="S123" ca="1" si="123">$N117*AA127</f>
        <v>0</v>
      </c>
      <c r="U123" s="582" t="s">
        <v>1158</v>
      </c>
      <c r="V123" s="581">
        <f>IF($N120&gt;=V121,V121,N120)</f>
        <v>0</v>
      </c>
      <c r="W123" s="581">
        <f>IF(V124&gt;=W121,W121,V124)</f>
        <v>0</v>
      </c>
      <c r="X123" s="581">
        <f>IF(W124&gt;=X121,X121,W124)</f>
        <v>0</v>
      </c>
      <c r="Y123" s="581">
        <f>IF(X124&gt;=Y121,Y121,X124)</f>
        <v>0</v>
      </c>
      <c r="Z123" s="581">
        <f>IF(Y124&gt;=Z121,Z121,Y124)</f>
        <v>0</v>
      </c>
      <c r="AA123" s="581">
        <f>IF(Z124&gt;=AA121,AA121,Z124)</f>
        <v>0</v>
      </c>
    </row>
    <row r="124" spans="3:27" s="416" customFormat="1" hidden="1" outlineLevel="1" x14ac:dyDescent="0.2">
      <c r="E124" s="589" t="s">
        <v>1208</v>
      </c>
      <c r="F124" s="130"/>
      <c r="G124" s="63">
        <f ca="1">$G117*V126</f>
        <v>0</v>
      </c>
      <c r="H124" s="63">
        <f t="shared" ref="H124" ca="1" si="124">$G117*W126</f>
        <v>0</v>
      </c>
      <c r="I124" s="63">
        <f t="shared" ref="I124" ca="1" si="125">$G117*X126</f>
        <v>0</v>
      </c>
      <c r="J124" s="63">
        <f t="shared" ref="J124" ca="1" si="126">$G117*Y126</f>
        <v>0</v>
      </c>
      <c r="K124" s="63">
        <f t="shared" ref="K124" ca="1" si="127">$G117*Z126</f>
        <v>0</v>
      </c>
      <c r="L124" s="243"/>
      <c r="M124" s="589" t="s">
        <v>1208</v>
      </c>
      <c r="N124" s="130"/>
      <c r="O124" s="63">
        <f ca="1">$O117*V127</f>
        <v>0</v>
      </c>
      <c r="P124" s="63">
        <f t="shared" ref="P124" ca="1" si="128">$O117*W127</f>
        <v>0</v>
      </c>
      <c r="Q124" s="63">
        <f t="shared" ref="Q124" ca="1" si="129">$O117*X127</f>
        <v>0</v>
      </c>
      <c r="R124" s="63">
        <f t="shared" ref="R124" ca="1" si="130">$O117*Y127</f>
        <v>0</v>
      </c>
      <c r="S124" s="63">
        <f t="shared" ref="S124" ca="1" si="131">$O117*Z127</f>
        <v>0</v>
      </c>
      <c r="U124" s="582" t="s">
        <v>1159</v>
      </c>
      <c r="V124" s="579">
        <f>$N120-V123</f>
        <v>0</v>
      </c>
      <c r="W124" s="579">
        <f>$N120-SUM($V123:W123)</f>
        <v>0</v>
      </c>
      <c r="X124" s="579">
        <f>$N120-SUM($V123:X123)</f>
        <v>0</v>
      </c>
      <c r="Y124" s="579">
        <f>$N120-SUM($V123:Y123)</f>
        <v>0</v>
      </c>
      <c r="Z124" s="579">
        <f>$N120-SUM($V123:Z123)</f>
        <v>0</v>
      </c>
      <c r="AA124" s="579">
        <f>$N120-SUM($V123:AA123)</f>
        <v>0</v>
      </c>
    </row>
    <row r="125" spans="3:27" s="416" customFormat="1" hidden="1" outlineLevel="1" x14ac:dyDescent="0.2">
      <c r="E125" s="589" t="s">
        <v>1209</v>
      </c>
      <c r="F125" s="130"/>
      <c r="G125" s="130"/>
      <c r="H125" s="63">
        <f ca="1">$H117*V126</f>
        <v>0</v>
      </c>
      <c r="I125" s="63">
        <f t="shared" ref="I125" ca="1" si="132">$H117*W126</f>
        <v>0</v>
      </c>
      <c r="J125" s="63">
        <f t="shared" ref="J125" ca="1" si="133">$H117*X126</f>
        <v>0</v>
      </c>
      <c r="K125" s="63">
        <f t="shared" ref="K125" ca="1" si="134">$H117*Y126</f>
        <v>0</v>
      </c>
      <c r="L125" s="243"/>
      <c r="M125" s="589" t="s">
        <v>1209</v>
      </c>
      <c r="N125" s="130"/>
      <c r="O125" s="130"/>
      <c r="P125" s="63">
        <f ca="1">$P117*V127</f>
        <v>0</v>
      </c>
      <c r="Q125" s="63">
        <f t="shared" ref="Q125" ca="1" si="135">$P117*W127</f>
        <v>0</v>
      </c>
      <c r="R125" s="63">
        <f t="shared" ref="R125" ca="1" si="136">$P117*X127</f>
        <v>0</v>
      </c>
      <c r="S125" s="63">
        <f t="shared" ref="S125" ca="1" si="137">$P117*Y127</f>
        <v>0</v>
      </c>
      <c r="U125" s="583"/>
      <c r="V125" s="584"/>
      <c r="W125" s="583"/>
      <c r="X125" s="583"/>
      <c r="Y125" s="583"/>
      <c r="Z125" s="583"/>
      <c r="AA125" s="525"/>
    </row>
    <row r="126" spans="3:27" s="416" customFormat="1" hidden="1" outlineLevel="1" x14ac:dyDescent="0.2">
      <c r="E126" s="589" t="s">
        <v>1210</v>
      </c>
      <c r="F126" s="130"/>
      <c r="G126" s="130"/>
      <c r="H126" s="130"/>
      <c r="I126" s="63">
        <f ca="1">$I117*V126</f>
        <v>0</v>
      </c>
      <c r="J126" s="63">
        <f t="shared" ref="J126" ca="1" si="138">$I117*W126</f>
        <v>0</v>
      </c>
      <c r="K126" s="63">
        <f t="shared" ref="K126" ca="1" si="139">$I117*X126</f>
        <v>0</v>
      </c>
      <c r="L126" s="243"/>
      <c r="M126" s="589" t="s">
        <v>1210</v>
      </c>
      <c r="N126" s="130"/>
      <c r="O126" s="130"/>
      <c r="P126" s="130"/>
      <c r="Q126" s="63">
        <f ca="1">$Q117*V127</f>
        <v>0</v>
      </c>
      <c r="R126" s="63">
        <f t="shared" ref="R126" ca="1" si="140">$Q117*W127</f>
        <v>0</v>
      </c>
      <c r="S126" s="63">
        <f t="shared" ref="S126" ca="1" si="141">$Q117*X127</f>
        <v>0</v>
      </c>
      <c r="U126" s="580" t="s">
        <v>1156</v>
      </c>
      <c r="V126" s="585">
        <f t="shared" ref="V126:AA126" si="142">IFERROR(V120/$W129,0)</f>
        <v>0</v>
      </c>
      <c r="W126" s="585">
        <f t="shared" si="142"/>
        <v>0</v>
      </c>
      <c r="X126" s="585">
        <f t="shared" si="142"/>
        <v>0</v>
      </c>
      <c r="Y126" s="585">
        <f t="shared" si="142"/>
        <v>0</v>
      </c>
      <c r="Z126" s="585">
        <f t="shared" si="142"/>
        <v>0</v>
      </c>
      <c r="AA126" s="585">
        <f t="shared" si="142"/>
        <v>0</v>
      </c>
    </row>
    <row r="127" spans="3:27" s="416" customFormat="1" hidden="1" outlineLevel="1" x14ac:dyDescent="0.2">
      <c r="E127" s="589" t="s">
        <v>1211</v>
      </c>
      <c r="F127" s="130"/>
      <c r="G127" s="130"/>
      <c r="H127" s="130"/>
      <c r="I127" s="130"/>
      <c r="J127" s="63">
        <f ca="1">$J117*V126</f>
        <v>0</v>
      </c>
      <c r="K127" s="63">
        <f ca="1">$J117*W126</f>
        <v>0</v>
      </c>
      <c r="L127" s="243"/>
      <c r="M127" s="589" t="s">
        <v>1211</v>
      </c>
      <c r="N127" s="130"/>
      <c r="O127" s="130"/>
      <c r="P127" s="130"/>
      <c r="Q127" s="130"/>
      <c r="R127" s="63">
        <f ca="1">$R117*V127</f>
        <v>0</v>
      </c>
      <c r="S127" s="63">
        <f ca="1">$R117*W127</f>
        <v>0</v>
      </c>
      <c r="U127" s="582" t="s">
        <v>1158</v>
      </c>
      <c r="V127" s="585">
        <f t="shared" ref="V127:AA127" si="143">IFERROR(V123/$W129,0)</f>
        <v>0</v>
      </c>
      <c r="W127" s="585">
        <f t="shared" si="143"/>
        <v>0</v>
      </c>
      <c r="X127" s="585">
        <f t="shared" si="143"/>
        <v>0</v>
      </c>
      <c r="Y127" s="585">
        <f t="shared" si="143"/>
        <v>0</v>
      </c>
      <c r="Z127" s="585">
        <f t="shared" si="143"/>
        <v>0</v>
      </c>
      <c r="AA127" s="585">
        <f t="shared" si="143"/>
        <v>0</v>
      </c>
    </row>
    <row r="128" spans="3:27" s="416" customFormat="1" hidden="1" outlineLevel="1" x14ac:dyDescent="0.2">
      <c r="E128" s="589" t="s">
        <v>1212</v>
      </c>
      <c r="F128" s="130"/>
      <c r="G128" s="130"/>
      <c r="H128" s="130"/>
      <c r="I128" s="130"/>
      <c r="J128" s="130"/>
      <c r="K128" s="63">
        <f ca="1">$K117*V126</f>
        <v>0</v>
      </c>
      <c r="L128" s="243"/>
      <c r="M128" s="589" t="s">
        <v>1212</v>
      </c>
      <c r="N128" s="130"/>
      <c r="O128" s="130"/>
      <c r="P128" s="130"/>
      <c r="Q128" s="130"/>
      <c r="R128" s="130"/>
      <c r="S128" s="63">
        <f ca="1">$S117*V127</f>
        <v>0</v>
      </c>
    </row>
    <row r="129" spans="2:27" s="416" customFormat="1" hidden="1" outlineLevel="1" x14ac:dyDescent="0.2">
      <c r="E129" s="590" t="str">
        <f>TxPhase1PxUnitsTx</f>
        <v/>
      </c>
      <c r="F129" s="591">
        <f ca="1">IF(F120&lt;&gt;"",SUM(F123:F128),F117)</f>
        <v>0</v>
      </c>
      <c r="G129" s="591">
        <f ca="1">IF(F120&lt;&gt;"",SUM(G123:G128),G117)</f>
        <v>0</v>
      </c>
      <c r="H129" s="591">
        <f ca="1">IF(F120&lt;&gt;"",SUM(H123:H128),H117)</f>
        <v>0</v>
      </c>
      <c r="I129" s="591">
        <f ca="1">IF(F120&lt;&gt;"",SUM(I123:I128),I117)</f>
        <v>0</v>
      </c>
      <c r="J129" s="591">
        <f ca="1">IF(F120&lt;&gt;"",SUM(J123:J128),J117)</f>
        <v>0</v>
      </c>
      <c r="K129" s="591">
        <f ca="1">IF(F120&lt;&gt;"",SUM(K123:K128),K117)</f>
        <v>0</v>
      </c>
      <c r="L129" s="243"/>
      <c r="M129" s="590" t="str">
        <f>TxPhase2PxUnitsTx</f>
        <v/>
      </c>
      <c r="N129" s="591">
        <f ca="1">IF(N120&lt;&gt;"",SUM(N123:N128),N117)</f>
        <v>0</v>
      </c>
      <c r="O129" s="591">
        <f ca="1">IF(N120&lt;&gt;"",SUM(O123:O128),O117)</f>
        <v>0</v>
      </c>
      <c r="P129" s="591">
        <f ca="1">IF(N120&lt;&gt;"",SUM(P123:P128),P117)</f>
        <v>0</v>
      </c>
      <c r="Q129" s="591">
        <f ca="1">IF(N120&lt;&gt;"",SUM(Q123:Q128),Q117)</f>
        <v>0</v>
      </c>
      <c r="R129" s="591">
        <f ca="1">IF(N120&lt;&gt;"",SUM(R123:R128),R117)</f>
        <v>0</v>
      </c>
      <c r="S129" s="591">
        <f ca="1">IF(N120&lt;&gt;"",SUM(S123:S128),S117)</f>
        <v>0</v>
      </c>
      <c r="U129" s="582" t="s">
        <v>1161</v>
      </c>
      <c r="V129" s="579">
        <f>IFERROR(VLOOKUP(G120,TimeUnitCode,2,FALSE),0)</f>
        <v>0</v>
      </c>
      <c r="W129" s="579">
        <f>IFERROR(INDEX(TimeUnitCount,V129,2),0)</f>
        <v>0</v>
      </c>
    </row>
    <row r="130" spans="2:27" hidden="1" outlineLevel="1" x14ac:dyDescent="0.2"/>
    <row r="131" spans="2:27" collapsed="1" x14ac:dyDescent="0.2"/>
    <row r="132" spans="2:27" s="416" customFormat="1" ht="15.75" x14ac:dyDescent="0.2">
      <c r="B132" s="475">
        <f>IF(F142+N142&gt;12,1,0)</f>
        <v>0</v>
      </c>
      <c r="C132" s="291">
        <f ca="1">IFERROR(INDEX(PxTxPhase1,$D137,7),0)</f>
        <v>0</v>
      </c>
      <c r="D132" s="573">
        <v>6</v>
      </c>
      <c r="E132" s="79" t="str">
        <f>IF(F136&lt;&gt;"",CONCATENATE("DTG ",D132,": ",H136,": ",N132),MsgNotUsed)</f>
        <v>** NOT USED **</v>
      </c>
      <c r="F132" s="132"/>
      <c r="G132" s="132"/>
      <c r="H132" s="132"/>
      <c r="I132" s="132"/>
      <c r="J132" s="134"/>
      <c r="K132" s="134"/>
      <c r="L132" s="134"/>
      <c r="M132" s="325"/>
      <c r="N132" s="637" t="str">
        <f>IF(AND(F142="",N142=""),"Full year",IF(AND(F142&lt;&gt;"",N142=""),CONCATENATE(F142," ",G142),IF(AND(F142="",N142&lt;&gt;""),CONCATENATE(N142," ",G142),CONCATENATE(F142," + ",N142," ",G142))))</f>
        <v>Full year</v>
      </c>
      <c r="O132" s="325"/>
      <c r="P132" s="325"/>
      <c r="Q132" s="325"/>
      <c r="R132" s="325"/>
      <c r="S132" s="325"/>
      <c r="T132" s="325"/>
      <c r="U132" s="325"/>
      <c r="V132" s="325"/>
      <c r="W132" s="325"/>
      <c r="X132" s="325"/>
      <c r="Y132" s="325"/>
      <c r="Z132" s="325"/>
      <c r="AA132" s="325"/>
    </row>
    <row r="133" spans="2:27" s="416" customFormat="1" hidden="1" outlineLevel="1" x14ac:dyDescent="0.2">
      <c r="C133" s="615"/>
      <c r="D133" s="615"/>
      <c r="E133" s="615"/>
      <c r="F133" s="624">
        <v>1</v>
      </c>
      <c r="G133" s="397">
        <v>2</v>
      </c>
      <c r="H133" s="397">
        <v>3</v>
      </c>
      <c r="I133" s="397">
        <v>4</v>
      </c>
      <c r="J133" s="397">
        <v>5</v>
      </c>
      <c r="K133" s="397">
        <v>6</v>
      </c>
      <c r="N133" s="397">
        <v>1</v>
      </c>
      <c r="O133" s="397">
        <v>2</v>
      </c>
      <c r="P133" s="397">
        <v>3</v>
      </c>
      <c r="Q133" s="397">
        <v>4</v>
      </c>
      <c r="R133" s="397">
        <v>5</v>
      </c>
      <c r="S133" s="397">
        <v>6</v>
      </c>
    </row>
    <row r="134" spans="2:27" s="416" customFormat="1" hidden="1" outlineLevel="1" x14ac:dyDescent="0.2">
      <c r="C134" s="243"/>
      <c r="D134" s="243"/>
      <c r="E134" s="162" t="s">
        <v>1206</v>
      </c>
      <c r="F134" s="615"/>
    </row>
    <row r="135" spans="2:27" s="416" customFormat="1" hidden="1" outlineLevel="1" x14ac:dyDescent="0.2">
      <c r="C135" s="243"/>
      <c r="D135" s="243"/>
      <c r="E135" s="616"/>
      <c r="F135" s="615"/>
      <c r="N135" s="615"/>
      <c r="O135" s="615"/>
      <c r="P135" s="615"/>
      <c r="Q135" s="615"/>
      <c r="R135" s="615"/>
      <c r="S135" s="615"/>
    </row>
    <row r="136" spans="2:27" s="416" customFormat="1" hidden="1" outlineLevel="1" x14ac:dyDescent="0.2">
      <c r="C136" s="291">
        <f>IF(F136&lt;&gt;"",MATCH(F136,PxTxSource,0)-1,0)</f>
        <v>0</v>
      </c>
      <c r="D136" s="291">
        <f ca="1">IF(H136&lt;&gt;"",MATCH(H136,OFFSET(References!$AE$23,0,C136,PxPopMaxCount),0),0)</f>
        <v>0</v>
      </c>
      <c r="E136" s="423" t="s">
        <v>113</v>
      </c>
      <c r="F136" s="613"/>
      <c r="H136" s="812"/>
      <c r="I136" s="813"/>
      <c r="J136" s="813"/>
      <c r="K136" s="813"/>
      <c r="L136" s="615"/>
      <c r="N136" s="806" t="str">
        <f ca="1">IF(ISERROR($D137)=TRUE,MsgError &amp; VLOOKUP("BadPop",ErrorMessages,2,FALSE),"")</f>
        <v/>
      </c>
      <c r="O136" s="806"/>
      <c r="P136" s="806"/>
      <c r="Q136" s="806"/>
      <c r="R136" s="806"/>
      <c r="S136" s="806"/>
    </row>
    <row r="137" spans="2:27" s="416" customFormat="1" hidden="1" outlineLevel="1" x14ac:dyDescent="0.2">
      <c r="C137" s="291">
        <f>INDEX(PxTxValid,,C136+1)</f>
        <v>0</v>
      </c>
      <c r="D137" s="291" t="str">
        <f ca="1">IF(AND(C136=0,D136=0),"",(C136*PxPopMaxCount)+D136)</f>
        <v/>
      </c>
      <c r="E137" s="243"/>
      <c r="L137" s="615"/>
      <c r="M137" s="615"/>
      <c r="N137" s="615"/>
      <c r="O137" s="615"/>
      <c r="P137" s="615"/>
      <c r="Q137" s="615"/>
      <c r="R137" s="615"/>
      <c r="S137" s="615"/>
    </row>
    <row r="138" spans="2:27" s="416" customFormat="1" hidden="1" outlineLevel="1" x14ac:dyDescent="0.2">
      <c r="C138" s="615"/>
      <c r="E138" s="495"/>
      <c r="F138" s="614">
        <f>FirstYear</f>
        <v>2021</v>
      </c>
      <c r="G138" s="614">
        <f>F138+1</f>
        <v>2022</v>
      </c>
      <c r="H138" s="614">
        <f>G138+1</f>
        <v>2023</v>
      </c>
      <c r="I138" s="614">
        <f>H138+1</f>
        <v>2024</v>
      </c>
      <c r="J138" s="614">
        <f>I138+1</f>
        <v>2025</v>
      </c>
      <c r="K138" s="614">
        <f>J138+1</f>
        <v>2026</v>
      </c>
      <c r="L138" s="243"/>
      <c r="N138" s="614">
        <f>FirstYear</f>
        <v>2021</v>
      </c>
      <c r="O138" s="614">
        <f>N138+1</f>
        <v>2022</v>
      </c>
      <c r="P138" s="614">
        <f>O138+1</f>
        <v>2023</v>
      </c>
      <c r="Q138" s="614">
        <f>P138+1</f>
        <v>2024</v>
      </c>
      <c r="R138" s="614">
        <f>Q138+1</f>
        <v>2025</v>
      </c>
      <c r="S138" s="614">
        <f>R138+1</f>
        <v>2026</v>
      </c>
    </row>
    <row r="139" spans="2:27" s="416" customFormat="1" hidden="1" outlineLevel="1" x14ac:dyDescent="0.2">
      <c r="E139" s="59" t="str">
        <f>TxPhase1Px</f>
        <v/>
      </c>
      <c r="F139" s="32">
        <f t="shared" ref="F139:K139" ca="1" si="144">IFERROR(INDEX(PxTxPhase1,$D137,F133),0)</f>
        <v>0</v>
      </c>
      <c r="G139" s="32">
        <f t="shared" ca="1" si="144"/>
        <v>0</v>
      </c>
      <c r="H139" s="32">
        <f t="shared" ca="1" si="144"/>
        <v>0</v>
      </c>
      <c r="I139" s="32">
        <f t="shared" ca="1" si="144"/>
        <v>0</v>
      </c>
      <c r="J139" s="32">
        <f t="shared" ca="1" si="144"/>
        <v>0</v>
      </c>
      <c r="K139" s="32">
        <f t="shared" ca="1" si="144"/>
        <v>0</v>
      </c>
      <c r="L139" s="243"/>
      <c r="M139" s="59" t="str">
        <f>TxPhase2Px</f>
        <v/>
      </c>
      <c r="N139" s="32">
        <f t="shared" ref="N139:S139" ca="1" si="145">IFERROR(INDEX(PxTxPhase2,$D137,N133),0)</f>
        <v>0</v>
      </c>
      <c r="O139" s="32">
        <f t="shared" ca="1" si="145"/>
        <v>0</v>
      </c>
      <c r="P139" s="32">
        <f t="shared" ca="1" si="145"/>
        <v>0</v>
      </c>
      <c r="Q139" s="32">
        <f t="shared" ca="1" si="145"/>
        <v>0</v>
      </c>
      <c r="R139" s="32">
        <f t="shared" ca="1" si="145"/>
        <v>0</v>
      </c>
      <c r="S139" s="32">
        <f t="shared" ca="1" si="145"/>
        <v>0</v>
      </c>
    </row>
    <row r="140" spans="2:27" s="416" customFormat="1" hidden="1" outlineLevel="1" x14ac:dyDescent="0.2">
      <c r="D140" s="615"/>
      <c r="E140" s="615"/>
      <c r="F140" s="615"/>
      <c r="G140" s="615"/>
      <c r="H140" s="615"/>
      <c r="I140" s="615"/>
      <c r="J140" s="615"/>
      <c r="K140" s="615"/>
      <c r="L140" s="243"/>
      <c r="M140" s="615"/>
      <c r="N140" s="615"/>
    </row>
    <row r="141" spans="2:27" s="416" customFormat="1" hidden="1" outlineLevel="1" x14ac:dyDescent="0.2">
      <c r="D141" s="615"/>
      <c r="E141" s="243"/>
      <c r="F141" s="243"/>
      <c r="G141" s="243"/>
      <c r="H141" s="243"/>
      <c r="I141" s="243"/>
      <c r="J141" s="243"/>
      <c r="K141" s="243"/>
      <c r="L141" s="243"/>
      <c r="M141" s="243"/>
      <c r="N141" s="615"/>
      <c r="U141" s="578"/>
      <c r="V141" s="579">
        <f>$W151*1</f>
        <v>0</v>
      </c>
      <c r="W141" s="579">
        <f>$W151*2</f>
        <v>0</v>
      </c>
      <c r="X141" s="579">
        <f>$W151*3</f>
        <v>0</v>
      </c>
      <c r="Y141" s="579">
        <f>$W151*4</f>
        <v>0</v>
      </c>
      <c r="Z141" s="579">
        <f>$W151*5</f>
        <v>0</v>
      </c>
      <c r="AA141" s="579">
        <f>$W151*6</f>
        <v>0</v>
      </c>
    </row>
    <row r="142" spans="2:27" s="416" customFormat="1" hidden="1" outlineLevel="1" x14ac:dyDescent="0.2">
      <c r="E142" s="433" t="s">
        <v>1160</v>
      </c>
      <c r="F142" s="586"/>
      <c r="G142" s="268"/>
      <c r="H142" s="621"/>
      <c r="I142" s="621"/>
      <c r="J142" s="621"/>
      <c r="K142" s="621"/>
      <c r="L142" s="243"/>
      <c r="M142" s="433" t="s">
        <v>1160</v>
      </c>
      <c r="N142" s="586"/>
      <c r="O142" s="587" t="str">
        <f>IF(G142&lt;&gt;"",G142,"")</f>
        <v/>
      </c>
      <c r="P142" s="525"/>
      <c r="Q142" s="525"/>
      <c r="R142" s="525"/>
      <c r="S142" s="525"/>
      <c r="U142" s="580" t="s">
        <v>1156</v>
      </c>
      <c r="V142" s="581">
        <f>IF($F142&gt;=V141,$W151,IF($F142&gt;0,$F142,0))</f>
        <v>0</v>
      </c>
      <c r="W142" s="581">
        <f>IF($F142&gt;=W141,$W$41,IF($F142&gt;V141,($F142-V141),0))</f>
        <v>0</v>
      </c>
      <c r="X142" s="581">
        <f>IF($F142&gt;=X141,$W$41,IF($F142&gt;W141,($F142-W141),0))</f>
        <v>0</v>
      </c>
      <c r="Y142" s="581">
        <f>IF($F142&gt;=Y141,$W$41,IF($F142&gt;X141,($F142-X141),0))</f>
        <v>0</v>
      </c>
      <c r="Z142" s="581">
        <f>IF($F142&gt;=Z141,$W$41,IF($F142&gt;Y141,($F142-Y141),0))</f>
        <v>0</v>
      </c>
      <c r="AA142" s="581">
        <f>IF($F142&gt;=AA141,$W$41,IF($F142&gt;Z141,($F142-Z141),0))</f>
        <v>0</v>
      </c>
    </row>
    <row r="143" spans="2:27" s="416" customFormat="1" hidden="1" outlineLevel="1" x14ac:dyDescent="0.2">
      <c r="D143" s="615"/>
      <c r="E143" s="622"/>
      <c r="F143" s="622"/>
      <c r="G143" s="583"/>
      <c r="H143" s="622"/>
      <c r="I143" s="622"/>
      <c r="J143" s="622"/>
      <c r="K143" s="622"/>
      <c r="L143" s="243"/>
      <c r="M143" s="617"/>
      <c r="N143" s="618"/>
      <c r="O143" s="618"/>
      <c r="P143" s="618"/>
      <c r="Q143" s="618"/>
      <c r="R143" s="618"/>
      <c r="S143" s="618"/>
      <c r="U143" s="582" t="s">
        <v>1157</v>
      </c>
      <c r="V143" s="579">
        <f t="shared" ref="V143:AA143" si="146">IF(V142&gt;0,$W151-V142,$W151)</f>
        <v>0</v>
      </c>
      <c r="W143" s="579">
        <f t="shared" si="146"/>
        <v>0</v>
      </c>
      <c r="X143" s="579">
        <f t="shared" si="146"/>
        <v>0</v>
      </c>
      <c r="Y143" s="579">
        <f t="shared" si="146"/>
        <v>0</v>
      </c>
      <c r="Z143" s="579">
        <f t="shared" si="146"/>
        <v>0</v>
      </c>
      <c r="AA143" s="579">
        <f t="shared" si="146"/>
        <v>0</v>
      </c>
    </row>
    <row r="144" spans="2:27" s="416" customFormat="1" hidden="1" outlineLevel="1" x14ac:dyDescent="0.2">
      <c r="D144" s="615"/>
      <c r="E144" s="617" t="str">
        <f>E139</f>
        <v/>
      </c>
      <c r="F144" s="623"/>
      <c r="G144" s="588"/>
      <c r="H144" s="623"/>
      <c r="I144" s="623"/>
      <c r="J144" s="623"/>
      <c r="K144" s="623"/>
      <c r="L144" s="243"/>
      <c r="M144" s="617" t="str">
        <f>M139</f>
        <v/>
      </c>
      <c r="N144" s="619"/>
      <c r="O144" s="620"/>
      <c r="P144" s="620"/>
      <c r="Q144" s="620"/>
      <c r="R144" s="620"/>
      <c r="S144" s="620"/>
      <c r="U144" s="525"/>
      <c r="V144" s="525"/>
      <c r="W144" s="525"/>
      <c r="X144" s="525"/>
      <c r="Y144" s="525"/>
      <c r="Z144" s="525"/>
      <c r="AA144" s="525"/>
    </row>
    <row r="145" spans="2:27" s="416" customFormat="1" hidden="1" outlineLevel="1" x14ac:dyDescent="0.2">
      <c r="E145" s="589" t="s">
        <v>1207</v>
      </c>
      <c r="F145" s="63">
        <f ca="1">$F139*V148</f>
        <v>0</v>
      </c>
      <c r="G145" s="63">
        <f t="shared" ref="G145" ca="1" si="147">$F139*W148</f>
        <v>0</v>
      </c>
      <c r="H145" s="63">
        <f t="shared" ref="H145" ca="1" si="148">$F139*X148</f>
        <v>0</v>
      </c>
      <c r="I145" s="63">
        <f t="shared" ref="I145" ca="1" si="149">$F139*Y148</f>
        <v>0</v>
      </c>
      <c r="J145" s="63">
        <f t="shared" ref="J145" ca="1" si="150">$F139*Z148</f>
        <v>0</v>
      </c>
      <c r="K145" s="63">
        <f t="shared" ref="K145" ca="1" si="151">$F139*AA148</f>
        <v>0</v>
      </c>
      <c r="L145" s="243"/>
      <c r="M145" s="589" t="s">
        <v>1207</v>
      </c>
      <c r="N145" s="63">
        <f ca="1">$N139*V149</f>
        <v>0</v>
      </c>
      <c r="O145" s="63">
        <f ca="1">$N139*W149</f>
        <v>0</v>
      </c>
      <c r="P145" s="63">
        <f t="shared" ref="P145" ca="1" si="152">$N139*X149</f>
        <v>0</v>
      </c>
      <c r="Q145" s="63">
        <f t="shared" ref="Q145" ca="1" si="153">$N139*Y149</f>
        <v>0</v>
      </c>
      <c r="R145" s="63">
        <f t="shared" ref="R145" ca="1" si="154">$N139*Z149</f>
        <v>0</v>
      </c>
      <c r="S145" s="63">
        <f t="shared" ref="S145" ca="1" si="155">$N139*AA149</f>
        <v>0</v>
      </c>
      <c r="U145" s="582" t="s">
        <v>1158</v>
      </c>
      <c r="V145" s="581">
        <f>IF($N142&gt;=V143,V143,N142)</f>
        <v>0</v>
      </c>
      <c r="W145" s="581">
        <f>IF(V146&gt;=W143,W143,V146)</f>
        <v>0</v>
      </c>
      <c r="X145" s="581">
        <f>IF(W146&gt;=X143,X143,W146)</f>
        <v>0</v>
      </c>
      <c r="Y145" s="581">
        <f>IF(X146&gt;=Y143,Y143,X146)</f>
        <v>0</v>
      </c>
      <c r="Z145" s="581">
        <f>IF(Y146&gt;=Z143,Z143,Y146)</f>
        <v>0</v>
      </c>
      <c r="AA145" s="581">
        <f>IF(Z146&gt;=AA143,AA143,Z146)</f>
        <v>0</v>
      </c>
    </row>
    <row r="146" spans="2:27" s="416" customFormat="1" hidden="1" outlineLevel="1" x14ac:dyDescent="0.2">
      <c r="E146" s="589" t="s">
        <v>1208</v>
      </c>
      <c r="F146" s="130"/>
      <c r="G146" s="63">
        <f ca="1">$G139*V148</f>
        <v>0</v>
      </c>
      <c r="H146" s="63">
        <f t="shared" ref="H146" ca="1" si="156">$G139*W148</f>
        <v>0</v>
      </c>
      <c r="I146" s="63">
        <f t="shared" ref="I146" ca="1" si="157">$G139*X148</f>
        <v>0</v>
      </c>
      <c r="J146" s="63">
        <f t="shared" ref="J146" ca="1" si="158">$G139*Y148</f>
        <v>0</v>
      </c>
      <c r="K146" s="63">
        <f t="shared" ref="K146" ca="1" si="159">$G139*Z148</f>
        <v>0</v>
      </c>
      <c r="L146" s="243"/>
      <c r="M146" s="589" t="s">
        <v>1208</v>
      </c>
      <c r="N146" s="130"/>
      <c r="O146" s="63">
        <f ca="1">$O139*V149</f>
        <v>0</v>
      </c>
      <c r="P146" s="63">
        <f t="shared" ref="P146" ca="1" si="160">$O139*W149</f>
        <v>0</v>
      </c>
      <c r="Q146" s="63">
        <f t="shared" ref="Q146" ca="1" si="161">$O139*X149</f>
        <v>0</v>
      </c>
      <c r="R146" s="63">
        <f t="shared" ref="R146" ca="1" si="162">$O139*Y149</f>
        <v>0</v>
      </c>
      <c r="S146" s="63">
        <f t="shared" ref="S146" ca="1" si="163">$O139*Z149</f>
        <v>0</v>
      </c>
      <c r="U146" s="582" t="s">
        <v>1159</v>
      </c>
      <c r="V146" s="579">
        <f>$N142-V145</f>
        <v>0</v>
      </c>
      <c r="W146" s="579">
        <f>$N142-SUM($V145:W145)</f>
        <v>0</v>
      </c>
      <c r="X146" s="579">
        <f>$N142-SUM($V145:X145)</f>
        <v>0</v>
      </c>
      <c r="Y146" s="579">
        <f>$N142-SUM($V145:Y145)</f>
        <v>0</v>
      </c>
      <c r="Z146" s="579">
        <f>$N142-SUM($V145:Z145)</f>
        <v>0</v>
      </c>
      <c r="AA146" s="579">
        <f>$N142-SUM($V145:AA145)</f>
        <v>0</v>
      </c>
    </row>
    <row r="147" spans="2:27" s="416" customFormat="1" hidden="1" outlineLevel="1" x14ac:dyDescent="0.2">
      <c r="E147" s="589" t="s">
        <v>1209</v>
      </c>
      <c r="F147" s="130"/>
      <c r="G147" s="130"/>
      <c r="H147" s="63">
        <f ca="1">$H139*V148</f>
        <v>0</v>
      </c>
      <c r="I147" s="63">
        <f t="shared" ref="I147" ca="1" si="164">$H139*W148</f>
        <v>0</v>
      </c>
      <c r="J147" s="63">
        <f t="shared" ref="J147" ca="1" si="165">$H139*X148</f>
        <v>0</v>
      </c>
      <c r="K147" s="63">
        <f t="shared" ref="K147" ca="1" si="166">$H139*Y148</f>
        <v>0</v>
      </c>
      <c r="L147" s="243"/>
      <c r="M147" s="589" t="s">
        <v>1209</v>
      </c>
      <c r="N147" s="130"/>
      <c r="O147" s="130"/>
      <c r="P147" s="63">
        <f ca="1">$P139*V149</f>
        <v>0</v>
      </c>
      <c r="Q147" s="63">
        <f t="shared" ref="Q147" ca="1" si="167">$P139*W149</f>
        <v>0</v>
      </c>
      <c r="R147" s="63">
        <f t="shared" ref="R147" ca="1" si="168">$P139*X149</f>
        <v>0</v>
      </c>
      <c r="S147" s="63">
        <f t="shared" ref="S147" ca="1" si="169">$P139*Y149</f>
        <v>0</v>
      </c>
      <c r="U147" s="583"/>
      <c r="V147" s="584"/>
      <c r="W147" s="583"/>
      <c r="X147" s="583"/>
      <c r="Y147" s="583"/>
      <c r="Z147" s="583"/>
      <c r="AA147" s="525"/>
    </row>
    <row r="148" spans="2:27" s="416" customFormat="1" hidden="1" outlineLevel="1" x14ac:dyDescent="0.2">
      <c r="E148" s="589" t="s">
        <v>1210</v>
      </c>
      <c r="F148" s="130"/>
      <c r="G148" s="130"/>
      <c r="H148" s="130"/>
      <c r="I148" s="63">
        <f ca="1">$I139*V148</f>
        <v>0</v>
      </c>
      <c r="J148" s="63">
        <f t="shared" ref="J148" ca="1" si="170">$I139*W148</f>
        <v>0</v>
      </c>
      <c r="K148" s="63">
        <f t="shared" ref="K148" ca="1" si="171">$I139*X148</f>
        <v>0</v>
      </c>
      <c r="L148" s="243"/>
      <c r="M148" s="589" t="s">
        <v>1210</v>
      </c>
      <c r="N148" s="130"/>
      <c r="O148" s="130"/>
      <c r="P148" s="130"/>
      <c r="Q148" s="63">
        <f ca="1">$Q139*V149</f>
        <v>0</v>
      </c>
      <c r="R148" s="63">
        <f t="shared" ref="R148" ca="1" si="172">$Q139*W149</f>
        <v>0</v>
      </c>
      <c r="S148" s="63">
        <f t="shared" ref="S148" ca="1" si="173">$Q139*X149</f>
        <v>0</v>
      </c>
      <c r="U148" s="580" t="s">
        <v>1156</v>
      </c>
      <c r="V148" s="585">
        <f t="shared" ref="V148:AA148" si="174">IFERROR(V142/$W151,0)</f>
        <v>0</v>
      </c>
      <c r="W148" s="585">
        <f t="shared" si="174"/>
        <v>0</v>
      </c>
      <c r="X148" s="585">
        <f t="shared" si="174"/>
        <v>0</v>
      </c>
      <c r="Y148" s="585">
        <f t="shared" si="174"/>
        <v>0</v>
      </c>
      <c r="Z148" s="585">
        <f t="shared" si="174"/>
        <v>0</v>
      </c>
      <c r="AA148" s="585">
        <f t="shared" si="174"/>
        <v>0</v>
      </c>
    </row>
    <row r="149" spans="2:27" s="416" customFormat="1" hidden="1" outlineLevel="1" x14ac:dyDescent="0.2">
      <c r="E149" s="589" t="s">
        <v>1211</v>
      </c>
      <c r="F149" s="130"/>
      <c r="G149" s="130"/>
      <c r="H149" s="130"/>
      <c r="I149" s="130"/>
      <c r="J149" s="63">
        <f ca="1">$J139*V148</f>
        <v>0</v>
      </c>
      <c r="K149" s="63">
        <f ca="1">$J139*W148</f>
        <v>0</v>
      </c>
      <c r="L149" s="243"/>
      <c r="M149" s="589" t="s">
        <v>1211</v>
      </c>
      <c r="N149" s="130"/>
      <c r="O149" s="130"/>
      <c r="P149" s="130"/>
      <c r="Q149" s="130"/>
      <c r="R149" s="63">
        <f ca="1">$R139*V149</f>
        <v>0</v>
      </c>
      <c r="S149" s="63">
        <f ca="1">$R139*W149</f>
        <v>0</v>
      </c>
      <c r="U149" s="582" t="s">
        <v>1158</v>
      </c>
      <c r="V149" s="585">
        <f t="shared" ref="V149:AA149" si="175">IFERROR(V145/$W151,0)</f>
        <v>0</v>
      </c>
      <c r="W149" s="585">
        <f t="shared" si="175"/>
        <v>0</v>
      </c>
      <c r="X149" s="585">
        <f t="shared" si="175"/>
        <v>0</v>
      </c>
      <c r="Y149" s="585">
        <f t="shared" si="175"/>
        <v>0</v>
      </c>
      <c r="Z149" s="585">
        <f t="shared" si="175"/>
        <v>0</v>
      </c>
      <c r="AA149" s="585">
        <f t="shared" si="175"/>
        <v>0</v>
      </c>
    </row>
    <row r="150" spans="2:27" s="416" customFormat="1" hidden="1" outlineLevel="1" x14ac:dyDescent="0.2">
      <c r="E150" s="589" t="s">
        <v>1212</v>
      </c>
      <c r="F150" s="130"/>
      <c r="G150" s="130"/>
      <c r="H150" s="130"/>
      <c r="I150" s="130"/>
      <c r="J150" s="130"/>
      <c r="K150" s="63">
        <f ca="1">$K139*V148</f>
        <v>0</v>
      </c>
      <c r="L150" s="243"/>
      <c r="M150" s="589" t="s">
        <v>1212</v>
      </c>
      <c r="N150" s="130"/>
      <c r="O150" s="130"/>
      <c r="P150" s="130"/>
      <c r="Q150" s="130"/>
      <c r="R150" s="130"/>
      <c r="S150" s="63">
        <f ca="1">$S139*V149</f>
        <v>0</v>
      </c>
    </row>
    <row r="151" spans="2:27" s="416" customFormat="1" hidden="1" outlineLevel="1" x14ac:dyDescent="0.2">
      <c r="E151" s="590" t="str">
        <f>TxPhase1PxUnitsTx</f>
        <v/>
      </c>
      <c r="F151" s="591">
        <f ca="1">IF(F142&lt;&gt;"",SUM(F145:F150),F139)</f>
        <v>0</v>
      </c>
      <c r="G151" s="591">
        <f ca="1">IF(F142&lt;&gt;"",SUM(G145:G150),G139)</f>
        <v>0</v>
      </c>
      <c r="H151" s="591">
        <f ca="1">IF(F142&lt;&gt;"",SUM(H145:H150),H139)</f>
        <v>0</v>
      </c>
      <c r="I151" s="591">
        <f ca="1">IF(F142&lt;&gt;"",SUM(I145:I150),I139)</f>
        <v>0</v>
      </c>
      <c r="J151" s="591">
        <f ca="1">IF(F142&lt;&gt;"",SUM(J145:J150),J139)</f>
        <v>0</v>
      </c>
      <c r="K151" s="591">
        <f ca="1">IF(F142&lt;&gt;"",SUM(K145:K150),K139)</f>
        <v>0</v>
      </c>
      <c r="L151" s="243"/>
      <c r="M151" s="590" t="str">
        <f>TxPhase2PxUnitsTx</f>
        <v/>
      </c>
      <c r="N151" s="591">
        <f ca="1">IF(N142&lt;&gt;"",SUM(N145:N150),N139)</f>
        <v>0</v>
      </c>
      <c r="O151" s="591">
        <f ca="1">IF(N142&lt;&gt;"",SUM(O145:O150),O139)</f>
        <v>0</v>
      </c>
      <c r="P151" s="591">
        <f ca="1">IF(N142&lt;&gt;"",SUM(P145:P150),P139)</f>
        <v>0</v>
      </c>
      <c r="Q151" s="591">
        <f ca="1">IF(N142&lt;&gt;"",SUM(Q145:Q150),Q139)</f>
        <v>0</v>
      </c>
      <c r="R151" s="591">
        <f ca="1">IF(N142&lt;&gt;"",SUM(R145:R150),R139)</f>
        <v>0</v>
      </c>
      <c r="S151" s="591">
        <f ca="1">IF(N142&lt;&gt;"",SUM(S145:S150),S139)</f>
        <v>0</v>
      </c>
      <c r="U151" s="582" t="s">
        <v>1161</v>
      </c>
      <c r="V151" s="579">
        <f>IFERROR(VLOOKUP(G142,TimeUnitCode,2,FALSE),0)</f>
        <v>0</v>
      </c>
      <c r="W151" s="579">
        <f>IFERROR(INDEX(TimeUnitCount,V151,2),0)</f>
        <v>0</v>
      </c>
    </row>
    <row r="152" spans="2:27" s="416" customFormat="1" hidden="1" outlineLevel="1" x14ac:dyDescent="0.2">
      <c r="L152" s="615"/>
    </row>
    <row r="153" spans="2:27" s="416" customFormat="1" collapsed="1" x14ac:dyDescent="0.2"/>
    <row r="154" spans="2:27" s="416" customFormat="1" ht="15.75" x14ac:dyDescent="0.2">
      <c r="B154" s="475">
        <f>IF(F164+N164&gt;12,1,0)</f>
        <v>0</v>
      </c>
      <c r="C154" s="291">
        <f ca="1">IFERROR(INDEX(PxTxPhase1,$D159,7),0)</f>
        <v>0</v>
      </c>
      <c r="D154" s="573">
        <v>7</v>
      </c>
      <c r="E154" s="79" t="str">
        <f>IF(F158&lt;&gt;"",CONCATENATE("DTG ",D154,": ",H158,": ",N154),MsgNotUsed)</f>
        <v>** NOT USED **</v>
      </c>
      <c r="F154" s="132"/>
      <c r="G154" s="132"/>
      <c r="H154" s="132"/>
      <c r="I154" s="132"/>
      <c r="J154" s="134"/>
      <c r="K154" s="134"/>
      <c r="L154" s="134"/>
      <c r="M154" s="325"/>
      <c r="N154" s="637" t="str">
        <f>IF(AND(F164="",N164=""),"Full year",IF(AND(F164&lt;&gt;"",N164=""),CONCATENATE(F164," ",G164),IF(AND(F164="",N164&lt;&gt;""),CONCATENATE(N164," ",G164),CONCATENATE(F164," + ",N164," ",G164))))</f>
        <v>Full year</v>
      </c>
      <c r="O154" s="325"/>
      <c r="P154" s="325"/>
      <c r="Q154" s="325"/>
      <c r="R154" s="325"/>
      <c r="S154" s="325"/>
      <c r="T154" s="325"/>
      <c r="U154" s="325"/>
      <c r="V154" s="325"/>
      <c r="W154" s="325"/>
      <c r="X154" s="325"/>
      <c r="Y154" s="325"/>
      <c r="Z154" s="325"/>
      <c r="AA154" s="325"/>
    </row>
    <row r="155" spans="2:27" s="416" customFormat="1" hidden="1" outlineLevel="1" x14ac:dyDescent="0.2">
      <c r="C155" s="615"/>
      <c r="D155" s="615"/>
      <c r="E155" s="615"/>
      <c r="F155" s="624">
        <v>1</v>
      </c>
      <c r="G155" s="397">
        <v>2</v>
      </c>
      <c r="H155" s="397">
        <v>3</v>
      </c>
      <c r="I155" s="397">
        <v>4</v>
      </c>
      <c r="J155" s="397">
        <v>5</v>
      </c>
      <c r="K155" s="397">
        <v>6</v>
      </c>
      <c r="N155" s="397">
        <v>1</v>
      </c>
      <c r="O155" s="397">
        <v>2</v>
      </c>
      <c r="P155" s="397">
        <v>3</v>
      </c>
      <c r="Q155" s="397">
        <v>4</v>
      </c>
      <c r="R155" s="397">
        <v>5</v>
      </c>
      <c r="S155" s="397">
        <v>6</v>
      </c>
    </row>
    <row r="156" spans="2:27" s="416" customFormat="1" hidden="1" outlineLevel="1" x14ac:dyDescent="0.2">
      <c r="C156" s="243"/>
      <c r="D156" s="243"/>
      <c r="E156" s="162" t="s">
        <v>1206</v>
      </c>
      <c r="F156" s="615"/>
    </row>
    <row r="157" spans="2:27" s="416" customFormat="1" hidden="1" outlineLevel="1" x14ac:dyDescent="0.2">
      <c r="C157" s="243"/>
      <c r="D157" s="243"/>
      <c r="E157" s="616"/>
      <c r="F157" s="615"/>
      <c r="N157" s="615"/>
      <c r="O157" s="615"/>
      <c r="P157" s="615"/>
      <c r="Q157" s="615"/>
      <c r="R157" s="615"/>
      <c r="S157" s="615"/>
    </row>
    <row r="158" spans="2:27" s="416" customFormat="1" hidden="1" outlineLevel="1" x14ac:dyDescent="0.2">
      <c r="C158" s="291">
        <f>IF(F158&lt;&gt;"",MATCH(F158,PxTxSource,0)-1,0)</f>
        <v>0</v>
      </c>
      <c r="D158" s="291">
        <f ca="1">IF(H158&lt;&gt;"",MATCH(H158,OFFSET(References!$AE$23,0,C158,PxPopMaxCount),0),0)</f>
        <v>0</v>
      </c>
      <c r="E158" s="423" t="s">
        <v>113</v>
      </c>
      <c r="F158" s="613"/>
      <c r="H158" s="812"/>
      <c r="I158" s="813"/>
      <c r="J158" s="813"/>
      <c r="K158" s="813"/>
      <c r="L158" s="615"/>
      <c r="N158" s="806" t="str">
        <f ca="1">IF(ISERROR($D159)=TRUE,MsgError &amp; VLOOKUP("BadPop",ErrorMessages,2,FALSE),"")</f>
        <v/>
      </c>
      <c r="O158" s="806"/>
      <c r="P158" s="806"/>
      <c r="Q158" s="806"/>
      <c r="R158" s="806"/>
      <c r="S158" s="806"/>
    </row>
    <row r="159" spans="2:27" s="416" customFormat="1" hidden="1" outlineLevel="1" x14ac:dyDescent="0.2">
      <c r="C159" s="291">
        <f>INDEX(PxTxValid,,C158+1)</f>
        <v>0</v>
      </c>
      <c r="D159" s="291" t="str">
        <f ca="1">IF(AND(C158=0,D158=0),"",(C158*PxPopMaxCount)+D158)</f>
        <v/>
      </c>
      <c r="E159" s="243"/>
      <c r="L159" s="615"/>
      <c r="M159" s="615"/>
      <c r="N159" s="615"/>
      <c r="O159" s="615"/>
      <c r="P159" s="615"/>
      <c r="Q159" s="615"/>
      <c r="R159" s="615"/>
      <c r="S159" s="615"/>
    </row>
    <row r="160" spans="2:27" s="416" customFormat="1" hidden="1" outlineLevel="1" x14ac:dyDescent="0.2">
      <c r="C160" s="615"/>
      <c r="E160" s="495"/>
      <c r="F160" s="614">
        <f>FirstYear</f>
        <v>2021</v>
      </c>
      <c r="G160" s="614">
        <f>F160+1</f>
        <v>2022</v>
      </c>
      <c r="H160" s="614">
        <f>G160+1</f>
        <v>2023</v>
      </c>
      <c r="I160" s="614">
        <f>H160+1</f>
        <v>2024</v>
      </c>
      <c r="J160" s="614">
        <f>I160+1</f>
        <v>2025</v>
      </c>
      <c r="K160" s="614">
        <f>J160+1</f>
        <v>2026</v>
      </c>
      <c r="L160" s="243"/>
      <c r="N160" s="614">
        <f>FirstYear</f>
        <v>2021</v>
      </c>
      <c r="O160" s="614">
        <f>N160+1</f>
        <v>2022</v>
      </c>
      <c r="P160" s="614">
        <f>O160+1</f>
        <v>2023</v>
      </c>
      <c r="Q160" s="614">
        <f>P160+1</f>
        <v>2024</v>
      </c>
      <c r="R160" s="614">
        <f>Q160+1</f>
        <v>2025</v>
      </c>
      <c r="S160" s="614">
        <f>R160+1</f>
        <v>2026</v>
      </c>
    </row>
    <row r="161" spans="2:27" s="416" customFormat="1" hidden="1" outlineLevel="1" x14ac:dyDescent="0.2">
      <c r="E161" s="59" t="str">
        <f>TxPhase1Px</f>
        <v/>
      </c>
      <c r="F161" s="32">
        <f t="shared" ref="F161:K161" ca="1" si="176">IFERROR(INDEX(PxTxPhase1,$D159,F155),0)</f>
        <v>0</v>
      </c>
      <c r="G161" s="32">
        <f t="shared" ca="1" si="176"/>
        <v>0</v>
      </c>
      <c r="H161" s="32">
        <f t="shared" ca="1" si="176"/>
        <v>0</v>
      </c>
      <c r="I161" s="32">
        <f t="shared" ca="1" si="176"/>
        <v>0</v>
      </c>
      <c r="J161" s="32">
        <f t="shared" ca="1" si="176"/>
        <v>0</v>
      </c>
      <c r="K161" s="32">
        <f t="shared" ca="1" si="176"/>
        <v>0</v>
      </c>
      <c r="L161" s="243"/>
      <c r="M161" s="59" t="str">
        <f>TxPhase2Px</f>
        <v/>
      </c>
      <c r="N161" s="32">
        <f t="shared" ref="N161:S161" ca="1" si="177">IFERROR(INDEX(PxTxPhase2,$D159,N155),0)</f>
        <v>0</v>
      </c>
      <c r="O161" s="32">
        <f t="shared" ca="1" si="177"/>
        <v>0</v>
      </c>
      <c r="P161" s="32">
        <f t="shared" ca="1" si="177"/>
        <v>0</v>
      </c>
      <c r="Q161" s="32">
        <f t="shared" ca="1" si="177"/>
        <v>0</v>
      </c>
      <c r="R161" s="32">
        <f t="shared" ca="1" si="177"/>
        <v>0</v>
      </c>
      <c r="S161" s="32">
        <f t="shared" ca="1" si="177"/>
        <v>0</v>
      </c>
    </row>
    <row r="162" spans="2:27" s="416" customFormat="1" hidden="1" outlineLevel="1" x14ac:dyDescent="0.2">
      <c r="D162" s="615"/>
      <c r="E162" s="615"/>
      <c r="F162" s="615"/>
      <c r="G162" s="615"/>
      <c r="H162" s="615"/>
      <c r="I162" s="615"/>
      <c r="J162" s="615"/>
      <c r="K162" s="615"/>
      <c r="L162" s="243"/>
      <c r="M162" s="615"/>
      <c r="N162" s="615"/>
    </row>
    <row r="163" spans="2:27" s="416" customFormat="1" hidden="1" outlineLevel="1" x14ac:dyDescent="0.2">
      <c r="D163" s="615"/>
      <c r="E163" s="243"/>
      <c r="F163" s="243"/>
      <c r="G163" s="243"/>
      <c r="H163" s="243"/>
      <c r="I163" s="243"/>
      <c r="J163" s="243"/>
      <c r="K163" s="243"/>
      <c r="L163" s="243"/>
      <c r="M163" s="243"/>
      <c r="N163" s="615"/>
      <c r="U163" s="578"/>
      <c r="V163" s="579">
        <f>$W173*1</f>
        <v>0</v>
      </c>
      <c r="W163" s="579">
        <f>$W173*2</f>
        <v>0</v>
      </c>
      <c r="X163" s="579">
        <f>$W173*3</f>
        <v>0</v>
      </c>
      <c r="Y163" s="579">
        <f>$W173*4</f>
        <v>0</v>
      </c>
      <c r="Z163" s="579">
        <f>$W173*5</f>
        <v>0</v>
      </c>
      <c r="AA163" s="579">
        <f>$W173*6</f>
        <v>0</v>
      </c>
    </row>
    <row r="164" spans="2:27" s="416" customFormat="1" hidden="1" outlineLevel="1" x14ac:dyDescent="0.2">
      <c r="E164" s="433" t="s">
        <v>1160</v>
      </c>
      <c r="F164" s="586"/>
      <c r="G164" s="268"/>
      <c r="H164" s="621"/>
      <c r="I164" s="621"/>
      <c r="J164" s="621"/>
      <c r="K164" s="621"/>
      <c r="L164" s="243"/>
      <c r="M164" s="433" t="s">
        <v>1160</v>
      </c>
      <c r="N164" s="586"/>
      <c r="O164" s="587" t="str">
        <f>IF(G164&lt;&gt;"",G164,"")</f>
        <v/>
      </c>
      <c r="P164" s="525"/>
      <c r="Q164" s="525"/>
      <c r="R164" s="525"/>
      <c r="S164" s="525"/>
      <c r="U164" s="580" t="s">
        <v>1156</v>
      </c>
      <c r="V164" s="581">
        <f>IF($F164&gt;=V163,$W173,IF($F164&gt;0,$F164,0))</f>
        <v>0</v>
      </c>
      <c r="W164" s="581">
        <f>IF($F164&gt;=W163,$W$41,IF($F164&gt;V163,($F164-V163),0))</f>
        <v>0</v>
      </c>
      <c r="X164" s="581">
        <f>IF($F164&gt;=X163,$W$41,IF($F164&gt;W163,($F164-W163),0))</f>
        <v>0</v>
      </c>
      <c r="Y164" s="581">
        <f>IF($F164&gt;=Y163,$W$41,IF($F164&gt;X163,($F164-X163),0))</f>
        <v>0</v>
      </c>
      <c r="Z164" s="581">
        <f>IF($F164&gt;=Z163,$W$41,IF($F164&gt;Y163,($F164-Y163),0))</f>
        <v>0</v>
      </c>
      <c r="AA164" s="581">
        <f>IF($F164&gt;=AA163,$W$41,IF($F164&gt;Z163,($F164-Z163),0))</f>
        <v>0</v>
      </c>
    </row>
    <row r="165" spans="2:27" s="416" customFormat="1" hidden="1" outlineLevel="1" x14ac:dyDescent="0.2">
      <c r="D165" s="615"/>
      <c r="E165" s="622"/>
      <c r="F165" s="622"/>
      <c r="G165" s="583"/>
      <c r="H165" s="622"/>
      <c r="I165" s="622"/>
      <c r="J165" s="622"/>
      <c r="K165" s="622"/>
      <c r="L165" s="243"/>
      <c r="M165" s="617"/>
      <c r="N165" s="618"/>
      <c r="O165" s="618"/>
      <c r="P165" s="618"/>
      <c r="Q165" s="618"/>
      <c r="R165" s="618"/>
      <c r="S165" s="618"/>
      <c r="U165" s="582" t="s">
        <v>1157</v>
      </c>
      <c r="V165" s="579">
        <f t="shared" ref="V165:AA165" si="178">IF(V164&gt;0,$W173-V164,$W173)</f>
        <v>0</v>
      </c>
      <c r="W165" s="579">
        <f t="shared" si="178"/>
        <v>0</v>
      </c>
      <c r="X165" s="579">
        <f t="shared" si="178"/>
        <v>0</v>
      </c>
      <c r="Y165" s="579">
        <f t="shared" si="178"/>
        <v>0</v>
      </c>
      <c r="Z165" s="579">
        <f t="shared" si="178"/>
        <v>0</v>
      </c>
      <c r="AA165" s="579">
        <f t="shared" si="178"/>
        <v>0</v>
      </c>
    </row>
    <row r="166" spans="2:27" s="416" customFormat="1" hidden="1" outlineLevel="1" x14ac:dyDescent="0.2">
      <c r="D166" s="615"/>
      <c r="E166" s="617" t="str">
        <f>E161</f>
        <v/>
      </c>
      <c r="F166" s="623"/>
      <c r="G166" s="588"/>
      <c r="H166" s="623"/>
      <c r="I166" s="623"/>
      <c r="J166" s="623"/>
      <c r="K166" s="623"/>
      <c r="L166" s="243"/>
      <c r="M166" s="617" t="str">
        <f>M161</f>
        <v/>
      </c>
      <c r="N166" s="619"/>
      <c r="O166" s="620"/>
      <c r="P166" s="620"/>
      <c r="Q166" s="620"/>
      <c r="R166" s="620"/>
      <c r="S166" s="620"/>
      <c r="U166" s="525"/>
      <c r="V166" s="525"/>
      <c r="W166" s="525"/>
      <c r="X166" s="525"/>
      <c r="Y166" s="525"/>
      <c r="Z166" s="525"/>
      <c r="AA166" s="525"/>
    </row>
    <row r="167" spans="2:27" s="416" customFormat="1" hidden="1" outlineLevel="1" x14ac:dyDescent="0.2">
      <c r="E167" s="589" t="s">
        <v>1207</v>
      </c>
      <c r="F167" s="63">
        <f ca="1">$F161*V170</f>
        <v>0</v>
      </c>
      <c r="G167" s="63">
        <f t="shared" ref="G167" ca="1" si="179">$F161*W170</f>
        <v>0</v>
      </c>
      <c r="H167" s="63">
        <f t="shared" ref="H167" ca="1" si="180">$F161*X170</f>
        <v>0</v>
      </c>
      <c r="I167" s="63">
        <f t="shared" ref="I167" ca="1" si="181">$F161*Y170</f>
        <v>0</v>
      </c>
      <c r="J167" s="63">
        <f t="shared" ref="J167" ca="1" si="182">$F161*Z170</f>
        <v>0</v>
      </c>
      <c r="K167" s="63">
        <f t="shared" ref="K167" ca="1" si="183">$F161*AA170</f>
        <v>0</v>
      </c>
      <c r="L167" s="243"/>
      <c r="M167" s="589" t="s">
        <v>1207</v>
      </c>
      <c r="N167" s="63">
        <f ca="1">$N161*V171</f>
        <v>0</v>
      </c>
      <c r="O167" s="63">
        <f ca="1">$N161*W171</f>
        <v>0</v>
      </c>
      <c r="P167" s="63">
        <f t="shared" ref="P167" ca="1" si="184">$N161*X171</f>
        <v>0</v>
      </c>
      <c r="Q167" s="63">
        <f t="shared" ref="Q167" ca="1" si="185">$N161*Y171</f>
        <v>0</v>
      </c>
      <c r="R167" s="63">
        <f t="shared" ref="R167" ca="1" si="186">$N161*Z171</f>
        <v>0</v>
      </c>
      <c r="S167" s="63">
        <f t="shared" ref="S167" ca="1" si="187">$N161*AA171</f>
        <v>0</v>
      </c>
      <c r="U167" s="582" t="s">
        <v>1158</v>
      </c>
      <c r="V167" s="581">
        <f>IF($N164&gt;=V165,V165,N164)</f>
        <v>0</v>
      </c>
      <c r="W167" s="581">
        <f>IF(V168&gt;=W165,W165,V168)</f>
        <v>0</v>
      </c>
      <c r="X167" s="581">
        <f>IF(W168&gt;=X165,X165,W168)</f>
        <v>0</v>
      </c>
      <c r="Y167" s="581">
        <f>IF(X168&gt;=Y165,Y165,X168)</f>
        <v>0</v>
      </c>
      <c r="Z167" s="581">
        <f>IF(Y168&gt;=Z165,Z165,Y168)</f>
        <v>0</v>
      </c>
      <c r="AA167" s="581">
        <f>IF(Z168&gt;=AA165,AA165,Z168)</f>
        <v>0</v>
      </c>
    </row>
    <row r="168" spans="2:27" s="416" customFormat="1" hidden="1" outlineLevel="1" x14ac:dyDescent="0.2">
      <c r="E168" s="589" t="s">
        <v>1208</v>
      </c>
      <c r="F168" s="130"/>
      <c r="G168" s="63">
        <f ca="1">$G161*V170</f>
        <v>0</v>
      </c>
      <c r="H168" s="63">
        <f t="shared" ref="H168" ca="1" si="188">$G161*W170</f>
        <v>0</v>
      </c>
      <c r="I168" s="63">
        <f t="shared" ref="I168" ca="1" si="189">$G161*X170</f>
        <v>0</v>
      </c>
      <c r="J168" s="63">
        <f t="shared" ref="J168" ca="1" si="190">$G161*Y170</f>
        <v>0</v>
      </c>
      <c r="K168" s="63">
        <f t="shared" ref="K168" ca="1" si="191">$G161*Z170</f>
        <v>0</v>
      </c>
      <c r="L168" s="243"/>
      <c r="M168" s="589" t="s">
        <v>1208</v>
      </c>
      <c r="N168" s="130"/>
      <c r="O168" s="63">
        <f ca="1">$O161*V171</f>
        <v>0</v>
      </c>
      <c r="P168" s="63">
        <f t="shared" ref="P168" ca="1" si="192">$O161*W171</f>
        <v>0</v>
      </c>
      <c r="Q168" s="63">
        <f t="shared" ref="Q168" ca="1" si="193">$O161*X171</f>
        <v>0</v>
      </c>
      <c r="R168" s="63">
        <f t="shared" ref="R168" ca="1" si="194">$O161*Y171</f>
        <v>0</v>
      </c>
      <c r="S168" s="63">
        <f t="shared" ref="S168" ca="1" si="195">$O161*Z171</f>
        <v>0</v>
      </c>
      <c r="U168" s="582" t="s">
        <v>1159</v>
      </c>
      <c r="V168" s="579">
        <f>$N164-V167</f>
        <v>0</v>
      </c>
      <c r="W168" s="579">
        <f>$N164-SUM($V167:W167)</f>
        <v>0</v>
      </c>
      <c r="X168" s="579">
        <f>$N164-SUM($V167:X167)</f>
        <v>0</v>
      </c>
      <c r="Y168" s="579">
        <f>$N164-SUM($V167:Y167)</f>
        <v>0</v>
      </c>
      <c r="Z168" s="579">
        <f>$N164-SUM($V167:Z167)</f>
        <v>0</v>
      </c>
      <c r="AA168" s="579">
        <f>$N164-SUM($V167:AA167)</f>
        <v>0</v>
      </c>
    </row>
    <row r="169" spans="2:27" s="416" customFormat="1" hidden="1" outlineLevel="1" x14ac:dyDescent="0.2">
      <c r="E169" s="589" t="s">
        <v>1209</v>
      </c>
      <c r="F169" s="130"/>
      <c r="G169" s="130"/>
      <c r="H169" s="63">
        <f ca="1">$H161*V170</f>
        <v>0</v>
      </c>
      <c r="I169" s="63">
        <f t="shared" ref="I169" ca="1" si="196">$H161*W170</f>
        <v>0</v>
      </c>
      <c r="J169" s="63">
        <f t="shared" ref="J169" ca="1" si="197">$H161*X170</f>
        <v>0</v>
      </c>
      <c r="K169" s="63">
        <f t="shared" ref="K169" ca="1" si="198">$H161*Y170</f>
        <v>0</v>
      </c>
      <c r="L169" s="243"/>
      <c r="M169" s="589" t="s">
        <v>1209</v>
      </c>
      <c r="N169" s="130"/>
      <c r="O169" s="130"/>
      <c r="P169" s="63">
        <f ca="1">$P161*V171</f>
        <v>0</v>
      </c>
      <c r="Q169" s="63">
        <f t="shared" ref="Q169" ca="1" si="199">$P161*W171</f>
        <v>0</v>
      </c>
      <c r="R169" s="63">
        <f t="shared" ref="R169" ca="1" si="200">$P161*X171</f>
        <v>0</v>
      </c>
      <c r="S169" s="63">
        <f t="shared" ref="S169" ca="1" si="201">$P161*Y171</f>
        <v>0</v>
      </c>
      <c r="U169" s="583"/>
      <c r="V169" s="584"/>
      <c r="W169" s="583"/>
      <c r="X169" s="583"/>
      <c r="Y169" s="583"/>
      <c r="Z169" s="583"/>
      <c r="AA169" s="525"/>
    </row>
    <row r="170" spans="2:27" s="416" customFormat="1" hidden="1" outlineLevel="1" x14ac:dyDescent="0.2">
      <c r="E170" s="589" t="s">
        <v>1210</v>
      </c>
      <c r="F170" s="130"/>
      <c r="G170" s="130"/>
      <c r="H170" s="130"/>
      <c r="I170" s="63">
        <f ca="1">$I161*V170</f>
        <v>0</v>
      </c>
      <c r="J170" s="63">
        <f t="shared" ref="J170" ca="1" si="202">$I161*W170</f>
        <v>0</v>
      </c>
      <c r="K170" s="63">
        <f t="shared" ref="K170" ca="1" si="203">$I161*X170</f>
        <v>0</v>
      </c>
      <c r="L170" s="243"/>
      <c r="M170" s="589" t="s">
        <v>1210</v>
      </c>
      <c r="N170" s="130"/>
      <c r="O170" s="130"/>
      <c r="P170" s="130"/>
      <c r="Q170" s="63">
        <f ca="1">$Q161*V171</f>
        <v>0</v>
      </c>
      <c r="R170" s="63">
        <f t="shared" ref="R170" ca="1" si="204">$Q161*W171</f>
        <v>0</v>
      </c>
      <c r="S170" s="63">
        <f t="shared" ref="S170" ca="1" si="205">$Q161*X171</f>
        <v>0</v>
      </c>
      <c r="U170" s="580" t="s">
        <v>1156</v>
      </c>
      <c r="V170" s="585">
        <f t="shared" ref="V170:AA170" si="206">IFERROR(V164/$W173,0)</f>
        <v>0</v>
      </c>
      <c r="W170" s="585">
        <f t="shared" si="206"/>
        <v>0</v>
      </c>
      <c r="X170" s="585">
        <f t="shared" si="206"/>
        <v>0</v>
      </c>
      <c r="Y170" s="585">
        <f t="shared" si="206"/>
        <v>0</v>
      </c>
      <c r="Z170" s="585">
        <f t="shared" si="206"/>
        <v>0</v>
      </c>
      <c r="AA170" s="585">
        <f t="shared" si="206"/>
        <v>0</v>
      </c>
    </row>
    <row r="171" spans="2:27" s="416" customFormat="1" hidden="1" outlineLevel="1" x14ac:dyDescent="0.2">
      <c r="E171" s="589" t="s">
        <v>1211</v>
      </c>
      <c r="F171" s="130"/>
      <c r="G171" s="130"/>
      <c r="H171" s="130"/>
      <c r="I171" s="130"/>
      <c r="J171" s="63">
        <f ca="1">$J161*V170</f>
        <v>0</v>
      </c>
      <c r="K171" s="63">
        <f ca="1">$J161*W170</f>
        <v>0</v>
      </c>
      <c r="L171" s="243"/>
      <c r="M171" s="589" t="s">
        <v>1211</v>
      </c>
      <c r="N171" s="130"/>
      <c r="O171" s="130"/>
      <c r="P171" s="130"/>
      <c r="Q171" s="130"/>
      <c r="R171" s="63">
        <f ca="1">$R161*V171</f>
        <v>0</v>
      </c>
      <c r="S171" s="63">
        <f ca="1">$R161*W171</f>
        <v>0</v>
      </c>
      <c r="U171" s="582" t="s">
        <v>1158</v>
      </c>
      <c r="V171" s="585">
        <f t="shared" ref="V171:AA171" si="207">IFERROR(V167/$W173,0)</f>
        <v>0</v>
      </c>
      <c r="W171" s="585">
        <f t="shared" si="207"/>
        <v>0</v>
      </c>
      <c r="X171" s="585">
        <f t="shared" si="207"/>
        <v>0</v>
      </c>
      <c r="Y171" s="585">
        <f t="shared" si="207"/>
        <v>0</v>
      </c>
      <c r="Z171" s="585">
        <f t="shared" si="207"/>
        <v>0</v>
      </c>
      <c r="AA171" s="585">
        <f t="shared" si="207"/>
        <v>0</v>
      </c>
    </row>
    <row r="172" spans="2:27" s="416" customFormat="1" hidden="1" outlineLevel="1" x14ac:dyDescent="0.2">
      <c r="E172" s="589" t="s">
        <v>1212</v>
      </c>
      <c r="F172" s="130"/>
      <c r="G172" s="130"/>
      <c r="H172" s="130"/>
      <c r="I172" s="130"/>
      <c r="J172" s="130"/>
      <c r="K172" s="63">
        <f ca="1">$K161*V170</f>
        <v>0</v>
      </c>
      <c r="L172" s="243"/>
      <c r="M172" s="589" t="s">
        <v>1212</v>
      </c>
      <c r="N172" s="130"/>
      <c r="O172" s="130"/>
      <c r="P172" s="130"/>
      <c r="Q172" s="130"/>
      <c r="R172" s="130"/>
      <c r="S172" s="63">
        <f ca="1">$S161*V171</f>
        <v>0</v>
      </c>
    </row>
    <row r="173" spans="2:27" s="416" customFormat="1" hidden="1" outlineLevel="1" x14ac:dyDescent="0.2">
      <c r="E173" s="590" t="str">
        <f>TxPhase1PxUnitsTx</f>
        <v/>
      </c>
      <c r="F173" s="591">
        <f ca="1">IF(F164&lt;&gt;"",SUM(F167:F172),F161)</f>
        <v>0</v>
      </c>
      <c r="G173" s="591">
        <f ca="1">IF(F164&lt;&gt;"",SUM(G167:G172),G161)</f>
        <v>0</v>
      </c>
      <c r="H173" s="591">
        <f ca="1">IF(F164&lt;&gt;"",SUM(H167:H172),H161)</f>
        <v>0</v>
      </c>
      <c r="I173" s="591">
        <f ca="1">IF(F164&lt;&gt;"",SUM(I167:I172),I161)</f>
        <v>0</v>
      </c>
      <c r="J173" s="591">
        <f ca="1">IF(F164&lt;&gt;"",SUM(J167:J172),J161)</f>
        <v>0</v>
      </c>
      <c r="K173" s="591">
        <f ca="1">IF(F164&lt;&gt;"",SUM(K167:K172),K161)</f>
        <v>0</v>
      </c>
      <c r="L173" s="243"/>
      <c r="M173" s="590" t="str">
        <f>TxPhase2PxUnitsTx</f>
        <v/>
      </c>
      <c r="N173" s="591">
        <f ca="1">IF(N164&lt;&gt;"",SUM(N167:N172),N161)</f>
        <v>0</v>
      </c>
      <c r="O173" s="591">
        <f ca="1">IF(N164&lt;&gt;"",SUM(O167:O172),O161)</f>
        <v>0</v>
      </c>
      <c r="P173" s="591">
        <f ca="1">IF(N164&lt;&gt;"",SUM(P167:P172),P161)</f>
        <v>0</v>
      </c>
      <c r="Q173" s="591">
        <f ca="1">IF(N164&lt;&gt;"",SUM(Q167:Q172),Q161)</f>
        <v>0</v>
      </c>
      <c r="R173" s="591">
        <f ca="1">IF(N164&lt;&gt;"",SUM(R167:R172),R161)</f>
        <v>0</v>
      </c>
      <c r="S173" s="591">
        <f ca="1">IF(N164&lt;&gt;"",SUM(S167:S172),S161)</f>
        <v>0</v>
      </c>
      <c r="U173" s="582" t="s">
        <v>1161</v>
      </c>
      <c r="V173" s="579">
        <f>IFERROR(VLOOKUP(G164,TimeUnitCode,2,FALSE),0)</f>
        <v>0</v>
      </c>
      <c r="W173" s="579">
        <f>IFERROR(INDEX(TimeUnitCount,V173,2),0)</f>
        <v>0</v>
      </c>
    </row>
    <row r="174" spans="2:27" s="416" customFormat="1" hidden="1" outlineLevel="1" x14ac:dyDescent="0.2"/>
    <row r="175" spans="2:27" s="416" customFormat="1" collapsed="1" x14ac:dyDescent="0.2"/>
    <row r="176" spans="2:27" s="416" customFormat="1" ht="15.75" x14ac:dyDescent="0.2">
      <c r="B176" s="475">
        <f>IF(F186+N186&gt;12,1,0)</f>
        <v>0</v>
      </c>
      <c r="C176" s="291">
        <f ca="1">IFERROR(INDEX(PxTxPhase1,$D181,7),0)</f>
        <v>0</v>
      </c>
      <c r="D176" s="573">
        <v>8</v>
      </c>
      <c r="E176" s="79" t="str">
        <f>IF(F180&lt;&gt;"",CONCATENATE("DTG ",D176,": ",H180,": ",N176),MsgNotUsed)</f>
        <v>** NOT USED **</v>
      </c>
      <c r="F176" s="132"/>
      <c r="G176" s="132"/>
      <c r="H176" s="132"/>
      <c r="I176" s="132"/>
      <c r="J176" s="134"/>
      <c r="K176" s="134"/>
      <c r="L176" s="134"/>
      <c r="M176" s="325"/>
      <c r="N176" s="637" t="str">
        <f>IF(AND(F186="",N186=""),"Full year",IF(AND(F186&lt;&gt;"",N186=""),CONCATENATE(F186," ",G186),IF(AND(F186="",N186&lt;&gt;""),CONCATENATE(N186," ",G186),CONCATENATE(F186," + ",N186," ",G186))))</f>
        <v>Full year</v>
      </c>
      <c r="O176" s="325"/>
      <c r="P176" s="325"/>
      <c r="Q176" s="325"/>
      <c r="R176" s="325"/>
      <c r="S176" s="325"/>
      <c r="T176" s="325"/>
      <c r="U176" s="325"/>
      <c r="V176" s="325"/>
      <c r="W176" s="325"/>
      <c r="X176" s="325"/>
      <c r="Y176" s="325"/>
      <c r="Z176" s="325"/>
      <c r="AA176" s="325"/>
    </row>
    <row r="177" spans="3:27" s="416" customFormat="1" hidden="1" outlineLevel="1" x14ac:dyDescent="0.2">
      <c r="C177" s="615"/>
      <c r="D177" s="615"/>
      <c r="E177" s="615"/>
      <c r="F177" s="624">
        <v>1</v>
      </c>
      <c r="G177" s="397">
        <v>2</v>
      </c>
      <c r="H177" s="397">
        <v>3</v>
      </c>
      <c r="I177" s="397">
        <v>4</v>
      </c>
      <c r="J177" s="397">
        <v>5</v>
      </c>
      <c r="K177" s="397">
        <v>6</v>
      </c>
      <c r="N177" s="397">
        <v>1</v>
      </c>
      <c r="O177" s="397">
        <v>2</v>
      </c>
      <c r="P177" s="397">
        <v>3</v>
      </c>
      <c r="Q177" s="397">
        <v>4</v>
      </c>
      <c r="R177" s="397">
        <v>5</v>
      </c>
      <c r="S177" s="397">
        <v>6</v>
      </c>
    </row>
    <row r="178" spans="3:27" s="416" customFormat="1" hidden="1" outlineLevel="1" x14ac:dyDescent="0.2">
      <c r="C178" s="243"/>
      <c r="D178" s="243"/>
      <c r="E178" s="162" t="s">
        <v>1206</v>
      </c>
      <c r="F178" s="615"/>
    </row>
    <row r="179" spans="3:27" s="416" customFormat="1" hidden="1" outlineLevel="1" x14ac:dyDescent="0.2">
      <c r="C179" s="243"/>
      <c r="D179" s="243"/>
      <c r="E179" s="616"/>
      <c r="F179" s="615"/>
      <c r="N179" s="615"/>
      <c r="O179" s="615"/>
      <c r="P179" s="615"/>
      <c r="Q179" s="615"/>
      <c r="R179" s="615"/>
      <c r="S179" s="615"/>
    </row>
    <row r="180" spans="3:27" s="416" customFormat="1" hidden="1" outlineLevel="1" x14ac:dyDescent="0.2">
      <c r="C180" s="291">
        <f>IF(F180&lt;&gt;"",MATCH(F180,PxTxSource,0)-1,0)</f>
        <v>0</v>
      </c>
      <c r="D180" s="291">
        <f ca="1">IF(H180&lt;&gt;"",MATCH(H180,OFFSET(References!$AE$23,0,C180,PxPopMaxCount),0),0)</f>
        <v>0</v>
      </c>
      <c r="E180" s="423" t="s">
        <v>113</v>
      </c>
      <c r="F180" s="613"/>
      <c r="H180" s="812"/>
      <c r="I180" s="813"/>
      <c r="J180" s="813"/>
      <c r="K180" s="813"/>
      <c r="L180" s="615"/>
      <c r="N180" s="806" t="str">
        <f ca="1">IF(ISERROR($D181)=TRUE,MsgError &amp; VLOOKUP("BadPop",ErrorMessages,2,FALSE),"")</f>
        <v/>
      </c>
      <c r="O180" s="806"/>
      <c r="P180" s="806"/>
      <c r="Q180" s="806"/>
      <c r="R180" s="806"/>
      <c r="S180" s="806"/>
    </row>
    <row r="181" spans="3:27" s="416" customFormat="1" hidden="1" outlineLevel="1" x14ac:dyDescent="0.2">
      <c r="C181" s="291">
        <f>INDEX(PxTxValid,,C180+1)</f>
        <v>0</v>
      </c>
      <c r="D181" s="291" t="str">
        <f ca="1">IF(AND(C180=0,D180=0),"",(C180*PxPopMaxCount)+D180)</f>
        <v/>
      </c>
      <c r="E181" s="243"/>
      <c r="L181" s="615"/>
      <c r="M181" s="615"/>
      <c r="N181" s="615"/>
      <c r="O181" s="615"/>
      <c r="P181" s="615"/>
      <c r="Q181" s="615"/>
      <c r="R181" s="615"/>
      <c r="S181" s="615"/>
    </row>
    <row r="182" spans="3:27" s="416" customFormat="1" hidden="1" outlineLevel="1" x14ac:dyDescent="0.2">
      <c r="C182" s="615"/>
      <c r="E182" s="495"/>
      <c r="F182" s="614">
        <f>FirstYear</f>
        <v>2021</v>
      </c>
      <c r="G182" s="614">
        <f>F182+1</f>
        <v>2022</v>
      </c>
      <c r="H182" s="614">
        <f>G182+1</f>
        <v>2023</v>
      </c>
      <c r="I182" s="614">
        <f>H182+1</f>
        <v>2024</v>
      </c>
      <c r="J182" s="614">
        <f>I182+1</f>
        <v>2025</v>
      </c>
      <c r="K182" s="614">
        <f>J182+1</f>
        <v>2026</v>
      </c>
      <c r="L182" s="243"/>
      <c r="N182" s="614">
        <f>FirstYear</f>
        <v>2021</v>
      </c>
      <c r="O182" s="614">
        <f>N182+1</f>
        <v>2022</v>
      </c>
      <c r="P182" s="614">
        <f>O182+1</f>
        <v>2023</v>
      </c>
      <c r="Q182" s="614">
        <f>P182+1</f>
        <v>2024</v>
      </c>
      <c r="R182" s="614">
        <f>Q182+1</f>
        <v>2025</v>
      </c>
      <c r="S182" s="614">
        <f>R182+1</f>
        <v>2026</v>
      </c>
    </row>
    <row r="183" spans="3:27" s="416" customFormat="1" hidden="1" outlineLevel="1" x14ac:dyDescent="0.2">
      <c r="E183" s="59" t="str">
        <f>TxPhase1Px</f>
        <v/>
      </c>
      <c r="F183" s="32">
        <f t="shared" ref="F183:K183" ca="1" si="208">IFERROR(INDEX(PxTxPhase1,$D181,F177),0)</f>
        <v>0</v>
      </c>
      <c r="G183" s="32">
        <f t="shared" ca="1" si="208"/>
        <v>0</v>
      </c>
      <c r="H183" s="32">
        <f t="shared" ca="1" si="208"/>
        <v>0</v>
      </c>
      <c r="I183" s="32">
        <f t="shared" ca="1" si="208"/>
        <v>0</v>
      </c>
      <c r="J183" s="32">
        <f t="shared" ca="1" si="208"/>
        <v>0</v>
      </c>
      <c r="K183" s="32">
        <f t="shared" ca="1" si="208"/>
        <v>0</v>
      </c>
      <c r="L183" s="243"/>
      <c r="M183" s="59" t="str">
        <f>TxPhase2Px</f>
        <v/>
      </c>
      <c r="N183" s="32">
        <f t="shared" ref="N183:S183" ca="1" si="209">IFERROR(INDEX(PxTxPhase2,$D181,N177),0)</f>
        <v>0</v>
      </c>
      <c r="O183" s="32">
        <f t="shared" ca="1" si="209"/>
        <v>0</v>
      </c>
      <c r="P183" s="32">
        <f t="shared" ca="1" si="209"/>
        <v>0</v>
      </c>
      <c r="Q183" s="32">
        <f t="shared" ca="1" si="209"/>
        <v>0</v>
      </c>
      <c r="R183" s="32">
        <f t="shared" ca="1" si="209"/>
        <v>0</v>
      </c>
      <c r="S183" s="32">
        <f t="shared" ca="1" si="209"/>
        <v>0</v>
      </c>
    </row>
    <row r="184" spans="3:27" s="416" customFormat="1" hidden="1" outlineLevel="1" x14ac:dyDescent="0.2">
      <c r="D184" s="615"/>
      <c r="E184" s="615"/>
      <c r="F184" s="615"/>
      <c r="G184" s="615"/>
      <c r="H184" s="615"/>
      <c r="I184" s="615"/>
      <c r="J184" s="615"/>
      <c r="K184" s="615"/>
      <c r="L184" s="243"/>
      <c r="M184" s="615"/>
      <c r="N184" s="615"/>
    </row>
    <row r="185" spans="3:27" s="416" customFormat="1" hidden="1" outlineLevel="1" x14ac:dyDescent="0.2">
      <c r="D185" s="615"/>
      <c r="E185" s="243"/>
      <c r="F185" s="243"/>
      <c r="G185" s="243"/>
      <c r="H185" s="243"/>
      <c r="I185" s="243"/>
      <c r="J185" s="243"/>
      <c r="K185" s="243"/>
      <c r="L185" s="243"/>
      <c r="M185" s="243"/>
      <c r="N185" s="615"/>
      <c r="U185" s="578"/>
      <c r="V185" s="579">
        <f>$W195*1</f>
        <v>0</v>
      </c>
      <c r="W185" s="579">
        <f>$W195*2</f>
        <v>0</v>
      </c>
      <c r="X185" s="579">
        <f>$W195*3</f>
        <v>0</v>
      </c>
      <c r="Y185" s="579">
        <f>$W195*4</f>
        <v>0</v>
      </c>
      <c r="Z185" s="579">
        <f>$W195*5</f>
        <v>0</v>
      </c>
      <c r="AA185" s="579">
        <f>$W195*6</f>
        <v>0</v>
      </c>
    </row>
    <row r="186" spans="3:27" s="416" customFormat="1" hidden="1" outlineLevel="1" x14ac:dyDescent="0.2">
      <c r="E186" s="433" t="s">
        <v>1160</v>
      </c>
      <c r="F186" s="586"/>
      <c r="G186" s="268"/>
      <c r="H186" s="621"/>
      <c r="I186" s="621"/>
      <c r="J186" s="621"/>
      <c r="K186" s="621"/>
      <c r="L186" s="243"/>
      <c r="M186" s="433" t="s">
        <v>1160</v>
      </c>
      <c r="N186" s="586"/>
      <c r="O186" s="587" t="str">
        <f>IF(G186&lt;&gt;"",G186,"")</f>
        <v/>
      </c>
      <c r="P186" s="525"/>
      <c r="Q186" s="525"/>
      <c r="R186" s="525"/>
      <c r="S186" s="525"/>
      <c r="U186" s="580" t="s">
        <v>1156</v>
      </c>
      <c r="V186" s="581">
        <f>IF($F186&gt;=V185,$W195,IF($F186&gt;0,$F186,0))</f>
        <v>0</v>
      </c>
      <c r="W186" s="581">
        <f>IF($F186&gt;=W185,$W$41,IF($F186&gt;V185,($F186-V185),0))</f>
        <v>0</v>
      </c>
      <c r="X186" s="581">
        <f>IF($F186&gt;=X185,$W$41,IF($F186&gt;W185,($F186-W185),0))</f>
        <v>0</v>
      </c>
      <c r="Y186" s="581">
        <f>IF($F186&gt;=Y185,$W$41,IF($F186&gt;X185,($F186-X185),0))</f>
        <v>0</v>
      </c>
      <c r="Z186" s="581">
        <f>IF($F186&gt;=Z185,$W$41,IF($F186&gt;Y185,($F186-Y185),0))</f>
        <v>0</v>
      </c>
      <c r="AA186" s="581">
        <f>IF($F186&gt;=AA185,$W$41,IF($F186&gt;Z185,($F186-Z185),0))</f>
        <v>0</v>
      </c>
    </row>
    <row r="187" spans="3:27" s="416" customFormat="1" hidden="1" outlineLevel="1" x14ac:dyDescent="0.2">
      <c r="D187" s="615"/>
      <c r="E187" s="622"/>
      <c r="F187" s="622"/>
      <c r="G187" s="583"/>
      <c r="H187" s="622"/>
      <c r="I187" s="622"/>
      <c r="J187" s="622"/>
      <c r="K187" s="622"/>
      <c r="L187" s="243"/>
      <c r="M187" s="617"/>
      <c r="N187" s="618"/>
      <c r="O187" s="618"/>
      <c r="P187" s="618"/>
      <c r="Q187" s="618"/>
      <c r="R187" s="618"/>
      <c r="S187" s="618"/>
      <c r="U187" s="582" t="s">
        <v>1157</v>
      </c>
      <c r="V187" s="579">
        <f t="shared" ref="V187:AA187" si="210">IF(V186&gt;0,$W195-V186,$W195)</f>
        <v>0</v>
      </c>
      <c r="W187" s="579">
        <f t="shared" si="210"/>
        <v>0</v>
      </c>
      <c r="X187" s="579">
        <f t="shared" si="210"/>
        <v>0</v>
      </c>
      <c r="Y187" s="579">
        <f t="shared" si="210"/>
        <v>0</v>
      </c>
      <c r="Z187" s="579">
        <f t="shared" si="210"/>
        <v>0</v>
      </c>
      <c r="AA187" s="579">
        <f t="shared" si="210"/>
        <v>0</v>
      </c>
    </row>
    <row r="188" spans="3:27" s="416" customFormat="1" hidden="1" outlineLevel="1" x14ac:dyDescent="0.2">
      <c r="D188" s="615"/>
      <c r="E188" s="617" t="str">
        <f>E183</f>
        <v/>
      </c>
      <c r="F188" s="623"/>
      <c r="G188" s="588"/>
      <c r="H188" s="623"/>
      <c r="I188" s="623"/>
      <c r="J188" s="623"/>
      <c r="K188" s="623"/>
      <c r="L188" s="243"/>
      <c r="M188" s="617" t="str">
        <f>M183</f>
        <v/>
      </c>
      <c r="N188" s="619"/>
      <c r="O188" s="620"/>
      <c r="P188" s="620"/>
      <c r="Q188" s="620"/>
      <c r="R188" s="620"/>
      <c r="S188" s="620"/>
      <c r="U188" s="525"/>
      <c r="V188" s="525"/>
      <c r="W188" s="525"/>
      <c r="X188" s="525"/>
      <c r="Y188" s="525"/>
      <c r="Z188" s="525"/>
      <c r="AA188" s="525"/>
    </row>
    <row r="189" spans="3:27" s="416" customFormat="1" hidden="1" outlineLevel="1" x14ac:dyDescent="0.2">
      <c r="E189" s="589" t="s">
        <v>1207</v>
      </c>
      <c r="F189" s="63">
        <f ca="1">$F183*V192</f>
        <v>0</v>
      </c>
      <c r="G189" s="63">
        <f t="shared" ref="G189" ca="1" si="211">$F183*W192</f>
        <v>0</v>
      </c>
      <c r="H189" s="63">
        <f t="shared" ref="H189" ca="1" si="212">$F183*X192</f>
        <v>0</v>
      </c>
      <c r="I189" s="63">
        <f t="shared" ref="I189" ca="1" si="213">$F183*Y192</f>
        <v>0</v>
      </c>
      <c r="J189" s="63">
        <f t="shared" ref="J189" ca="1" si="214">$F183*Z192</f>
        <v>0</v>
      </c>
      <c r="K189" s="63">
        <f t="shared" ref="K189" ca="1" si="215">$F183*AA192</f>
        <v>0</v>
      </c>
      <c r="L189" s="243"/>
      <c r="M189" s="589" t="s">
        <v>1207</v>
      </c>
      <c r="N189" s="63">
        <f ca="1">$N183*V193</f>
        <v>0</v>
      </c>
      <c r="O189" s="63">
        <f ca="1">$N183*W193</f>
        <v>0</v>
      </c>
      <c r="P189" s="63">
        <f t="shared" ref="P189" ca="1" si="216">$N183*X193</f>
        <v>0</v>
      </c>
      <c r="Q189" s="63">
        <f t="shared" ref="Q189" ca="1" si="217">$N183*Y193</f>
        <v>0</v>
      </c>
      <c r="R189" s="63">
        <f t="shared" ref="R189" ca="1" si="218">$N183*Z193</f>
        <v>0</v>
      </c>
      <c r="S189" s="63">
        <f t="shared" ref="S189" ca="1" si="219">$N183*AA193</f>
        <v>0</v>
      </c>
      <c r="U189" s="582" t="s">
        <v>1158</v>
      </c>
      <c r="V189" s="581">
        <f>IF($N186&gt;=V187,V187,N186)</f>
        <v>0</v>
      </c>
      <c r="W189" s="581">
        <f>IF(V190&gt;=W187,W187,V190)</f>
        <v>0</v>
      </c>
      <c r="X189" s="581">
        <f>IF(W190&gt;=X187,X187,W190)</f>
        <v>0</v>
      </c>
      <c r="Y189" s="581">
        <f>IF(X190&gt;=Y187,Y187,X190)</f>
        <v>0</v>
      </c>
      <c r="Z189" s="581">
        <f>IF(Y190&gt;=Z187,Z187,Y190)</f>
        <v>0</v>
      </c>
      <c r="AA189" s="581">
        <f>IF(Z190&gt;=AA187,AA187,Z190)</f>
        <v>0</v>
      </c>
    </row>
    <row r="190" spans="3:27" s="416" customFormat="1" hidden="1" outlineLevel="1" x14ac:dyDescent="0.2">
      <c r="E190" s="589" t="s">
        <v>1208</v>
      </c>
      <c r="F190" s="130"/>
      <c r="G190" s="63">
        <f ca="1">$G183*V192</f>
        <v>0</v>
      </c>
      <c r="H190" s="63">
        <f t="shared" ref="H190" ca="1" si="220">$G183*W192</f>
        <v>0</v>
      </c>
      <c r="I190" s="63">
        <f t="shared" ref="I190" ca="1" si="221">$G183*X192</f>
        <v>0</v>
      </c>
      <c r="J190" s="63">
        <f t="shared" ref="J190" ca="1" si="222">$G183*Y192</f>
        <v>0</v>
      </c>
      <c r="K190" s="63">
        <f t="shared" ref="K190" ca="1" si="223">$G183*Z192</f>
        <v>0</v>
      </c>
      <c r="L190" s="243"/>
      <c r="M190" s="589" t="s">
        <v>1208</v>
      </c>
      <c r="N190" s="130"/>
      <c r="O190" s="63">
        <f ca="1">$O183*V193</f>
        <v>0</v>
      </c>
      <c r="P190" s="63">
        <f t="shared" ref="P190" ca="1" si="224">$O183*W193</f>
        <v>0</v>
      </c>
      <c r="Q190" s="63">
        <f t="shared" ref="Q190" ca="1" si="225">$O183*X193</f>
        <v>0</v>
      </c>
      <c r="R190" s="63">
        <f t="shared" ref="R190" ca="1" si="226">$O183*Y193</f>
        <v>0</v>
      </c>
      <c r="S190" s="63">
        <f t="shared" ref="S190" ca="1" si="227">$O183*Z193</f>
        <v>0</v>
      </c>
      <c r="U190" s="582" t="s">
        <v>1159</v>
      </c>
      <c r="V190" s="579">
        <f>$N186-V189</f>
        <v>0</v>
      </c>
      <c r="W190" s="579">
        <f>$N186-SUM($V189:W189)</f>
        <v>0</v>
      </c>
      <c r="X190" s="579">
        <f>$N186-SUM($V189:X189)</f>
        <v>0</v>
      </c>
      <c r="Y190" s="579">
        <f>$N186-SUM($V189:Y189)</f>
        <v>0</v>
      </c>
      <c r="Z190" s="579">
        <f>$N186-SUM($V189:Z189)</f>
        <v>0</v>
      </c>
      <c r="AA190" s="579">
        <f>$N186-SUM($V189:AA189)</f>
        <v>0</v>
      </c>
    </row>
    <row r="191" spans="3:27" s="416" customFormat="1" hidden="1" outlineLevel="1" x14ac:dyDescent="0.2">
      <c r="E191" s="589" t="s">
        <v>1209</v>
      </c>
      <c r="F191" s="130"/>
      <c r="G191" s="130"/>
      <c r="H191" s="63">
        <f ca="1">$H183*V192</f>
        <v>0</v>
      </c>
      <c r="I191" s="63">
        <f t="shared" ref="I191" ca="1" si="228">$H183*W192</f>
        <v>0</v>
      </c>
      <c r="J191" s="63">
        <f t="shared" ref="J191" ca="1" si="229">$H183*X192</f>
        <v>0</v>
      </c>
      <c r="K191" s="63">
        <f t="shared" ref="K191" ca="1" si="230">$H183*Y192</f>
        <v>0</v>
      </c>
      <c r="L191" s="243"/>
      <c r="M191" s="589" t="s">
        <v>1209</v>
      </c>
      <c r="N191" s="130"/>
      <c r="O191" s="130"/>
      <c r="P191" s="63">
        <f ca="1">$P183*V193</f>
        <v>0</v>
      </c>
      <c r="Q191" s="63">
        <f t="shared" ref="Q191" ca="1" si="231">$P183*W193</f>
        <v>0</v>
      </c>
      <c r="R191" s="63">
        <f t="shared" ref="R191" ca="1" si="232">$P183*X193</f>
        <v>0</v>
      </c>
      <c r="S191" s="63">
        <f t="shared" ref="S191" ca="1" si="233">$P183*Y193</f>
        <v>0</v>
      </c>
      <c r="U191" s="583"/>
      <c r="V191" s="584"/>
      <c r="W191" s="583"/>
      <c r="X191" s="583"/>
      <c r="Y191" s="583"/>
      <c r="Z191" s="583"/>
      <c r="AA191" s="525"/>
    </row>
    <row r="192" spans="3:27" s="416" customFormat="1" hidden="1" outlineLevel="1" x14ac:dyDescent="0.2">
      <c r="E192" s="589" t="s">
        <v>1210</v>
      </c>
      <c r="F192" s="130"/>
      <c r="G192" s="130"/>
      <c r="H192" s="130"/>
      <c r="I192" s="63">
        <f ca="1">$I183*V192</f>
        <v>0</v>
      </c>
      <c r="J192" s="63">
        <f t="shared" ref="J192" ca="1" si="234">$I183*W192</f>
        <v>0</v>
      </c>
      <c r="K192" s="63">
        <f t="shared" ref="K192" ca="1" si="235">$I183*X192</f>
        <v>0</v>
      </c>
      <c r="L192" s="243"/>
      <c r="M192" s="589" t="s">
        <v>1210</v>
      </c>
      <c r="N192" s="130"/>
      <c r="O192" s="130"/>
      <c r="P192" s="130"/>
      <c r="Q192" s="63">
        <f ca="1">$Q183*V193</f>
        <v>0</v>
      </c>
      <c r="R192" s="63">
        <f t="shared" ref="R192" ca="1" si="236">$Q183*W193</f>
        <v>0</v>
      </c>
      <c r="S192" s="63">
        <f t="shared" ref="S192" ca="1" si="237">$Q183*X193</f>
        <v>0</v>
      </c>
      <c r="U192" s="580" t="s">
        <v>1156</v>
      </c>
      <c r="V192" s="585">
        <f t="shared" ref="V192:AA192" si="238">IFERROR(V186/$W195,0)</f>
        <v>0</v>
      </c>
      <c r="W192" s="585">
        <f t="shared" si="238"/>
        <v>0</v>
      </c>
      <c r="X192" s="585">
        <f t="shared" si="238"/>
        <v>0</v>
      </c>
      <c r="Y192" s="585">
        <f t="shared" si="238"/>
        <v>0</v>
      </c>
      <c r="Z192" s="585">
        <f t="shared" si="238"/>
        <v>0</v>
      </c>
      <c r="AA192" s="585">
        <f t="shared" si="238"/>
        <v>0</v>
      </c>
    </row>
    <row r="193" spans="2:27" s="416" customFormat="1" hidden="1" outlineLevel="1" x14ac:dyDescent="0.2">
      <c r="E193" s="589" t="s">
        <v>1211</v>
      </c>
      <c r="F193" s="130"/>
      <c r="G193" s="130"/>
      <c r="H193" s="130"/>
      <c r="I193" s="130"/>
      <c r="J193" s="63">
        <f ca="1">$J183*V192</f>
        <v>0</v>
      </c>
      <c r="K193" s="63">
        <f ca="1">$J183*W192</f>
        <v>0</v>
      </c>
      <c r="L193" s="243"/>
      <c r="M193" s="589" t="s">
        <v>1211</v>
      </c>
      <c r="N193" s="130"/>
      <c r="O193" s="130"/>
      <c r="P193" s="130"/>
      <c r="Q193" s="130"/>
      <c r="R193" s="63">
        <f ca="1">$R183*V193</f>
        <v>0</v>
      </c>
      <c r="S193" s="63">
        <f ca="1">$R183*W193</f>
        <v>0</v>
      </c>
      <c r="U193" s="582" t="s">
        <v>1158</v>
      </c>
      <c r="V193" s="585">
        <f t="shared" ref="V193:AA193" si="239">IFERROR(V189/$W195,0)</f>
        <v>0</v>
      </c>
      <c r="W193" s="585">
        <f t="shared" si="239"/>
        <v>0</v>
      </c>
      <c r="X193" s="585">
        <f t="shared" si="239"/>
        <v>0</v>
      </c>
      <c r="Y193" s="585">
        <f t="shared" si="239"/>
        <v>0</v>
      </c>
      <c r="Z193" s="585">
        <f t="shared" si="239"/>
        <v>0</v>
      </c>
      <c r="AA193" s="585">
        <f t="shared" si="239"/>
        <v>0</v>
      </c>
    </row>
    <row r="194" spans="2:27" s="416" customFormat="1" hidden="1" outlineLevel="1" x14ac:dyDescent="0.2">
      <c r="E194" s="589" t="s">
        <v>1212</v>
      </c>
      <c r="F194" s="130"/>
      <c r="G194" s="130"/>
      <c r="H194" s="130"/>
      <c r="I194" s="130"/>
      <c r="J194" s="130"/>
      <c r="K194" s="63">
        <f ca="1">$K183*V192</f>
        <v>0</v>
      </c>
      <c r="L194" s="243"/>
      <c r="M194" s="589" t="s">
        <v>1212</v>
      </c>
      <c r="N194" s="130"/>
      <c r="O194" s="130"/>
      <c r="P194" s="130"/>
      <c r="Q194" s="130"/>
      <c r="R194" s="130"/>
      <c r="S194" s="63">
        <f ca="1">$S183*V193</f>
        <v>0</v>
      </c>
    </row>
    <row r="195" spans="2:27" s="416" customFormat="1" hidden="1" outlineLevel="1" x14ac:dyDescent="0.2">
      <c r="E195" s="590" t="str">
        <f>TxPhase1PxUnitsTx</f>
        <v/>
      </c>
      <c r="F195" s="591">
        <f ca="1">IF(F186&lt;&gt;"",SUM(F189:F194),F183)</f>
        <v>0</v>
      </c>
      <c r="G195" s="591">
        <f ca="1">IF(F186&lt;&gt;"",SUM(G189:G194),G183)</f>
        <v>0</v>
      </c>
      <c r="H195" s="591">
        <f ca="1">IF(F186&lt;&gt;"",SUM(H189:H194),H183)</f>
        <v>0</v>
      </c>
      <c r="I195" s="591">
        <f ca="1">IF(F186&lt;&gt;"",SUM(I189:I194),I183)</f>
        <v>0</v>
      </c>
      <c r="J195" s="591">
        <f ca="1">IF(F186&lt;&gt;"",SUM(J189:J194),J183)</f>
        <v>0</v>
      </c>
      <c r="K195" s="591">
        <f ca="1">IF(F186&lt;&gt;"",SUM(K189:K194),K183)</f>
        <v>0</v>
      </c>
      <c r="L195" s="243"/>
      <c r="M195" s="590" t="str">
        <f>TxPhase2PxUnitsTx</f>
        <v/>
      </c>
      <c r="N195" s="591">
        <f ca="1">IF(N186&lt;&gt;"",SUM(N189:N194),N183)</f>
        <v>0</v>
      </c>
      <c r="O195" s="591">
        <f ca="1">IF(N186&lt;&gt;"",SUM(O189:O194),O183)</f>
        <v>0</v>
      </c>
      <c r="P195" s="591">
        <f ca="1">IF(N186&lt;&gt;"",SUM(P189:P194),P183)</f>
        <v>0</v>
      </c>
      <c r="Q195" s="591">
        <f ca="1">IF(N186&lt;&gt;"",SUM(Q189:Q194),Q183)</f>
        <v>0</v>
      </c>
      <c r="R195" s="591">
        <f ca="1">IF(N186&lt;&gt;"",SUM(R189:R194),R183)</f>
        <v>0</v>
      </c>
      <c r="S195" s="591">
        <f ca="1">IF(N186&lt;&gt;"",SUM(S189:S194),S183)</f>
        <v>0</v>
      </c>
      <c r="U195" s="582" t="s">
        <v>1161</v>
      </c>
      <c r="V195" s="579">
        <f>IFERROR(VLOOKUP(G186,TimeUnitCode,2,FALSE),0)</f>
        <v>0</v>
      </c>
      <c r="W195" s="579">
        <f>IFERROR(INDEX(TimeUnitCount,V195,2),0)</f>
        <v>0</v>
      </c>
    </row>
    <row r="196" spans="2:27" s="416" customFormat="1" hidden="1" outlineLevel="1" x14ac:dyDescent="0.2"/>
    <row r="197" spans="2:27" s="416" customFormat="1" collapsed="1" x14ac:dyDescent="0.2"/>
    <row r="198" spans="2:27" s="416" customFormat="1" ht="15.75" x14ac:dyDescent="0.2">
      <c r="B198" s="475">
        <f>IF(F208+N208&gt;12,1,0)</f>
        <v>0</v>
      </c>
      <c r="C198" s="291">
        <f ca="1">IFERROR(INDEX(PxTxPhase1,$D203,7),0)</f>
        <v>0</v>
      </c>
      <c r="D198" s="573">
        <v>9</v>
      </c>
      <c r="E198" s="79" t="str">
        <f>IF(F202&lt;&gt;"",CONCATENATE("DTG ",D198,": ",H202,": ",N198),MsgNotUsed)</f>
        <v>** NOT USED **</v>
      </c>
      <c r="F198" s="132"/>
      <c r="G198" s="132"/>
      <c r="H198" s="132"/>
      <c r="I198" s="132"/>
      <c r="J198" s="134"/>
      <c r="K198" s="134"/>
      <c r="L198" s="134"/>
      <c r="M198" s="325"/>
      <c r="N198" s="637" t="str">
        <f>IF(AND(F208="",N208=""),"Full year",IF(AND(F208&lt;&gt;"",N208=""),CONCATENATE(F208," ",G208),IF(AND(F208="",N208&lt;&gt;""),CONCATENATE(N208," ",G208),CONCATENATE(F208," + ",N208," ",G208))))</f>
        <v>Full year</v>
      </c>
      <c r="O198" s="325"/>
      <c r="P198" s="325"/>
      <c r="Q198" s="325"/>
      <c r="R198" s="325"/>
      <c r="S198" s="325"/>
      <c r="T198" s="325"/>
      <c r="U198" s="325"/>
      <c r="V198" s="325"/>
      <c r="W198" s="325"/>
      <c r="X198" s="325"/>
      <c r="Y198" s="325"/>
      <c r="Z198" s="325"/>
      <c r="AA198" s="325"/>
    </row>
    <row r="199" spans="2:27" s="416" customFormat="1" hidden="1" outlineLevel="1" x14ac:dyDescent="0.2">
      <c r="C199" s="615"/>
      <c r="D199" s="615"/>
      <c r="E199" s="615"/>
      <c r="F199" s="624">
        <v>1</v>
      </c>
      <c r="G199" s="397">
        <v>2</v>
      </c>
      <c r="H199" s="397">
        <v>3</v>
      </c>
      <c r="I199" s="397">
        <v>4</v>
      </c>
      <c r="J199" s="397">
        <v>5</v>
      </c>
      <c r="K199" s="397">
        <v>6</v>
      </c>
      <c r="N199" s="397">
        <v>1</v>
      </c>
      <c r="O199" s="397">
        <v>2</v>
      </c>
      <c r="P199" s="397">
        <v>3</v>
      </c>
      <c r="Q199" s="397">
        <v>4</v>
      </c>
      <c r="R199" s="397">
        <v>5</v>
      </c>
      <c r="S199" s="397">
        <v>6</v>
      </c>
    </row>
    <row r="200" spans="2:27" s="416" customFormat="1" hidden="1" outlineLevel="1" x14ac:dyDescent="0.2">
      <c r="C200" s="243"/>
      <c r="D200" s="243"/>
      <c r="E200" s="162" t="s">
        <v>1206</v>
      </c>
      <c r="F200" s="615"/>
    </row>
    <row r="201" spans="2:27" s="416" customFormat="1" hidden="1" outlineLevel="1" x14ac:dyDescent="0.2">
      <c r="C201" s="243"/>
      <c r="D201" s="243"/>
      <c r="E201" s="616"/>
      <c r="F201" s="615"/>
      <c r="N201" s="615"/>
      <c r="O201" s="615"/>
      <c r="P201" s="615"/>
      <c r="Q201" s="615"/>
      <c r="R201" s="615"/>
      <c r="S201" s="615"/>
    </row>
    <row r="202" spans="2:27" s="416" customFormat="1" hidden="1" outlineLevel="1" x14ac:dyDescent="0.2">
      <c r="C202" s="291">
        <f>IF(F202&lt;&gt;"",MATCH(F202,PxTxSource,0)-1,0)</f>
        <v>0</v>
      </c>
      <c r="D202" s="291">
        <f ca="1">IF(H202&lt;&gt;"",MATCH(H202,OFFSET(References!$AE$23,0,C202,PxPopMaxCount),0),0)</f>
        <v>0</v>
      </c>
      <c r="E202" s="423" t="s">
        <v>113</v>
      </c>
      <c r="F202" s="613"/>
      <c r="H202" s="812"/>
      <c r="I202" s="813"/>
      <c r="J202" s="813"/>
      <c r="K202" s="813"/>
      <c r="L202" s="615"/>
      <c r="N202" s="806" t="str">
        <f ca="1">IF(ISERROR($D203)=TRUE,MsgError &amp; VLOOKUP("BadPop",ErrorMessages,2,FALSE),"")</f>
        <v/>
      </c>
      <c r="O202" s="806"/>
      <c r="P202" s="806"/>
      <c r="Q202" s="806"/>
      <c r="R202" s="806"/>
      <c r="S202" s="806"/>
    </row>
    <row r="203" spans="2:27" s="416" customFormat="1" hidden="1" outlineLevel="1" x14ac:dyDescent="0.2">
      <c r="C203" s="291">
        <f>INDEX(PxTxValid,,C202+1)</f>
        <v>0</v>
      </c>
      <c r="D203" s="291" t="str">
        <f ca="1">IF(AND(C202=0,D202=0),"",(C202*PxPopMaxCount)+D202)</f>
        <v/>
      </c>
      <c r="E203" s="243"/>
      <c r="L203" s="615"/>
      <c r="M203" s="615"/>
      <c r="N203" s="615"/>
      <c r="O203" s="615"/>
      <c r="P203" s="615"/>
      <c r="Q203" s="615"/>
      <c r="R203" s="615"/>
      <c r="S203" s="615"/>
    </row>
    <row r="204" spans="2:27" s="416" customFormat="1" hidden="1" outlineLevel="1" x14ac:dyDescent="0.2">
      <c r="C204" s="615"/>
      <c r="E204" s="495"/>
      <c r="F204" s="614">
        <f>FirstYear</f>
        <v>2021</v>
      </c>
      <c r="G204" s="614">
        <f>F204+1</f>
        <v>2022</v>
      </c>
      <c r="H204" s="614">
        <f>G204+1</f>
        <v>2023</v>
      </c>
      <c r="I204" s="614">
        <f>H204+1</f>
        <v>2024</v>
      </c>
      <c r="J204" s="614">
        <f>I204+1</f>
        <v>2025</v>
      </c>
      <c r="K204" s="614">
        <f>J204+1</f>
        <v>2026</v>
      </c>
      <c r="L204" s="243"/>
      <c r="N204" s="614">
        <f>FirstYear</f>
        <v>2021</v>
      </c>
      <c r="O204" s="614">
        <f>N204+1</f>
        <v>2022</v>
      </c>
      <c r="P204" s="614">
        <f>O204+1</f>
        <v>2023</v>
      </c>
      <c r="Q204" s="614">
        <f>P204+1</f>
        <v>2024</v>
      </c>
      <c r="R204" s="614">
        <f>Q204+1</f>
        <v>2025</v>
      </c>
      <c r="S204" s="614">
        <f>R204+1</f>
        <v>2026</v>
      </c>
    </row>
    <row r="205" spans="2:27" s="416" customFormat="1" hidden="1" outlineLevel="1" x14ac:dyDescent="0.2">
      <c r="E205" s="59" t="str">
        <f>TxPhase1Px</f>
        <v/>
      </c>
      <c r="F205" s="32">
        <f t="shared" ref="F205:K205" ca="1" si="240">IFERROR(INDEX(PxTxPhase1,$D203,F199),0)</f>
        <v>0</v>
      </c>
      <c r="G205" s="32">
        <f t="shared" ca="1" si="240"/>
        <v>0</v>
      </c>
      <c r="H205" s="32">
        <f t="shared" ca="1" si="240"/>
        <v>0</v>
      </c>
      <c r="I205" s="32">
        <f t="shared" ca="1" si="240"/>
        <v>0</v>
      </c>
      <c r="J205" s="32">
        <f t="shared" ca="1" si="240"/>
        <v>0</v>
      </c>
      <c r="K205" s="32">
        <f t="shared" ca="1" si="240"/>
        <v>0</v>
      </c>
      <c r="L205" s="243"/>
      <c r="M205" s="59" t="str">
        <f>TxPhase2Px</f>
        <v/>
      </c>
      <c r="N205" s="32">
        <f t="shared" ref="N205:S205" ca="1" si="241">IFERROR(INDEX(PxTxPhase2,$D203,N199),0)</f>
        <v>0</v>
      </c>
      <c r="O205" s="32">
        <f t="shared" ca="1" si="241"/>
        <v>0</v>
      </c>
      <c r="P205" s="32">
        <f t="shared" ca="1" si="241"/>
        <v>0</v>
      </c>
      <c r="Q205" s="32">
        <f t="shared" ca="1" si="241"/>
        <v>0</v>
      </c>
      <c r="R205" s="32">
        <f t="shared" ca="1" si="241"/>
        <v>0</v>
      </c>
      <c r="S205" s="32">
        <f t="shared" ca="1" si="241"/>
        <v>0</v>
      </c>
    </row>
    <row r="206" spans="2:27" s="416" customFormat="1" hidden="1" outlineLevel="1" x14ac:dyDescent="0.2">
      <c r="D206" s="615"/>
      <c r="E206" s="615"/>
      <c r="F206" s="615"/>
      <c r="G206" s="615"/>
      <c r="H206" s="615"/>
      <c r="I206" s="615"/>
      <c r="J206" s="615"/>
      <c r="K206" s="615"/>
      <c r="L206" s="243"/>
      <c r="M206" s="615"/>
      <c r="N206" s="615"/>
    </row>
    <row r="207" spans="2:27" s="416" customFormat="1" hidden="1" outlineLevel="1" x14ac:dyDescent="0.2">
      <c r="D207" s="615"/>
      <c r="E207" s="243"/>
      <c r="F207" s="243"/>
      <c r="G207" s="243"/>
      <c r="H207" s="243"/>
      <c r="I207" s="243"/>
      <c r="J207" s="243"/>
      <c r="K207" s="243"/>
      <c r="L207" s="243"/>
      <c r="M207" s="243"/>
      <c r="N207" s="615"/>
      <c r="U207" s="578"/>
      <c r="V207" s="579">
        <f>$W217*1</f>
        <v>0</v>
      </c>
      <c r="W207" s="579">
        <f>$W217*2</f>
        <v>0</v>
      </c>
      <c r="X207" s="579">
        <f>$W217*3</f>
        <v>0</v>
      </c>
      <c r="Y207" s="579">
        <f>$W217*4</f>
        <v>0</v>
      </c>
      <c r="Z207" s="579">
        <f>$W217*5</f>
        <v>0</v>
      </c>
      <c r="AA207" s="579">
        <f>$W217*6</f>
        <v>0</v>
      </c>
    </row>
    <row r="208" spans="2:27" s="416" customFormat="1" hidden="1" outlineLevel="1" x14ac:dyDescent="0.2">
      <c r="E208" s="433" t="s">
        <v>1160</v>
      </c>
      <c r="F208" s="586"/>
      <c r="G208" s="268"/>
      <c r="H208" s="621"/>
      <c r="I208" s="621"/>
      <c r="J208" s="621"/>
      <c r="K208" s="621"/>
      <c r="L208" s="243"/>
      <c r="M208" s="433" t="s">
        <v>1160</v>
      </c>
      <c r="N208" s="586"/>
      <c r="O208" s="587" t="str">
        <f>IF(G208&lt;&gt;"",G208,"")</f>
        <v/>
      </c>
      <c r="P208" s="525"/>
      <c r="Q208" s="525"/>
      <c r="R208" s="525"/>
      <c r="S208" s="525"/>
      <c r="U208" s="580" t="s">
        <v>1156</v>
      </c>
      <c r="V208" s="581">
        <f>IF($F208&gt;=V207,$W217,IF($F208&gt;0,$F208,0))</f>
        <v>0</v>
      </c>
      <c r="W208" s="581">
        <f>IF($F208&gt;=W207,$W$41,IF($F208&gt;V207,($F208-V207),0))</f>
        <v>0</v>
      </c>
      <c r="X208" s="581">
        <f>IF($F208&gt;=X207,$W$41,IF($F208&gt;W207,($F208-W207),0))</f>
        <v>0</v>
      </c>
      <c r="Y208" s="581">
        <f>IF($F208&gt;=Y207,$W$41,IF($F208&gt;X207,($F208-X207),0))</f>
        <v>0</v>
      </c>
      <c r="Z208" s="581">
        <f>IF($F208&gt;=Z207,$W$41,IF($F208&gt;Y207,($F208-Y207),0))</f>
        <v>0</v>
      </c>
      <c r="AA208" s="581">
        <f>IF($F208&gt;=AA207,$W$41,IF($F208&gt;Z207,($F208-Z207),0))</f>
        <v>0</v>
      </c>
    </row>
    <row r="209" spans="2:27" s="416" customFormat="1" hidden="1" outlineLevel="1" x14ac:dyDescent="0.2">
      <c r="D209" s="615"/>
      <c r="E209" s="622"/>
      <c r="F209" s="622"/>
      <c r="G209" s="583"/>
      <c r="H209" s="622"/>
      <c r="I209" s="622"/>
      <c r="J209" s="622"/>
      <c r="K209" s="622"/>
      <c r="L209" s="243"/>
      <c r="M209" s="617"/>
      <c r="N209" s="618"/>
      <c r="O209" s="618"/>
      <c r="P209" s="618"/>
      <c r="Q209" s="618"/>
      <c r="R209" s="618"/>
      <c r="S209" s="618"/>
      <c r="U209" s="582" t="s">
        <v>1157</v>
      </c>
      <c r="V209" s="579">
        <f t="shared" ref="V209:AA209" si="242">IF(V208&gt;0,$W217-V208,$W217)</f>
        <v>0</v>
      </c>
      <c r="W209" s="579">
        <f t="shared" si="242"/>
        <v>0</v>
      </c>
      <c r="X209" s="579">
        <f t="shared" si="242"/>
        <v>0</v>
      </c>
      <c r="Y209" s="579">
        <f t="shared" si="242"/>
        <v>0</v>
      </c>
      <c r="Z209" s="579">
        <f t="shared" si="242"/>
        <v>0</v>
      </c>
      <c r="AA209" s="579">
        <f t="shared" si="242"/>
        <v>0</v>
      </c>
    </row>
    <row r="210" spans="2:27" s="416" customFormat="1" hidden="1" outlineLevel="1" x14ac:dyDescent="0.2">
      <c r="D210" s="615"/>
      <c r="E210" s="617" t="str">
        <f>E205</f>
        <v/>
      </c>
      <c r="F210" s="623"/>
      <c r="G210" s="588"/>
      <c r="H210" s="623"/>
      <c r="I210" s="623"/>
      <c r="J210" s="623"/>
      <c r="K210" s="623"/>
      <c r="L210" s="243"/>
      <c r="M210" s="617" t="str">
        <f>M205</f>
        <v/>
      </c>
      <c r="N210" s="619"/>
      <c r="O210" s="620"/>
      <c r="P210" s="620"/>
      <c r="Q210" s="620"/>
      <c r="R210" s="620"/>
      <c r="S210" s="620"/>
      <c r="U210" s="525"/>
      <c r="V210" s="525"/>
      <c r="W210" s="525"/>
      <c r="X210" s="525"/>
      <c r="Y210" s="525"/>
      <c r="Z210" s="525"/>
      <c r="AA210" s="525"/>
    </row>
    <row r="211" spans="2:27" s="416" customFormat="1" hidden="1" outlineLevel="1" x14ac:dyDescent="0.2">
      <c r="E211" s="589" t="s">
        <v>1207</v>
      </c>
      <c r="F211" s="63">
        <f ca="1">$F205*V214</f>
        <v>0</v>
      </c>
      <c r="G211" s="63">
        <f t="shared" ref="G211" ca="1" si="243">$F205*W214</f>
        <v>0</v>
      </c>
      <c r="H211" s="63">
        <f t="shared" ref="H211" ca="1" si="244">$F205*X214</f>
        <v>0</v>
      </c>
      <c r="I211" s="63">
        <f t="shared" ref="I211" ca="1" si="245">$F205*Y214</f>
        <v>0</v>
      </c>
      <c r="J211" s="63">
        <f t="shared" ref="J211" ca="1" si="246">$F205*Z214</f>
        <v>0</v>
      </c>
      <c r="K211" s="63">
        <f t="shared" ref="K211" ca="1" si="247">$F205*AA214</f>
        <v>0</v>
      </c>
      <c r="L211" s="243"/>
      <c r="M211" s="589" t="s">
        <v>1207</v>
      </c>
      <c r="N211" s="63">
        <f ca="1">$N205*V215</f>
        <v>0</v>
      </c>
      <c r="O211" s="63">
        <f ca="1">$N205*W215</f>
        <v>0</v>
      </c>
      <c r="P211" s="63">
        <f t="shared" ref="P211" ca="1" si="248">$N205*X215</f>
        <v>0</v>
      </c>
      <c r="Q211" s="63">
        <f t="shared" ref="Q211" ca="1" si="249">$N205*Y215</f>
        <v>0</v>
      </c>
      <c r="R211" s="63">
        <f t="shared" ref="R211" ca="1" si="250">$N205*Z215</f>
        <v>0</v>
      </c>
      <c r="S211" s="63">
        <f t="shared" ref="S211" ca="1" si="251">$N205*AA215</f>
        <v>0</v>
      </c>
      <c r="U211" s="582" t="s">
        <v>1158</v>
      </c>
      <c r="V211" s="581">
        <f>IF($N208&gt;=V209,V209,N208)</f>
        <v>0</v>
      </c>
      <c r="W211" s="581">
        <f>IF(V212&gt;=W209,W209,V212)</f>
        <v>0</v>
      </c>
      <c r="X211" s="581">
        <f>IF(W212&gt;=X209,X209,W212)</f>
        <v>0</v>
      </c>
      <c r="Y211" s="581">
        <f>IF(X212&gt;=Y209,Y209,X212)</f>
        <v>0</v>
      </c>
      <c r="Z211" s="581">
        <f>IF(Y212&gt;=Z209,Z209,Y212)</f>
        <v>0</v>
      </c>
      <c r="AA211" s="581">
        <f>IF(Z212&gt;=AA209,AA209,Z212)</f>
        <v>0</v>
      </c>
    </row>
    <row r="212" spans="2:27" s="416" customFormat="1" hidden="1" outlineLevel="1" x14ac:dyDescent="0.2">
      <c r="E212" s="589" t="s">
        <v>1208</v>
      </c>
      <c r="F212" s="130"/>
      <c r="G212" s="63">
        <f ca="1">$G205*V214</f>
        <v>0</v>
      </c>
      <c r="H212" s="63">
        <f t="shared" ref="H212" ca="1" si="252">$G205*W214</f>
        <v>0</v>
      </c>
      <c r="I212" s="63">
        <f t="shared" ref="I212" ca="1" si="253">$G205*X214</f>
        <v>0</v>
      </c>
      <c r="J212" s="63">
        <f t="shared" ref="J212" ca="1" si="254">$G205*Y214</f>
        <v>0</v>
      </c>
      <c r="K212" s="63">
        <f t="shared" ref="K212" ca="1" si="255">$G205*Z214</f>
        <v>0</v>
      </c>
      <c r="L212" s="243"/>
      <c r="M212" s="589" t="s">
        <v>1208</v>
      </c>
      <c r="N212" s="130"/>
      <c r="O212" s="63">
        <f ca="1">$O205*V215</f>
        <v>0</v>
      </c>
      <c r="P212" s="63">
        <f t="shared" ref="P212" ca="1" si="256">$O205*W215</f>
        <v>0</v>
      </c>
      <c r="Q212" s="63">
        <f t="shared" ref="Q212" ca="1" si="257">$O205*X215</f>
        <v>0</v>
      </c>
      <c r="R212" s="63">
        <f t="shared" ref="R212" ca="1" si="258">$O205*Y215</f>
        <v>0</v>
      </c>
      <c r="S212" s="63">
        <f t="shared" ref="S212" ca="1" si="259">$O205*Z215</f>
        <v>0</v>
      </c>
      <c r="U212" s="582" t="s">
        <v>1159</v>
      </c>
      <c r="V212" s="579">
        <f>$N208-V211</f>
        <v>0</v>
      </c>
      <c r="W212" s="579">
        <f>$N208-SUM($V211:W211)</f>
        <v>0</v>
      </c>
      <c r="X212" s="579">
        <f>$N208-SUM($V211:X211)</f>
        <v>0</v>
      </c>
      <c r="Y212" s="579">
        <f>$N208-SUM($V211:Y211)</f>
        <v>0</v>
      </c>
      <c r="Z212" s="579">
        <f>$N208-SUM($V211:Z211)</f>
        <v>0</v>
      </c>
      <c r="AA212" s="579">
        <f>$N208-SUM($V211:AA211)</f>
        <v>0</v>
      </c>
    </row>
    <row r="213" spans="2:27" s="416" customFormat="1" hidden="1" outlineLevel="1" x14ac:dyDescent="0.2">
      <c r="E213" s="589" t="s">
        <v>1209</v>
      </c>
      <c r="F213" s="130"/>
      <c r="G213" s="130"/>
      <c r="H213" s="63">
        <f ca="1">$H205*V214</f>
        <v>0</v>
      </c>
      <c r="I213" s="63">
        <f t="shared" ref="I213" ca="1" si="260">$H205*W214</f>
        <v>0</v>
      </c>
      <c r="J213" s="63">
        <f t="shared" ref="J213" ca="1" si="261">$H205*X214</f>
        <v>0</v>
      </c>
      <c r="K213" s="63">
        <f t="shared" ref="K213" ca="1" si="262">$H205*Y214</f>
        <v>0</v>
      </c>
      <c r="L213" s="243"/>
      <c r="M213" s="589" t="s">
        <v>1209</v>
      </c>
      <c r="N213" s="130"/>
      <c r="O213" s="130"/>
      <c r="P213" s="63">
        <f ca="1">$P205*V215</f>
        <v>0</v>
      </c>
      <c r="Q213" s="63">
        <f t="shared" ref="Q213" ca="1" si="263">$P205*W215</f>
        <v>0</v>
      </c>
      <c r="R213" s="63">
        <f t="shared" ref="R213" ca="1" si="264">$P205*X215</f>
        <v>0</v>
      </c>
      <c r="S213" s="63">
        <f t="shared" ref="S213" ca="1" si="265">$P205*Y215</f>
        <v>0</v>
      </c>
      <c r="U213" s="583"/>
      <c r="V213" s="584"/>
      <c r="W213" s="583"/>
      <c r="X213" s="583"/>
      <c r="Y213" s="583"/>
      <c r="Z213" s="583"/>
      <c r="AA213" s="525"/>
    </row>
    <row r="214" spans="2:27" s="416" customFormat="1" hidden="1" outlineLevel="1" x14ac:dyDescent="0.2">
      <c r="E214" s="589" t="s">
        <v>1210</v>
      </c>
      <c r="F214" s="130"/>
      <c r="G214" s="130"/>
      <c r="H214" s="130"/>
      <c r="I214" s="63">
        <f ca="1">$I205*V214</f>
        <v>0</v>
      </c>
      <c r="J214" s="63">
        <f t="shared" ref="J214" ca="1" si="266">$I205*W214</f>
        <v>0</v>
      </c>
      <c r="K214" s="63">
        <f t="shared" ref="K214" ca="1" si="267">$I205*X214</f>
        <v>0</v>
      </c>
      <c r="L214" s="243"/>
      <c r="M214" s="589" t="s">
        <v>1210</v>
      </c>
      <c r="N214" s="130"/>
      <c r="O214" s="130"/>
      <c r="P214" s="130"/>
      <c r="Q214" s="63">
        <f ca="1">$Q205*V215</f>
        <v>0</v>
      </c>
      <c r="R214" s="63">
        <f t="shared" ref="R214" ca="1" si="268">$Q205*W215</f>
        <v>0</v>
      </c>
      <c r="S214" s="63">
        <f t="shared" ref="S214" ca="1" si="269">$Q205*X215</f>
        <v>0</v>
      </c>
      <c r="U214" s="580" t="s">
        <v>1156</v>
      </c>
      <c r="V214" s="585">
        <f t="shared" ref="V214:AA214" si="270">IFERROR(V208/$W217,0)</f>
        <v>0</v>
      </c>
      <c r="W214" s="585">
        <f t="shared" si="270"/>
        <v>0</v>
      </c>
      <c r="X214" s="585">
        <f t="shared" si="270"/>
        <v>0</v>
      </c>
      <c r="Y214" s="585">
        <f t="shared" si="270"/>
        <v>0</v>
      </c>
      <c r="Z214" s="585">
        <f t="shared" si="270"/>
        <v>0</v>
      </c>
      <c r="AA214" s="585">
        <f t="shared" si="270"/>
        <v>0</v>
      </c>
    </row>
    <row r="215" spans="2:27" s="416" customFormat="1" hidden="1" outlineLevel="1" x14ac:dyDescent="0.2">
      <c r="E215" s="589" t="s">
        <v>1211</v>
      </c>
      <c r="F215" s="130"/>
      <c r="G215" s="130"/>
      <c r="H215" s="130"/>
      <c r="I215" s="130"/>
      <c r="J215" s="63">
        <f ca="1">$J205*V214</f>
        <v>0</v>
      </c>
      <c r="K215" s="63">
        <f ca="1">$J205*W214</f>
        <v>0</v>
      </c>
      <c r="L215" s="243"/>
      <c r="M215" s="589" t="s">
        <v>1211</v>
      </c>
      <c r="N215" s="130"/>
      <c r="O215" s="130"/>
      <c r="P215" s="130"/>
      <c r="Q215" s="130"/>
      <c r="R215" s="63">
        <f ca="1">$R205*V215</f>
        <v>0</v>
      </c>
      <c r="S215" s="63">
        <f ca="1">$R205*W215</f>
        <v>0</v>
      </c>
      <c r="U215" s="582" t="s">
        <v>1158</v>
      </c>
      <c r="V215" s="585">
        <f t="shared" ref="V215:AA215" si="271">IFERROR(V211/$W217,0)</f>
        <v>0</v>
      </c>
      <c r="W215" s="585">
        <f t="shared" si="271"/>
        <v>0</v>
      </c>
      <c r="X215" s="585">
        <f t="shared" si="271"/>
        <v>0</v>
      </c>
      <c r="Y215" s="585">
        <f t="shared" si="271"/>
        <v>0</v>
      </c>
      <c r="Z215" s="585">
        <f t="shared" si="271"/>
        <v>0</v>
      </c>
      <c r="AA215" s="585">
        <f t="shared" si="271"/>
        <v>0</v>
      </c>
    </row>
    <row r="216" spans="2:27" s="416" customFormat="1" hidden="1" outlineLevel="1" x14ac:dyDescent="0.2">
      <c r="E216" s="589" t="s">
        <v>1212</v>
      </c>
      <c r="F216" s="130"/>
      <c r="G216" s="130"/>
      <c r="H216" s="130"/>
      <c r="I216" s="130"/>
      <c r="J216" s="130"/>
      <c r="K216" s="63">
        <f ca="1">$K205*V214</f>
        <v>0</v>
      </c>
      <c r="L216" s="243"/>
      <c r="M216" s="589" t="s">
        <v>1212</v>
      </c>
      <c r="N216" s="130"/>
      <c r="O216" s="130"/>
      <c r="P216" s="130"/>
      <c r="Q216" s="130"/>
      <c r="R216" s="130"/>
      <c r="S216" s="63">
        <f ca="1">$S205*V215</f>
        <v>0</v>
      </c>
    </row>
    <row r="217" spans="2:27" s="416" customFormat="1" hidden="1" outlineLevel="1" x14ac:dyDescent="0.2">
      <c r="E217" s="590" t="str">
        <f>TxPhase1PxUnitsTx</f>
        <v/>
      </c>
      <c r="F217" s="591">
        <f ca="1">IF(F208&lt;&gt;"",SUM(F211:F216),F205)</f>
        <v>0</v>
      </c>
      <c r="G217" s="591">
        <f ca="1">IF(F208&lt;&gt;"",SUM(G211:G216),G205)</f>
        <v>0</v>
      </c>
      <c r="H217" s="591">
        <f ca="1">IF(F208&lt;&gt;"",SUM(H211:H216),H205)</f>
        <v>0</v>
      </c>
      <c r="I217" s="591">
        <f ca="1">IF(F208&lt;&gt;"",SUM(I211:I216),I205)</f>
        <v>0</v>
      </c>
      <c r="J217" s="591">
        <f ca="1">IF(F208&lt;&gt;"",SUM(J211:J216),J205)</f>
        <v>0</v>
      </c>
      <c r="K217" s="591">
        <f ca="1">IF(F208&lt;&gt;"",SUM(K211:K216),K205)</f>
        <v>0</v>
      </c>
      <c r="L217" s="243"/>
      <c r="M217" s="590" t="str">
        <f>TxPhase2PxUnitsTx</f>
        <v/>
      </c>
      <c r="N217" s="591">
        <f ca="1">IF(N208&lt;&gt;"",SUM(N211:N216),N205)</f>
        <v>0</v>
      </c>
      <c r="O217" s="591">
        <f ca="1">IF(N208&lt;&gt;"",SUM(O211:O216),O205)</f>
        <v>0</v>
      </c>
      <c r="P217" s="591">
        <f ca="1">IF(N208&lt;&gt;"",SUM(P211:P216),P205)</f>
        <v>0</v>
      </c>
      <c r="Q217" s="591">
        <f ca="1">IF(N208&lt;&gt;"",SUM(Q211:Q216),Q205)</f>
        <v>0</v>
      </c>
      <c r="R217" s="591">
        <f ca="1">IF(N208&lt;&gt;"",SUM(R211:R216),R205)</f>
        <v>0</v>
      </c>
      <c r="S217" s="591">
        <f ca="1">IF(N208&lt;&gt;"",SUM(S211:S216),S205)</f>
        <v>0</v>
      </c>
      <c r="U217" s="582" t="s">
        <v>1161</v>
      </c>
      <c r="V217" s="579">
        <f>IFERROR(VLOOKUP(G208,TimeUnitCode,2,FALSE),0)</f>
        <v>0</v>
      </c>
      <c r="W217" s="579">
        <f>IFERROR(INDEX(TimeUnitCount,V217,2),0)</f>
        <v>0</v>
      </c>
    </row>
    <row r="218" spans="2:27" s="416" customFormat="1" hidden="1" outlineLevel="1" x14ac:dyDescent="0.2"/>
    <row r="219" spans="2:27" s="416" customFormat="1" collapsed="1" x14ac:dyDescent="0.2"/>
    <row r="220" spans="2:27" s="416" customFormat="1" ht="15.75" x14ac:dyDescent="0.2">
      <c r="B220" s="475">
        <f>IF(F230+N230&gt;12,1,0)</f>
        <v>0</v>
      </c>
      <c r="C220" s="291">
        <f ca="1">IFERROR(INDEX(PxTxPhase1,$D225,7),0)</f>
        <v>0</v>
      </c>
      <c r="D220" s="573">
        <v>10</v>
      </c>
      <c r="E220" s="79" t="str">
        <f>IF(F224&lt;&gt;"",CONCATENATE("DTG ",D220,": ",H224,": ",N220),MsgNotUsed)</f>
        <v>** NOT USED **</v>
      </c>
      <c r="F220" s="132"/>
      <c r="G220" s="132"/>
      <c r="H220" s="132"/>
      <c r="I220" s="132"/>
      <c r="J220" s="134"/>
      <c r="K220" s="134"/>
      <c r="L220" s="134"/>
      <c r="M220" s="325"/>
      <c r="N220" s="637" t="str">
        <f>IF(AND(F230="",N230=""),"Full year",IF(AND(F230&lt;&gt;"",N230=""),CONCATENATE(F230," ",G230),IF(AND(F230="",N230&lt;&gt;""),CONCATENATE(N230," ",G230),CONCATENATE(F230," + ",N230," ",G230))))</f>
        <v>Full year</v>
      </c>
      <c r="O220" s="325"/>
      <c r="P220" s="325"/>
      <c r="Q220" s="325"/>
      <c r="R220" s="325"/>
      <c r="S220" s="325"/>
      <c r="T220" s="325"/>
      <c r="U220" s="325"/>
      <c r="V220" s="325"/>
      <c r="W220" s="325"/>
      <c r="X220" s="325"/>
      <c r="Y220" s="325"/>
      <c r="Z220" s="325"/>
      <c r="AA220" s="325"/>
    </row>
    <row r="221" spans="2:27" s="416" customFormat="1" hidden="1" outlineLevel="1" x14ac:dyDescent="0.2">
      <c r="C221" s="615"/>
      <c r="D221" s="615"/>
      <c r="E221" s="615"/>
      <c r="F221" s="624">
        <v>1</v>
      </c>
      <c r="G221" s="397">
        <v>2</v>
      </c>
      <c r="H221" s="397">
        <v>3</v>
      </c>
      <c r="I221" s="397">
        <v>4</v>
      </c>
      <c r="J221" s="397">
        <v>5</v>
      </c>
      <c r="K221" s="397">
        <v>6</v>
      </c>
      <c r="N221" s="397">
        <v>1</v>
      </c>
      <c r="O221" s="397">
        <v>2</v>
      </c>
      <c r="P221" s="397">
        <v>3</v>
      </c>
      <c r="Q221" s="397">
        <v>4</v>
      </c>
      <c r="R221" s="397">
        <v>5</v>
      </c>
      <c r="S221" s="397">
        <v>6</v>
      </c>
    </row>
    <row r="222" spans="2:27" s="416" customFormat="1" hidden="1" outlineLevel="1" x14ac:dyDescent="0.2">
      <c r="C222" s="243"/>
      <c r="D222" s="243"/>
      <c r="E222" s="162" t="s">
        <v>1206</v>
      </c>
      <c r="F222" s="615"/>
    </row>
    <row r="223" spans="2:27" s="416" customFormat="1" hidden="1" outlineLevel="1" x14ac:dyDescent="0.2">
      <c r="C223" s="243"/>
      <c r="D223" s="243"/>
      <c r="E223" s="616"/>
      <c r="F223" s="615"/>
      <c r="N223" s="615"/>
      <c r="O223" s="615"/>
      <c r="P223" s="615"/>
      <c r="Q223" s="615"/>
      <c r="R223" s="615"/>
      <c r="S223" s="615"/>
    </row>
    <row r="224" spans="2:27" s="416" customFormat="1" hidden="1" outlineLevel="1" x14ac:dyDescent="0.2">
      <c r="C224" s="291">
        <f>IF(F224&lt;&gt;"",MATCH(F224,PxTxSource,0)-1,0)</f>
        <v>0</v>
      </c>
      <c r="D224" s="291">
        <f ca="1">IF(H224&lt;&gt;"",MATCH(H224,OFFSET(References!$AE$23,0,C224,PxPopMaxCount),0),0)</f>
        <v>0</v>
      </c>
      <c r="E224" s="423" t="s">
        <v>113</v>
      </c>
      <c r="F224" s="613"/>
      <c r="H224" s="812"/>
      <c r="I224" s="813"/>
      <c r="J224" s="813"/>
      <c r="K224" s="813"/>
      <c r="L224" s="615"/>
      <c r="N224" s="806" t="str">
        <f ca="1">IF(ISERROR($D225)=TRUE,MsgError &amp; VLOOKUP("BadPop",ErrorMessages,2,FALSE),"")</f>
        <v/>
      </c>
      <c r="O224" s="806"/>
      <c r="P224" s="806"/>
      <c r="Q224" s="806"/>
      <c r="R224" s="806"/>
      <c r="S224" s="806"/>
    </row>
    <row r="225" spans="3:27" s="416" customFormat="1" hidden="1" outlineLevel="1" x14ac:dyDescent="0.2">
      <c r="C225" s="291">
        <f>INDEX(PxTxValid,,C224+1)</f>
        <v>0</v>
      </c>
      <c r="D225" s="291" t="str">
        <f ca="1">IF(AND(C224=0,D224=0),"",(C224*PxPopMaxCount)+D224)</f>
        <v/>
      </c>
      <c r="E225" s="243"/>
      <c r="L225" s="615"/>
      <c r="M225" s="615"/>
      <c r="N225" s="615"/>
      <c r="O225" s="615"/>
      <c r="P225" s="615"/>
      <c r="Q225" s="615"/>
      <c r="R225" s="615"/>
      <c r="S225" s="615"/>
    </row>
    <row r="226" spans="3:27" s="416" customFormat="1" hidden="1" outlineLevel="1" x14ac:dyDescent="0.2">
      <c r="C226" s="615"/>
      <c r="E226" s="495"/>
      <c r="F226" s="614">
        <f>FirstYear</f>
        <v>2021</v>
      </c>
      <c r="G226" s="614">
        <f>F226+1</f>
        <v>2022</v>
      </c>
      <c r="H226" s="614">
        <f>G226+1</f>
        <v>2023</v>
      </c>
      <c r="I226" s="614">
        <f>H226+1</f>
        <v>2024</v>
      </c>
      <c r="J226" s="614">
        <f>I226+1</f>
        <v>2025</v>
      </c>
      <c r="K226" s="614">
        <f>J226+1</f>
        <v>2026</v>
      </c>
      <c r="L226" s="243"/>
      <c r="N226" s="614">
        <f>FirstYear</f>
        <v>2021</v>
      </c>
      <c r="O226" s="614">
        <f>N226+1</f>
        <v>2022</v>
      </c>
      <c r="P226" s="614">
        <f>O226+1</f>
        <v>2023</v>
      </c>
      <c r="Q226" s="614">
        <f>P226+1</f>
        <v>2024</v>
      </c>
      <c r="R226" s="614">
        <f>Q226+1</f>
        <v>2025</v>
      </c>
      <c r="S226" s="614">
        <f>R226+1</f>
        <v>2026</v>
      </c>
    </row>
    <row r="227" spans="3:27" s="416" customFormat="1" hidden="1" outlineLevel="1" x14ac:dyDescent="0.2">
      <c r="E227" s="59" t="str">
        <f>TxPhase1Px</f>
        <v/>
      </c>
      <c r="F227" s="32">
        <f t="shared" ref="F227:K227" ca="1" si="272">IFERROR(INDEX(PxTxPhase1,$D225,F221),0)</f>
        <v>0</v>
      </c>
      <c r="G227" s="32">
        <f t="shared" ca="1" si="272"/>
        <v>0</v>
      </c>
      <c r="H227" s="32">
        <f t="shared" ca="1" si="272"/>
        <v>0</v>
      </c>
      <c r="I227" s="32">
        <f t="shared" ca="1" si="272"/>
        <v>0</v>
      </c>
      <c r="J227" s="32">
        <f t="shared" ca="1" si="272"/>
        <v>0</v>
      </c>
      <c r="K227" s="32">
        <f t="shared" ca="1" si="272"/>
        <v>0</v>
      </c>
      <c r="L227" s="243"/>
      <c r="M227" s="59" t="str">
        <f>TxPhase2Px</f>
        <v/>
      </c>
      <c r="N227" s="32">
        <f t="shared" ref="N227:S227" ca="1" si="273">IFERROR(INDEX(PxTxPhase2,$D225,N221),0)</f>
        <v>0</v>
      </c>
      <c r="O227" s="32">
        <f t="shared" ca="1" si="273"/>
        <v>0</v>
      </c>
      <c r="P227" s="32">
        <f t="shared" ca="1" si="273"/>
        <v>0</v>
      </c>
      <c r="Q227" s="32">
        <f t="shared" ca="1" si="273"/>
        <v>0</v>
      </c>
      <c r="R227" s="32">
        <f t="shared" ca="1" si="273"/>
        <v>0</v>
      </c>
      <c r="S227" s="32">
        <f t="shared" ca="1" si="273"/>
        <v>0</v>
      </c>
    </row>
    <row r="228" spans="3:27" s="416" customFormat="1" hidden="1" outlineLevel="1" x14ac:dyDescent="0.2">
      <c r="D228" s="615"/>
      <c r="E228" s="615"/>
      <c r="F228" s="615"/>
      <c r="G228" s="615"/>
      <c r="H228" s="615"/>
      <c r="I228" s="615"/>
      <c r="J228" s="615"/>
      <c r="K228" s="615"/>
      <c r="L228" s="243"/>
      <c r="M228" s="615"/>
      <c r="N228" s="615"/>
    </row>
    <row r="229" spans="3:27" s="416" customFormat="1" hidden="1" outlineLevel="1" x14ac:dyDescent="0.2">
      <c r="D229" s="615"/>
      <c r="E229" s="243"/>
      <c r="F229" s="243"/>
      <c r="G229" s="243"/>
      <c r="H229" s="243"/>
      <c r="I229" s="243"/>
      <c r="J229" s="243"/>
      <c r="K229" s="243"/>
      <c r="L229" s="243"/>
      <c r="M229" s="243"/>
      <c r="N229" s="615"/>
      <c r="U229" s="578"/>
      <c r="V229" s="579">
        <f>$W239*1</f>
        <v>0</v>
      </c>
      <c r="W229" s="579">
        <f>$W239*2</f>
        <v>0</v>
      </c>
      <c r="X229" s="579">
        <f>$W239*3</f>
        <v>0</v>
      </c>
      <c r="Y229" s="579">
        <f>$W239*4</f>
        <v>0</v>
      </c>
      <c r="Z229" s="579">
        <f>$W239*5</f>
        <v>0</v>
      </c>
      <c r="AA229" s="579">
        <f>$W239*6</f>
        <v>0</v>
      </c>
    </row>
    <row r="230" spans="3:27" s="416" customFormat="1" hidden="1" outlineLevel="1" x14ac:dyDescent="0.2">
      <c r="E230" s="433" t="s">
        <v>1160</v>
      </c>
      <c r="F230" s="586"/>
      <c r="G230" s="268"/>
      <c r="H230" s="621"/>
      <c r="I230" s="621"/>
      <c r="J230" s="621"/>
      <c r="K230" s="621"/>
      <c r="L230" s="243"/>
      <c r="M230" s="433" t="s">
        <v>1160</v>
      </c>
      <c r="N230" s="586"/>
      <c r="O230" s="587" t="str">
        <f>IF(G230&lt;&gt;"",G230,"")</f>
        <v/>
      </c>
      <c r="P230" s="525"/>
      <c r="Q230" s="525"/>
      <c r="R230" s="525"/>
      <c r="S230" s="525"/>
      <c r="U230" s="580" t="s">
        <v>1156</v>
      </c>
      <c r="V230" s="581">
        <f>IF($F230&gt;=V229,$W239,IF($F230&gt;0,$F230,0))</f>
        <v>0</v>
      </c>
      <c r="W230" s="581">
        <f>IF($F230&gt;=W229,$W$41,IF($F230&gt;V229,($F230-V229),0))</f>
        <v>0</v>
      </c>
      <c r="X230" s="581">
        <f>IF($F230&gt;=X229,$W$41,IF($F230&gt;W229,($F230-W229),0))</f>
        <v>0</v>
      </c>
      <c r="Y230" s="581">
        <f>IF($F230&gt;=Y229,$W$41,IF($F230&gt;X229,($F230-X229),0))</f>
        <v>0</v>
      </c>
      <c r="Z230" s="581">
        <f>IF($F230&gt;=Z229,$W$41,IF($F230&gt;Y229,($F230-Y229),0))</f>
        <v>0</v>
      </c>
      <c r="AA230" s="581">
        <f>IF($F230&gt;=AA229,$W$41,IF($F230&gt;Z229,($F230-Z229),0))</f>
        <v>0</v>
      </c>
    </row>
    <row r="231" spans="3:27" s="416" customFormat="1" hidden="1" outlineLevel="1" x14ac:dyDescent="0.2">
      <c r="D231" s="615"/>
      <c r="E231" s="622"/>
      <c r="F231" s="622"/>
      <c r="G231" s="583"/>
      <c r="H231" s="622"/>
      <c r="I231" s="622"/>
      <c r="J231" s="622"/>
      <c r="K231" s="622"/>
      <c r="L231" s="243"/>
      <c r="M231" s="617"/>
      <c r="N231" s="618"/>
      <c r="O231" s="618"/>
      <c r="P231" s="618"/>
      <c r="Q231" s="618"/>
      <c r="R231" s="618"/>
      <c r="S231" s="618"/>
      <c r="U231" s="582" t="s">
        <v>1157</v>
      </c>
      <c r="V231" s="579">
        <f t="shared" ref="V231:AA231" si="274">IF(V230&gt;0,$W239-V230,$W239)</f>
        <v>0</v>
      </c>
      <c r="W231" s="579">
        <f t="shared" si="274"/>
        <v>0</v>
      </c>
      <c r="X231" s="579">
        <f t="shared" si="274"/>
        <v>0</v>
      </c>
      <c r="Y231" s="579">
        <f t="shared" si="274"/>
        <v>0</v>
      </c>
      <c r="Z231" s="579">
        <f t="shared" si="274"/>
        <v>0</v>
      </c>
      <c r="AA231" s="579">
        <f t="shared" si="274"/>
        <v>0</v>
      </c>
    </row>
    <row r="232" spans="3:27" s="416" customFormat="1" hidden="1" outlineLevel="1" x14ac:dyDescent="0.2">
      <c r="D232" s="615"/>
      <c r="E232" s="617" t="str">
        <f>E227</f>
        <v/>
      </c>
      <c r="F232" s="623"/>
      <c r="G232" s="588"/>
      <c r="H232" s="623"/>
      <c r="I232" s="623"/>
      <c r="J232" s="623"/>
      <c r="K232" s="623"/>
      <c r="L232" s="243"/>
      <c r="M232" s="617" t="str">
        <f>M227</f>
        <v/>
      </c>
      <c r="N232" s="619"/>
      <c r="O232" s="620"/>
      <c r="P232" s="620"/>
      <c r="Q232" s="620"/>
      <c r="R232" s="620"/>
      <c r="S232" s="620"/>
      <c r="U232" s="525"/>
      <c r="V232" s="525"/>
      <c r="W232" s="525"/>
      <c r="X232" s="525"/>
      <c r="Y232" s="525"/>
      <c r="Z232" s="525"/>
      <c r="AA232" s="525"/>
    </row>
    <row r="233" spans="3:27" s="416" customFormat="1" hidden="1" outlineLevel="1" x14ac:dyDescent="0.2">
      <c r="E233" s="589" t="s">
        <v>1207</v>
      </c>
      <c r="F233" s="63">
        <f ca="1">$F227*V236</f>
        <v>0</v>
      </c>
      <c r="G233" s="63">
        <f t="shared" ref="G233" ca="1" si="275">$F227*W236</f>
        <v>0</v>
      </c>
      <c r="H233" s="63">
        <f t="shared" ref="H233" ca="1" si="276">$F227*X236</f>
        <v>0</v>
      </c>
      <c r="I233" s="63">
        <f t="shared" ref="I233" ca="1" si="277">$F227*Y236</f>
        <v>0</v>
      </c>
      <c r="J233" s="63">
        <f t="shared" ref="J233" ca="1" si="278">$F227*Z236</f>
        <v>0</v>
      </c>
      <c r="K233" s="63">
        <f t="shared" ref="K233" ca="1" si="279">$F227*AA236</f>
        <v>0</v>
      </c>
      <c r="L233" s="243"/>
      <c r="M233" s="589" t="s">
        <v>1207</v>
      </c>
      <c r="N233" s="63">
        <f ca="1">$N227*V237</f>
        <v>0</v>
      </c>
      <c r="O233" s="63">
        <f ca="1">$N227*W237</f>
        <v>0</v>
      </c>
      <c r="P233" s="63">
        <f t="shared" ref="P233" ca="1" si="280">$N227*X237</f>
        <v>0</v>
      </c>
      <c r="Q233" s="63">
        <f t="shared" ref="Q233" ca="1" si="281">$N227*Y237</f>
        <v>0</v>
      </c>
      <c r="R233" s="63">
        <f t="shared" ref="R233" ca="1" si="282">$N227*Z237</f>
        <v>0</v>
      </c>
      <c r="S233" s="63">
        <f t="shared" ref="S233" ca="1" si="283">$N227*AA237</f>
        <v>0</v>
      </c>
      <c r="U233" s="582" t="s">
        <v>1158</v>
      </c>
      <c r="V233" s="581">
        <f>IF($N230&gt;=V231,V231,N230)</f>
        <v>0</v>
      </c>
      <c r="W233" s="581">
        <f>IF(V234&gt;=W231,W231,V234)</f>
        <v>0</v>
      </c>
      <c r="X233" s="581">
        <f>IF(W234&gt;=X231,X231,W234)</f>
        <v>0</v>
      </c>
      <c r="Y233" s="581">
        <f>IF(X234&gt;=Y231,Y231,X234)</f>
        <v>0</v>
      </c>
      <c r="Z233" s="581">
        <f>IF(Y234&gt;=Z231,Z231,Y234)</f>
        <v>0</v>
      </c>
      <c r="AA233" s="581">
        <f>IF(Z234&gt;=AA231,AA231,Z234)</f>
        <v>0</v>
      </c>
    </row>
    <row r="234" spans="3:27" s="416" customFormat="1" hidden="1" outlineLevel="1" x14ac:dyDescent="0.2">
      <c r="E234" s="589" t="s">
        <v>1208</v>
      </c>
      <c r="F234" s="130"/>
      <c r="G234" s="63">
        <f ca="1">$G227*V236</f>
        <v>0</v>
      </c>
      <c r="H234" s="63">
        <f t="shared" ref="H234" ca="1" si="284">$G227*W236</f>
        <v>0</v>
      </c>
      <c r="I234" s="63">
        <f t="shared" ref="I234" ca="1" si="285">$G227*X236</f>
        <v>0</v>
      </c>
      <c r="J234" s="63">
        <f t="shared" ref="J234" ca="1" si="286">$G227*Y236</f>
        <v>0</v>
      </c>
      <c r="K234" s="63">
        <f t="shared" ref="K234" ca="1" si="287">$G227*Z236</f>
        <v>0</v>
      </c>
      <c r="L234" s="243"/>
      <c r="M234" s="589" t="s">
        <v>1208</v>
      </c>
      <c r="N234" s="130"/>
      <c r="O234" s="63">
        <f ca="1">$O227*V237</f>
        <v>0</v>
      </c>
      <c r="P234" s="63">
        <f t="shared" ref="P234" ca="1" si="288">$O227*W237</f>
        <v>0</v>
      </c>
      <c r="Q234" s="63">
        <f t="shared" ref="Q234" ca="1" si="289">$O227*X237</f>
        <v>0</v>
      </c>
      <c r="R234" s="63">
        <f t="shared" ref="R234" ca="1" si="290">$O227*Y237</f>
        <v>0</v>
      </c>
      <c r="S234" s="63">
        <f t="shared" ref="S234" ca="1" si="291">$O227*Z237</f>
        <v>0</v>
      </c>
      <c r="U234" s="582" t="s">
        <v>1159</v>
      </c>
      <c r="V234" s="579">
        <f>$N230-V233</f>
        <v>0</v>
      </c>
      <c r="W234" s="579">
        <f>$N230-SUM($V233:W233)</f>
        <v>0</v>
      </c>
      <c r="X234" s="579">
        <f>$N230-SUM($V233:X233)</f>
        <v>0</v>
      </c>
      <c r="Y234" s="579">
        <f>$N230-SUM($V233:Y233)</f>
        <v>0</v>
      </c>
      <c r="Z234" s="579">
        <f>$N230-SUM($V233:Z233)</f>
        <v>0</v>
      </c>
      <c r="AA234" s="579">
        <f>$N230-SUM($V233:AA233)</f>
        <v>0</v>
      </c>
    </row>
    <row r="235" spans="3:27" s="416" customFormat="1" hidden="1" outlineLevel="1" x14ac:dyDescent="0.2">
      <c r="E235" s="589" t="s">
        <v>1209</v>
      </c>
      <c r="F235" s="130"/>
      <c r="G235" s="130"/>
      <c r="H235" s="63">
        <f ca="1">$H227*V236</f>
        <v>0</v>
      </c>
      <c r="I235" s="63">
        <f t="shared" ref="I235" ca="1" si="292">$H227*W236</f>
        <v>0</v>
      </c>
      <c r="J235" s="63">
        <f t="shared" ref="J235" ca="1" si="293">$H227*X236</f>
        <v>0</v>
      </c>
      <c r="K235" s="63">
        <f t="shared" ref="K235" ca="1" si="294">$H227*Y236</f>
        <v>0</v>
      </c>
      <c r="L235" s="243"/>
      <c r="M235" s="589" t="s">
        <v>1209</v>
      </c>
      <c r="N235" s="130"/>
      <c r="O235" s="130"/>
      <c r="P235" s="63">
        <f ca="1">$P227*V237</f>
        <v>0</v>
      </c>
      <c r="Q235" s="63">
        <f t="shared" ref="Q235" ca="1" si="295">$P227*W237</f>
        <v>0</v>
      </c>
      <c r="R235" s="63">
        <f t="shared" ref="R235" ca="1" si="296">$P227*X237</f>
        <v>0</v>
      </c>
      <c r="S235" s="63">
        <f t="shared" ref="S235" ca="1" si="297">$P227*Y237</f>
        <v>0</v>
      </c>
      <c r="U235" s="583"/>
      <c r="V235" s="584"/>
      <c r="W235" s="583"/>
      <c r="X235" s="583"/>
      <c r="Y235" s="583"/>
      <c r="Z235" s="583"/>
      <c r="AA235" s="525"/>
    </row>
    <row r="236" spans="3:27" s="416" customFormat="1" hidden="1" outlineLevel="1" x14ac:dyDescent="0.2">
      <c r="E236" s="589" t="s">
        <v>1210</v>
      </c>
      <c r="F236" s="130"/>
      <c r="G236" s="130"/>
      <c r="H236" s="130"/>
      <c r="I236" s="63">
        <f ca="1">$I227*V236</f>
        <v>0</v>
      </c>
      <c r="J236" s="63">
        <f t="shared" ref="J236" ca="1" si="298">$I227*W236</f>
        <v>0</v>
      </c>
      <c r="K236" s="63">
        <f t="shared" ref="K236" ca="1" si="299">$I227*X236</f>
        <v>0</v>
      </c>
      <c r="L236" s="243"/>
      <c r="M236" s="589" t="s">
        <v>1210</v>
      </c>
      <c r="N236" s="130"/>
      <c r="O236" s="130"/>
      <c r="P236" s="130"/>
      <c r="Q236" s="63">
        <f ca="1">$Q227*V237</f>
        <v>0</v>
      </c>
      <c r="R236" s="63">
        <f t="shared" ref="R236" ca="1" si="300">$Q227*W237</f>
        <v>0</v>
      </c>
      <c r="S236" s="63">
        <f t="shared" ref="S236" ca="1" si="301">$Q227*X237</f>
        <v>0</v>
      </c>
      <c r="U236" s="580" t="s">
        <v>1156</v>
      </c>
      <c r="V236" s="585">
        <f t="shared" ref="V236:AA236" si="302">IFERROR(V230/$W239,0)</f>
        <v>0</v>
      </c>
      <c r="W236" s="585">
        <f t="shared" si="302"/>
        <v>0</v>
      </c>
      <c r="X236" s="585">
        <f t="shared" si="302"/>
        <v>0</v>
      </c>
      <c r="Y236" s="585">
        <f t="shared" si="302"/>
        <v>0</v>
      </c>
      <c r="Z236" s="585">
        <f t="shared" si="302"/>
        <v>0</v>
      </c>
      <c r="AA236" s="585">
        <f t="shared" si="302"/>
        <v>0</v>
      </c>
    </row>
    <row r="237" spans="3:27" s="416" customFormat="1" hidden="1" outlineLevel="1" x14ac:dyDescent="0.2">
      <c r="E237" s="589" t="s">
        <v>1211</v>
      </c>
      <c r="F237" s="130"/>
      <c r="G237" s="130"/>
      <c r="H237" s="130"/>
      <c r="I237" s="130"/>
      <c r="J237" s="63">
        <f ca="1">$J227*V236</f>
        <v>0</v>
      </c>
      <c r="K237" s="63">
        <f ca="1">$J227*W236</f>
        <v>0</v>
      </c>
      <c r="L237" s="243"/>
      <c r="M237" s="589" t="s">
        <v>1211</v>
      </c>
      <c r="N237" s="130"/>
      <c r="O237" s="130"/>
      <c r="P237" s="130"/>
      <c r="Q237" s="130"/>
      <c r="R237" s="63">
        <f ca="1">$R227*V237</f>
        <v>0</v>
      </c>
      <c r="S237" s="63">
        <f ca="1">$R227*W237</f>
        <v>0</v>
      </c>
      <c r="U237" s="582" t="s">
        <v>1158</v>
      </c>
      <c r="V237" s="585">
        <f t="shared" ref="V237:AA237" si="303">IFERROR(V233/$W239,0)</f>
        <v>0</v>
      </c>
      <c r="W237" s="585">
        <f t="shared" si="303"/>
        <v>0</v>
      </c>
      <c r="X237" s="585">
        <f t="shared" si="303"/>
        <v>0</v>
      </c>
      <c r="Y237" s="585">
        <f t="shared" si="303"/>
        <v>0</v>
      </c>
      <c r="Z237" s="585">
        <f t="shared" si="303"/>
        <v>0</v>
      </c>
      <c r="AA237" s="585">
        <f t="shared" si="303"/>
        <v>0</v>
      </c>
    </row>
    <row r="238" spans="3:27" s="416" customFormat="1" hidden="1" outlineLevel="1" x14ac:dyDescent="0.2">
      <c r="E238" s="589" t="s">
        <v>1212</v>
      </c>
      <c r="F238" s="130"/>
      <c r="G238" s="130"/>
      <c r="H238" s="130"/>
      <c r="I238" s="130"/>
      <c r="J238" s="130"/>
      <c r="K238" s="63">
        <f ca="1">$K227*V236</f>
        <v>0</v>
      </c>
      <c r="L238" s="243"/>
      <c r="M238" s="589" t="s">
        <v>1212</v>
      </c>
      <c r="N238" s="130"/>
      <c r="O238" s="130"/>
      <c r="P238" s="130"/>
      <c r="Q238" s="130"/>
      <c r="R238" s="130"/>
      <c r="S238" s="63">
        <f ca="1">$S227*V237</f>
        <v>0</v>
      </c>
    </row>
    <row r="239" spans="3:27" s="416" customFormat="1" hidden="1" outlineLevel="1" x14ac:dyDescent="0.2">
      <c r="E239" s="590" t="str">
        <f>TxPhase1PxUnitsTx</f>
        <v/>
      </c>
      <c r="F239" s="591">
        <f ca="1">IF(F230&lt;&gt;"",SUM(F233:F238),F227)</f>
        <v>0</v>
      </c>
      <c r="G239" s="591">
        <f ca="1">IF(F230&lt;&gt;"",SUM(G233:G238),G227)</f>
        <v>0</v>
      </c>
      <c r="H239" s="591">
        <f ca="1">IF(F230&lt;&gt;"",SUM(H233:H238),H227)</f>
        <v>0</v>
      </c>
      <c r="I239" s="591">
        <f ca="1">IF(F230&lt;&gt;"",SUM(I233:I238),I227)</f>
        <v>0</v>
      </c>
      <c r="J239" s="591">
        <f ca="1">IF(F230&lt;&gt;"",SUM(J233:J238),J227)</f>
        <v>0</v>
      </c>
      <c r="K239" s="591">
        <f ca="1">IF(F230&lt;&gt;"",SUM(K233:K238),K227)</f>
        <v>0</v>
      </c>
      <c r="L239" s="243"/>
      <c r="M239" s="590" t="str">
        <f>TxPhase2PxUnitsTx</f>
        <v/>
      </c>
      <c r="N239" s="591">
        <f ca="1">IF(N230&lt;&gt;"",SUM(N233:N238),N227)</f>
        <v>0</v>
      </c>
      <c r="O239" s="591">
        <f ca="1">IF(N230&lt;&gt;"",SUM(O233:O238),O227)</f>
        <v>0</v>
      </c>
      <c r="P239" s="591">
        <f ca="1">IF(N230&lt;&gt;"",SUM(P233:P238),P227)</f>
        <v>0</v>
      </c>
      <c r="Q239" s="591">
        <f ca="1">IF(N230&lt;&gt;"",SUM(Q233:Q238),Q227)</f>
        <v>0</v>
      </c>
      <c r="R239" s="591">
        <f ca="1">IF(N230&lt;&gt;"",SUM(R233:R238),R227)</f>
        <v>0</v>
      </c>
      <c r="S239" s="591">
        <f ca="1">IF(N230&lt;&gt;"",SUM(S233:S238),S227)</f>
        <v>0</v>
      </c>
      <c r="U239" s="582" t="s">
        <v>1161</v>
      </c>
      <c r="V239" s="579">
        <f>IFERROR(VLOOKUP(G230,TimeUnitCode,2,FALSE),0)</f>
        <v>0</v>
      </c>
      <c r="W239" s="579">
        <f>IFERROR(INDEX(TimeUnitCount,V239,2),0)</f>
        <v>0</v>
      </c>
    </row>
    <row r="240" spans="3:27" hidden="1" outlineLevel="1" x14ac:dyDescent="0.2"/>
    <row r="241" spans="2:27" collapsed="1" x14ac:dyDescent="0.2"/>
    <row r="242" spans="2:27" s="416" customFormat="1" ht="15.75" x14ac:dyDescent="0.2">
      <c r="B242" s="475">
        <f>IF(F252+N252&gt;12,1,0)</f>
        <v>0</v>
      </c>
      <c r="C242" s="291">
        <f ca="1">IFERROR(INDEX(PxTxPhase1,$D247,7),0)</f>
        <v>0</v>
      </c>
      <c r="D242" s="573">
        <v>11</v>
      </c>
      <c r="E242" s="79" t="str">
        <f>IF(F246&lt;&gt;"",CONCATENATE("DTG ",D242,": ",H246,": ",N242),MsgNotUsed)</f>
        <v>** NOT USED **</v>
      </c>
      <c r="F242" s="132"/>
      <c r="G242" s="132"/>
      <c r="H242" s="132"/>
      <c r="I242" s="132"/>
      <c r="J242" s="134"/>
      <c r="K242" s="134"/>
      <c r="L242" s="134"/>
      <c r="M242" s="325"/>
      <c r="N242" s="637" t="str">
        <f>IF(AND(F252="",N252=""),"Full year",IF(AND(F252&lt;&gt;"",N252=""),CONCATENATE(F252," ",G252),IF(AND(F252="",N252&lt;&gt;""),CONCATENATE(N252," ",G252),CONCATENATE(F252," + ",N252," ",G252))))</f>
        <v>Full year</v>
      </c>
      <c r="O242" s="325"/>
      <c r="P242" s="325"/>
      <c r="Q242" s="325"/>
      <c r="R242" s="325"/>
      <c r="S242" s="325"/>
      <c r="T242" s="325"/>
      <c r="U242" s="325"/>
      <c r="V242" s="325"/>
      <c r="W242" s="325"/>
      <c r="X242" s="325"/>
      <c r="Y242" s="325"/>
      <c r="Z242" s="325"/>
      <c r="AA242" s="325"/>
    </row>
    <row r="243" spans="2:27" s="416" customFormat="1" hidden="1" outlineLevel="1" x14ac:dyDescent="0.2">
      <c r="C243" s="615"/>
      <c r="D243" s="615"/>
      <c r="E243" s="615"/>
      <c r="F243" s="624">
        <v>1</v>
      </c>
      <c r="G243" s="397">
        <v>2</v>
      </c>
      <c r="H243" s="397">
        <v>3</v>
      </c>
      <c r="I243" s="397">
        <v>4</v>
      </c>
      <c r="J243" s="397">
        <v>5</v>
      </c>
      <c r="K243" s="397">
        <v>6</v>
      </c>
      <c r="N243" s="397">
        <v>1</v>
      </c>
      <c r="O243" s="397">
        <v>2</v>
      </c>
      <c r="P243" s="397">
        <v>3</v>
      </c>
      <c r="Q243" s="397">
        <v>4</v>
      </c>
      <c r="R243" s="397">
        <v>5</v>
      </c>
      <c r="S243" s="397">
        <v>6</v>
      </c>
    </row>
    <row r="244" spans="2:27" s="416" customFormat="1" hidden="1" outlineLevel="1" x14ac:dyDescent="0.2">
      <c r="C244" s="243"/>
      <c r="D244" s="243"/>
      <c r="E244" s="162" t="s">
        <v>1206</v>
      </c>
      <c r="F244" s="615"/>
    </row>
    <row r="245" spans="2:27" s="416" customFormat="1" hidden="1" outlineLevel="1" x14ac:dyDescent="0.2">
      <c r="C245" s="243"/>
      <c r="D245" s="243"/>
      <c r="E245" s="616"/>
      <c r="F245" s="615"/>
      <c r="N245" s="615"/>
      <c r="O245" s="615"/>
      <c r="P245" s="615"/>
      <c r="Q245" s="615"/>
      <c r="R245" s="615"/>
      <c r="S245" s="615"/>
    </row>
    <row r="246" spans="2:27" s="416" customFormat="1" hidden="1" outlineLevel="1" x14ac:dyDescent="0.2">
      <c r="C246" s="291">
        <f>IF(F246&lt;&gt;"",MATCH(F246,PxTxSource,0)-1,0)</f>
        <v>0</v>
      </c>
      <c r="D246" s="291">
        <f ca="1">IF(H246&lt;&gt;"",MATCH(H246,OFFSET(References!$AE$23,0,C246,PxPopMaxCount),0),0)</f>
        <v>0</v>
      </c>
      <c r="E246" s="423" t="s">
        <v>113</v>
      </c>
      <c r="F246" s="613"/>
      <c r="H246" s="812"/>
      <c r="I246" s="813"/>
      <c r="J246" s="813"/>
      <c r="K246" s="813"/>
      <c r="L246" s="615"/>
      <c r="N246" s="806" t="str">
        <f ca="1">IF(ISERROR($D247)=TRUE,MsgError &amp; VLOOKUP("BadPop",ErrorMessages,2,FALSE),"")</f>
        <v/>
      </c>
      <c r="O246" s="806"/>
      <c r="P246" s="806"/>
      <c r="Q246" s="806"/>
      <c r="R246" s="806"/>
      <c r="S246" s="806"/>
    </row>
    <row r="247" spans="2:27" s="416" customFormat="1" hidden="1" outlineLevel="1" x14ac:dyDescent="0.2">
      <c r="C247" s="291">
        <f>INDEX(PxTxValid,,C246+1)</f>
        <v>0</v>
      </c>
      <c r="D247" s="291" t="str">
        <f ca="1">IF(AND(C246=0,D246=0),"",(C246*PxPopMaxCount)+D246)</f>
        <v/>
      </c>
      <c r="E247" s="243"/>
      <c r="L247" s="615"/>
      <c r="M247" s="615"/>
      <c r="N247" s="615"/>
      <c r="O247" s="615"/>
      <c r="P247" s="615"/>
      <c r="Q247" s="615"/>
      <c r="R247" s="615"/>
      <c r="S247" s="615"/>
    </row>
    <row r="248" spans="2:27" s="416" customFormat="1" hidden="1" outlineLevel="1" x14ac:dyDescent="0.2">
      <c r="C248" s="615"/>
      <c r="E248" s="495"/>
      <c r="F248" s="614">
        <f>FirstYear</f>
        <v>2021</v>
      </c>
      <c r="G248" s="614">
        <f>F248+1</f>
        <v>2022</v>
      </c>
      <c r="H248" s="614">
        <f>G248+1</f>
        <v>2023</v>
      </c>
      <c r="I248" s="614">
        <f>H248+1</f>
        <v>2024</v>
      </c>
      <c r="J248" s="614">
        <f>I248+1</f>
        <v>2025</v>
      </c>
      <c r="K248" s="614">
        <f>J248+1</f>
        <v>2026</v>
      </c>
      <c r="L248" s="243"/>
      <c r="N248" s="614">
        <f>FirstYear</f>
        <v>2021</v>
      </c>
      <c r="O248" s="614">
        <f>N248+1</f>
        <v>2022</v>
      </c>
      <c r="P248" s="614">
        <f>O248+1</f>
        <v>2023</v>
      </c>
      <c r="Q248" s="614">
        <f>P248+1</f>
        <v>2024</v>
      </c>
      <c r="R248" s="614">
        <f>Q248+1</f>
        <v>2025</v>
      </c>
      <c r="S248" s="614">
        <f>R248+1</f>
        <v>2026</v>
      </c>
    </row>
    <row r="249" spans="2:27" s="416" customFormat="1" hidden="1" outlineLevel="1" x14ac:dyDescent="0.2">
      <c r="E249" s="59" t="str">
        <f>TxPhase1Px</f>
        <v/>
      </c>
      <c r="F249" s="32">
        <f t="shared" ref="F249:K249" ca="1" si="304">IFERROR(INDEX(PxTxPhase1,$D247,F243),0)</f>
        <v>0</v>
      </c>
      <c r="G249" s="32">
        <f t="shared" ca="1" si="304"/>
        <v>0</v>
      </c>
      <c r="H249" s="32">
        <f t="shared" ca="1" si="304"/>
        <v>0</v>
      </c>
      <c r="I249" s="32">
        <f t="shared" ca="1" si="304"/>
        <v>0</v>
      </c>
      <c r="J249" s="32">
        <f t="shared" ca="1" si="304"/>
        <v>0</v>
      </c>
      <c r="K249" s="32">
        <f t="shared" ca="1" si="304"/>
        <v>0</v>
      </c>
      <c r="L249" s="243"/>
      <c r="M249" s="59" t="str">
        <f>TxPhase2Px</f>
        <v/>
      </c>
      <c r="N249" s="32">
        <f t="shared" ref="N249:S249" ca="1" si="305">IFERROR(INDEX(PxTxPhase2,$D247,N243),0)</f>
        <v>0</v>
      </c>
      <c r="O249" s="32">
        <f t="shared" ca="1" si="305"/>
        <v>0</v>
      </c>
      <c r="P249" s="32">
        <f t="shared" ca="1" si="305"/>
        <v>0</v>
      </c>
      <c r="Q249" s="32">
        <f t="shared" ca="1" si="305"/>
        <v>0</v>
      </c>
      <c r="R249" s="32">
        <f t="shared" ca="1" si="305"/>
        <v>0</v>
      </c>
      <c r="S249" s="32">
        <f t="shared" ca="1" si="305"/>
        <v>0</v>
      </c>
    </row>
    <row r="250" spans="2:27" s="416" customFormat="1" hidden="1" outlineLevel="1" x14ac:dyDescent="0.2">
      <c r="D250" s="615"/>
      <c r="E250" s="615"/>
      <c r="F250" s="615"/>
      <c r="G250" s="615"/>
      <c r="H250" s="615"/>
      <c r="I250" s="615"/>
      <c r="J250" s="615"/>
      <c r="K250" s="615"/>
      <c r="L250" s="243"/>
      <c r="M250" s="615"/>
      <c r="N250" s="615"/>
    </row>
    <row r="251" spans="2:27" s="416" customFormat="1" hidden="1" outlineLevel="1" x14ac:dyDescent="0.2">
      <c r="D251" s="615"/>
      <c r="E251" s="243"/>
      <c r="F251" s="243"/>
      <c r="G251" s="243"/>
      <c r="H251" s="243"/>
      <c r="I251" s="243"/>
      <c r="J251" s="243"/>
      <c r="K251" s="243"/>
      <c r="L251" s="243"/>
      <c r="M251" s="243"/>
      <c r="N251" s="615"/>
      <c r="U251" s="578"/>
      <c r="V251" s="579">
        <f>$W261*1</f>
        <v>0</v>
      </c>
      <c r="W251" s="579">
        <f>$W261*2</f>
        <v>0</v>
      </c>
      <c r="X251" s="579">
        <f>$W261*3</f>
        <v>0</v>
      </c>
      <c r="Y251" s="579">
        <f>$W261*4</f>
        <v>0</v>
      </c>
      <c r="Z251" s="579">
        <f>$W261*5</f>
        <v>0</v>
      </c>
      <c r="AA251" s="579">
        <f>$W261*6</f>
        <v>0</v>
      </c>
    </row>
    <row r="252" spans="2:27" s="416" customFormat="1" hidden="1" outlineLevel="1" x14ac:dyDescent="0.2">
      <c r="E252" s="433" t="s">
        <v>1160</v>
      </c>
      <c r="F252" s="586"/>
      <c r="G252" s="268"/>
      <c r="H252" s="621"/>
      <c r="I252" s="621"/>
      <c r="J252" s="621"/>
      <c r="K252" s="621"/>
      <c r="L252" s="243"/>
      <c r="M252" s="433" t="s">
        <v>1160</v>
      </c>
      <c r="N252" s="586"/>
      <c r="O252" s="587" t="str">
        <f>IF(G252&lt;&gt;"",G252,"")</f>
        <v/>
      </c>
      <c r="P252" s="525"/>
      <c r="Q252" s="525"/>
      <c r="R252" s="525"/>
      <c r="S252" s="525"/>
      <c r="U252" s="580" t="s">
        <v>1156</v>
      </c>
      <c r="V252" s="581">
        <f>IF($F252&gt;=V251,$W261,IF($F252&gt;0,$F252,0))</f>
        <v>0</v>
      </c>
      <c r="W252" s="581">
        <f>IF($F252&gt;=W251,$W$41,IF($F252&gt;V251,($F252-V251),0))</f>
        <v>0</v>
      </c>
      <c r="X252" s="581">
        <f>IF($F252&gt;=X251,$W$41,IF($F252&gt;W251,($F252-W251),0))</f>
        <v>0</v>
      </c>
      <c r="Y252" s="581">
        <f>IF($F252&gt;=Y251,$W$41,IF($F252&gt;X251,($F252-X251),0))</f>
        <v>0</v>
      </c>
      <c r="Z252" s="581">
        <f>IF($F252&gt;=Z251,$W$41,IF($F252&gt;Y251,($F252-Y251),0))</f>
        <v>0</v>
      </c>
      <c r="AA252" s="581">
        <f>IF($F252&gt;=AA251,$W$41,IF($F252&gt;Z251,($F252-Z251),0))</f>
        <v>0</v>
      </c>
    </row>
    <row r="253" spans="2:27" s="416" customFormat="1" hidden="1" outlineLevel="1" x14ac:dyDescent="0.2">
      <c r="D253" s="615"/>
      <c r="E253" s="622"/>
      <c r="F253" s="622"/>
      <c r="G253" s="583"/>
      <c r="H253" s="622"/>
      <c r="I253" s="622"/>
      <c r="J253" s="622"/>
      <c r="K253" s="622"/>
      <c r="L253" s="243"/>
      <c r="M253" s="617"/>
      <c r="N253" s="618"/>
      <c r="O253" s="618"/>
      <c r="P253" s="618"/>
      <c r="Q253" s="618"/>
      <c r="R253" s="618"/>
      <c r="S253" s="618"/>
      <c r="U253" s="582" t="s">
        <v>1157</v>
      </c>
      <c r="V253" s="579">
        <f t="shared" ref="V253:AA253" si="306">IF(V252&gt;0,$W261-V252,$W261)</f>
        <v>0</v>
      </c>
      <c r="W253" s="579">
        <f t="shared" si="306"/>
        <v>0</v>
      </c>
      <c r="X253" s="579">
        <f t="shared" si="306"/>
        <v>0</v>
      </c>
      <c r="Y253" s="579">
        <f t="shared" si="306"/>
        <v>0</v>
      </c>
      <c r="Z253" s="579">
        <f t="shared" si="306"/>
        <v>0</v>
      </c>
      <c r="AA253" s="579">
        <f t="shared" si="306"/>
        <v>0</v>
      </c>
    </row>
    <row r="254" spans="2:27" s="416" customFormat="1" hidden="1" outlineLevel="1" x14ac:dyDescent="0.2">
      <c r="D254" s="615"/>
      <c r="E254" s="617" t="str">
        <f>E249</f>
        <v/>
      </c>
      <c r="F254" s="623"/>
      <c r="G254" s="588"/>
      <c r="H254" s="623"/>
      <c r="I254" s="623"/>
      <c r="J254" s="623"/>
      <c r="K254" s="623"/>
      <c r="L254" s="243"/>
      <c r="M254" s="617" t="str">
        <f>M249</f>
        <v/>
      </c>
      <c r="N254" s="619"/>
      <c r="O254" s="620"/>
      <c r="P254" s="620"/>
      <c r="Q254" s="620"/>
      <c r="R254" s="620"/>
      <c r="S254" s="620"/>
      <c r="U254" s="525"/>
      <c r="V254" s="525"/>
      <c r="W254" s="525"/>
      <c r="X254" s="525"/>
      <c r="Y254" s="525"/>
      <c r="Z254" s="525"/>
      <c r="AA254" s="525"/>
    </row>
    <row r="255" spans="2:27" s="416" customFormat="1" hidden="1" outlineLevel="1" x14ac:dyDescent="0.2">
      <c r="E255" s="589" t="s">
        <v>1207</v>
      </c>
      <c r="F255" s="63">
        <f ca="1">$F249*V258</f>
        <v>0</v>
      </c>
      <c r="G255" s="63">
        <f t="shared" ref="G255" ca="1" si="307">$F249*W258</f>
        <v>0</v>
      </c>
      <c r="H255" s="63">
        <f t="shared" ref="H255" ca="1" si="308">$F249*X258</f>
        <v>0</v>
      </c>
      <c r="I255" s="63">
        <f t="shared" ref="I255" ca="1" si="309">$F249*Y258</f>
        <v>0</v>
      </c>
      <c r="J255" s="63">
        <f t="shared" ref="J255" ca="1" si="310">$F249*Z258</f>
        <v>0</v>
      </c>
      <c r="K255" s="63">
        <f t="shared" ref="K255" ca="1" si="311">$F249*AA258</f>
        <v>0</v>
      </c>
      <c r="L255" s="243"/>
      <c r="M255" s="589" t="s">
        <v>1207</v>
      </c>
      <c r="N255" s="63">
        <f ca="1">$N249*V259</f>
        <v>0</v>
      </c>
      <c r="O255" s="63">
        <f ca="1">$N249*W259</f>
        <v>0</v>
      </c>
      <c r="P255" s="63">
        <f t="shared" ref="P255" ca="1" si="312">$N249*X259</f>
        <v>0</v>
      </c>
      <c r="Q255" s="63">
        <f t="shared" ref="Q255" ca="1" si="313">$N249*Y259</f>
        <v>0</v>
      </c>
      <c r="R255" s="63">
        <f t="shared" ref="R255" ca="1" si="314">$N249*Z259</f>
        <v>0</v>
      </c>
      <c r="S255" s="63">
        <f t="shared" ref="S255" ca="1" si="315">$N249*AA259</f>
        <v>0</v>
      </c>
      <c r="U255" s="582" t="s">
        <v>1158</v>
      </c>
      <c r="V255" s="581">
        <f>IF($N252&gt;=V253,V253,N252)</f>
        <v>0</v>
      </c>
      <c r="W255" s="581">
        <f>IF(V256&gt;=W253,W253,V256)</f>
        <v>0</v>
      </c>
      <c r="X255" s="581">
        <f>IF(W256&gt;=X253,X253,W256)</f>
        <v>0</v>
      </c>
      <c r="Y255" s="581">
        <f>IF(X256&gt;=Y253,Y253,X256)</f>
        <v>0</v>
      </c>
      <c r="Z255" s="581">
        <f>IF(Y256&gt;=Z253,Z253,Y256)</f>
        <v>0</v>
      </c>
      <c r="AA255" s="581">
        <f>IF(Z256&gt;=AA253,AA253,Z256)</f>
        <v>0</v>
      </c>
    </row>
    <row r="256" spans="2:27" s="416" customFormat="1" hidden="1" outlineLevel="1" x14ac:dyDescent="0.2">
      <c r="E256" s="589" t="s">
        <v>1208</v>
      </c>
      <c r="F256" s="130"/>
      <c r="G256" s="63">
        <f ca="1">$G249*V258</f>
        <v>0</v>
      </c>
      <c r="H256" s="63">
        <f t="shared" ref="H256" ca="1" si="316">$G249*W258</f>
        <v>0</v>
      </c>
      <c r="I256" s="63">
        <f t="shared" ref="I256" ca="1" si="317">$G249*X258</f>
        <v>0</v>
      </c>
      <c r="J256" s="63">
        <f t="shared" ref="J256" ca="1" si="318">$G249*Y258</f>
        <v>0</v>
      </c>
      <c r="K256" s="63">
        <f t="shared" ref="K256" ca="1" si="319">$G249*Z258</f>
        <v>0</v>
      </c>
      <c r="L256" s="243"/>
      <c r="M256" s="589" t="s">
        <v>1208</v>
      </c>
      <c r="N256" s="130"/>
      <c r="O256" s="63">
        <f ca="1">$O249*V259</f>
        <v>0</v>
      </c>
      <c r="P256" s="63">
        <f t="shared" ref="P256" ca="1" si="320">$O249*W259</f>
        <v>0</v>
      </c>
      <c r="Q256" s="63">
        <f t="shared" ref="Q256" ca="1" si="321">$O249*X259</f>
        <v>0</v>
      </c>
      <c r="R256" s="63">
        <f t="shared" ref="R256" ca="1" si="322">$O249*Y259</f>
        <v>0</v>
      </c>
      <c r="S256" s="63">
        <f t="shared" ref="S256" ca="1" si="323">$O249*Z259</f>
        <v>0</v>
      </c>
      <c r="U256" s="582" t="s">
        <v>1159</v>
      </c>
      <c r="V256" s="579">
        <f>$N252-V255</f>
        <v>0</v>
      </c>
      <c r="W256" s="579">
        <f>$N252-SUM($V255:W255)</f>
        <v>0</v>
      </c>
      <c r="X256" s="579">
        <f>$N252-SUM($V255:X255)</f>
        <v>0</v>
      </c>
      <c r="Y256" s="579">
        <f>$N252-SUM($V255:Y255)</f>
        <v>0</v>
      </c>
      <c r="Z256" s="579">
        <f>$N252-SUM($V255:Z255)</f>
        <v>0</v>
      </c>
      <c r="AA256" s="579">
        <f>$N252-SUM($V255:AA255)</f>
        <v>0</v>
      </c>
    </row>
    <row r="257" spans="2:27" s="416" customFormat="1" hidden="1" outlineLevel="1" x14ac:dyDescent="0.2">
      <c r="E257" s="589" t="s">
        <v>1209</v>
      </c>
      <c r="F257" s="130"/>
      <c r="G257" s="130"/>
      <c r="H257" s="63">
        <f ca="1">$H249*V258</f>
        <v>0</v>
      </c>
      <c r="I257" s="63">
        <f t="shared" ref="I257" ca="1" si="324">$H249*W258</f>
        <v>0</v>
      </c>
      <c r="J257" s="63">
        <f t="shared" ref="J257" ca="1" si="325">$H249*X258</f>
        <v>0</v>
      </c>
      <c r="K257" s="63">
        <f t="shared" ref="K257" ca="1" si="326">$H249*Y258</f>
        <v>0</v>
      </c>
      <c r="L257" s="243"/>
      <c r="M257" s="589" t="s">
        <v>1209</v>
      </c>
      <c r="N257" s="130"/>
      <c r="O257" s="130"/>
      <c r="P257" s="63">
        <f ca="1">$P249*V259</f>
        <v>0</v>
      </c>
      <c r="Q257" s="63">
        <f t="shared" ref="Q257" ca="1" si="327">$P249*W259</f>
        <v>0</v>
      </c>
      <c r="R257" s="63">
        <f t="shared" ref="R257" ca="1" si="328">$P249*X259</f>
        <v>0</v>
      </c>
      <c r="S257" s="63">
        <f t="shared" ref="S257" ca="1" si="329">$P249*Y259</f>
        <v>0</v>
      </c>
      <c r="U257" s="583"/>
      <c r="V257" s="584"/>
      <c r="W257" s="583"/>
      <c r="X257" s="583"/>
      <c r="Y257" s="583"/>
      <c r="Z257" s="583"/>
      <c r="AA257" s="525"/>
    </row>
    <row r="258" spans="2:27" s="416" customFormat="1" hidden="1" outlineLevel="1" x14ac:dyDescent="0.2">
      <c r="E258" s="589" t="s">
        <v>1210</v>
      </c>
      <c r="F258" s="130"/>
      <c r="G258" s="130"/>
      <c r="H258" s="130"/>
      <c r="I258" s="63">
        <f ca="1">$I249*V258</f>
        <v>0</v>
      </c>
      <c r="J258" s="63">
        <f t="shared" ref="J258" ca="1" si="330">$I249*W258</f>
        <v>0</v>
      </c>
      <c r="K258" s="63">
        <f t="shared" ref="K258" ca="1" si="331">$I249*X258</f>
        <v>0</v>
      </c>
      <c r="L258" s="243"/>
      <c r="M258" s="589" t="s">
        <v>1210</v>
      </c>
      <c r="N258" s="130"/>
      <c r="O258" s="130"/>
      <c r="P258" s="130"/>
      <c r="Q258" s="63">
        <f ca="1">$Q249*V259</f>
        <v>0</v>
      </c>
      <c r="R258" s="63">
        <f t="shared" ref="R258" ca="1" si="332">$Q249*W259</f>
        <v>0</v>
      </c>
      <c r="S258" s="63">
        <f t="shared" ref="S258" ca="1" si="333">$Q249*X259</f>
        <v>0</v>
      </c>
      <c r="U258" s="580" t="s">
        <v>1156</v>
      </c>
      <c r="V258" s="585">
        <f t="shared" ref="V258:AA258" si="334">IFERROR(V252/$W261,0)</f>
        <v>0</v>
      </c>
      <c r="W258" s="585">
        <f t="shared" si="334"/>
        <v>0</v>
      </c>
      <c r="X258" s="585">
        <f t="shared" si="334"/>
        <v>0</v>
      </c>
      <c r="Y258" s="585">
        <f t="shared" si="334"/>
        <v>0</v>
      </c>
      <c r="Z258" s="585">
        <f t="shared" si="334"/>
        <v>0</v>
      </c>
      <c r="AA258" s="585">
        <f t="shared" si="334"/>
        <v>0</v>
      </c>
    </row>
    <row r="259" spans="2:27" s="416" customFormat="1" hidden="1" outlineLevel="1" x14ac:dyDescent="0.2">
      <c r="E259" s="589" t="s">
        <v>1211</v>
      </c>
      <c r="F259" s="130"/>
      <c r="G259" s="130"/>
      <c r="H259" s="130"/>
      <c r="I259" s="130"/>
      <c r="J259" s="63">
        <f ca="1">$J249*V258</f>
        <v>0</v>
      </c>
      <c r="K259" s="63">
        <f ca="1">$J249*W258</f>
        <v>0</v>
      </c>
      <c r="L259" s="243"/>
      <c r="M259" s="589" t="s">
        <v>1211</v>
      </c>
      <c r="N259" s="130"/>
      <c r="O259" s="130"/>
      <c r="P259" s="130"/>
      <c r="Q259" s="130"/>
      <c r="R259" s="63">
        <f ca="1">$R249*V259</f>
        <v>0</v>
      </c>
      <c r="S259" s="63">
        <f ca="1">$R249*W259</f>
        <v>0</v>
      </c>
      <c r="U259" s="582" t="s">
        <v>1158</v>
      </c>
      <c r="V259" s="585">
        <f t="shared" ref="V259:AA259" si="335">IFERROR(V255/$W261,0)</f>
        <v>0</v>
      </c>
      <c r="W259" s="585">
        <f t="shared" si="335"/>
        <v>0</v>
      </c>
      <c r="X259" s="585">
        <f t="shared" si="335"/>
        <v>0</v>
      </c>
      <c r="Y259" s="585">
        <f t="shared" si="335"/>
        <v>0</v>
      </c>
      <c r="Z259" s="585">
        <f t="shared" si="335"/>
        <v>0</v>
      </c>
      <c r="AA259" s="585">
        <f t="shared" si="335"/>
        <v>0</v>
      </c>
    </row>
    <row r="260" spans="2:27" s="416" customFormat="1" hidden="1" outlineLevel="1" x14ac:dyDescent="0.2">
      <c r="E260" s="589" t="s">
        <v>1212</v>
      </c>
      <c r="F260" s="130"/>
      <c r="G260" s="130"/>
      <c r="H260" s="130"/>
      <c r="I260" s="130"/>
      <c r="J260" s="130"/>
      <c r="K260" s="63">
        <f ca="1">$K249*V258</f>
        <v>0</v>
      </c>
      <c r="L260" s="243"/>
      <c r="M260" s="589" t="s">
        <v>1212</v>
      </c>
      <c r="N260" s="130"/>
      <c r="O260" s="130"/>
      <c r="P260" s="130"/>
      <c r="Q260" s="130"/>
      <c r="R260" s="130"/>
      <c r="S260" s="63">
        <f ca="1">$S249*V259</f>
        <v>0</v>
      </c>
    </row>
    <row r="261" spans="2:27" s="416" customFormat="1" hidden="1" outlineLevel="1" x14ac:dyDescent="0.2">
      <c r="E261" s="590" t="str">
        <f>TxPhase1PxUnitsTx</f>
        <v/>
      </c>
      <c r="F261" s="591">
        <f ca="1">IF(F252&lt;&gt;"",SUM(F255:F260),F249)</f>
        <v>0</v>
      </c>
      <c r="G261" s="591">
        <f ca="1">IF(F252&lt;&gt;"",SUM(G255:G260),G249)</f>
        <v>0</v>
      </c>
      <c r="H261" s="591">
        <f ca="1">IF(F252&lt;&gt;"",SUM(H255:H260),H249)</f>
        <v>0</v>
      </c>
      <c r="I261" s="591">
        <f ca="1">IF(F252&lt;&gt;"",SUM(I255:I260),I249)</f>
        <v>0</v>
      </c>
      <c r="J261" s="591">
        <f ca="1">IF(F252&lt;&gt;"",SUM(J255:J260),J249)</f>
        <v>0</v>
      </c>
      <c r="K261" s="591">
        <f ca="1">IF(F252&lt;&gt;"",SUM(K255:K260),K249)</f>
        <v>0</v>
      </c>
      <c r="L261" s="243"/>
      <c r="M261" s="590" t="str">
        <f>TxPhase2PxUnitsTx</f>
        <v/>
      </c>
      <c r="N261" s="591">
        <f ca="1">IF(N252&lt;&gt;"",SUM(N255:N260),N249)</f>
        <v>0</v>
      </c>
      <c r="O261" s="591">
        <f ca="1">IF(N252&lt;&gt;"",SUM(O255:O260),O249)</f>
        <v>0</v>
      </c>
      <c r="P261" s="591">
        <f ca="1">IF(N252&lt;&gt;"",SUM(P255:P260),P249)</f>
        <v>0</v>
      </c>
      <c r="Q261" s="591">
        <f ca="1">IF(N252&lt;&gt;"",SUM(Q255:Q260),Q249)</f>
        <v>0</v>
      </c>
      <c r="R261" s="591">
        <f ca="1">IF(N252&lt;&gt;"",SUM(R255:R260),R249)</f>
        <v>0</v>
      </c>
      <c r="S261" s="591">
        <f ca="1">IF(N252&lt;&gt;"",SUM(S255:S260),S249)</f>
        <v>0</v>
      </c>
      <c r="U261" s="582" t="s">
        <v>1161</v>
      </c>
      <c r="V261" s="579">
        <f>IFERROR(VLOOKUP(G252,TimeUnitCode,2,FALSE),0)</f>
        <v>0</v>
      </c>
      <c r="W261" s="579">
        <f>IFERROR(INDEX(TimeUnitCount,V261,2),0)</f>
        <v>0</v>
      </c>
    </row>
    <row r="262" spans="2:27" s="416" customFormat="1" hidden="1" outlineLevel="1" x14ac:dyDescent="0.2">
      <c r="L262" s="615"/>
    </row>
    <row r="263" spans="2:27" s="416" customFormat="1" collapsed="1" x14ac:dyDescent="0.2"/>
    <row r="264" spans="2:27" s="416" customFormat="1" ht="15.75" x14ac:dyDescent="0.2">
      <c r="B264" s="475">
        <f>IF(F274+N274&gt;12,1,0)</f>
        <v>0</v>
      </c>
      <c r="C264" s="291">
        <f ca="1">IFERROR(INDEX(PxTxPhase1,$D269,7),0)</f>
        <v>0</v>
      </c>
      <c r="D264" s="573">
        <v>12</v>
      </c>
      <c r="E264" s="79" t="str">
        <f>IF(F268&lt;&gt;"",CONCATENATE("DTG ",D264,": ",H268,": ",N264),MsgNotUsed)</f>
        <v>** NOT USED **</v>
      </c>
      <c r="F264" s="132"/>
      <c r="G264" s="132"/>
      <c r="H264" s="132"/>
      <c r="I264" s="132"/>
      <c r="J264" s="134"/>
      <c r="K264" s="134"/>
      <c r="L264" s="134"/>
      <c r="M264" s="325"/>
      <c r="N264" s="637" t="str">
        <f>IF(AND(F274="",N274=""),"Full year",IF(AND(F274&lt;&gt;"",N274=""),CONCATENATE(F274," ",G274),IF(AND(F274="",N274&lt;&gt;""),CONCATENATE(N274," ",G274),CONCATENATE(F274," + ",N274," ",G274))))</f>
        <v>Full year</v>
      </c>
      <c r="O264" s="325"/>
      <c r="P264" s="325"/>
      <c r="Q264" s="325"/>
      <c r="R264" s="325"/>
      <c r="S264" s="325"/>
      <c r="T264" s="325"/>
      <c r="U264" s="325"/>
      <c r="V264" s="325"/>
      <c r="W264" s="325"/>
      <c r="X264" s="325"/>
      <c r="Y264" s="325"/>
      <c r="Z264" s="325"/>
      <c r="AA264" s="325"/>
    </row>
    <row r="265" spans="2:27" s="416" customFormat="1" hidden="1" outlineLevel="1" x14ac:dyDescent="0.2">
      <c r="C265" s="615"/>
      <c r="D265" s="615"/>
      <c r="E265" s="615"/>
      <c r="F265" s="624">
        <v>1</v>
      </c>
      <c r="G265" s="397">
        <v>2</v>
      </c>
      <c r="H265" s="397">
        <v>3</v>
      </c>
      <c r="I265" s="397">
        <v>4</v>
      </c>
      <c r="J265" s="397">
        <v>5</v>
      </c>
      <c r="K265" s="397">
        <v>6</v>
      </c>
      <c r="N265" s="397">
        <v>1</v>
      </c>
      <c r="O265" s="397">
        <v>2</v>
      </c>
      <c r="P265" s="397">
        <v>3</v>
      </c>
      <c r="Q265" s="397">
        <v>4</v>
      </c>
      <c r="R265" s="397">
        <v>5</v>
      </c>
      <c r="S265" s="397">
        <v>6</v>
      </c>
    </row>
    <row r="266" spans="2:27" s="416" customFormat="1" hidden="1" outlineLevel="1" x14ac:dyDescent="0.2">
      <c r="C266" s="243"/>
      <c r="D266" s="243"/>
      <c r="E266" s="162" t="s">
        <v>1206</v>
      </c>
      <c r="F266" s="615"/>
    </row>
    <row r="267" spans="2:27" s="416" customFormat="1" hidden="1" outlineLevel="1" x14ac:dyDescent="0.2">
      <c r="C267" s="243"/>
      <c r="D267" s="243"/>
      <c r="E267" s="616"/>
      <c r="F267" s="615"/>
      <c r="N267" s="615"/>
      <c r="O267" s="615"/>
      <c r="P267" s="615"/>
      <c r="Q267" s="615"/>
      <c r="R267" s="615"/>
      <c r="S267" s="615"/>
    </row>
    <row r="268" spans="2:27" s="416" customFormat="1" hidden="1" outlineLevel="1" x14ac:dyDescent="0.2">
      <c r="C268" s="291">
        <f>IF(F268&lt;&gt;"",MATCH(F268,PxTxSource,0)-1,0)</f>
        <v>0</v>
      </c>
      <c r="D268" s="291">
        <f ca="1">IF(H268&lt;&gt;"",MATCH(H268,OFFSET(References!$AE$23,0,C268,PxPopMaxCount),0),0)</f>
        <v>0</v>
      </c>
      <c r="E268" s="423" t="s">
        <v>113</v>
      </c>
      <c r="F268" s="613"/>
      <c r="H268" s="812"/>
      <c r="I268" s="813"/>
      <c r="J268" s="813"/>
      <c r="K268" s="813"/>
      <c r="L268" s="615"/>
      <c r="N268" s="806" t="str">
        <f ca="1">IF(ISERROR($D269)=TRUE,MsgError &amp; VLOOKUP("BadPop",ErrorMessages,2,FALSE),"")</f>
        <v/>
      </c>
      <c r="O268" s="806"/>
      <c r="P268" s="806"/>
      <c r="Q268" s="806"/>
      <c r="R268" s="806"/>
      <c r="S268" s="806"/>
    </row>
    <row r="269" spans="2:27" s="416" customFormat="1" hidden="1" outlineLevel="1" x14ac:dyDescent="0.2">
      <c r="C269" s="291">
        <f>INDEX(PxTxValid,,C268+1)</f>
        <v>0</v>
      </c>
      <c r="D269" s="291" t="str">
        <f ca="1">IF(AND(C268&lt;&gt;0,D268&lt;&gt;0),(C268*PxPopMaxCount)+D268,"")</f>
        <v/>
      </c>
      <c r="E269" s="243"/>
      <c r="L269" s="615"/>
      <c r="M269" s="615"/>
      <c r="N269" s="615"/>
      <c r="O269" s="615"/>
      <c r="P269" s="615"/>
      <c r="Q269" s="615"/>
      <c r="R269" s="615"/>
      <c r="S269" s="615"/>
    </row>
    <row r="270" spans="2:27" s="416" customFormat="1" hidden="1" outlineLevel="1" x14ac:dyDescent="0.2">
      <c r="C270" s="615"/>
      <c r="E270" s="495"/>
      <c r="F270" s="614">
        <f>FirstYear</f>
        <v>2021</v>
      </c>
      <c r="G270" s="614">
        <f>F270+1</f>
        <v>2022</v>
      </c>
      <c r="H270" s="614">
        <f>G270+1</f>
        <v>2023</v>
      </c>
      <c r="I270" s="614">
        <f>H270+1</f>
        <v>2024</v>
      </c>
      <c r="J270" s="614">
        <f>I270+1</f>
        <v>2025</v>
      </c>
      <c r="K270" s="614">
        <f>J270+1</f>
        <v>2026</v>
      </c>
      <c r="L270" s="243"/>
      <c r="N270" s="614">
        <f>FirstYear</f>
        <v>2021</v>
      </c>
      <c r="O270" s="614">
        <f>N270+1</f>
        <v>2022</v>
      </c>
      <c r="P270" s="614">
        <f>O270+1</f>
        <v>2023</v>
      </c>
      <c r="Q270" s="614">
        <f>P270+1</f>
        <v>2024</v>
      </c>
      <c r="R270" s="614">
        <f>Q270+1</f>
        <v>2025</v>
      </c>
      <c r="S270" s="614">
        <f>R270+1</f>
        <v>2026</v>
      </c>
    </row>
    <row r="271" spans="2:27" s="416" customFormat="1" hidden="1" outlineLevel="1" x14ac:dyDescent="0.2">
      <c r="E271" s="59" t="str">
        <f>TxPhase1Px</f>
        <v/>
      </c>
      <c r="F271" s="32">
        <f t="shared" ref="F271:K271" ca="1" si="336">IFERROR(INDEX(PxTxPhase1,$D269,F265),0)</f>
        <v>0</v>
      </c>
      <c r="G271" s="32">
        <f t="shared" ca="1" si="336"/>
        <v>0</v>
      </c>
      <c r="H271" s="32">
        <f t="shared" ca="1" si="336"/>
        <v>0</v>
      </c>
      <c r="I271" s="32">
        <f t="shared" ca="1" si="336"/>
        <v>0</v>
      </c>
      <c r="J271" s="32">
        <f t="shared" ca="1" si="336"/>
        <v>0</v>
      </c>
      <c r="K271" s="32">
        <f t="shared" ca="1" si="336"/>
        <v>0</v>
      </c>
      <c r="L271" s="243"/>
      <c r="M271" s="59" t="str">
        <f>TxPhase2Px</f>
        <v/>
      </c>
      <c r="N271" s="32">
        <f t="shared" ref="N271:S271" ca="1" si="337">IFERROR(INDEX(PxTxPhase2,$D269,N265),0)</f>
        <v>0</v>
      </c>
      <c r="O271" s="32">
        <f t="shared" ca="1" si="337"/>
        <v>0</v>
      </c>
      <c r="P271" s="32">
        <f t="shared" ca="1" si="337"/>
        <v>0</v>
      </c>
      <c r="Q271" s="32">
        <f t="shared" ca="1" si="337"/>
        <v>0</v>
      </c>
      <c r="R271" s="32">
        <f t="shared" ca="1" si="337"/>
        <v>0</v>
      </c>
      <c r="S271" s="32">
        <f t="shared" ca="1" si="337"/>
        <v>0</v>
      </c>
    </row>
    <row r="272" spans="2:27" s="416" customFormat="1" hidden="1" outlineLevel="1" x14ac:dyDescent="0.2">
      <c r="D272" s="615"/>
      <c r="E272" s="615"/>
      <c r="F272" s="615"/>
      <c r="G272" s="615"/>
      <c r="H272" s="615"/>
      <c r="I272" s="615"/>
      <c r="J272" s="615"/>
      <c r="K272" s="615"/>
      <c r="L272" s="243"/>
      <c r="M272" s="615"/>
      <c r="N272" s="615"/>
    </row>
    <row r="273" spans="2:27" s="416" customFormat="1" hidden="1" outlineLevel="1" x14ac:dyDescent="0.2">
      <c r="D273" s="615"/>
      <c r="E273" s="243"/>
      <c r="F273" s="243"/>
      <c r="G273" s="243"/>
      <c r="H273" s="243"/>
      <c r="I273" s="243"/>
      <c r="J273" s="243"/>
      <c r="K273" s="243"/>
      <c r="L273" s="243"/>
      <c r="M273" s="243"/>
      <c r="N273" s="615"/>
      <c r="U273" s="578"/>
      <c r="V273" s="579">
        <f>$W283*1</f>
        <v>0</v>
      </c>
      <c r="W273" s="579">
        <f>$W283*2</f>
        <v>0</v>
      </c>
      <c r="X273" s="579">
        <f>$W283*3</f>
        <v>0</v>
      </c>
      <c r="Y273" s="579">
        <f>$W283*4</f>
        <v>0</v>
      </c>
      <c r="Z273" s="579">
        <f>$W283*5</f>
        <v>0</v>
      </c>
      <c r="AA273" s="579">
        <f>$W283*6</f>
        <v>0</v>
      </c>
    </row>
    <row r="274" spans="2:27" s="416" customFormat="1" hidden="1" outlineLevel="1" x14ac:dyDescent="0.2">
      <c r="E274" s="433" t="s">
        <v>1160</v>
      </c>
      <c r="F274" s="586"/>
      <c r="G274" s="268"/>
      <c r="H274" s="621"/>
      <c r="I274" s="621"/>
      <c r="J274" s="621"/>
      <c r="K274" s="621"/>
      <c r="L274" s="243"/>
      <c r="M274" s="433" t="s">
        <v>1160</v>
      </c>
      <c r="N274" s="586"/>
      <c r="O274" s="587" t="str">
        <f>IF(G274&lt;&gt;"",G274,"")</f>
        <v/>
      </c>
      <c r="P274" s="525"/>
      <c r="Q274" s="525"/>
      <c r="R274" s="525"/>
      <c r="S274" s="525"/>
      <c r="U274" s="580" t="s">
        <v>1156</v>
      </c>
      <c r="V274" s="581">
        <f>IF($F274&gt;=V273,$W283,IF($F274&gt;0,$F274,0))</f>
        <v>0</v>
      </c>
      <c r="W274" s="581">
        <f>IF($F274&gt;=W273,$W$41,IF($F274&gt;V273,($F274-V273),0))</f>
        <v>0</v>
      </c>
      <c r="X274" s="581">
        <f>IF($F274&gt;=X273,$W$41,IF($F274&gt;W273,($F274-W273),0))</f>
        <v>0</v>
      </c>
      <c r="Y274" s="581">
        <f>IF($F274&gt;=Y273,$W$41,IF($F274&gt;X273,($F274-X273),0))</f>
        <v>0</v>
      </c>
      <c r="Z274" s="581">
        <f>IF($F274&gt;=Z273,$W$41,IF($F274&gt;Y273,($F274-Y273),0))</f>
        <v>0</v>
      </c>
      <c r="AA274" s="581">
        <f>IF($F274&gt;=AA273,$W$41,IF($F274&gt;Z273,($F274-Z273),0))</f>
        <v>0</v>
      </c>
    </row>
    <row r="275" spans="2:27" s="416" customFormat="1" hidden="1" outlineLevel="1" x14ac:dyDescent="0.2">
      <c r="D275" s="615"/>
      <c r="E275" s="622"/>
      <c r="F275" s="622"/>
      <c r="G275" s="583"/>
      <c r="H275" s="622"/>
      <c r="I275" s="622"/>
      <c r="J275" s="622"/>
      <c r="K275" s="622"/>
      <c r="L275" s="243"/>
      <c r="M275" s="617"/>
      <c r="N275" s="618"/>
      <c r="O275" s="618"/>
      <c r="P275" s="618"/>
      <c r="Q275" s="618"/>
      <c r="R275" s="618"/>
      <c r="S275" s="618"/>
      <c r="U275" s="582" t="s">
        <v>1157</v>
      </c>
      <c r="V275" s="579">
        <f t="shared" ref="V275:AA275" si="338">IF(V274&gt;0,$W283-V274,$W283)</f>
        <v>0</v>
      </c>
      <c r="W275" s="579">
        <f t="shared" si="338"/>
        <v>0</v>
      </c>
      <c r="X275" s="579">
        <f t="shared" si="338"/>
        <v>0</v>
      </c>
      <c r="Y275" s="579">
        <f t="shared" si="338"/>
        <v>0</v>
      </c>
      <c r="Z275" s="579">
        <f t="shared" si="338"/>
        <v>0</v>
      </c>
      <c r="AA275" s="579">
        <f t="shared" si="338"/>
        <v>0</v>
      </c>
    </row>
    <row r="276" spans="2:27" s="416" customFormat="1" hidden="1" outlineLevel="1" x14ac:dyDescent="0.2">
      <c r="D276" s="615"/>
      <c r="E276" s="617" t="str">
        <f>E271</f>
        <v/>
      </c>
      <c r="F276" s="623"/>
      <c r="G276" s="588"/>
      <c r="H276" s="623"/>
      <c r="I276" s="623"/>
      <c r="J276" s="623"/>
      <c r="K276" s="623"/>
      <c r="L276" s="243"/>
      <c r="M276" s="617" t="str">
        <f>M271</f>
        <v/>
      </c>
      <c r="N276" s="619"/>
      <c r="O276" s="620"/>
      <c r="P276" s="620"/>
      <c r="Q276" s="620"/>
      <c r="R276" s="620"/>
      <c r="S276" s="620"/>
      <c r="U276" s="525"/>
      <c r="V276" s="525"/>
      <c r="W276" s="525"/>
      <c r="X276" s="525"/>
      <c r="Y276" s="525"/>
      <c r="Z276" s="525"/>
      <c r="AA276" s="525"/>
    </row>
    <row r="277" spans="2:27" s="416" customFormat="1" hidden="1" outlineLevel="1" x14ac:dyDescent="0.2">
      <c r="E277" s="589" t="s">
        <v>1207</v>
      </c>
      <c r="F277" s="63">
        <f ca="1">$F271*V280</f>
        <v>0</v>
      </c>
      <c r="G277" s="63">
        <f t="shared" ref="G277" ca="1" si="339">$F271*W280</f>
        <v>0</v>
      </c>
      <c r="H277" s="63">
        <f t="shared" ref="H277" ca="1" si="340">$F271*X280</f>
        <v>0</v>
      </c>
      <c r="I277" s="63">
        <f t="shared" ref="I277" ca="1" si="341">$F271*Y280</f>
        <v>0</v>
      </c>
      <c r="J277" s="63">
        <f t="shared" ref="J277" ca="1" si="342">$F271*Z280</f>
        <v>0</v>
      </c>
      <c r="K277" s="63">
        <f t="shared" ref="K277" ca="1" si="343">$F271*AA280</f>
        <v>0</v>
      </c>
      <c r="L277" s="243"/>
      <c r="M277" s="589" t="s">
        <v>1207</v>
      </c>
      <c r="N277" s="63">
        <f ca="1">$N271*V281</f>
        <v>0</v>
      </c>
      <c r="O277" s="63">
        <f ca="1">$N271*W281</f>
        <v>0</v>
      </c>
      <c r="P277" s="63">
        <f t="shared" ref="P277" ca="1" si="344">$N271*X281</f>
        <v>0</v>
      </c>
      <c r="Q277" s="63">
        <f t="shared" ref="Q277" ca="1" si="345">$N271*Y281</f>
        <v>0</v>
      </c>
      <c r="R277" s="63">
        <f t="shared" ref="R277" ca="1" si="346">$N271*Z281</f>
        <v>0</v>
      </c>
      <c r="S277" s="63">
        <f t="shared" ref="S277" ca="1" si="347">$N271*AA281</f>
        <v>0</v>
      </c>
      <c r="U277" s="582" t="s">
        <v>1158</v>
      </c>
      <c r="V277" s="581">
        <f>IF($N274&gt;=V275,V275,N274)</f>
        <v>0</v>
      </c>
      <c r="W277" s="581">
        <f>IF(V278&gt;=W275,W275,V278)</f>
        <v>0</v>
      </c>
      <c r="X277" s="581">
        <f>IF(W278&gt;=X275,X275,W278)</f>
        <v>0</v>
      </c>
      <c r="Y277" s="581">
        <f>IF(X278&gt;=Y275,Y275,X278)</f>
        <v>0</v>
      </c>
      <c r="Z277" s="581">
        <f>IF(Y278&gt;=Z275,Z275,Y278)</f>
        <v>0</v>
      </c>
      <c r="AA277" s="581">
        <f>IF(Z278&gt;=AA275,AA275,Z278)</f>
        <v>0</v>
      </c>
    </row>
    <row r="278" spans="2:27" s="416" customFormat="1" hidden="1" outlineLevel="1" x14ac:dyDescent="0.2">
      <c r="E278" s="589" t="s">
        <v>1208</v>
      </c>
      <c r="F278" s="130"/>
      <c r="G278" s="63">
        <f ca="1">$G271*V280</f>
        <v>0</v>
      </c>
      <c r="H278" s="63">
        <f t="shared" ref="H278" ca="1" si="348">$G271*W280</f>
        <v>0</v>
      </c>
      <c r="I278" s="63">
        <f t="shared" ref="I278" ca="1" si="349">$G271*X280</f>
        <v>0</v>
      </c>
      <c r="J278" s="63">
        <f t="shared" ref="J278" ca="1" si="350">$G271*Y280</f>
        <v>0</v>
      </c>
      <c r="K278" s="63">
        <f t="shared" ref="K278" ca="1" si="351">$G271*Z280</f>
        <v>0</v>
      </c>
      <c r="L278" s="243"/>
      <c r="M278" s="589" t="s">
        <v>1208</v>
      </c>
      <c r="N278" s="130"/>
      <c r="O278" s="63">
        <f ca="1">$O271*V281</f>
        <v>0</v>
      </c>
      <c r="P278" s="63">
        <f t="shared" ref="P278" ca="1" si="352">$O271*W281</f>
        <v>0</v>
      </c>
      <c r="Q278" s="63">
        <f t="shared" ref="Q278" ca="1" si="353">$O271*X281</f>
        <v>0</v>
      </c>
      <c r="R278" s="63">
        <f t="shared" ref="R278" ca="1" si="354">$O271*Y281</f>
        <v>0</v>
      </c>
      <c r="S278" s="63">
        <f t="shared" ref="S278" ca="1" si="355">$O271*Z281</f>
        <v>0</v>
      </c>
      <c r="U278" s="582" t="s">
        <v>1159</v>
      </c>
      <c r="V278" s="579">
        <f>$N274-V277</f>
        <v>0</v>
      </c>
      <c r="W278" s="579">
        <f>$N274-SUM($V277:W277)</f>
        <v>0</v>
      </c>
      <c r="X278" s="579">
        <f>$N274-SUM($V277:X277)</f>
        <v>0</v>
      </c>
      <c r="Y278" s="579">
        <f>$N274-SUM($V277:Y277)</f>
        <v>0</v>
      </c>
      <c r="Z278" s="579">
        <f>$N274-SUM($V277:Z277)</f>
        <v>0</v>
      </c>
      <c r="AA278" s="579">
        <f>$N274-SUM($V277:AA277)</f>
        <v>0</v>
      </c>
    </row>
    <row r="279" spans="2:27" s="416" customFormat="1" hidden="1" outlineLevel="1" x14ac:dyDescent="0.2">
      <c r="E279" s="589" t="s">
        <v>1209</v>
      </c>
      <c r="F279" s="130"/>
      <c r="G279" s="130"/>
      <c r="H279" s="63">
        <f ca="1">$H271*V280</f>
        <v>0</v>
      </c>
      <c r="I279" s="63">
        <f t="shared" ref="I279" ca="1" si="356">$H271*W280</f>
        <v>0</v>
      </c>
      <c r="J279" s="63">
        <f t="shared" ref="J279" ca="1" si="357">$H271*X280</f>
        <v>0</v>
      </c>
      <c r="K279" s="63">
        <f t="shared" ref="K279" ca="1" si="358">$H271*Y280</f>
        <v>0</v>
      </c>
      <c r="L279" s="243"/>
      <c r="M279" s="589" t="s">
        <v>1209</v>
      </c>
      <c r="N279" s="130"/>
      <c r="O279" s="130"/>
      <c r="P279" s="63">
        <f ca="1">$P271*V281</f>
        <v>0</v>
      </c>
      <c r="Q279" s="63">
        <f t="shared" ref="Q279" ca="1" si="359">$P271*W281</f>
        <v>0</v>
      </c>
      <c r="R279" s="63">
        <f t="shared" ref="R279" ca="1" si="360">$P271*X281</f>
        <v>0</v>
      </c>
      <c r="S279" s="63">
        <f t="shared" ref="S279" ca="1" si="361">$P271*Y281</f>
        <v>0</v>
      </c>
      <c r="U279" s="583"/>
      <c r="V279" s="584"/>
      <c r="W279" s="583"/>
      <c r="X279" s="583"/>
      <c r="Y279" s="583"/>
      <c r="Z279" s="583"/>
      <c r="AA279" s="525"/>
    </row>
    <row r="280" spans="2:27" s="416" customFormat="1" hidden="1" outlineLevel="1" x14ac:dyDescent="0.2">
      <c r="E280" s="589" t="s">
        <v>1210</v>
      </c>
      <c r="F280" s="130"/>
      <c r="G280" s="130"/>
      <c r="H280" s="130"/>
      <c r="I280" s="63">
        <f ca="1">$I271*V280</f>
        <v>0</v>
      </c>
      <c r="J280" s="63">
        <f t="shared" ref="J280" ca="1" si="362">$I271*W280</f>
        <v>0</v>
      </c>
      <c r="K280" s="63">
        <f t="shared" ref="K280" ca="1" si="363">$I271*X280</f>
        <v>0</v>
      </c>
      <c r="L280" s="243"/>
      <c r="M280" s="589" t="s">
        <v>1210</v>
      </c>
      <c r="N280" s="130"/>
      <c r="O280" s="130"/>
      <c r="P280" s="130"/>
      <c r="Q280" s="63">
        <f ca="1">$Q271*V281</f>
        <v>0</v>
      </c>
      <c r="R280" s="63">
        <f t="shared" ref="R280" ca="1" si="364">$Q271*W281</f>
        <v>0</v>
      </c>
      <c r="S280" s="63">
        <f t="shared" ref="S280" ca="1" si="365">$Q271*X281</f>
        <v>0</v>
      </c>
      <c r="U280" s="580" t="s">
        <v>1156</v>
      </c>
      <c r="V280" s="585">
        <f t="shared" ref="V280:AA280" si="366">IFERROR(V274/$W283,0)</f>
        <v>0</v>
      </c>
      <c r="W280" s="585">
        <f t="shared" si="366"/>
        <v>0</v>
      </c>
      <c r="X280" s="585">
        <f t="shared" si="366"/>
        <v>0</v>
      </c>
      <c r="Y280" s="585">
        <f t="shared" si="366"/>
        <v>0</v>
      </c>
      <c r="Z280" s="585">
        <f t="shared" si="366"/>
        <v>0</v>
      </c>
      <c r="AA280" s="585">
        <f t="shared" si="366"/>
        <v>0</v>
      </c>
    </row>
    <row r="281" spans="2:27" s="416" customFormat="1" hidden="1" outlineLevel="1" x14ac:dyDescent="0.2">
      <c r="E281" s="589" t="s">
        <v>1211</v>
      </c>
      <c r="F281" s="130"/>
      <c r="G281" s="130"/>
      <c r="H281" s="130"/>
      <c r="I281" s="130"/>
      <c r="J281" s="63">
        <f ca="1">$J271*V280</f>
        <v>0</v>
      </c>
      <c r="K281" s="63">
        <f ca="1">$J271*W280</f>
        <v>0</v>
      </c>
      <c r="L281" s="243"/>
      <c r="M281" s="589" t="s">
        <v>1211</v>
      </c>
      <c r="N281" s="130"/>
      <c r="O281" s="130"/>
      <c r="P281" s="130"/>
      <c r="Q281" s="130"/>
      <c r="R281" s="63">
        <f ca="1">$R271*V281</f>
        <v>0</v>
      </c>
      <c r="S281" s="63">
        <f ca="1">$R271*W281</f>
        <v>0</v>
      </c>
      <c r="U281" s="582" t="s">
        <v>1158</v>
      </c>
      <c r="V281" s="585">
        <f t="shared" ref="V281:AA281" si="367">IFERROR(V277/$W283,0)</f>
        <v>0</v>
      </c>
      <c r="W281" s="585">
        <f t="shared" si="367"/>
        <v>0</v>
      </c>
      <c r="X281" s="585">
        <f t="shared" si="367"/>
        <v>0</v>
      </c>
      <c r="Y281" s="585">
        <f t="shared" si="367"/>
        <v>0</v>
      </c>
      <c r="Z281" s="585">
        <f t="shared" si="367"/>
        <v>0</v>
      </c>
      <c r="AA281" s="585">
        <f t="shared" si="367"/>
        <v>0</v>
      </c>
    </row>
    <row r="282" spans="2:27" s="416" customFormat="1" hidden="1" outlineLevel="1" x14ac:dyDescent="0.2">
      <c r="E282" s="589" t="s">
        <v>1212</v>
      </c>
      <c r="F282" s="130"/>
      <c r="G282" s="130"/>
      <c r="H282" s="130"/>
      <c r="I282" s="130"/>
      <c r="J282" s="130"/>
      <c r="K282" s="63">
        <f ca="1">$K271*V280</f>
        <v>0</v>
      </c>
      <c r="L282" s="243"/>
      <c r="M282" s="589" t="s">
        <v>1212</v>
      </c>
      <c r="N282" s="130"/>
      <c r="O282" s="130"/>
      <c r="P282" s="130"/>
      <c r="Q282" s="130"/>
      <c r="R282" s="130"/>
      <c r="S282" s="63">
        <f ca="1">$S271*V281</f>
        <v>0</v>
      </c>
    </row>
    <row r="283" spans="2:27" s="416" customFormat="1" hidden="1" outlineLevel="1" x14ac:dyDescent="0.2">
      <c r="E283" s="590" t="str">
        <f>TxPhase1PxUnitsTx</f>
        <v/>
      </c>
      <c r="F283" s="591">
        <f ca="1">IF(F274&lt;&gt;"",SUM(F277:F282),F271)</f>
        <v>0</v>
      </c>
      <c r="G283" s="591">
        <f ca="1">IF(F274&lt;&gt;"",SUM(G277:G282),G271)</f>
        <v>0</v>
      </c>
      <c r="H283" s="591">
        <f ca="1">IF(F274&lt;&gt;"",SUM(H277:H282),H271)</f>
        <v>0</v>
      </c>
      <c r="I283" s="591">
        <f ca="1">IF(F274&lt;&gt;"",SUM(I277:I282),I271)</f>
        <v>0</v>
      </c>
      <c r="J283" s="591">
        <f ca="1">IF(F274&lt;&gt;"",SUM(J277:J282),J271)</f>
        <v>0</v>
      </c>
      <c r="K283" s="591">
        <f ca="1">IF(F274&lt;&gt;"",SUM(K277:K282),K271)</f>
        <v>0</v>
      </c>
      <c r="L283" s="243"/>
      <c r="M283" s="590" t="str">
        <f>TxPhase2PxUnitsTx</f>
        <v/>
      </c>
      <c r="N283" s="591">
        <f ca="1">IF(N274&lt;&gt;"",SUM(N277:N282),N271)</f>
        <v>0</v>
      </c>
      <c r="O283" s="591">
        <f ca="1">IF(N274&lt;&gt;"",SUM(O277:O282),O271)</f>
        <v>0</v>
      </c>
      <c r="P283" s="591">
        <f ca="1">IF(N274&lt;&gt;"",SUM(P277:P282),P271)</f>
        <v>0</v>
      </c>
      <c r="Q283" s="591">
        <f ca="1">IF(N274&lt;&gt;"",SUM(Q277:Q282),Q271)</f>
        <v>0</v>
      </c>
      <c r="R283" s="591">
        <f ca="1">IF(N274&lt;&gt;"",SUM(R277:R282),R271)</f>
        <v>0</v>
      </c>
      <c r="S283" s="591">
        <f ca="1">IF(N274&lt;&gt;"",SUM(S277:S282),S271)</f>
        <v>0</v>
      </c>
      <c r="U283" s="582" t="s">
        <v>1161</v>
      </c>
      <c r="V283" s="579">
        <f>IFERROR(VLOOKUP(G274,TimeUnitCode,2,FALSE),0)</f>
        <v>0</v>
      </c>
      <c r="W283" s="579">
        <f>IFERROR(INDEX(TimeUnitCount,V283,2),0)</f>
        <v>0</v>
      </c>
    </row>
    <row r="284" spans="2:27" s="416" customFormat="1" hidden="1" outlineLevel="1" x14ac:dyDescent="0.2"/>
    <row r="285" spans="2:27" s="416" customFormat="1" collapsed="1" x14ac:dyDescent="0.2"/>
    <row r="286" spans="2:27" s="416" customFormat="1" ht="15.75" x14ac:dyDescent="0.2">
      <c r="B286" s="475">
        <f>IF(F296+N296&gt;12,1,0)</f>
        <v>0</v>
      </c>
      <c r="C286" s="291">
        <f ca="1">IFERROR(INDEX(PxTxPhase1,$D291,7),0)</f>
        <v>0</v>
      </c>
      <c r="D286" s="573">
        <v>13</v>
      </c>
      <c r="E286" s="79" t="str">
        <f>IF(F290&lt;&gt;"",CONCATENATE("DTG ",D286,": ",H290,": ",N286),MsgNotUsed)</f>
        <v>** NOT USED **</v>
      </c>
      <c r="F286" s="132"/>
      <c r="G286" s="132"/>
      <c r="H286" s="132"/>
      <c r="I286" s="132"/>
      <c r="J286" s="134"/>
      <c r="K286" s="134"/>
      <c r="L286" s="134"/>
      <c r="M286" s="325"/>
      <c r="N286" s="637" t="str">
        <f>IF(AND(F296="",N296=""),"Full year",IF(AND(F296&lt;&gt;"",N296=""),CONCATENATE(F296," ",G296),IF(AND(F296="",N296&lt;&gt;""),CONCATENATE(N296," ",G296),CONCATENATE(F296," + ",N296," ",G296))))</f>
        <v>Full year</v>
      </c>
      <c r="O286" s="325"/>
      <c r="P286" s="325"/>
      <c r="Q286" s="325"/>
      <c r="R286" s="325"/>
      <c r="S286" s="325"/>
      <c r="T286" s="325"/>
      <c r="U286" s="325"/>
      <c r="V286" s="325"/>
      <c r="W286" s="325"/>
      <c r="X286" s="325"/>
      <c r="Y286" s="325"/>
      <c r="Z286" s="325"/>
      <c r="AA286" s="325"/>
    </row>
    <row r="287" spans="2:27" s="416" customFormat="1" hidden="1" outlineLevel="1" x14ac:dyDescent="0.2">
      <c r="C287" s="615"/>
      <c r="D287" s="615"/>
      <c r="E287" s="615"/>
      <c r="F287" s="624">
        <v>1</v>
      </c>
      <c r="G287" s="397">
        <v>2</v>
      </c>
      <c r="H287" s="397">
        <v>3</v>
      </c>
      <c r="I287" s="397">
        <v>4</v>
      </c>
      <c r="J287" s="397">
        <v>5</v>
      </c>
      <c r="K287" s="397">
        <v>6</v>
      </c>
      <c r="N287" s="397">
        <v>1</v>
      </c>
      <c r="O287" s="397">
        <v>2</v>
      </c>
      <c r="P287" s="397">
        <v>3</v>
      </c>
      <c r="Q287" s="397">
        <v>4</v>
      </c>
      <c r="R287" s="397">
        <v>5</v>
      </c>
      <c r="S287" s="397">
        <v>6</v>
      </c>
    </row>
    <row r="288" spans="2:27" s="416" customFormat="1" hidden="1" outlineLevel="1" x14ac:dyDescent="0.2">
      <c r="C288" s="243"/>
      <c r="D288" s="243"/>
      <c r="E288" s="162" t="s">
        <v>1206</v>
      </c>
      <c r="F288" s="615"/>
    </row>
    <row r="289" spans="3:27" s="416" customFormat="1" hidden="1" outlineLevel="1" x14ac:dyDescent="0.2">
      <c r="C289" s="243"/>
      <c r="D289" s="243"/>
      <c r="E289" s="616"/>
      <c r="F289" s="615"/>
      <c r="N289" s="615"/>
      <c r="O289" s="615"/>
      <c r="P289" s="615"/>
      <c r="Q289" s="615"/>
      <c r="R289" s="615"/>
      <c r="S289" s="615"/>
    </row>
    <row r="290" spans="3:27" s="416" customFormat="1" hidden="1" outlineLevel="1" x14ac:dyDescent="0.2">
      <c r="C290" s="291">
        <f>IF(F290&lt;&gt;"",MATCH(F290,PxTxSource,0)-1,0)</f>
        <v>0</v>
      </c>
      <c r="D290" s="291">
        <f ca="1">IF(H290&lt;&gt;"",MATCH(H290,OFFSET(References!$AE$23,0,C290,PxPopMaxCount),0),0)</f>
        <v>0</v>
      </c>
      <c r="E290" s="423" t="s">
        <v>113</v>
      </c>
      <c r="F290" s="613"/>
      <c r="H290" s="812"/>
      <c r="I290" s="813"/>
      <c r="J290" s="813"/>
      <c r="K290" s="813"/>
      <c r="L290" s="615"/>
      <c r="N290" s="806" t="str">
        <f ca="1">IF(ISERROR($D291)=TRUE,MsgError &amp; VLOOKUP("BadPop",ErrorMessages,2,FALSE),"")</f>
        <v/>
      </c>
      <c r="O290" s="806"/>
      <c r="P290" s="806"/>
      <c r="Q290" s="806"/>
      <c r="R290" s="806"/>
      <c r="S290" s="806"/>
    </row>
    <row r="291" spans="3:27" s="416" customFormat="1" hidden="1" outlineLevel="1" x14ac:dyDescent="0.2">
      <c r="C291" s="291">
        <f>INDEX(PxTxValid,,C290+1)</f>
        <v>0</v>
      </c>
      <c r="D291" s="291" t="str">
        <f ca="1">IF(AND(C290=0,D290=0),"",(C290*PxPopMaxCount)+D290)</f>
        <v/>
      </c>
      <c r="E291" s="243"/>
      <c r="L291" s="615"/>
      <c r="M291" s="615"/>
      <c r="N291" s="615"/>
      <c r="O291" s="615"/>
      <c r="P291" s="615"/>
      <c r="Q291" s="615"/>
      <c r="R291" s="615"/>
      <c r="S291" s="615"/>
    </row>
    <row r="292" spans="3:27" s="416" customFormat="1" hidden="1" outlineLevel="1" x14ac:dyDescent="0.2">
      <c r="C292" s="615"/>
      <c r="E292" s="495"/>
      <c r="F292" s="614">
        <f>FirstYear</f>
        <v>2021</v>
      </c>
      <c r="G292" s="614">
        <f>F292+1</f>
        <v>2022</v>
      </c>
      <c r="H292" s="614">
        <f>G292+1</f>
        <v>2023</v>
      </c>
      <c r="I292" s="614">
        <f>H292+1</f>
        <v>2024</v>
      </c>
      <c r="J292" s="614">
        <f>I292+1</f>
        <v>2025</v>
      </c>
      <c r="K292" s="614">
        <f>J292+1</f>
        <v>2026</v>
      </c>
      <c r="L292" s="243"/>
      <c r="N292" s="614">
        <f>FirstYear</f>
        <v>2021</v>
      </c>
      <c r="O292" s="614">
        <f>N292+1</f>
        <v>2022</v>
      </c>
      <c r="P292" s="614">
        <f>O292+1</f>
        <v>2023</v>
      </c>
      <c r="Q292" s="614">
        <f>P292+1</f>
        <v>2024</v>
      </c>
      <c r="R292" s="614">
        <f>Q292+1</f>
        <v>2025</v>
      </c>
      <c r="S292" s="614">
        <f>R292+1</f>
        <v>2026</v>
      </c>
    </row>
    <row r="293" spans="3:27" s="416" customFormat="1" hidden="1" outlineLevel="1" x14ac:dyDescent="0.2">
      <c r="E293" s="59" t="str">
        <f>TxPhase1Px</f>
        <v/>
      </c>
      <c r="F293" s="32">
        <f t="shared" ref="F293:K293" ca="1" si="368">IFERROR(INDEX(PxTxPhase1,$D291,F287),0)</f>
        <v>0</v>
      </c>
      <c r="G293" s="32">
        <f t="shared" ca="1" si="368"/>
        <v>0</v>
      </c>
      <c r="H293" s="32">
        <f t="shared" ca="1" si="368"/>
        <v>0</v>
      </c>
      <c r="I293" s="32">
        <f t="shared" ca="1" si="368"/>
        <v>0</v>
      </c>
      <c r="J293" s="32">
        <f t="shared" ca="1" si="368"/>
        <v>0</v>
      </c>
      <c r="K293" s="32">
        <f t="shared" ca="1" si="368"/>
        <v>0</v>
      </c>
      <c r="L293" s="243"/>
      <c r="M293" s="59" t="str">
        <f>TxPhase2Px</f>
        <v/>
      </c>
      <c r="N293" s="32">
        <f t="shared" ref="N293:S293" ca="1" si="369">IFERROR(INDEX(PxTxPhase2,$D291,N287),0)</f>
        <v>0</v>
      </c>
      <c r="O293" s="32">
        <f t="shared" ca="1" si="369"/>
        <v>0</v>
      </c>
      <c r="P293" s="32">
        <f t="shared" ca="1" si="369"/>
        <v>0</v>
      </c>
      <c r="Q293" s="32">
        <f t="shared" ca="1" si="369"/>
        <v>0</v>
      </c>
      <c r="R293" s="32">
        <f t="shared" ca="1" si="369"/>
        <v>0</v>
      </c>
      <c r="S293" s="32">
        <f t="shared" ca="1" si="369"/>
        <v>0</v>
      </c>
    </row>
    <row r="294" spans="3:27" s="416" customFormat="1" hidden="1" outlineLevel="1" x14ac:dyDescent="0.2">
      <c r="D294" s="615"/>
      <c r="E294" s="615"/>
      <c r="F294" s="615"/>
      <c r="G294" s="615"/>
      <c r="H294" s="615"/>
      <c r="I294" s="615"/>
      <c r="J294" s="615"/>
      <c r="K294" s="615"/>
      <c r="L294" s="243"/>
      <c r="M294" s="615"/>
      <c r="N294" s="615"/>
    </row>
    <row r="295" spans="3:27" s="416" customFormat="1" hidden="1" outlineLevel="1" x14ac:dyDescent="0.2">
      <c r="D295" s="615"/>
      <c r="E295" s="243"/>
      <c r="F295" s="243"/>
      <c r="G295" s="243"/>
      <c r="H295" s="243"/>
      <c r="I295" s="243"/>
      <c r="J295" s="243"/>
      <c r="K295" s="243"/>
      <c r="L295" s="243"/>
      <c r="M295" s="243"/>
      <c r="N295" s="615"/>
      <c r="U295" s="578"/>
      <c r="V295" s="579">
        <f>$W305*1</f>
        <v>0</v>
      </c>
      <c r="W295" s="579">
        <f>$W305*2</f>
        <v>0</v>
      </c>
      <c r="X295" s="579">
        <f>$W305*3</f>
        <v>0</v>
      </c>
      <c r="Y295" s="579">
        <f>$W305*4</f>
        <v>0</v>
      </c>
      <c r="Z295" s="579">
        <f>$W305*5</f>
        <v>0</v>
      </c>
      <c r="AA295" s="579">
        <f>$W305*6</f>
        <v>0</v>
      </c>
    </row>
    <row r="296" spans="3:27" s="416" customFormat="1" hidden="1" outlineLevel="1" x14ac:dyDescent="0.2">
      <c r="E296" s="433" t="s">
        <v>1160</v>
      </c>
      <c r="F296" s="586"/>
      <c r="G296" s="268"/>
      <c r="H296" s="621"/>
      <c r="I296" s="621"/>
      <c r="J296" s="621"/>
      <c r="K296" s="621"/>
      <c r="L296" s="243"/>
      <c r="M296" s="433" t="s">
        <v>1160</v>
      </c>
      <c r="N296" s="586"/>
      <c r="O296" s="587" t="str">
        <f>IF(G296&lt;&gt;"",G296,"")</f>
        <v/>
      </c>
      <c r="P296" s="525"/>
      <c r="Q296" s="525"/>
      <c r="R296" s="525"/>
      <c r="S296" s="525"/>
      <c r="U296" s="580" t="s">
        <v>1156</v>
      </c>
      <c r="V296" s="581">
        <f>IF($F296&gt;=V295,$W305,IF($F296&gt;0,$F296,0))</f>
        <v>0</v>
      </c>
      <c r="W296" s="581">
        <f>IF($F296&gt;=W295,$W$41,IF($F296&gt;V295,($F296-V295),0))</f>
        <v>0</v>
      </c>
      <c r="X296" s="581">
        <f>IF($F296&gt;=X295,$W$41,IF($F296&gt;W295,($F296-W295),0))</f>
        <v>0</v>
      </c>
      <c r="Y296" s="581">
        <f>IF($F296&gt;=Y295,$W$41,IF($F296&gt;X295,($F296-X295),0))</f>
        <v>0</v>
      </c>
      <c r="Z296" s="581">
        <f>IF($F296&gt;=Z295,$W$41,IF($F296&gt;Y295,($F296-Y295),0))</f>
        <v>0</v>
      </c>
      <c r="AA296" s="581">
        <f>IF($F296&gt;=AA295,$W$41,IF($F296&gt;Z295,($F296-Z295),0))</f>
        <v>0</v>
      </c>
    </row>
    <row r="297" spans="3:27" s="416" customFormat="1" hidden="1" outlineLevel="1" x14ac:dyDescent="0.2">
      <c r="D297" s="615"/>
      <c r="E297" s="622"/>
      <c r="F297" s="622"/>
      <c r="G297" s="583"/>
      <c r="H297" s="622"/>
      <c r="I297" s="622"/>
      <c r="J297" s="622"/>
      <c r="K297" s="622"/>
      <c r="L297" s="243"/>
      <c r="M297" s="617"/>
      <c r="N297" s="618"/>
      <c r="O297" s="618"/>
      <c r="P297" s="618"/>
      <c r="Q297" s="618"/>
      <c r="R297" s="618"/>
      <c r="S297" s="618"/>
      <c r="U297" s="582" t="s">
        <v>1157</v>
      </c>
      <c r="V297" s="579">
        <f t="shared" ref="V297:AA297" si="370">IF(V296&gt;0,$W305-V296,$W305)</f>
        <v>0</v>
      </c>
      <c r="W297" s="579">
        <f t="shared" si="370"/>
        <v>0</v>
      </c>
      <c r="X297" s="579">
        <f t="shared" si="370"/>
        <v>0</v>
      </c>
      <c r="Y297" s="579">
        <f t="shared" si="370"/>
        <v>0</v>
      </c>
      <c r="Z297" s="579">
        <f t="shared" si="370"/>
        <v>0</v>
      </c>
      <c r="AA297" s="579">
        <f t="shared" si="370"/>
        <v>0</v>
      </c>
    </row>
    <row r="298" spans="3:27" s="416" customFormat="1" hidden="1" outlineLevel="1" x14ac:dyDescent="0.2">
      <c r="D298" s="615"/>
      <c r="E298" s="617" t="str">
        <f>E293</f>
        <v/>
      </c>
      <c r="F298" s="623"/>
      <c r="G298" s="588"/>
      <c r="H298" s="623"/>
      <c r="I298" s="623"/>
      <c r="J298" s="623"/>
      <c r="K298" s="623"/>
      <c r="L298" s="243"/>
      <c r="M298" s="617" t="str">
        <f>M293</f>
        <v/>
      </c>
      <c r="N298" s="619"/>
      <c r="O298" s="620"/>
      <c r="P298" s="620"/>
      <c r="Q298" s="620"/>
      <c r="R298" s="620"/>
      <c r="S298" s="620"/>
      <c r="U298" s="525"/>
      <c r="V298" s="525"/>
      <c r="W298" s="525"/>
      <c r="X298" s="525"/>
      <c r="Y298" s="525"/>
      <c r="Z298" s="525"/>
      <c r="AA298" s="525"/>
    </row>
    <row r="299" spans="3:27" s="416" customFormat="1" hidden="1" outlineLevel="1" x14ac:dyDescent="0.2">
      <c r="E299" s="589" t="s">
        <v>1207</v>
      </c>
      <c r="F299" s="63">
        <f ca="1">$F293*V302</f>
        <v>0</v>
      </c>
      <c r="G299" s="63">
        <f t="shared" ref="G299" ca="1" si="371">$F293*W302</f>
        <v>0</v>
      </c>
      <c r="H299" s="63">
        <f t="shared" ref="H299" ca="1" si="372">$F293*X302</f>
        <v>0</v>
      </c>
      <c r="I299" s="63">
        <f t="shared" ref="I299" ca="1" si="373">$F293*Y302</f>
        <v>0</v>
      </c>
      <c r="J299" s="63">
        <f t="shared" ref="J299" ca="1" si="374">$F293*Z302</f>
        <v>0</v>
      </c>
      <c r="K299" s="63">
        <f t="shared" ref="K299" ca="1" si="375">$F293*AA302</f>
        <v>0</v>
      </c>
      <c r="L299" s="243"/>
      <c r="M299" s="589" t="s">
        <v>1207</v>
      </c>
      <c r="N299" s="63">
        <f ca="1">$N293*V303</f>
        <v>0</v>
      </c>
      <c r="O299" s="63">
        <f ca="1">$N293*W303</f>
        <v>0</v>
      </c>
      <c r="P299" s="63">
        <f t="shared" ref="P299" ca="1" si="376">$N293*X303</f>
        <v>0</v>
      </c>
      <c r="Q299" s="63">
        <f t="shared" ref="Q299" ca="1" si="377">$N293*Y303</f>
        <v>0</v>
      </c>
      <c r="R299" s="63">
        <f t="shared" ref="R299" ca="1" si="378">$N293*Z303</f>
        <v>0</v>
      </c>
      <c r="S299" s="63">
        <f t="shared" ref="S299" ca="1" si="379">$N293*AA303</f>
        <v>0</v>
      </c>
      <c r="U299" s="582" t="s">
        <v>1158</v>
      </c>
      <c r="V299" s="581">
        <f>IF($N296&gt;=V297,V297,N296)</f>
        <v>0</v>
      </c>
      <c r="W299" s="581">
        <f>IF(V300&gt;=W297,W297,V300)</f>
        <v>0</v>
      </c>
      <c r="X299" s="581">
        <f>IF(W300&gt;=X297,X297,W300)</f>
        <v>0</v>
      </c>
      <c r="Y299" s="581">
        <f>IF(X300&gt;=Y297,Y297,X300)</f>
        <v>0</v>
      </c>
      <c r="Z299" s="581">
        <f>IF(Y300&gt;=Z297,Z297,Y300)</f>
        <v>0</v>
      </c>
      <c r="AA299" s="581">
        <f>IF(Z300&gt;=AA297,AA297,Z300)</f>
        <v>0</v>
      </c>
    </row>
    <row r="300" spans="3:27" s="416" customFormat="1" hidden="1" outlineLevel="1" x14ac:dyDescent="0.2">
      <c r="E300" s="589" t="s">
        <v>1208</v>
      </c>
      <c r="F300" s="130"/>
      <c r="G300" s="63">
        <f ca="1">$G293*V302</f>
        <v>0</v>
      </c>
      <c r="H300" s="63">
        <f t="shared" ref="H300" ca="1" si="380">$G293*W302</f>
        <v>0</v>
      </c>
      <c r="I300" s="63">
        <f t="shared" ref="I300" ca="1" si="381">$G293*X302</f>
        <v>0</v>
      </c>
      <c r="J300" s="63">
        <f t="shared" ref="J300" ca="1" si="382">$G293*Y302</f>
        <v>0</v>
      </c>
      <c r="K300" s="63">
        <f t="shared" ref="K300" ca="1" si="383">$G293*Z302</f>
        <v>0</v>
      </c>
      <c r="L300" s="243"/>
      <c r="M300" s="589" t="s">
        <v>1208</v>
      </c>
      <c r="N300" s="130"/>
      <c r="O300" s="63">
        <f ca="1">$O293*V303</f>
        <v>0</v>
      </c>
      <c r="P300" s="63">
        <f t="shared" ref="P300" ca="1" si="384">$O293*W303</f>
        <v>0</v>
      </c>
      <c r="Q300" s="63">
        <f t="shared" ref="Q300" ca="1" si="385">$O293*X303</f>
        <v>0</v>
      </c>
      <c r="R300" s="63">
        <f t="shared" ref="R300" ca="1" si="386">$O293*Y303</f>
        <v>0</v>
      </c>
      <c r="S300" s="63">
        <f t="shared" ref="S300" ca="1" si="387">$O293*Z303</f>
        <v>0</v>
      </c>
      <c r="U300" s="582" t="s">
        <v>1159</v>
      </c>
      <c r="V300" s="579">
        <f>$N296-V299</f>
        <v>0</v>
      </c>
      <c r="W300" s="579">
        <f>$N296-SUM($V299:W299)</f>
        <v>0</v>
      </c>
      <c r="X300" s="579">
        <f>$N296-SUM($V299:X299)</f>
        <v>0</v>
      </c>
      <c r="Y300" s="579">
        <f>$N296-SUM($V299:Y299)</f>
        <v>0</v>
      </c>
      <c r="Z300" s="579">
        <f>$N296-SUM($V299:Z299)</f>
        <v>0</v>
      </c>
      <c r="AA300" s="579">
        <f>$N296-SUM($V299:AA299)</f>
        <v>0</v>
      </c>
    </row>
    <row r="301" spans="3:27" s="416" customFormat="1" hidden="1" outlineLevel="1" x14ac:dyDescent="0.2">
      <c r="E301" s="589" t="s">
        <v>1209</v>
      </c>
      <c r="F301" s="130"/>
      <c r="G301" s="130"/>
      <c r="H301" s="63">
        <f ca="1">$H293*V302</f>
        <v>0</v>
      </c>
      <c r="I301" s="63">
        <f t="shared" ref="I301" ca="1" si="388">$H293*W302</f>
        <v>0</v>
      </c>
      <c r="J301" s="63">
        <f t="shared" ref="J301" ca="1" si="389">$H293*X302</f>
        <v>0</v>
      </c>
      <c r="K301" s="63">
        <f t="shared" ref="K301" ca="1" si="390">$H293*Y302</f>
        <v>0</v>
      </c>
      <c r="L301" s="243"/>
      <c r="M301" s="589" t="s">
        <v>1209</v>
      </c>
      <c r="N301" s="130"/>
      <c r="O301" s="130"/>
      <c r="P301" s="63">
        <f ca="1">$P293*V303</f>
        <v>0</v>
      </c>
      <c r="Q301" s="63">
        <f t="shared" ref="Q301" ca="1" si="391">$P293*W303</f>
        <v>0</v>
      </c>
      <c r="R301" s="63">
        <f t="shared" ref="R301" ca="1" si="392">$P293*X303</f>
        <v>0</v>
      </c>
      <c r="S301" s="63">
        <f t="shared" ref="S301" ca="1" si="393">$P293*Y303</f>
        <v>0</v>
      </c>
      <c r="U301" s="583"/>
      <c r="V301" s="584"/>
      <c r="W301" s="583"/>
      <c r="X301" s="583"/>
      <c r="Y301" s="583"/>
      <c r="Z301" s="583"/>
      <c r="AA301" s="525"/>
    </row>
    <row r="302" spans="3:27" s="416" customFormat="1" hidden="1" outlineLevel="1" x14ac:dyDescent="0.2">
      <c r="E302" s="589" t="s">
        <v>1210</v>
      </c>
      <c r="F302" s="130"/>
      <c r="G302" s="130"/>
      <c r="H302" s="130"/>
      <c r="I302" s="63">
        <f ca="1">$I293*V302</f>
        <v>0</v>
      </c>
      <c r="J302" s="63">
        <f t="shared" ref="J302" ca="1" si="394">$I293*W302</f>
        <v>0</v>
      </c>
      <c r="K302" s="63">
        <f t="shared" ref="K302" ca="1" si="395">$I293*X302</f>
        <v>0</v>
      </c>
      <c r="L302" s="243"/>
      <c r="M302" s="589" t="s">
        <v>1210</v>
      </c>
      <c r="N302" s="130"/>
      <c r="O302" s="130"/>
      <c r="P302" s="130"/>
      <c r="Q302" s="63">
        <f ca="1">$Q293*V303</f>
        <v>0</v>
      </c>
      <c r="R302" s="63">
        <f t="shared" ref="R302" ca="1" si="396">$Q293*W303</f>
        <v>0</v>
      </c>
      <c r="S302" s="63">
        <f t="shared" ref="S302" ca="1" si="397">$Q293*X303</f>
        <v>0</v>
      </c>
      <c r="U302" s="580" t="s">
        <v>1156</v>
      </c>
      <c r="V302" s="585">
        <f t="shared" ref="V302:AA302" si="398">IFERROR(V296/$W305,0)</f>
        <v>0</v>
      </c>
      <c r="W302" s="585">
        <f t="shared" si="398"/>
        <v>0</v>
      </c>
      <c r="X302" s="585">
        <f t="shared" si="398"/>
        <v>0</v>
      </c>
      <c r="Y302" s="585">
        <f t="shared" si="398"/>
        <v>0</v>
      </c>
      <c r="Z302" s="585">
        <f t="shared" si="398"/>
        <v>0</v>
      </c>
      <c r="AA302" s="585">
        <f t="shared" si="398"/>
        <v>0</v>
      </c>
    </row>
    <row r="303" spans="3:27" s="416" customFormat="1" hidden="1" outlineLevel="1" x14ac:dyDescent="0.2">
      <c r="E303" s="589" t="s">
        <v>1211</v>
      </c>
      <c r="F303" s="130"/>
      <c r="G303" s="130"/>
      <c r="H303" s="130"/>
      <c r="I303" s="130"/>
      <c r="J303" s="63">
        <f ca="1">$J293*V302</f>
        <v>0</v>
      </c>
      <c r="K303" s="63">
        <f ca="1">$J293*W302</f>
        <v>0</v>
      </c>
      <c r="L303" s="243"/>
      <c r="M303" s="589" t="s">
        <v>1211</v>
      </c>
      <c r="N303" s="130"/>
      <c r="O303" s="130"/>
      <c r="P303" s="130"/>
      <c r="Q303" s="130"/>
      <c r="R303" s="63">
        <f ca="1">$R293*V303</f>
        <v>0</v>
      </c>
      <c r="S303" s="63">
        <f ca="1">$R293*W303</f>
        <v>0</v>
      </c>
      <c r="U303" s="582" t="s">
        <v>1158</v>
      </c>
      <c r="V303" s="585">
        <f t="shared" ref="V303:AA303" si="399">IFERROR(V299/$W305,0)</f>
        <v>0</v>
      </c>
      <c r="W303" s="585">
        <f t="shared" si="399"/>
        <v>0</v>
      </c>
      <c r="X303" s="585">
        <f t="shared" si="399"/>
        <v>0</v>
      </c>
      <c r="Y303" s="585">
        <f t="shared" si="399"/>
        <v>0</v>
      </c>
      <c r="Z303" s="585">
        <f t="shared" si="399"/>
        <v>0</v>
      </c>
      <c r="AA303" s="585">
        <f t="shared" si="399"/>
        <v>0</v>
      </c>
    </row>
    <row r="304" spans="3:27" s="416" customFormat="1" hidden="1" outlineLevel="1" x14ac:dyDescent="0.2">
      <c r="E304" s="589" t="s">
        <v>1212</v>
      </c>
      <c r="F304" s="130"/>
      <c r="G304" s="130"/>
      <c r="H304" s="130"/>
      <c r="I304" s="130"/>
      <c r="J304" s="130"/>
      <c r="K304" s="63">
        <f ca="1">$K293*V302</f>
        <v>0</v>
      </c>
      <c r="L304" s="243"/>
      <c r="M304" s="589" t="s">
        <v>1212</v>
      </c>
      <c r="N304" s="130"/>
      <c r="O304" s="130"/>
      <c r="P304" s="130"/>
      <c r="Q304" s="130"/>
      <c r="R304" s="130"/>
      <c r="S304" s="63">
        <f ca="1">$S293*V303</f>
        <v>0</v>
      </c>
    </row>
    <row r="305" spans="2:27" s="416" customFormat="1" hidden="1" outlineLevel="1" x14ac:dyDescent="0.2">
      <c r="E305" s="590" t="str">
        <f>TxPhase1PxUnitsTx</f>
        <v/>
      </c>
      <c r="F305" s="591">
        <f ca="1">IF(F296&lt;&gt;"",SUM(F299:F304),F293)</f>
        <v>0</v>
      </c>
      <c r="G305" s="591">
        <f ca="1">IF(F296&lt;&gt;"",SUM(G299:G304),G293)</f>
        <v>0</v>
      </c>
      <c r="H305" s="591">
        <f ca="1">IF(F296&lt;&gt;"",SUM(H299:H304),H293)</f>
        <v>0</v>
      </c>
      <c r="I305" s="591">
        <f ca="1">IF(F296&lt;&gt;"",SUM(I299:I304),I293)</f>
        <v>0</v>
      </c>
      <c r="J305" s="591">
        <f ca="1">IF(F296&lt;&gt;"",SUM(J299:J304),J293)</f>
        <v>0</v>
      </c>
      <c r="K305" s="591">
        <f ca="1">IF(F296&lt;&gt;"",SUM(K299:K304),K293)</f>
        <v>0</v>
      </c>
      <c r="L305" s="243"/>
      <c r="M305" s="590" t="str">
        <f>TxPhase2PxUnitsTx</f>
        <v/>
      </c>
      <c r="N305" s="591">
        <f ca="1">IF(N296&lt;&gt;"",SUM(N299:N304),N293)</f>
        <v>0</v>
      </c>
      <c r="O305" s="591">
        <f ca="1">IF(N296&lt;&gt;"",SUM(O299:O304),O293)</f>
        <v>0</v>
      </c>
      <c r="P305" s="591">
        <f ca="1">IF(N296&lt;&gt;"",SUM(P299:P304),P293)</f>
        <v>0</v>
      </c>
      <c r="Q305" s="591">
        <f ca="1">IF(N296&lt;&gt;"",SUM(Q299:Q304),Q293)</f>
        <v>0</v>
      </c>
      <c r="R305" s="591">
        <f ca="1">IF(N296&lt;&gt;"",SUM(R299:R304),R293)</f>
        <v>0</v>
      </c>
      <c r="S305" s="591">
        <f ca="1">IF(N296&lt;&gt;"",SUM(S299:S304),S293)</f>
        <v>0</v>
      </c>
      <c r="U305" s="582" t="s">
        <v>1161</v>
      </c>
      <c r="V305" s="579">
        <f>IFERROR(VLOOKUP(G296,TimeUnitCode,2,FALSE),0)</f>
        <v>0</v>
      </c>
      <c r="W305" s="579">
        <f>IFERROR(INDEX(TimeUnitCount,V305,2),0)</f>
        <v>0</v>
      </c>
    </row>
    <row r="306" spans="2:27" s="416" customFormat="1" hidden="1" outlineLevel="1" x14ac:dyDescent="0.2"/>
    <row r="307" spans="2:27" s="416" customFormat="1" collapsed="1" x14ac:dyDescent="0.2"/>
    <row r="308" spans="2:27" s="416" customFormat="1" ht="15.75" x14ac:dyDescent="0.2">
      <c r="B308" s="475">
        <f>IF(F318+N318&gt;12,1,0)</f>
        <v>0</v>
      </c>
      <c r="C308" s="291">
        <f ca="1">IFERROR(INDEX(PxTxPhase1,$D313,7),0)</f>
        <v>0</v>
      </c>
      <c r="D308" s="573">
        <v>14</v>
      </c>
      <c r="E308" s="79" t="str">
        <f>IF(F312&lt;&gt;"",CONCATENATE("DTG ",D308,": ",H312,": ",N308),MsgNotUsed)</f>
        <v>** NOT USED **</v>
      </c>
      <c r="F308" s="132"/>
      <c r="G308" s="132"/>
      <c r="H308" s="132"/>
      <c r="I308" s="132"/>
      <c r="J308" s="134"/>
      <c r="K308" s="134"/>
      <c r="L308" s="134"/>
      <c r="M308" s="325"/>
      <c r="N308" s="637" t="str">
        <f>IF(AND(F318="",N318=""),"Full year",IF(AND(F318&lt;&gt;"",N318=""),CONCATENATE(F318," ",G318),IF(AND(F318="",N318&lt;&gt;""),CONCATENATE(N318," ",G318),CONCATENATE(F318," + ",N318," ",G318))))</f>
        <v>Full year</v>
      </c>
      <c r="O308" s="325"/>
      <c r="P308" s="325"/>
      <c r="Q308" s="325"/>
      <c r="R308" s="325"/>
      <c r="S308" s="325"/>
      <c r="T308" s="325"/>
      <c r="U308" s="325"/>
      <c r="V308" s="325"/>
      <c r="W308" s="325"/>
      <c r="X308" s="325"/>
      <c r="Y308" s="325"/>
      <c r="Z308" s="325"/>
      <c r="AA308" s="325"/>
    </row>
    <row r="309" spans="2:27" s="416" customFormat="1" hidden="1" outlineLevel="1" x14ac:dyDescent="0.2">
      <c r="C309" s="615"/>
      <c r="D309" s="615"/>
      <c r="E309" s="615"/>
      <c r="F309" s="624">
        <v>1</v>
      </c>
      <c r="G309" s="397">
        <v>2</v>
      </c>
      <c r="H309" s="397">
        <v>3</v>
      </c>
      <c r="I309" s="397">
        <v>4</v>
      </c>
      <c r="J309" s="397">
        <v>5</v>
      </c>
      <c r="K309" s="397">
        <v>6</v>
      </c>
      <c r="N309" s="397">
        <v>1</v>
      </c>
      <c r="O309" s="397">
        <v>2</v>
      </c>
      <c r="P309" s="397">
        <v>3</v>
      </c>
      <c r="Q309" s="397">
        <v>4</v>
      </c>
      <c r="R309" s="397">
        <v>5</v>
      </c>
      <c r="S309" s="397">
        <v>6</v>
      </c>
    </row>
    <row r="310" spans="2:27" s="416" customFormat="1" hidden="1" outlineLevel="1" x14ac:dyDescent="0.2">
      <c r="C310" s="243"/>
      <c r="D310" s="243"/>
      <c r="E310" s="162" t="s">
        <v>1206</v>
      </c>
      <c r="F310" s="615"/>
    </row>
    <row r="311" spans="2:27" s="416" customFormat="1" hidden="1" outlineLevel="1" x14ac:dyDescent="0.2">
      <c r="C311" s="243"/>
      <c r="D311" s="243"/>
      <c r="E311" s="616"/>
      <c r="F311" s="615"/>
      <c r="N311" s="615"/>
      <c r="O311" s="615"/>
      <c r="P311" s="615"/>
      <c r="Q311" s="615"/>
      <c r="R311" s="615"/>
      <c r="S311" s="615"/>
    </row>
    <row r="312" spans="2:27" s="416" customFormat="1" hidden="1" outlineLevel="1" x14ac:dyDescent="0.2">
      <c r="C312" s="291">
        <f>IF(F312&lt;&gt;"",MATCH(F312,PxTxSource,0)-1,0)</f>
        <v>0</v>
      </c>
      <c r="D312" s="291">
        <f ca="1">IF(H312&lt;&gt;"",MATCH(H312,OFFSET(References!$AE$23,0,C312,PxPopMaxCount),0),0)</f>
        <v>0</v>
      </c>
      <c r="E312" s="423" t="s">
        <v>113</v>
      </c>
      <c r="F312" s="613"/>
      <c r="H312" s="812"/>
      <c r="I312" s="813"/>
      <c r="J312" s="813"/>
      <c r="K312" s="813"/>
      <c r="L312" s="615"/>
      <c r="N312" s="806" t="str">
        <f ca="1">IF(ISERROR($D313)=TRUE,MsgError &amp; VLOOKUP("BadPop",ErrorMessages,2,FALSE),"")</f>
        <v/>
      </c>
      <c r="O312" s="806"/>
      <c r="P312" s="806"/>
      <c r="Q312" s="806"/>
      <c r="R312" s="806"/>
      <c r="S312" s="806"/>
    </row>
    <row r="313" spans="2:27" s="416" customFormat="1" hidden="1" outlineLevel="1" x14ac:dyDescent="0.2">
      <c r="C313" s="291">
        <f>INDEX(PxTxValid,,C312+1)</f>
        <v>0</v>
      </c>
      <c r="D313" s="291" t="str">
        <f ca="1">IF(AND(C312=0,D312=0),"",(C312*PxPopMaxCount)+D312)</f>
        <v/>
      </c>
      <c r="E313" s="243"/>
      <c r="L313" s="615"/>
      <c r="M313" s="615"/>
      <c r="N313" s="615"/>
      <c r="O313" s="615"/>
      <c r="P313" s="615"/>
      <c r="Q313" s="615"/>
      <c r="R313" s="615"/>
      <c r="S313" s="615"/>
    </row>
    <row r="314" spans="2:27" s="416" customFormat="1" hidden="1" outlineLevel="1" x14ac:dyDescent="0.2">
      <c r="C314" s="615"/>
      <c r="E314" s="495"/>
      <c r="F314" s="614">
        <f>FirstYear</f>
        <v>2021</v>
      </c>
      <c r="G314" s="614">
        <f>F314+1</f>
        <v>2022</v>
      </c>
      <c r="H314" s="614">
        <f>G314+1</f>
        <v>2023</v>
      </c>
      <c r="I314" s="614">
        <f>H314+1</f>
        <v>2024</v>
      </c>
      <c r="J314" s="614">
        <f>I314+1</f>
        <v>2025</v>
      </c>
      <c r="K314" s="614">
        <f>J314+1</f>
        <v>2026</v>
      </c>
      <c r="L314" s="243"/>
      <c r="N314" s="614">
        <f>FirstYear</f>
        <v>2021</v>
      </c>
      <c r="O314" s="614">
        <f>N314+1</f>
        <v>2022</v>
      </c>
      <c r="P314" s="614">
        <f>O314+1</f>
        <v>2023</v>
      </c>
      <c r="Q314" s="614">
        <f>P314+1</f>
        <v>2024</v>
      </c>
      <c r="R314" s="614">
        <f>Q314+1</f>
        <v>2025</v>
      </c>
      <c r="S314" s="614">
        <f>R314+1</f>
        <v>2026</v>
      </c>
    </row>
    <row r="315" spans="2:27" s="416" customFormat="1" hidden="1" outlineLevel="1" x14ac:dyDescent="0.2">
      <c r="E315" s="59" t="str">
        <f>TxPhase1Px</f>
        <v/>
      </c>
      <c r="F315" s="32">
        <f t="shared" ref="F315:K315" ca="1" si="400">IFERROR(INDEX(PxTxPhase1,$D313,F309),0)</f>
        <v>0</v>
      </c>
      <c r="G315" s="32">
        <f t="shared" ca="1" si="400"/>
        <v>0</v>
      </c>
      <c r="H315" s="32">
        <f t="shared" ca="1" si="400"/>
        <v>0</v>
      </c>
      <c r="I315" s="32">
        <f t="shared" ca="1" si="400"/>
        <v>0</v>
      </c>
      <c r="J315" s="32">
        <f t="shared" ca="1" si="400"/>
        <v>0</v>
      </c>
      <c r="K315" s="32">
        <f t="shared" ca="1" si="400"/>
        <v>0</v>
      </c>
      <c r="L315" s="243"/>
      <c r="M315" s="59" t="str">
        <f>TxPhase2Px</f>
        <v/>
      </c>
      <c r="N315" s="32">
        <f t="shared" ref="N315:S315" ca="1" si="401">IFERROR(INDEX(PxTxPhase2,$D313,N309),0)</f>
        <v>0</v>
      </c>
      <c r="O315" s="32">
        <f t="shared" ca="1" si="401"/>
        <v>0</v>
      </c>
      <c r="P315" s="32">
        <f t="shared" ca="1" si="401"/>
        <v>0</v>
      </c>
      <c r="Q315" s="32">
        <f t="shared" ca="1" si="401"/>
        <v>0</v>
      </c>
      <c r="R315" s="32">
        <f t="shared" ca="1" si="401"/>
        <v>0</v>
      </c>
      <c r="S315" s="32">
        <f t="shared" ca="1" si="401"/>
        <v>0</v>
      </c>
    </row>
    <row r="316" spans="2:27" s="416" customFormat="1" hidden="1" outlineLevel="1" x14ac:dyDescent="0.2">
      <c r="D316" s="615"/>
      <c r="E316" s="615"/>
      <c r="F316" s="615"/>
      <c r="G316" s="615"/>
      <c r="H316" s="615"/>
      <c r="I316" s="615"/>
      <c r="J316" s="615"/>
      <c r="K316" s="615"/>
      <c r="L316" s="243"/>
      <c r="M316" s="615"/>
      <c r="N316" s="615"/>
    </row>
    <row r="317" spans="2:27" s="416" customFormat="1" hidden="1" outlineLevel="1" x14ac:dyDescent="0.2">
      <c r="D317" s="615"/>
      <c r="E317" s="243"/>
      <c r="F317" s="243"/>
      <c r="G317" s="243"/>
      <c r="H317" s="243"/>
      <c r="I317" s="243"/>
      <c r="J317" s="243"/>
      <c r="K317" s="243"/>
      <c r="L317" s="243"/>
      <c r="M317" s="243"/>
      <c r="N317" s="615"/>
      <c r="U317" s="578"/>
      <c r="V317" s="579">
        <f>$W327*1</f>
        <v>0</v>
      </c>
      <c r="W317" s="579">
        <f>$W327*2</f>
        <v>0</v>
      </c>
      <c r="X317" s="579">
        <f>$W327*3</f>
        <v>0</v>
      </c>
      <c r="Y317" s="579">
        <f>$W327*4</f>
        <v>0</v>
      </c>
      <c r="Z317" s="579">
        <f>$W327*5</f>
        <v>0</v>
      </c>
      <c r="AA317" s="579">
        <f>$W327*6</f>
        <v>0</v>
      </c>
    </row>
    <row r="318" spans="2:27" s="416" customFormat="1" hidden="1" outlineLevel="1" x14ac:dyDescent="0.2">
      <c r="E318" s="433" t="s">
        <v>1160</v>
      </c>
      <c r="F318" s="586"/>
      <c r="G318" s="268"/>
      <c r="H318" s="621"/>
      <c r="I318" s="621"/>
      <c r="J318" s="621"/>
      <c r="K318" s="621"/>
      <c r="L318" s="243"/>
      <c r="M318" s="433" t="s">
        <v>1160</v>
      </c>
      <c r="N318" s="586"/>
      <c r="O318" s="587" t="str">
        <f>IF(G318&lt;&gt;"",G318,"")</f>
        <v/>
      </c>
      <c r="P318" s="525"/>
      <c r="Q318" s="525"/>
      <c r="R318" s="525"/>
      <c r="S318" s="525"/>
      <c r="U318" s="580" t="s">
        <v>1156</v>
      </c>
      <c r="V318" s="581">
        <f>IF($F318&gt;=V317,$W327,IF($F318&gt;0,$F318,0))</f>
        <v>0</v>
      </c>
      <c r="W318" s="581">
        <f>IF($F318&gt;=W317,$W$41,IF($F318&gt;V317,($F318-V317),0))</f>
        <v>0</v>
      </c>
      <c r="X318" s="581">
        <f>IF($F318&gt;=X317,$W$41,IF($F318&gt;W317,($F318-W317),0))</f>
        <v>0</v>
      </c>
      <c r="Y318" s="581">
        <f>IF($F318&gt;=Y317,$W$41,IF($F318&gt;X317,($F318-X317),0))</f>
        <v>0</v>
      </c>
      <c r="Z318" s="581">
        <f>IF($F318&gt;=Z317,$W$41,IF($F318&gt;Y317,($F318-Y317),0))</f>
        <v>0</v>
      </c>
      <c r="AA318" s="581">
        <f>IF($F318&gt;=AA317,$W$41,IF($F318&gt;Z317,($F318-Z317),0))</f>
        <v>0</v>
      </c>
    </row>
    <row r="319" spans="2:27" s="416" customFormat="1" hidden="1" outlineLevel="1" x14ac:dyDescent="0.2">
      <c r="D319" s="615"/>
      <c r="E319" s="622"/>
      <c r="F319" s="622"/>
      <c r="G319" s="583"/>
      <c r="H319" s="622"/>
      <c r="I319" s="622"/>
      <c r="J319" s="622"/>
      <c r="K319" s="622"/>
      <c r="L319" s="243"/>
      <c r="M319" s="617"/>
      <c r="N319" s="618"/>
      <c r="O319" s="618"/>
      <c r="P319" s="618"/>
      <c r="Q319" s="618"/>
      <c r="R319" s="618"/>
      <c r="S319" s="618"/>
      <c r="U319" s="582" t="s">
        <v>1157</v>
      </c>
      <c r="V319" s="579">
        <f t="shared" ref="V319:AA319" si="402">IF(V318&gt;0,$W327-V318,$W327)</f>
        <v>0</v>
      </c>
      <c r="W319" s="579">
        <f t="shared" si="402"/>
        <v>0</v>
      </c>
      <c r="X319" s="579">
        <f t="shared" si="402"/>
        <v>0</v>
      </c>
      <c r="Y319" s="579">
        <f t="shared" si="402"/>
        <v>0</v>
      </c>
      <c r="Z319" s="579">
        <f t="shared" si="402"/>
        <v>0</v>
      </c>
      <c r="AA319" s="579">
        <f t="shared" si="402"/>
        <v>0</v>
      </c>
    </row>
    <row r="320" spans="2:27" s="416" customFormat="1" hidden="1" outlineLevel="1" x14ac:dyDescent="0.2">
      <c r="D320" s="615"/>
      <c r="E320" s="617" t="str">
        <f>E315</f>
        <v/>
      </c>
      <c r="F320" s="623"/>
      <c r="G320" s="588"/>
      <c r="H320" s="623"/>
      <c r="I320" s="623"/>
      <c r="J320" s="623"/>
      <c r="K320" s="623"/>
      <c r="L320" s="243"/>
      <c r="M320" s="617" t="str">
        <f>M315</f>
        <v/>
      </c>
      <c r="N320" s="619"/>
      <c r="O320" s="620"/>
      <c r="P320" s="620"/>
      <c r="Q320" s="620"/>
      <c r="R320" s="620"/>
      <c r="S320" s="620"/>
      <c r="U320" s="525"/>
      <c r="V320" s="525"/>
      <c r="W320" s="525"/>
      <c r="X320" s="525"/>
      <c r="Y320" s="525"/>
      <c r="Z320" s="525"/>
      <c r="AA320" s="525"/>
    </row>
    <row r="321" spans="2:27" s="416" customFormat="1" hidden="1" outlineLevel="1" x14ac:dyDescent="0.2">
      <c r="E321" s="589" t="s">
        <v>1207</v>
      </c>
      <c r="F321" s="63">
        <f ca="1">$F315*V324</f>
        <v>0</v>
      </c>
      <c r="G321" s="63">
        <f t="shared" ref="G321" ca="1" si="403">$F315*W324</f>
        <v>0</v>
      </c>
      <c r="H321" s="63">
        <f t="shared" ref="H321" ca="1" si="404">$F315*X324</f>
        <v>0</v>
      </c>
      <c r="I321" s="63">
        <f t="shared" ref="I321" ca="1" si="405">$F315*Y324</f>
        <v>0</v>
      </c>
      <c r="J321" s="63">
        <f t="shared" ref="J321" ca="1" si="406">$F315*Z324</f>
        <v>0</v>
      </c>
      <c r="K321" s="63">
        <f t="shared" ref="K321" ca="1" si="407">$F315*AA324</f>
        <v>0</v>
      </c>
      <c r="L321" s="243"/>
      <c r="M321" s="589" t="s">
        <v>1207</v>
      </c>
      <c r="N321" s="63">
        <f ca="1">$N315*V325</f>
        <v>0</v>
      </c>
      <c r="O321" s="63">
        <f ca="1">$N315*W325</f>
        <v>0</v>
      </c>
      <c r="P321" s="63">
        <f t="shared" ref="P321" ca="1" si="408">$N315*X325</f>
        <v>0</v>
      </c>
      <c r="Q321" s="63">
        <f t="shared" ref="Q321" ca="1" si="409">$N315*Y325</f>
        <v>0</v>
      </c>
      <c r="R321" s="63">
        <f t="shared" ref="R321" ca="1" si="410">$N315*Z325</f>
        <v>0</v>
      </c>
      <c r="S321" s="63">
        <f t="shared" ref="S321" ca="1" si="411">$N315*AA325</f>
        <v>0</v>
      </c>
      <c r="U321" s="582" t="s">
        <v>1158</v>
      </c>
      <c r="V321" s="581">
        <f>IF($N318&gt;=V319,V319,N318)</f>
        <v>0</v>
      </c>
      <c r="W321" s="581">
        <f>IF(V322&gt;=W319,W319,V322)</f>
        <v>0</v>
      </c>
      <c r="X321" s="581">
        <f>IF(W322&gt;=X319,X319,W322)</f>
        <v>0</v>
      </c>
      <c r="Y321" s="581">
        <f>IF(X322&gt;=Y319,Y319,X322)</f>
        <v>0</v>
      </c>
      <c r="Z321" s="581">
        <f>IF(Y322&gt;=Z319,Z319,Y322)</f>
        <v>0</v>
      </c>
      <c r="AA321" s="581">
        <f>IF(Z322&gt;=AA319,AA319,Z322)</f>
        <v>0</v>
      </c>
    </row>
    <row r="322" spans="2:27" s="416" customFormat="1" hidden="1" outlineLevel="1" x14ac:dyDescent="0.2">
      <c r="E322" s="589" t="s">
        <v>1208</v>
      </c>
      <c r="F322" s="130"/>
      <c r="G322" s="63">
        <f ca="1">$G315*V324</f>
        <v>0</v>
      </c>
      <c r="H322" s="63">
        <f t="shared" ref="H322" ca="1" si="412">$G315*W324</f>
        <v>0</v>
      </c>
      <c r="I322" s="63">
        <f t="shared" ref="I322" ca="1" si="413">$G315*X324</f>
        <v>0</v>
      </c>
      <c r="J322" s="63">
        <f t="shared" ref="J322" ca="1" si="414">$G315*Y324</f>
        <v>0</v>
      </c>
      <c r="K322" s="63">
        <f t="shared" ref="K322" ca="1" si="415">$G315*Z324</f>
        <v>0</v>
      </c>
      <c r="L322" s="243"/>
      <c r="M322" s="589" t="s">
        <v>1208</v>
      </c>
      <c r="N322" s="130"/>
      <c r="O322" s="63">
        <f ca="1">$O315*V325</f>
        <v>0</v>
      </c>
      <c r="P322" s="63">
        <f t="shared" ref="P322" ca="1" si="416">$O315*W325</f>
        <v>0</v>
      </c>
      <c r="Q322" s="63">
        <f t="shared" ref="Q322" ca="1" si="417">$O315*X325</f>
        <v>0</v>
      </c>
      <c r="R322" s="63">
        <f t="shared" ref="R322" ca="1" si="418">$O315*Y325</f>
        <v>0</v>
      </c>
      <c r="S322" s="63">
        <f t="shared" ref="S322" ca="1" si="419">$O315*Z325</f>
        <v>0</v>
      </c>
      <c r="U322" s="582" t="s">
        <v>1159</v>
      </c>
      <c r="V322" s="579">
        <f>$N318-V321</f>
        <v>0</v>
      </c>
      <c r="W322" s="579">
        <f>$N318-SUM($V321:W321)</f>
        <v>0</v>
      </c>
      <c r="X322" s="579">
        <f>$N318-SUM($V321:X321)</f>
        <v>0</v>
      </c>
      <c r="Y322" s="579">
        <f>$N318-SUM($V321:Y321)</f>
        <v>0</v>
      </c>
      <c r="Z322" s="579">
        <f>$N318-SUM($V321:Z321)</f>
        <v>0</v>
      </c>
      <c r="AA322" s="579">
        <f>$N318-SUM($V321:AA321)</f>
        <v>0</v>
      </c>
    </row>
    <row r="323" spans="2:27" s="416" customFormat="1" hidden="1" outlineLevel="1" x14ac:dyDescent="0.2">
      <c r="E323" s="589" t="s">
        <v>1209</v>
      </c>
      <c r="F323" s="130"/>
      <c r="G323" s="130"/>
      <c r="H323" s="63">
        <f ca="1">$H315*V324</f>
        <v>0</v>
      </c>
      <c r="I323" s="63">
        <f t="shared" ref="I323" ca="1" si="420">$H315*W324</f>
        <v>0</v>
      </c>
      <c r="J323" s="63">
        <f t="shared" ref="J323" ca="1" si="421">$H315*X324</f>
        <v>0</v>
      </c>
      <c r="K323" s="63">
        <f t="shared" ref="K323" ca="1" si="422">$H315*Y324</f>
        <v>0</v>
      </c>
      <c r="L323" s="243"/>
      <c r="M323" s="589" t="s">
        <v>1209</v>
      </c>
      <c r="N323" s="130"/>
      <c r="O323" s="130"/>
      <c r="P323" s="63">
        <f ca="1">$P315*V325</f>
        <v>0</v>
      </c>
      <c r="Q323" s="63">
        <f t="shared" ref="Q323" ca="1" si="423">$P315*W325</f>
        <v>0</v>
      </c>
      <c r="R323" s="63">
        <f t="shared" ref="R323" ca="1" si="424">$P315*X325</f>
        <v>0</v>
      </c>
      <c r="S323" s="63">
        <f t="shared" ref="S323" ca="1" si="425">$P315*Y325</f>
        <v>0</v>
      </c>
      <c r="U323" s="583"/>
      <c r="V323" s="584"/>
      <c r="W323" s="583"/>
      <c r="X323" s="583"/>
      <c r="Y323" s="583"/>
      <c r="Z323" s="583"/>
      <c r="AA323" s="525"/>
    </row>
    <row r="324" spans="2:27" s="416" customFormat="1" hidden="1" outlineLevel="1" x14ac:dyDescent="0.2">
      <c r="E324" s="589" t="s">
        <v>1210</v>
      </c>
      <c r="F324" s="130"/>
      <c r="G324" s="130"/>
      <c r="H324" s="130"/>
      <c r="I324" s="63">
        <f ca="1">$I315*V324</f>
        <v>0</v>
      </c>
      <c r="J324" s="63">
        <f t="shared" ref="J324" ca="1" si="426">$I315*W324</f>
        <v>0</v>
      </c>
      <c r="K324" s="63">
        <f t="shared" ref="K324" ca="1" si="427">$I315*X324</f>
        <v>0</v>
      </c>
      <c r="L324" s="243"/>
      <c r="M324" s="589" t="s">
        <v>1210</v>
      </c>
      <c r="N324" s="130"/>
      <c r="O324" s="130"/>
      <c r="P324" s="130"/>
      <c r="Q324" s="63">
        <f ca="1">$Q315*V325</f>
        <v>0</v>
      </c>
      <c r="R324" s="63">
        <f t="shared" ref="R324" ca="1" si="428">$Q315*W325</f>
        <v>0</v>
      </c>
      <c r="S324" s="63">
        <f t="shared" ref="S324" ca="1" si="429">$Q315*X325</f>
        <v>0</v>
      </c>
      <c r="U324" s="580" t="s">
        <v>1156</v>
      </c>
      <c r="V324" s="585">
        <f t="shared" ref="V324:AA324" si="430">IFERROR(V318/$W327,0)</f>
        <v>0</v>
      </c>
      <c r="W324" s="585">
        <f t="shared" si="430"/>
        <v>0</v>
      </c>
      <c r="X324" s="585">
        <f t="shared" si="430"/>
        <v>0</v>
      </c>
      <c r="Y324" s="585">
        <f t="shared" si="430"/>
        <v>0</v>
      </c>
      <c r="Z324" s="585">
        <f t="shared" si="430"/>
        <v>0</v>
      </c>
      <c r="AA324" s="585">
        <f t="shared" si="430"/>
        <v>0</v>
      </c>
    </row>
    <row r="325" spans="2:27" s="416" customFormat="1" hidden="1" outlineLevel="1" x14ac:dyDescent="0.2">
      <c r="E325" s="589" t="s">
        <v>1211</v>
      </c>
      <c r="F325" s="130"/>
      <c r="G325" s="130"/>
      <c r="H325" s="130"/>
      <c r="I325" s="130"/>
      <c r="J325" s="63">
        <f ca="1">$J315*V324</f>
        <v>0</v>
      </c>
      <c r="K325" s="63">
        <f ca="1">$J315*W324</f>
        <v>0</v>
      </c>
      <c r="L325" s="243"/>
      <c r="M325" s="589" t="s">
        <v>1211</v>
      </c>
      <c r="N325" s="130"/>
      <c r="O325" s="130"/>
      <c r="P325" s="130"/>
      <c r="Q325" s="130"/>
      <c r="R325" s="63">
        <f ca="1">$R315*V325</f>
        <v>0</v>
      </c>
      <c r="S325" s="63">
        <f ca="1">$R315*W325</f>
        <v>0</v>
      </c>
      <c r="U325" s="582" t="s">
        <v>1158</v>
      </c>
      <c r="V325" s="585">
        <f t="shared" ref="V325:AA325" si="431">IFERROR(V321/$W327,0)</f>
        <v>0</v>
      </c>
      <c r="W325" s="585">
        <f t="shared" si="431"/>
        <v>0</v>
      </c>
      <c r="X325" s="585">
        <f t="shared" si="431"/>
        <v>0</v>
      </c>
      <c r="Y325" s="585">
        <f t="shared" si="431"/>
        <v>0</v>
      </c>
      <c r="Z325" s="585">
        <f t="shared" si="431"/>
        <v>0</v>
      </c>
      <c r="AA325" s="585">
        <f t="shared" si="431"/>
        <v>0</v>
      </c>
    </row>
    <row r="326" spans="2:27" s="416" customFormat="1" hidden="1" outlineLevel="1" x14ac:dyDescent="0.2">
      <c r="E326" s="589" t="s">
        <v>1212</v>
      </c>
      <c r="F326" s="130"/>
      <c r="G326" s="130"/>
      <c r="H326" s="130"/>
      <c r="I326" s="130"/>
      <c r="J326" s="130"/>
      <c r="K326" s="63">
        <f ca="1">$K315*V324</f>
        <v>0</v>
      </c>
      <c r="L326" s="243"/>
      <c r="M326" s="589" t="s">
        <v>1212</v>
      </c>
      <c r="N326" s="130"/>
      <c r="O326" s="130"/>
      <c r="P326" s="130"/>
      <c r="Q326" s="130"/>
      <c r="R326" s="130"/>
      <c r="S326" s="63">
        <f ca="1">$S315*V325</f>
        <v>0</v>
      </c>
    </row>
    <row r="327" spans="2:27" s="416" customFormat="1" hidden="1" outlineLevel="1" x14ac:dyDescent="0.2">
      <c r="E327" s="590" t="str">
        <f>TxPhase1PxUnitsTx</f>
        <v/>
      </c>
      <c r="F327" s="591">
        <f ca="1">IF(F318&lt;&gt;"",SUM(F321:F326),F315)</f>
        <v>0</v>
      </c>
      <c r="G327" s="591">
        <f ca="1">IF(F318&lt;&gt;"",SUM(G321:G326),G315)</f>
        <v>0</v>
      </c>
      <c r="H327" s="591">
        <f ca="1">IF(F318&lt;&gt;"",SUM(H321:H326),H315)</f>
        <v>0</v>
      </c>
      <c r="I327" s="591">
        <f ca="1">IF(F318&lt;&gt;"",SUM(I321:I326),I315)</f>
        <v>0</v>
      </c>
      <c r="J327" s="591">
        <f ca="1">IF(F318&lt;&gt;"",SUM(J321:J326),J315)</f>
        <v>0</v>
      </c>
      <c r="K327" s="591">
        <f ca="1">IF(F318&lt;&gt;"",SUM(K321:K326),K315)</f>
        <v>0</v>
      </c>
      <c r="L327" s="243"/>
      <c r="M327" s="590" t="str">
        <f>TxPhase2PxUnitsTx</f>
        <v/>
      </c>
      <c r="N327" s="591">
        <f ca="1">IF(N318&lt;&gt;"",SUM(N321:N326),N315)</f>
        <v>0</v>
      </c>
      <c r="O327" s="591">
        <f ca="1">IF(N318&lt;&gt;"",SUM(O321:O326),O315)</f>
        <v>0</v>
      </c>
      <c r="P327" s="591">
        <f ca="1">IF(N318&lt;&gt;"",SUM(P321:P326),P315)</f>
        <v>0</v>
      </c>
      <c r="Q327" s="591">
        <f ca="1">IF(N318&lt;&gt;"",SUM(Q321:Q326),Q315)</f>
        <v>0</v>
      </c>
      <c r="R327" s="591">
        <f ca="1">IF(N318&lt;&gt;"",SUM(R321:R326),R315)</f>
        <v>0</v>
      </c>
      <c r="S327" s="591">
        <f ca="1">IF(N318&lt;&gt;"",SUM(S321:S326),S315)</f>
        <v>0</v>
      </c>
      <c r="U327" s="582" t="s">
        <v>1161</v>
      </c>
      <c r="V327" s="579">
        <f>IFERROR(VLOOKUP(G318,TimeUnitCode,2,FALSE),0)</f>
        <v>0</v>
      </c>
      <c r="W327" s="579">
        <f>IFERROR(INDEX(TimeUnitCount,V327,2),0)</f>
        <v>0</v>
      </c>
    </row>
    <row r="328" spans="2:27" s="416" customFormat="1" hidden="1" outlineLevel="1" x14ac:dyDescent="0.2"/>
    <row r="329" spans="2:27" s="416" customFormat="1" collapsed="1" x14ac:dyDescent="0.2"/>
    <row r="330" spans="2:27" s="416" customFormat="1" ht="15.75" x14ac:dyDescent="0.2">
      <c r="B330" s="475">
        <f>IF(F340+N340&gt;12,1,0)</f>
        <v>0</v>
      </c>
      <c r="C330" s="291">
        <f ca="1">IFERROR(INDEX(PxTxPhase1,$D335,7),0)</f>
        <v>0</v>
      </c>
      <c r="D330" s="573">
        <v>15</v>
      </c>
      <c r="E330" s="79" t="str">
        <f>IF(F334&lt;&gt;"",CONCATENATE("DTG ",D330,": ",H334,": ",N330),MsgNotUsed)</f>
        <v>** NOT USED **</v>
      </c>
      <c r="F330" s="132"/>
      <c r="G330" s="132"/>
      <c r="H330" s="132"/>
      <c r="I330" s="132"/>
      <c r="J330" s="134"/>
      <c r="K330" s="134"/>
      <c r="L330" s="134"/>
      <c r="M330" s="325"/>
      <c r="N330" s="637" t="str">
        <f>IF(AND(F340="",N340=""),"Full year",IF(AND(F340&lt;&gt;"",N340=""),CONCATENATE(F340," ",G340),IF(AND(F340="",N340&lt;&gt;""),CONCATENATE(N340," ",G340),CONCATENATE(F340," + ",N340," ",G340))))</f>
        <v>Full year</v>
      </c>
      <c r="O330" s="325"/>
      <c r="P330" s="325"/>
      <c r="Q330" s="325"/>
      <c r="R330" s="325"/>
      <c r="S330" s="325"/>
      <c r="T330" s="325"/>
      <c r="U330" s="325"/>
      <c r="V330" s="325"/>
      <c r="W330" s="325"/>
      <c r="X330" s="325"/>
      <c r="Y330" s="325"/>
      <c r="Z330" s="325"/>
      <c r="AA330" s="325"/>
    </row>
    <row r="331" spans="2:27" s="416" customFormat="1" hidden="1" outlineLevel="1" x14ac:dyDescent="0.2">
      <c r="C331" s="615"/>
      <c r="D331" s="615"/>
      <c r="E331" s="615"/>
      <c r="F331" s="624">
        <v>1</v>
      </c>
      <c r="G331" s="397">
        <v>2</v>
      </c>
      <c r="H331" s="397">
        <v>3</v>
      </c>
      <c r="I331" s="397">
        <v>4</v>
      </c>
      <c r="J331" s="397">
        <v>5</v>
      </c>
      <c r="K331" s="397">
        <v>6</v>
      </c>
      <c r="N331" s="397">
        <v>1</v>
      </c>
      <c r="O331" s="397">
        <v>2</v>
      </c>
      <c r="P331" s="397">
        <v>3</v>
      </c>
      <c r="Q331" s="397">
        <v>4</v>
      </c>
      <c r="R331" s="397">
        <v>5</v>
      </c>
      <c r="S331" s="397">
        <v>6</v>
      </c>
    </row>
    <row r="332" spans="2:27" s="416" customFormat="1" hidden="1" outlineLevel="1" x14ac:dyDescent="0.2">
      <c r="C332" s="243"/>
      <c r="D332" s="243"/>
      <c r="E332" s="162" t="s">
        <v>1206</v>
      </c>
      <c r="F332" s="615"/>
    </row>
    <row r="333" spans="2:27" s="416" customFormat="1" hidden="1" outlineLevel="1" x14ac:dyDescent="0.2">
      <c r="C333" s="243"/>
      <c r="D333" s="243"/>
      <c r="E333" s="616"/>
      <c r="F333" s="615"/>
      <c r="N333" s="615"/>
      <c r="O333" s="615"/>
      <c r="P333" s="615"/>
      <c r="Q333" s="615"/>
      <c r="R333" s="615"/>
      <c r="S333" s="615"/>
    </row>
    <row r="334" spans="2:27" s="416" customFormat="1" hidden="1" outlineLevel="1" x14ac:dyDescent="0.2">
      <c r="C334" s="291">
        <f>IF(F334&lt;&gt;"",MATCH(F334,PxTxSource,0)-1,0)</f>
        <v>0</v>
      </c>
      <c r="D334" s="291">
        <f ca="1">IF(H334&lt;&gt;"",MATCH(H334,OFFSET(References!$AE$23,0,C334,PxPopMaxCount),0),0)</f>
        <v>0</v>
      </c>
      <c r="E334" s="423" t="s">
        <v>113</v>
      </c>
      <c r="F334" s="613"/>
      <c r="H334" s="812"/>
      <c r="I334" s="813"/>
      <c r="J334" s="813"/>
      <c r="K334" s="813"/>
      <c r="L334" s="615"/>
      <c r="N334" s="806" t="str">
        <f ca="1">IF(ISERROR($D335)=TRUE,MsgError &amp; VLOOKUP("BadPop",ErrorMessages,2,FALSE),"")</f>
        <v/>
      </c>
      <c r="O334" s="806"/>
      <c r="P334" s="806"/>
      <c r="Q334" s="806"/>
      <c r="R334" s="806"/>
      <c r="S334" s="806"/>
    </row>
    <row r="335" spans="2:27" s="416" customFormat="1" hidden="1" outlineLevel="1" x14ac:dyDescent="0.2">
      <c r="C335" s="291">
        <f>INDEX(PxTxValid,,C334+1)</f>
        <v>0</v>
      </c>
      <c r="D335" s="291" t="str">
        <f ca="1">IF(AND(C334=0,D334=0),"",(C334*PxPopMaxCount)+D334)</f>
        <v/>
      </c>
      <c r="E335" s="243"/>
      <c r="L335" s="615"/>
      <c r="M335" s="615"/>
      <c r="N335" s="615"/>
      <c r="O335" s="615"/>
      <c r="P335" s="615"/>
      <c r="Q335" s="615"/>
      <c r="R335" s="615"/>
      <c r="S335" s="615"/>
    </row>
    <row r="336" spans="2:27" s="416" customFormat="1" hidden="1" outlineLevel="1" x14ac:dyDescent="0.2">
      <c r="C336" s="615"/>
      <c r="E336" s="495"/>
      <c r="F336" s="614">
        <f>FirstYear</f>
        <v>2021</v>
      </c>
      <c r="G336" s="614">
        <f>F336+1</f>
        <v>2022</v>
      </c>
      <c r="H336" s="614">
        <f>G336+1</f>
        <v>2023</v>
      </c>
      <c r="I336" s="614">
        <f>H336+1</f>
        <v>2024</v>
      </c>
      <c r="J336" s="614">
        <f>I336+1</f>
        <v>2025</v>
      </c>
      <c r="K336" s="614">
        <f>J336+1</f>
        <v>2026</v>
      </c>
      <c r="L336" s="243"/>
      <c r="N336" s="614">
        <f>FirstYear</f>
        <v>2021</v>
      </c>
      <c r="O336" s="614">
        <f>N336+1</f>
        <v>2022</v>
      </c>
      <c r="P336" s="614">
        <f>O336+1</f>
        <v>2023</v>
      </c>
      <c r="Q336" s="614">
        <f>P336+1</f>
        <v>2024</v>
      </c>
      <c r="R336" s="614">
        <f>Q336+1</f>
        <v>2025</v>
      </c>
      <c r="S336" s="614">
        <f>R336+1</f>
        <v>2026</v>
      </c>
    </row>
    <row r="337" spans="2:27" s="416" customFormat="1" hidden="1" outlineLevel="1" x14ac:dyDescent="0.2">
      <c r="E337" s="59" t="str">
        <f>TxPhase1Px</f>
        <v/>
      </c>
      <c r="F337" s="32">
        <f t="shared" ref="F337:K337" ca="1" si="432">IFERROR(INDEX(PxTxPhase1,$D335,F331),0)</f>
        <v>0</v>
      </c>
      <c r="G337" s="32">
        <f t="shared" ca="1" si="432"/>
        <v>0</v>
      </c>
      <c r="H337" s="32">
        <f t="shared" ca="1" si="432"/>
        <v>0</v>
      </c>
      <c r="I337" s="32">
        <f t="shared" ca="1" si="432"/>
        <v>0</v>
      </c>
      <c r="J337" s="32">
        <f t="shared" ca="1" si="432"/>
        <v>0</v>
      </c>
      <c r="K337" s="32">
        <f t="shared" ca="1" si="432"/>
        <v>0</v>
      </c>
      <c r="L337" s="243"/>
      <c r="M337" s="59" t="str">
        <f>TxPhase2Px</f>
        <v/>
      </c>
      <c r="N337" s="32">
        <f t="shared" ref="N337:S337" ca="1" si="433">IFERROR(INDEX(PxTxPhase2,$D335,N331),0)</f>
        <v>0</v>
      </c>
      <c r="O337" s="32">
        <f t="shared" ca="1" si="433"/>
        <v>0</v>
      </c>
      <c r="P337" s="32">
        <f t="shared" ca="1" si="433"/>
        <v>0</v>
      </c>
      <c r="Q337" s="32">
        <f t="shared" ca="1" si="433"/>
        <v>0</v>
      </c>
      <c r="R337" s="32">
        <f t="shared" ca="1" si="433"/>
        <v>0</v>
      </c>
      <c r="S337" s="32">
        <f t="shared" ca="1" si="433"/>
        <v>0</v>
      </c>
    </row>
    <row r="338" spans="2:27" s="416" customFormat="1" hidden="1" outlineLevel="1" x14ac:dyDescent="0.2">
      <c r="D338" s="615"/>
      <c r="E338" s="615"/>
      <c r="F338" s="615"/>
      <c r="G338" s="615"/>
      <c r="H338" s="615"/>
      <c r="I338" s="615"/>
      <c r="J338" s="615"/>
      <c r="K338" s="615"/>
      <c r="L338" s="243"/>
      <c r="M338" s="615"/>
      <c r="N338" s="615"/>
    </row>
    <row r="339" spans="2:27" s="416" customFormat="1" hidden="1" outlineLevel="1" x14ac:dyDescent="0.2">
      <c r="D339" s="615"/>
      <c r="E339" s="243"/>
      <c r="F339" s="243"/>
      <c r="G339" s="243"/>
      <c r="H339" s="243"/>
      <c r="I339" s="243"/>
      <c r="J339" s="243"/>
      <c r="K339" s="243"/>
      <c r="L339" s="243"/>
      <c r="M339" s="243"/>
      <c r="N339" s="615"/>
      <c r="U339" s="578"/>
      <c r="V339" s="579">
        <f>$W349*1</f>
        <v>0</v>
      </c>
      <c r="W339" s="579">
        <f>$W349*2</f>
        <v>0</v>
      </c>
      <c r="X339" s="579">
        <f>$W349*3</f>
        <v>0</v>
      </c>
      <c r="Y339" s="579">
        <f>$W349*4</f>
        <v>0</v>
      </c>
      <c r="Z339" s="579">
        <f>$W349*5</f>
        <v>0</v>
      </c>
      <c r="AA339" s="579">
        <f>$W349*6</f>
        <v>0</v>
      </c>
    </row>
    <row r="340" spans="2:27" s="416" customFormat="1" hidden="1" outlineLevel="1" x14ac:dyDescent="0.2">
      <c r="E340" s="433" t="s">
        <v>1160</v>
      </c>
      <c r="F340" s="586"/>
      <c r="G340" s="268"/>
      <c r="H340" s="621"/>
      <c r="I340" s="621"/>
      <c r="J340" s="621"/>
      <c r="K340" s="621"/>
      <c r="L340" s="243"/>
      <c r="M340" s="433" t="s">
        <v>1160</v>
      </c>
      <c r="N340" s="586"/>
      <c r="O340" s="587" t="str">
        <f>IF(G340&lt;&gt;"",G340,"")</f>
        <v/>
      </c>
      <c r="P340" s="525"/>
      <c r="Q340" s="525"/>
      <c r="R340" s="525"/>
      <c r="S340" s="525"/>
      <c r="U340" s="580" t="s">
        <v>1156</v>
      </c>
      <c r="V340" s="581">
        <f>IF($F340&gt;=V339,$W349,IF($F340&gt;0,$F340,0))</f>
        <v>0</v>
      </c>
      <c r="W340" s="581">
        <f>IF($F340&gt;=W339,$W$41,IF($F340&gt;V339,($F340-V339),0))</f>
        <v>0</v>
      </c>
      <c r="X340" s="581">
        <f>IF($F340&gt;=X339,$W$41,IF($F340&gt;W339,($F340-W339),0))</f>
        <v>0</v>
      </c>
      <c r="Y340" s="581">
        <f>IF($F340&gt;=Y339,$W$41,IF($F340&gt;X339,($F340-X339),0))</f>
        <v>0</v>
      </c>
      <c r="Z340" s="581">
        <f>IF($F340&gt;=Z339,$W$41,IF($F340&gt;Y339,($F340-Y339),0))</f>
        <v>0</v>
      </c>
      <c r="AA340" s="581">
        <f>IF($F340&gt;=AA339,$W$41,IF($F340&gt;Z339,($F340-Z339),0))</f>
        <v>0</v>
      </c>
    </row>
    <row r="341" spans="2:27" s="416" customFormat="1" hidden="1" outlineLevel="1" x14ac:dyDescent="0.2">
      <c r="D341" s="615"/>
      <c r="E341" s="622"/>
      <c r="F341" s="622"/>
      <c r="G341" s="583"/>
      <c r="H341" s="622"/>
      <c r="I341" s="622"/>
      <c r="J341" s="622"/>
      <c r="K341" s="622"/>
      <c r="L341" s="243"/>
      <c r="M341" s="617"/>
      <c r="N341" s="618"/>
      <c r="O341" s="618"/>
      <c r="P341" s="618"/>
      <c r="Q341" s="618"/>
      <c r="R341" s="618"/>
      <c r="S341" s="618"/>
      <c r="U341" s="582" t="s">
        <v>1157</v>
      </c>
      <c r="V341" s="579">
        <f t="shared" ref="V341:AA341" si="434">IF(V340&gt;0,$W349-V340,$W349)</f>
        <v>0</v>
      </c>
      <c r="W341" s="579">
        <f t="shared" si="434"/>
        <v>0</v>
      </c>
      <c r="X341" s="579">
        <f t="shared" si="434"/>
        <v>0</v>
      </c>
      <c r="Y341" s="579">
        <f t="shared" si="434"/>
        <v>0</v>
      </c>
      <c r="Z341" s="579">
        <f t="shared" si="434"/>
        <v>0</v>
      </c>
      <c r="AA341" s="579">
        <f t="shared" si="434"/>
        <v>0</v>
      </c>
    </row>
    <row r="342" spans="2:27" s="416" customFormat="1" hidden="1" outlineLevel="1" x14ac:dyDescent="0.2">
      <c r="D342" s="615"/>
      <c r="E342" s="617" t="str">
        <f>E337</f>
        <v/>
      </c>
      <c r="F342" s="623"/>
      <c r="G342" s="588"/>
      <c r="H342" s="623"/>
      <c r="I342" s="623"/>
      <c r="J342" s="623"/>
      <c r="K342" s="623"/>
      <c r="L342" s="243"/>
      <c r="M342" s="617" t="str">
        <f>M337</f>
        <v/>
      </c>
      <c r="N342" s="619"/>
      <c r="O342" s="620"/>
      <c r="P342" s="620"/>
      <c r="Q342" s="620"/>
      <c r="R342" s="620"/>
      <c r="S342" s="620"/>
      <c r="U342" s="525"/>
      <c r="V342" s="525"/>
      <c r="W342" s="525"/>
      <c r="X342" s="525"/>
      <c r="Y342" s="525"/>
      <c r="Z342" s="525"/>
      <c r="AA342" s="525"/>
    </row>
    <row r="343" spans="2:27" s="416" customFormat="1" hidden="1" outlineLevel="1" x14ac:dyDescent="0.2">
      <c r="E343" s="589" t="s">
        <v>1207</v>
      </c>
      <c r="F343" s="63">
        <f ca="1">$F337*V346</f>
        <v>0</v>
      </c>
      <c r="G343" s="63">
        <f t="shared" ref="G343" ca="1" si="435">$F337*W346</f>
        <v>0</v>
      </c>
      <c r="H343" s="63">
        <f t="shared" ref="H343" ca="1" si="436">$F337*X346</f>
        <v>0</v>
      </c>
      <c r="I343" s="63">
        <f t="shared" ref="I343" ca="1" si="437">$F337*Y346</f>
        <v>0</v>
      </c>
      <c r="J343" s="63">
        <f t="shared" ref="J343" ca="1" si="438">$F337*Z346</f>
        <v>0</v>
      </c>
      <c r="K343" s="63">
        <f t="shared" ref="K343" ca="1" si="439">$F337*AA346</f>
        <v>0</v>
      </c>
      <c r="L343" s="243"/>
      <c r="M343" s="589" t="s">
        <v>1207</v>
      </c>
      <c r="N343" s="63">
        <f ca="1">$N337*V347</f>
        <v>0</v>
      </c>
      <c r="O343" s="63">
        <f ca="1">$N337*W347</f>
        <v>0</v>
      </c>
      <c r="P343" s="63">
        <f t="shared" ref="P343" ca="1" si="440">$N337*X347</f>
        <v>0</v>
      </c>
      <c r="Q343" s="63">
        <f t="shared" ref="Q343" ca="1" si="441">$N337*Y347</f>
        <v>0</v>
      </c>
      <c r="R343" s="63">
        <f t="shared" ref="R343" ca="1" si="442">$N337*Z347</f>
        <v>0</v>
      </c>
      <c r="S343" s="63">
        <f t="shared" ref="S343" ca="1" si="443">$N337*AA347</f>
        <v>0</v>
      </c>
      <c r="U343" s="582" t="s">
        <v>1158</v>
      </c>
      <c r="V343" s="581">
        <f>IF($N340&gt;=V341,V341,N340)</f>
        <v>0</v>
      </c>
      <c r="W343" s="581">
        <f>IF(V344&gt;=W341,W341,V344)</f>
        <v>0</v>
      </c>
      <c r="X343" s="581">
        <f>IF(W344&gt;=X341,X341,W344)</f>
        <v>0</v>
      </c>
      <c r="Y343" s="581">
        <f>IF(X344&gt;=Y341,Y341,X344)</f>
        <v>0</v>
      </c>
      <c r="Z343" s="581">
        <f>IF(Y344&gt;=Z341,Z341,Y344)</f>
        <v>0</v>
      </c>
      <c r="AA343" s="581">
        <f>IF(Z344&gt;=AA341,AA341,Z344)</f>
        <v>0</v>
      </c>
    </row>
    <row r="344" spans="2:27" s="416" customFormat="1" hidden="1" outlineLevel="1" x14ac:dyDescent="0.2">
      <c r="E344" s="589" t="s">
        <v>1208</v>
      </c>
      <c r="F344" s="130"/>
      <c r="G344" s="63">
        <f ca="1">$G337*V346</f>
        <v>0</v>
      </c>
      <c r="H344" s="63">
        <f t="shared" ref="H344" ca="1" si="444">$G337*W346</f>
        <v>0</v>
      </c>
      <c r="I344" s="63">
        <f t="shared" ref="I344" ca="1" si="445">$G337*X346</f>
        <v>0</v>
      </c>
      <c r="J344" s="63">
        <f t="shared" ref="J344" ca="1" si="446">$G337*Y346</f>
        <v>0</v>
      </c>
      <c r="K344" s="63">
        <f t="shared" ref="K344" ca="1" si="447">$G337*Z346</f>
        <v>0</v>
      </c>
      <c r="L344" s="243"/>
      <c r="M344" s="589" t="s">
        <v>1208</v>
      </c>
      <c r="N344" s="130"/>
      <c r="O344" s="63">
        <f ca="1">$O337*V347</f>
        <v>0</v>
      </c>
      <c r="P344" s="63">
        <f t="shared" ref="P344" ca="1" si="448">$O337*W347</f>
        <v>0</v>
      </c>
      <c r="Q344" s="63">
        <f t="shared" ref="Q344" ca="1" si="449">$O337*X347</f>
        <v>0</v>
      </c>
      <c r="R344" s="63">
        <f t="shared" ref="R344" ca="1" si="450">$O337*Y347</f>
        <v>0</v>
      </c>
      <c r="S344" s="63">
        <f t="shared" ref="S344" ca="1" si="451">$O337*Z347</f>
        <v>0</v>
      </c>
      <c r="U344" s="582" t="s">
        <v>1159</v>
      </c>
      <c r="V344" s="579">
        <f>$N340-V343</f>
        <v>0</v>
      </c>
      <c r="W344" s="579">
        <f>$N340-SUM($V343:W343)</f>
        <v>0</v>
      </c>
      <c r="X344" s="579">
        <f>$N340-SUM($V343:X343)</f>
        <v>0</v>
      </c>
      <c r="Y344" s="579">
        <f>$N340-SUM($V343:Y343)</f>
        <v>0</v>
      </c>
      <c r="Z344" s="579">
        <f>$N340-SUM($V343:Z343)</f>
        <v>0</v>
      </c>
      <c r="AA344" s="579">
        <f>$N340-SUM($V343:AA343)</f>
        <v>0</v>
      </c>
    </row>
    <row r="345" spans="2:27" s="416" customFormat="1" hidden="1" outlineLevel="1" x14ac:dyDescent="0.2">
      <c r="E345" s="589" t="s">
        <v>1209</v>
      </c>
      <c r="F345" s="130"/>
      <c r="G345" s="130"/>
      <c r="H345" s="63">
        <f ca="1">$H337*V346</f>
        <v>0</v>
      </c>
      <c r="I345" s="63">
        <f t="shared" ref="I345" ca="1" si="452">$H337*W346</f>
        <v>0</v>
      </c>
      <c r="J345" s="63">
        <f t="shared" ref="J345" ca="1" si="453">$H337*X346</f>
        <v>0</v>
      </c>
      <c r="K345" s="63">
        <f t="shared" ref="K345" ca="1" si="454">$H337*Y346</f>
        <v>0</v>
      </c>
      <c r="L345" s="243"/>
      <c r="M345" s="589" t="s">
        <v>1209</v>
      </c>
      <c r="N345" s="130"/>
      <c r="O345" s="130"/>
      <c r="P345" s="63">
        <f ca="1">$P337*V347</f>
        <v>0</v>
      </c>
      <c r="Q345" s="63">
        <f t="shared" ref="Q345" ca="1" si="455">$P337*W347</f>
        <v>0</v>
      </c>
      <c r="R345" s="63">
        <f t="shared" ref="R345" ca="1" si="456">$P337*X347</f>
        <v>0</v>
      </c>
      <c r="S345" s="63">
        <f t="shared" ref="S345" ca="1" si="457">$P337*Y347</f>
        <v>0</v>
      </c>
      <c r="U345" s="583"/>
      <c r="V345" s="584"/>
      <c r="W345" s="583"/>
      <c r="X345" s="583"/>
      <c r="Y345" s="583"/>
      <c r="Z345" s="583"/>
      <c r="AA345" s="525"/>
    </row>
    <row r="346" spans="2:27" s="416" customFormat="1" hidden="1" outlineLevel="1" x14ac:dyDescent="0.2">
      <c r="E346" s="589" t="s">
        <v>1210</v>
      </c>
      <c r="F346" s="130"/>
      <c r="G346" s="130"/>
      <c r="H346" s="130"/>
      <c r="I346" s="63">
        <f ca="1">$I337*V346</f>
        <v>0</v>
      </c>
      <c r="J346" s="63">
        <f t="shared" ref="J346" ca="1" si="458">$I337*W346</f>
        <v>0</v>
      </c>
      <c r="K346" s="63">
        <f t="shared" ref="K346" ca="1" si="459">$I337*X346</f>
        <v>0</v>
      </c>
      <c r="L346" s="243"/>
      <c r="M346" s="589" t="s">
        <v>1210</v>
      </c>
      <c r="N346" s="130"/>
      <c r="O346" s="130"/>
      <c r="P346" s="130"/>
      <c r="Q346" s="63">
        <f ca="1">$Q337*V347</f>
        <v>0</v>
      </c>
      <c r="R346" s="63">
        <f t="shared" ref="R346" ca="1" si="460">$Q337*W347</f>
        <v>0</v>
      </c>
      <c r="S346" s="63">
        <f t="shared" ref="S346" ca="1" si="461">$Q337*X347</f>
        <v>0</v>
      </c>
      <c r="U346" s="580" t="s">
        <v>1156</v>
      </c>
      <c r="V346" s="585">
        <f t="shared" ref="V346:AA346" si="462">IFERROR(V340/$W349,0)</f>
        <v>0</v>
      </c>
      <c r="W346" s="585">
        <f t="shared" si="462"/>
        <v>0</v>
      </c>
      <c r="X346" s="585">
        <f t="shared" si="462"/>
        <v>0</v>
      </c>
      <c r="Y346" s="585">
        <f t="shared" si="462"/>
        <v>0</v>
      </c>
      <c r="Z346" s="585">
        <f t="shared" si="462"/>
        <v>0</v>
      </c>
      <c r="AA346" s="585">
        <f t="shared" si="462"/>
        <v>0</v>
      </c>
    </row>
    <row r="347" spans="2:27" s="416" customFormat="1" hidden="1" outlineLevel="1" x14ac:dyDescent="0.2">
      <c r="E347" s="589" t="s">
        <v>1211</v>
      </c>
      <c r="F347" s="130"/>
      <c r="G347" s="130"/>
      <c r="H347" s="130"/>
      <c r="I347" s="130"/>
      <c r="J347" s="63">
        <f ca="1">$J337*V346</f>
        <v>0</v>
      </c>
      <c r="K347" s="63">
        <f ca="1">$J337*W346</f>
        <v>0</v>
      </c>
      <c r="L347" s="243"/>
      <c r="M347" s="589" t="s">
        <v>1211</v>
      </c>
      <c r="N347" s="130"/>
      <c r="O347" s="130"/>
      <c r="P347" s="130"/>
      <c r="Q347" s="130"/>
      <c r="R347" s="63">
        <f ca="1">$R337*V347</f>
        <v>0</v>
      </c>
      <c r="S347" s="63">
        <f ca="1">$R337*W347</f>
        <v>0</v>
      </c>
      <c r="U347" s="582" t="s">
        <v>1158</v>
      </c>
      <c r="V347" s="585">
        <f t="shared" ref="V347:AA347" si="463">IFERROR(V343/$W349,0)</f>
        <v>0</v>
      </c>
      <c r="W347" s="585">
        <f t="shared" si="463"/>
        <v>0</v>
      </c>
      <c r="X347" s="585">
        <f t="shared" si="463"/>
        <v>0</v>
      </c>
      <c r="Y347" s="585">
        <f t="shared" si="463"/>
        <v>0</v>
      </c>
      <c r="Z347" s="585">
        <f t="shared" si="463"/>
        <v>0</v>
      </c>
      <c r="AA347" s="585">
        <f t="shared" si="463"/>
        <v>0</v>
      </c>
    </row>
    <row r="348" spans="2:27" s="416" customFormat="1" hidden="1" outlineLevel="1" x14ac:dyDescent="0.2">
      <c r="E348" s="589" t="s">
        <v>1212</v>
      </c>
      <c r="F348" s="130"/>
      <c r="G348" s="130"/>
      <c r="H348" s="130"/>
      <c r="I348" s="130"/>
      <c r="J348" s="130"/>
      <c r="K348" s="63">
        <f ca="1">$K337*V346</f>
        <v>0</v>
      </c>
      <c r="L348" s="243"/>
      <c r="M348" s="589" t="s">
        <v>1212</v>
      </c>
      <c r="N348" s="130"/>
      <c r="O348" s="130"/>
      <c r="P348" s="130"/>
      <c r="Q348" s="130"/>
      <c r="R348" s="130"/>
      <c r="S348" s="63">
        <f ca="1">$S337*V347</f>
        <v>0</v>
      </c>
    </row>
    <row r="349" spans="2:27" s="416" customFormat="1" hidden="1" outlineLevel="1" x14ac:dyDescent="0.2">
      <c r="E349" s="590" t="str">
        <f>TxPhase1PxUnitsTx</f>
        <v/>
      </c>
      <c r="F349" s="591">
        <f ca="1">IF(F340&lt;&gt;"",SUM(F343:F348),F337)</f>
        <v>0</v>
      </c>
      <c r="G349" s="591">
        <f ca="1">IF(F340&lt;&gt;"",SUM(G343:G348),G337)</f>
        <v>0</v>
      </c>
      <c r="H349" s="591">
        <f ca="1">IF(F340&lt;&gt;"",SUM(H343:H348),H337)</f>
        <v>0</v>
      </c>
      <c r="I349" s="591">
        <f ca="1">IF(F340&lt;&gt;"",SUM(I343:I348),I337)</f>
        <v>0</v>
      </c>
      <c r="J349" s="591">
        <f ca="1">IF(F340&lt;&gt;"",SUM(J343:J348),J337)</f>
        <v>0</v>
      </c>
      <c r="K349" s="591">
        <f ca="1">IF(F340&lt;&gt;"",SUM(K343:K348),K337)</f>
        <v>0</v>
      </c>
      <c r="L349" s="243"/>
      <c r="M349" s="590" t="str">
        <f>TxPhase2PxUnitsTx</f>
        <v/>
      </c>
      <c r="N349" s="591">
        <f ca="1">IF(N340&lt;&gt;"",SUM(N343:N348),N337)</f>
        <v>0</v>
      </c>
      <c r="O349" s="591">
        <f ca="1">IF(N340&lt;&gt;"",SUM(O343:O348),O337)</f>
        <v>0</v>
      </c>
      <c r="P349" s="591">
        <f ca="1">IF(N340&lt;&gt;"",SUM(P343:P348),P337)</f>
        <v>0</v>
      </c>
      <c r="Q349" s="591">
        <f ca="1">IF(N340&lt;&gt;"",SUM(Q343:Q348),Q337)</f>
        <v>0</v>
      </c>
      <c r="R349" s="591">
        <f ca="1">IF(N340&lt;&gt;"",SUM(R343:R348),R337)</f>
        <v>0</v>
      </c>
      <c r="S349" s="591">
        <f ca="1">IF(N340&lt;&gt;"",SUM(S343:S348),S337)</f>
        <v>0</v>
      </c>
      <c r="U349" s="582" t="s">
        <v>1161</v>
      </c>
      <c r="V349" s="579">
        <f>IFERROR(VLOOKUP(G340,TimeUnitCode,2,FALSE),0)</f>
        <v>0</v>
      </c>
      <c r="W349" s="579">
        <f>IFERROR(INDEX(TimeUnitCount,V349,2),0)</f>
        <v>0</v>
      </c>
    </row>
    <row r="350" spans="2:27" s="416" customFormat="1" hidden="1" outlineLevel="1" x14ac:dyDescent="0.2"/>
    <row r="351" spans="2:27" s="416" customFormat="1" collapsed="1" x14ac:dyDescent="0.2"/>
    <row r="352" spans="2:27" s="416" customFormat="1" ht="15.75" x14ac:dyDescent="0.2">
      <c r="B352" s="475">
        <f>IF(F362+N362&gt;12,1,0)</f>
        <v>0</v>
      </c>
      <c r="C352" s="291">
        <f ca="1">IFERROR(INDEX(PxTxPhase1,$D357,7),0)</f>
        <v>0</v>
      </c>
      <c r="D352" s="573">
        <v>16</v>
      </c>
      <c r="E352" s="79" t="str">
        <f>IF(F356&lt;&gt;"",CONCATENATE("DTG ",D352,": ",H356,": ",N352),MsgNotUsed)</f>
        <v>** NOT USED **</v>
      </c>
      <c r="F352" s="132"/>
      <c r="G352" s="132"/>
      <c r="H352" s="132"/>
      <c r="I352" s="132"/>
      <c r="J352" s="134"/>
      <c r="K352" s="134"/>
      <c r="L352" s="134"/>
      <c r="M352" s="325"/>
      <c r="N352" s="637" t="str">
        <f>IF(AND(F362="",N362=""),"Full year",IF(AND(F362&lt;&gt;"",N362=""),CONCATENATE(F362," ",G362),IF(AND(F362="",N362&lt;&gt;""),CONCATENATE(N362," ",G362),CONCATENATE(F362," + ",N362," ",G362))))</f>
        <v>Full year</v>
      </c>
      <c r="O352" s="325"/>
      <c r="P352" s="325"/>
      <c r="Q352" s="325"/>
      <c r="R352" s="325"/>
      <c r="S352" s="325"/>
      <c r="T352" s="325"/>
      <c r="U352" s="325"/>
      <c r="V352" s="325"/>
      <c r="W352" s="325"/>
      <c r="X352" s="325"/>
      <c r="Y352" s="325"/>
      <c r="Z352" s="325"/>
      <c r="AA352" s="325"/>
    </row>
    <row r="353" spans="3:27" s="416" customFormat="1" hidden="1" outlineLevel="1" x14ac:dyDescent="0.2">
      <c r="C353" s="615"/>
      <c r="D353" s="615"/>
      <c r="E353" s="615"/>
      <c r="F353" s="624">
        <v>1</v>
      </c>
      <c r="G353" s="397">
        <v>2</v>
      </c>
      <c r="H353" s="397">
        <v>3</v>
      </c>
      <c r="I353" s="397">
        <v>4</v>
      </c>
      <c r="J353" s="397">
        <v>5</v>
      </c>
      <c r="K353" s="397">
        <v>6</v>
      </c>
      <c r="N353" s="397">
        <v>1</v>
      </c>
      <c r="O353" s="397">
        <v>2</v>
      </c>
      <c r="P353" s="397">
        <v>3</v>
      </c>
      <c r="Q353" s="397">
        <v>4</v>
      </c>
      <c r="R353" s="397">
        <v>5</v>
      </c>
      <c r="S353" s="397">
        <v>6</v>
      </c>
    </row>
    <row r="354" spans="3:27" s="416" customFormat="1" hidden="1" outlineLevel="1" x14ac:dyDescent="0.2">
      <c r="C354" s="243"/>
      <c r="D354" s="243"/>
      <c r="E354" s="162" t="s">
        <v>1206</v>
      </c>
      <c r="F354" s="615"/>
    </row>
    <row r="355" spans="3:27" s="416" customFormat="1" hidden="1" outlineLevel="1" x14ac:dyDescent="0.2">
      <c r="C355" s="243"/>
      <c r="D355" s="243"/>
      <c r="E355" s="616"/>
      <c r="F355" s="615"/>
      <c r="N355" s="615"/>
      <c r="O355" s="615"/>
      <c r="P355" s="615"/>
      <c r="Q355" s="615"/>
      <c r="R355" s="615"/>
      <c r="S355" s="615"/>
    </row>
    <row r="356" spans="3:27" s="416" customFormat="1" hidden="1" outlineLevel="1" x14ac:dyDescent="0.2">
      <c r="C356" s="291">
        <f>IF(F356&lt;&gt;"",MATCH(F356,PxTxSource,0)-1,0)</f>
        <v>0</v>
      </c>
      <c r="D356" s="291">
        <f ca="1">IF(H356&lt;&gt;"",MATCH(H356,OFFSET(References!$AE$23,0,C356,PxPopMaxCount),0),0)</f>
        <v>0</v>
      </c>
      <c r="E356" s="423" t="s">
        <v>113</v>
      </c>
      <c r="F356" s="613"/>
      <c r="H356" s="812"/>
      <c r="I356" s="813"/>
      <c r="J356" s="813"/>
      <c r="K356" s="813"/>
      <c r="L356" s="615"/>
      <c r="N356" s="806" t="str">
        <f ca="1">IF(ISERROR($D357)=TRUE,MsgError &amp; VLOOKUP("BadPop",ErrorMessages,2,FALSE),"")</f>
        <v/>
      </c>
      <c r="O356" s="806"/>
      <c r="P356" s="806"/>
      <c r="Q356" s="806"/>
      <c r="R356" s="806"/>
      <c r="S356" s="806"/>
    </row>
    <row r="357" spans="3:27" s="416" customFormat="1" hidden="1" outlineLevel="1" x14ac:dyDescent="0.2">
      <c r="C357" s="291">
        <f>INDEX(PxTxValid,,C356+1)</f>
        <v>0</v>
      </c>
      <c r="D357" s="291" t="str">
        <f ca="1">IF(AND(C356=0,D356=0),"",(C356*PxPopMaxCount)+D356)</f>
        <v/>
      </c>
      <c r="E357" s="243"/>
      <c r="L357" s="615"/>
      <c r="M357" s="615"/>
      <c r="N357" s="615"/>
      <c r="O357" s="615"/>
      <c r="P357" s="615"/>
      <c r="Q357" s="615"/>
      <c r="R357" s="615"/>
      <c r="S357" s="615"/>
    </row>
    <row r="358" spans="3:27" s="416" customFormat="1" hidden="1" outlineLevel="1" x14ac:dyDescent="0.2">
      <c r="C358" s="615"/>
      <c r="E358" s="495"/>
      <c r="F358" s="614">
        <f>FirstYear</f>
        <v>2021</v>
      </c>
      <c r="G358" s="614">
        <f>F358+1</f>
        <v>2022</v>
      </c>
      <c r="H358" s="614">
        <f>G358+1</f>
        <v>2023</v>
      </c>
      <c r="I358" s="614">
        <f>H358+1</f>
        <v>2024</v>
      </c>
      <c r="J358" s="614">
        <f>I358+1</f>
        <v>2025</v>
      </c>
      <c r="K358" s="614">
        <f>J358+1</f>
        <v>2026</v>
      </c>
      <c r="L358" s="243"/>
      <c r="N358" s="614">
        <f>FirstYear</f>
        <v>2021</v>
      </c>
      <c r="O358" s="614">
        <f>N358+1</f>
        <v>2022</v>
      </c>
      <c r="P358" s="614">
        <f>O358+1</f>
        <v>2023</v>
      </c>
      <c r="Q358" s="614">
        <f>P358+1</f>
        <v>2024</v>
      </c>
      <c r="R358" s="614">
        <f>Q358+1</f>
        <v>2025</v>
      </c>
      <c r="S358" s="614">
        <f>R358+1</f>
        <v>2026</v>
      </c>
    </row>
    <row r="359" spans="3:27" s="416" customFormat="1" hidden="1" outlineLevel="1" x14ac:dyDescent="0.2">
      <c r="E359" s="59" t="str">
        <f>TxPhase1Px</f>
        <v/>
      </c>
      <c r="F359" s="32">
        <f t="shared" ref="F359:K359" ca="1" si="464">IFERROR(INDEX(PxTxPhase1,$D357,F353),0)</f>
        <v>0</v>
      </c>
      <c r="G359" s="32">
        <f t="shared" ca="1" si="464"/>
        <v>0</v>
      </c>
      <c r="H359" s="32">
        <f t="shared" ca="1" si="464"/>
        <v>0</v>
      </c>
      <c r="I359" s="32">
        <f t="shared" ca="1" si="464"/>
        <v>0</v>
      </c>
      <c r="J359" s="32">
        <f t="shared" ca="1" si="464"/>
        <v>0</v>
      </c>
      <c r="K359" s="32">
        <f t="shared" ca="1" si="464"/>
        <v>0</v>
      </c>
      <c r="L359" s="243"/>
      <c r="M359" s="59" t="str">
        <f>TxPhase2Px</f>
        <v/>
      </c>
      <c r="N359" s="32">
        <f t="shared" ref="N359:S359" ca="1" si="465">IFERROR(INDEX(PxTxPhase2,$D357,N353),0)</f>
        <v>0</v>
      </c>
      <c r="O359" s="32">
        <f t="shared" ca="1" si="465"/>
        <v>0</v>
      </c>
      <c r="P359" s="32">
        <f t="shared" ca="1" si="465"/>
        <v>0</v>
      </c>
      <c r="Q359" s="32">
        <f t="shared" ca="1" si="465"/>
        <v>0</v>
      </c>
      <c r="R359" s="32">
        <f t="shared" ca="1" si="465"/>
        <v>0</v>
      </c>
      <c r="S359" s="32">
        <f t="shared" ca="1" si="465"/>
        <v>0</v>
      </c>
    </row>
    <row r="360" spans="3:27" s="416" customFormat="1" hidden="1" outlineLevel="1" x14ac:dyDescent="0.2">
      <c r="D360" s="615"/>
      <c r="E360" s="615"/>
      <c r="F360" s="615"/>
      <c r="G360" s="615"/>
      <c r="H360" s="615"/>
      <c r="I360" s="615"/>
      <c r="J360" s="615"/>
      <c r="K360" s="615"/>
      <c r="L360" s="243"/>
      <c r="M360" s="615"/>
      <c r="N360" s="615"/>
    </row>
    <row r="361" spans="3:27" s="416" customFormat="1" hidden="1" outlineLevel="1" x14ac:dyDescent="0.2">
      <c r="D361" s="615"/>
      <c r="E361" s="243"/>
      <c r="F361" s="243"/>
      <c r="G361" s="243"/>
      <c r="H361" s="243"/>
      <c r="I361" s="243"/>
      <c r="J361" s="243"/>
      <c r="K361" s="243"/>
      <c r="L361" s="243"/>
      <c r="M361" s="243"/>
      <c r="N361" s="615"/>
      <c r="U361" s="578"/>
      <c r="V361" s="579">
        <f>$W371*1</f>
        <v>0</v>
      </c>
      <c r="W361" s="579">
        <f>$W371*2</f>
        <v>0</v>
      </c>
      <c r="X361" s="579">
        <f>$W371*3</f>
        <v>0</v>
      </c>
      <c r="Y361" s="579">
        <f>$W371*4</f>
        <v>0</v>
      </c>
      <c r="Z361" s="579">
        <f>$W371*5</f>
        <v>0</v>
      </c>
      <c r="AA361" s="579">
        <f>$W371*6</f>
        <v>0</v>
      </c>
    </row>
    <row r="362" spans="3:27" s="416" customFormat="1" hidden="1" outlineLevel="1" x14ac:dyDescent="0.2">
      <c r="E362" s="433" t="s">
        <v>1160</v>
      </c>
      <c r="F362" s="586"/>
      <c r="G362" s="268"/>
      <c r="H362" s="621"/>
      <c r="I362" s="621"/>
      <c r="J362" s="621"/>
      <c r="K362" s="621"/>
      <c r="L362" s="243"/>
      <c r="M362" s="433" t="s">
        <v>1160</v>
      </c>
      <c r="N362" s="586"/>
      <c r="O362" s="587" t="str">
        <f>IF(G362&lt;&gt;"",G362,"")</f>
        <v/>
      </c>
      <c r="P362" s="525"/>
      <c r="Q362" s="525"/>
      <c r="R362" s="525"/>
      <c r="S362" s="525"/>
      <c r="U362" s="580" t="s">
        <v>1156</v>
      </c>
      <c r="V362" s="581">
        <f>IF($F362&gt;=V361,$W371,IF($F362&gt;0,$F362,0))</f>
        <v>0</v>
      </c>
      <c r="W362" s="581">
        <f>IF($F362&gt;=W361,$W$41,IF($F362&gt;V361,($F362-V361),0))</f>
        <v>0</v>
      </c>
      <c r="X362" s="581">
        <f>IF($F362&gt;=X361,$W$41,IF($F362&gt;W361,($F362-W361),0))</f>
        <v>0</v>
      </c>
      <c r="Y362" s="581">
        <f>IF($F362&gt;=Y361,$W$41,IF($F362&gt;X361,($F362-X361),0))</f>
        <v>0</v>
      </c>
      <c r="Z362" s="581">
        <f>IF($F362&gt;=Z361,$W$41,IF($F362&gt;Y361,($F362-Y361),0))</f>
        <v>0</v>
      </c>
      <c r="AA362" s="581">
        <f>IF($F362&gt;=AA361,$W$41,IF($F362&gt;Z361,($F362-Z361),0))</f>
        <v>0</v>
      </c>
    </row>
    <row r="363" spans="3:27" s="416" customFormat="1" hidden="1" outlineLevel="1" x14ac:dyDescent="0.2">
      <c r="D363" s="615"/>
      <c r="E363" s="622"/>
      <c r="F363" s="622"/>
      <c r="G363" s="583"/>
      <c r="H363" s="622"/>
      <c r="I363" s="622"/>
      <c r="J363" s="622"/>
      <c r="K363" s="622"/>
      <c r="L363" s="243"/>
      <c r="M363" s="617"/>
      <c r="N363" s="618"/>
      <c r="O363" s="618"/>
      <c r="P363" s="618"/>
      <c r="Q363" s="618"/>
      <c r="R363" s="618"/>
      <c r="S363" s="618"/>
      <c r="U363" s="582" t="s">
        <v>1157</v>
      </c>
      <c r="V363" s="579">
        <f t="shared" ref="V363:AA363" si="466">IF(V362&gt;0,$W371-V362,$W371)</f>
        <v>0</v>
      </c>
      <c r="W363" s="579">
        <f t="shared" si="466"/>
        <v>0</v>
      </c>
      <c r="X363" s="579">
        <f t="shared" si="466"/>
        <v>0</v>
      </c>
      <c r="Y363" s="579">
        <f t="shared" si="466"/>
        <v>0</v>
      </c>
      <c r="Z363" s="579">
        <f t="shared" si="466"/>
        <v>0</v>
      </c>
      <c r="AA363" s="579">
        <f t="shared" si="466"/>
        <v>0</v>
      </c>
    </row>
    <row r="364" spans="3:27" s="416" customFormat="1" hidden="1" outlineLevel="1" x14ac:dyDescent="0.2">
      <c r="D364" s="615"/>
      <c r="E364" s="617" t="str">
        <f>E359</f>
        <v/>
      </c>
      <c r="F364" s="623"/>
      <c r="G364" s="588"/>
      <c r="H364" s="623"/>
      <c r="I364" s="623"/>
      <c r="J364" s="623"/>
      <c r="K364" s="623"/>
      <c r="L364" s="243"/>
      <c r="M364" s="617" t="str">
        <f>M359</f>
        <v/>
      </c>
      <c r="N364" s="619"/>
      <c r="O364" s="620"/>
      <c r="P364" s="620"/>
      <c r="Q364" s="620"/>
      <c r="R364" s="620"/>
      <c r="S364" s="620"/>
      <c r="U364" s="525"/>
      <c r="V364" s="525"/>
      <c r="W364" s="525"/>
      <c r="X364" s="525"/>
      <c r="Y364" s="525"/>
      <c r="Z364" s="525"/>
      <c r="AA364" s="525"/>
    </row>
    <row r="365" spans="3:27" s="416" customFormat="1" hidden="1" outlineLevel="1" x14ac:dyDescent="0.2">
      <c r="E365" s="589" t="s">
        <v>1207</v>
      </c>
      <c r="F365" s="63">
        <f ca="1">$F359*V368</f>
        <v>0</v>
      </c>
      <c r="G365" s="63">
        <f t="shared" ref="G365" ca="1" si="467">$F359*W368</f>
        <v>0</v>
      </c>
      <c r="H365" s="63">
        <f t="shared" ref="H365" ca="1" si="468">$F359*X368</f>
        <v>0</v>
      </c>
      <c r="I365" s="63">
        <f t="shared" ref="I365" ca="1" si="469">$F359*Y368</f>
        <v>0</v>
      </c>
      <c r="J365" s="63">
        <f t="shared" ref="J365" ca="1" si="470">$F359*Z368</f>
        <v>0</v>
      </c>
      <c r="K365" s="63">
        <f t="shared" ref="K365" ca="1" si="471">$F359*AA368</f>
        <v>0</v>
      </c>
      <c r="L365" s="243"/>
      <c r="M365" s="589" t="s">
        <v>1207</v>
      </c>
      <c r="N365" s="63">
        <f ca="1">$N359*V369</f>
        <v>0</v>
      </c>
      <c r="O365" s="63">
        <f ca="1">$N359*W369</f>
        <v>0</v>
      </c>
      <c r="P365" s="63">
        <f t="shared" ref="P365" ca="1" si="472">$N359*X369</f>
        <v>0</v>
      </c>
      <c r="Q365" s="63">
        <f t="shared" ref="Q365" ca="1" si="473">$N359*Y369</f>
        <v>0</v>
      </c>
      <c r="R365" s="63">
        <f t="shared" ref="R365" ca="1" si="474">$N359*Z369</f>
        <v>0</v>
      </c>
      <c r="S365" s="63">
        <f t="shared" ref="S365" ca="1" si="475">$N359*AA369</f>
        <v>0</v>
      </c>
      <c r="U365" s="582" t="s">
        <v>1158</v>
      </c>
      <c r="V365" s="581">
        <f>IF($N362&gt;=V363,V363,N362)</f>
        <v>0</v>
      </c>
      <c r="W365" s="581">
        <f>IF(V366&gt;=W363,W363,V366)</f>
        <v>0</v>
      </c>
      <c r="X365" s="581">
        <f>IF(W366&gt;=X363,X363,W366)</f>
        <v>0</v>
      </c>
      <c r="Y365" s="581">
        <f>IF(X366&gt;=Y363,Y363,X366)</f>
        <v>0</v>
      </c>
      <c r="Z365" s="581">
        <f>IF(Y366&gt;=Z363,Z363,Y366)</f>
        <v>0</v>
      </c>
      <c r="AA365" s="581">
        <f>IF(Z366&gt;=AA363,AA363,Z366)</f>
        <v>0</v>
      </c>
    </row>
    <row r="366" spans="3:27" s="416" customFormat="1" hidden="1" outlineLevel="1" x14ac:dyDescent="0.2">
      <c r="E366" s="589" t="s">
        <v>1208</v>
      </c>
      <c r="F366" s="130"/>
      <c r="G366" s="63">
        <f ca="1">$G359*V368</f>
        <v>0</v>
      </c>
      <c r="H366" s="63">
        <f t="shared" ref="H366" ca="1" si="476">$G359*W368</f>
        <v>0</v>
      </c>
      <c r="I366" s="63">
        <f t="shared" ref="I366" ca="1" si="477">$G359*X368</f>
        <v>0</v>
      </c>
      <c r="J366" s="63">
        <f t="shared" ref="J366" ca="1" si="478">$G359*Y368</f>
        <v>0</v>
      </c>
      <c r="K366" s="63">
        <f t="shared" ref="K366" ca="1" si="479">$G359*Z368</f>
        <v>0</v>
      </c>
      <c r="L366" s="243"/>
      <c r="M366" s="589" t="s">
        <v>1208</v>
      </c>
      <c r="N366" s="130"/>
      <c r="O366" s="63">
        <f ca="1">$O359*V369</f>
        <v>0</v>
      </c>
      <c r="P366" s="63">
        <f t="shared" ref="P366" ca="1" si="480">$O359*W369</f>
        <v>0</v>
      </c>
      <c r="Q366" s="63">
        <f t="shared" ref="Q366" ca="1" si="481">$O359*X369</f>
        <v>0</v>
      </c>
      <c r="R366" s="63">
        <f t="shared" ref="R366" ca="1" si="482">$O359*Y369</f>
        <v>0</v>
      </c>
      <c r="S366" s="63">
        <f t="shared" ref="S366" ca="1" si="483">$O359*Z369</f>
        <v>0</v>
      </c>
      <c r="U366" s="582" t="s">
        <v>1159</v>
      </c>
      <c r="V366" s="579">
        <f>$N362-V365</f>
        <v>0</v>
      </c>
      <c r="W366" s="579">
        <f>$N362-SUM($V365:W365)</f>
        <v>0</v>
      </c>
      <c r="X366" s="579">
        <f>$N362-SUM($V365:X365)</f>
        <v>0</v>
      </c>
      <c r="Y366" s="579">
        <f>$N362-SUM($V365:Y365)</f>
        <v>0</v>
      </c>
      <c r="Z366" s="579">
        <f>$N362-SUM($V365:Z365)</f>
        <v>0</v>
      </c>
      <c r="AA366" s="579">
        <f>$N362-SUM($V365:AA365)</f>
        <v>0</v>
      </c>
    </row>
    <row r="367" spans="3:27" s="416" customFormat="1" hidden="1" outlineLevel="1" x14ac:dyDescent="0.2">
      <c r="E367" s="589" t="s">
        <v>1209</v>
      </c>
      <c r="F367" s="130"/>
      <c r="G367" s="130"/>
      <c r="H367" s="63">
        <f ca="1">$H359*V368</f>
        <v>0</v>
      </c>
      <c r="I367" s="63">
        <f t="shared" ref="I367" ca="1" si="484">$H359*W368</f>
        <v>0</v>
      </c>
      <c r="J367" s="63">
        <f t="shared" ref="J367" ca="1" si="485">$H359*X368</f>
        <v>0</v>
      </c>
      <c r="K367" s="63">
        <f t="shared" ref="K367" ca="1" si="486">$H359*Y368</f>
        <v>0</v>
      </c>
      <c r="L367" s="243"/>
      <c r="M367" s="589" t="s">
        <v>1209</v>
      </c>
      <c r="N367" s="130"/>
      <c r="O367" s="130"/>
      <c r="P367" s="63">
        <f ca="1">$P359*V369</f>
        <v>0</v>
      </c>
      <c r="Q367" s="63">
        <f t="shared" ref="Q367" ca="1" si="487">$P359*W369</f>
        <v>0</v>
      </c>
      <c r="R367" s="63">
        <f t="shared" ref="R367" ca="1" si="488">$P359*X369</f>
        <v>0</v>
      </c>
      <c r="S367" s="63">
        <f t="shared" ref="S367" ca="1" si="489">$P359*Y369</f>
        <v>0</v>
      </c>
      <c r="U367" s="583"/>
      <c r="V367" s="584"/>
      <c r="W367" s="583"/>
      <c r="X367" s="583"/>
      <c r="Y367" s="583"/>
      <c r="Z367" s="583"/>
      <c r="AA367" s="525"/>
    </row>
    <row r="368" spans="3:27" s="416" customFormat="1" hidden="1" outlineLevel="1" x14ac:dyDescent="0.2">
      <c r="E368" s="589" t="s">
        <v>1210</v>
      </c>
      <c r="F368" s="130"/>
      <c r="G368" s="130"/>
      <c r="H368" s="130"/>
      <c r="I368" s="63">
        <f ca="1">$I359*V368</f>
        <v>0</v>
      </c>
      <c r="J368" s="63">
        <f t="shared" ref="J368" ca="1" si="490">$I359*W368</f>
        <v>0</v>
      </c>
      <c r="K368" s="63">
        <f t="shared" ref="K368" ca="1" si="491">$I359*X368</f>
        <v>0</v>
      </c>
      <c r="L368" s="243"/>
      <c r="M368" s="589" t="s">
        <v>1210</v>
      </c>
      <c r="N368" s="130"/>
      <c r="O368" s="130"/>
      <c r="P368" s="130"/>
      <c r="Q368" s="63">
        <f ca="1">$Q359*V369</f>
        <v>0</v>
      </c>
      <c r="R368" s="63">
        <f t="shared" ref="R368" ca="1" si="492">$Q359*W369</f>
        <v>0</v>
      </c>
      <c r="S368" s="63">
        <f t="shared" ref="S368" ca="1" si="493">$Q359*X369</f>
        <v>0</v>
      </c>
      <c r="U368" s="580" t="s">
        <v>1156</v>
      </c>
      <c r="V368" s="585">
        <f t="shared" ref="V368:AA368" si="494">IFERROR(V362/$W371,0)</f>
        <v>0</v>
      </c>
      <c r="W368" s="585">
        <f t="shared" si="494"/>
        <v>0</v>
      </c>
      <c r="X368" s="585">
        <f t="shared" si="494"/>
        <v>0</v>
      </c>
      <c r="Y368" s="585">
        <f t="shared" si="494"/>
        <v>0</v>
      </c>
      <c r="Z368" s="585">
        <f t="shared" si="494"/>
        <v>0</v>
      </c>
      <c r="AA368" s="585">
        <f t="shared" si="494"/>
        <v>0</v>
      </c>
    </row>
    <row r="369" spans="2:27" s="416" customFormat="1" hidden="1" outlineLevel="1" x14ac:dyDescent="0.2">
      <c r="E369" s="589" t="s">
        <v>1211</v>
      </c>
      <c r="F369" s="130"/>
      <c r="G369" s="130"/>
      <c r="H369" s="130"/>
      <c r="I369" s="130"/>
      <c r="J369" s="63">
        <f ca="1">$J359*V368</f>
        <v>0</v>
      </c>
      <c r="K369" s="63">
        <f ca="1">$J359*W368</f>
        <v>0</v>
      </c>
      <c r="L369" s="243"/>
      <c r="M369" s="589" t="s">
        <v>1211</v>
      </c>
      <c r="N369" s="130"/>
      <c r="O369" s="130"/>
      <c r="P369" s="130"/>
      <c r="Q369" s="130"/>
      <c r="R369" s="63">
        <f ca="1">$R359*V369</f>
        <v>0</v>
      </c>
      <c r="S369" s="63">
        <f ca="1">$R359*W369</f>
        <v>0</v>
      </c>
      <c r="U369" s="582" t="s">
        <v>1158</v>
      </c>
      <c r="V369" s="585">
        <f t="shared" ref="V369:AA369" si="495">IFERROR(V365/$W371,0)</f>
        <v>0</v>
      </c>
      <c r="W369" s="585">
        <f t="shared" si="495"/>
        <v>0</v>
      </c>
      <c r="X369" s="585">
        <f t="shared" si="495"/>
        <v>0</v>
      </c>
      <c r="Y369" s="585">
        <f t="shared" si="495"/>
        <v>0</v>
      </c>
      <c r="Z369" s="585">
        <f t="shared" si="495"/>
        <v>0</v>
      </c>
      <c r="AA369" s="585">
        <f t="shared" si="495"/>
        <v>0</v>
      </c>
    </row>
    <row r="370" spans="2:27" s="416" customFormat="1" hidden="1" outlineLevel="1" x14ac:dyDescent="0.2">
      <c r="E370" s="589" t="s">
        <v>1212</v>
      </c>
      <c r="F370" s="130"/>
      <c r="G370" s="130"/>
      <c r="H370" s="130"/>
      <c r="I370" s="130"/>
      <c r="J370" s="130"/>
      <c r="K370" s="63">
        <f ca="1">$K359*V368</f>
        <v>0</v>
      </c>
      <c r="L370" s="243"/>
      <c r="M370" s="589" t="s">
        <v>1212</v>
      </c>
      <c r="N370" s="130"/>
      <c r="O370" s="130"/>
      <c r="P370" s="130"/>
      <c r="Q370" s="130"/>
      <c r="R370" s="130"/>
      <c r="S370" s="63">
        <f ca="1">$S359*V369</f>
        <v>0</v>
      </c>
    </row>
    <row r="371" spans="2:27" s="416" customFormat="1" hidden="1" outlineLevel="1" x14ac:dyDescent="0.2">
      <c r="E371" s="590" t="str">
        <f>TxPhase1PxUnitsTx</f>
        <v/>
      </c>
      <c r="F371" s="591">
        <f ca="1">IF(F362&lt;&gt;"",SUM(F365:F370),F359)</f>
        <v>0</v>
      </c>
      <c r="G371" s="591">
        <f ca="1">IF(F362&lt;&gt;"",SUM(G365:G370),G359)</f>
        <v>0</v>
      </c>
      <c r="H371" s="591">
        <f ca="1">IF(F362&lt;&gt;"",SUM(H365:H370),H359)</f>
        <v>0</v>
      </c>
      <c r="I371" s="591">
        <f ca="1">IF(F362&lt;&gt;"",SUM(I365:I370),I359)</f>
        <v>0</v>
      </c>
      <c r="J371" s="591">
        <f ca="1">IF(F362&lt;&gt;"",SUM(J365:J370),J359)</f>
        <v>0</v>
      </c>
      <c r="K371" s="591">
        <f ca="1">IF(F362&lt;&gt;"",SUM(K365:K370),K359)</f>
        <v>0</v>
      </c>
      <c r="L371" s="243"/>
      <c r="M371" s="590" t="str">
        <f>TxPhase2PxUnitsTx</f>
        <v/>
      </c>
      <c r="N371" s="591">
        <f ca="1">IF(N362&lt;&gt;"",SUM(N365:N370),N359)</f>
        <v>0</v>
      </c>
      <c r="O371" s="591">
        <f ca="1">IF(N362&lt;&gt;"",SUM(O365:O370),O359)</f>
        <v>0</v>
      </c>
      <c r="P371" s="591">
        <f ca="1">IF(N362&lt;&gt;"",SUM(P365:P370),P359)</f>
        <v>0</v>
      </c>
      <c r="Q371" s="591">
        <f ca="1">IF(N362&lt;&gt;"",SUM(Q365:Q370),Q359)</f>
        <v>0</v>
      </c>
      <c r="R371" s="591">
        <f ca="1">IF(N362&lt;&gt;"",SUM(R365:R370),R359)</f>
        <v>0</v>
      </c>
      <c r="S371" s="591">
        <f ca="1">IF(N362&lt;&gt;"",SUM(S365:S370),S359)</f>
        <v>0</v>
      </c>
      <c r="U371" s="582" t="s">
        <v>1161</v>
      </c>
      <c r="V371" s="579">
        <f>IFERROR(VLOOKUP(G362,TimeUnitCode,2,FALSE),0)</f>
        <v>0</v>
      </c>
      <c r="W371" s="579">
        <f>IFERROR(INDEX(TimeUnitCount,V371,2),0)</f>
        <v>0</v>
      </c>
    </row>
    <row r="372" spans="2:27" s="416" customFormat="1" hidden="1" outlineLevel="1" x14ac:dyDescent="0.2">
      <c r="L372" s="615"/>
    </row>
    <row r="373" spans="2:27" s="416" customFormat="1" collapsed="1" x14ac:dyDescent="0.2"/>
    <row r="374" spans="2:27" s="416" customFormat="1" ht="15.75" x14ac:dyDescent="0.2">
      <c r="B374" s="475">
        <f>IF(F384+N384&gt;12,1,0)</f>
        <v>0</v>
      </c>
      <c r="C374" s="291">
        <f ca="1">IFERROR(INDEX(PxTxPhase1,$D379,7),0)</f>
        <v>0</v>
      </c>
      <c r="D374" s="573">
        <v>17</v>
      </c>
      <c r="E374" s="79" t="str">
        <f>IF(F378&lt;&gt;"",CONCATENATE("DTG ",D374,": ",H378,": ",N374),MsgNotUsed)</f>
        <v>** NOT USED **</v>
      </c>
      <c r="F374" s="132"/>
      <c r="G374" s="132"/>
      <c r="H374" s="132"/>
      <c r="I374" s="132"/>
      <c r="J374" s="134"/>
      <c r="K374" s="134"/>
      <c r="L374" s="134"/>
      <c r="M374" s="325"/>
      <c r="N374" s="637" t="str">
        <f>IF(AND(F384="",N384=""),"Full year",IF(AND(F384&lt;&gt;"",N384=""),CONCATENATE(F384," ",G384),IF(AND(F384="",N384&lt;&gt;""),CONCATENATE(N384," ",G384),CONCATENATE(F384," + ",N384," ",G384))))</f>
        <v>Full year</v>
      </c>
      <c r="O374" s="325"/>
      <c r="P374" s="325"/>
      <c r="Q374" s="325"/>
      <c r="R374" s="325"/>
      <c r="S374" s="325"/>
      <c r="T374" s="325"/>
      <c r="U374" s="325"/>
      <c r="V374" s="325"/>
      <c r="W374" s="325"/>
      <c r="X374" s="325"/>
      <c r="Y374" s="325"/>
      <c r="Z374" s="325"/>
      <c r="AA374" s="325"/>
    </row>
    <row r="375" spans="2:27" s="416" customFormat="1" hidden="1" outlineLevel="1" x14ac:dyDescent="0.2">
      <c r="C375" s="615"/>
      <c r="D375" s="615"/>
      <c r="E375" s="615"/>
      <c r="F375" s="624">
        <v>1</v>
      </c>
      <c r="G375" s="397">
        <v>2</v>
      </c>
      <c r="H375" s="397">
        <v>3</v>
      </c>
      <c r="I375" s="397">
        <v>4</v>
      </c>
      <c r="J375" s="397">
        <v>5</v>
      </c>
      <c r="K375" s="397">
        <v>6</v>
      </c>
      <c r="N375" s="397">
        <v>1</v>
      </c>
      <c r="O375" s="397">
        <v>2</v>
      </c>
      <c r="P375" s="397">
        <v>3</v>
      </c>
      <c r="Q375" s="397">
        <v>4</v>
      </c>
      <c r="R375" s="397">
        <v>5</v>
      </c>
      <c r="S375" s="397">
        <v>6</v>
      </c>
    </row>
    <row r="376" spans="2:27" s="416" customFormat="1" hidden="1" outlineLevel="1" x14ac:dyDescent="0.2">
      <c r="C376" s="243"/>
      <c r="D376" s="243"/>
      <c r="E376" s="162" t="s">
        <v>1206</v>
      </c>
      <c r="F376" s="615"/>
    </row>
    <row r="377" spans="2:27" s="416" customFormat="1" hidden="1" outlineLevel="1" x14ac:dyDescent="0.2">
      <c r="C377" s="243"/>
      <c r="D377" s="243"/>
      <c r="E377" s="616"/>
      <c r="F377" s="615"/>
      <c r="N377" s="615"/>
      <c r="O377" s="615"/>
      <c r="P377" s="615"/>
      <c r="Q377" s="615"/>
      <c r="R377" s="615"/>
      <c r="S377" s="615"/>
    </row>
    <row r="378" spans="2:27" s="416" customFormat="1" hidden="1" outlineLevel="1" x14ac:dyDescent="0.2">
      <c r="C378" s="291">
        <f>IF(F378&lt;&gt;"",MATCH(F378,PxTxSource,0)-1,0)</f>
        <v>0</v>
      </c>
      <c r="D378" s="291">
        <f ca="1">IF(H378&lt;&gt;"",MATCH(H378,OFFSET(References!$AE$23,0,C378,PxPopMaxCount),0),0)</f>
        <v>0</v>
      </c>
      <c r="E378" s="423" t="s">
        <v>113</v>
      </c>
      <c r="F378" s="613"/>
      <c r="H378" s="812"/>
      <c r="I378" s="813"/>
      <c r="J378" s="813"/>
      <c r="K378" s="813"/>
      <c r="L378" s="615"/>
      <c r="N378" s="806" t="str">
        <f ca="1">IF(ISERROR($D379)=TRUE,MsgError &amp; VLOOKUP("BadPop",ErrorMessages,2,FALSE),"")</f>
        <v/>
      </c>
      <c r="O378" s="806"/>
      <c r="P378" s="806"/>
      <c r="Q378" s="806"/>
      <c r="R378" s="806"/>
      <c r="S378" s="806"/>
    </row>
    <row r="379" spans="2:27" s="416" customFormat="1" hidden="1" outlineLevel="1" x14ac:dyDescent="0.2">
      <c r="C379" s="291">
        <f>INDEX(PxTxValid,,C378+1)</f>
        <v>0</v>
      </c>
      <c r="D379" s="291" t="str">
        <f ca="1">IF(AND(C378=0,D378=0),"",(C378*PxPopMaxCount)+D378)</f>
        <v/>
      </c>
      <c r="E379" s="243"/>
      <c r="L379" s="615"/>
      <c r="M379" s="615"/>
      <c r="N379" s="615"/>
      <c r="O379" s="615"/>
      <c r="P379" s="615"/>
      <c r="Q379" s="615"/>
      <c r="R379" s="615"/>
      <c r="S379" s="615"/>
    </row>
    <row r="380" spans="2:27" s="416" customFormat="1" hidden="1" outlineLevel="1" x14ac:dyDescent="0.2">
      <c r="C380" s="615"/>
      <c r="E380" s="495"/>
      <c r="F380" s="614">
        <f>FirstYear</f>
        <v>2021</v>
      </c>
      <c r="G380" s="614">
        <f>F380+1</f>
        <v>2022</v>
      </c>
      <c r="H380" s="614">
        <f>G380+1</f>
        <v>2023</v>
      </c>
      <c r="I380" s="614">
        <f>H380+1</f>
        <v>2024</v>
      </c>
      <c r="J380" s="614">
        <f>I380+1</f>
        <v>2025</v>
      </c>
      <c r="K380" s="614">
        <f>J380+1</f>
        <v>2026</v>
      </c>
      <c r="L380" s="243"/>
      <c r="N380" s="614">
        <f>FirstYear</f>
        <v>2021</v>
      </c>
      <c r="O380" s="614">
        <f>N380+1</f>
        <v>2022</v>
      </c>
      <c r="P380" s="614">
        <f>O380+1</f>
        <v>2023</v>
      </c>
      <c r="Q380" s="614">
        <f>P380+1</f>
        <v>2024</v>
      </c>
      <c r="R380" s="614">
        <f>Q380+1</f>
        <v>2025</v>
      </c>
      <c r="S380" s="614">
        <f>R380+1</f>
        <v>2026</v>
      </c>
    </row>
    <row r="381" spans="2:27" s="416" customFormat="1" hidden="1" outlineLevel="1" x14ac:dyDescent="0.2">
      <c r="E381" s="59" t="str">
        <f>TxPhase1Px</f>
        <v/>
      </c>
      <c r="F381" s="32">
        <f t="shared" ref="F381:K381" ca="1" si="496">IFERROR(INDEX(PxTxPhase1,$D379,F375),0)</f>
        <v>0</v>
      </c>
      <c r="G381" s="32">
        <f t="shared" ca="1" si="496"/>
        <v>0</v>
      </c>
      <c r="H381" s="32">
        <f t="shared" ca="1" si="496"/>
        <v>0</v>
      </c>
      <c r="I381" s="32">
        <f t="shared" ca="1" si="496"/>
        <v>0</v>
      </c>
      <c r="J381" s="32">
        <f t="shared" ca="1" si="496"/>
        <v>0</v>
      </c>
      <c r="K381" s="32">
        <f t="shared" ca="1" si="496"/>
        <v>0</v>
      </c>
      <c r="L381" s="243"/>
      <c r="M381" s="59" t="str">
        <f>TxPhase2Px</f>
        <v/>
      </c>
      <c r="N381" s="32">
        <f t="shared" ref="N381:S381" ca="1" si="497">IFERROR(INDEX(PxTxPhase2,$D379,N375),0)</f>
        <v>0</v>
      </c>
      <c r="O381" s="32">
        <f t="shared" ca="1" si="497"/>
        <v>0</v>
      </c>
      <c r="P381" s="32">
        <f t="shared" ca="1" si="497"/>
        <v>0</v>
      </c>
      <c r="Q381" s="32">
        <f t="shared" ca="1" si="497"/>
        <v>0</v>
      </c>
      <c r="R381" s="32">
        <f t="shared" ca="1" si="497"/>
        <v>0</v>
      </c>
      <c r="S381" s="32">
        <f t="shared" ca="1" si="497"/>
        <v>0</v>
      </c>
    </row>
    <row r="382" spans="2:27" s="416" customFormat="1" hidden="1" outlineLevel="1" x14ac:dyDescent="0.2">
      <c r="D382" s="615"/>
      <c r="E382" s="615"/>
      <c r="F382" s="615"/>
      <c r="G382" s="615"/>
      <c r="H382" s="615"/>
      <c r="I382" s="615"/>
      <c r="J382" s="615"/>
      <c r="K382" s="615"/>
      <c r="L382" s="243"/>
      <c r="M382" s="615"/>
      <c r="N382" s="615"/>
    </row>
    <row r="383" spans="2:27" s="416" customFormat="1" hidden="1" outlineLevel="1" x14ac:dyDescent="0.2">
      <c r="D383" s="615"/>
      <c r="E383" s="243"/>
      <c r="F383" s="243"/>
      <c r="G383" s="243"/>
      <c r="H383" s="243"/>
      <c r="I383" s="243"/>
      <c r="J383" s="243"/>
      <c r="K383" s="243"/>
      <c r="L383" s="243"/>
      <c r="M383" s="243"/>
      <c r="N383" s="615"/>
      <c r="U383" s="578"/>
      <c r="V383" s="579">
        <f>$W393*1</f>
        <v>0</v>
      </c>
      <c r="W383" s="579">
        <f>$W393*2</f>
        <v>0</v>
      </c>
      <c r="X383" s="579">
        <f>$W393*3</f>
        <v>0</v>
      </c>
      <c r="Y383" s="579">
        <f>$W393*4</f>
        <v>0</v>
      </c>
      <c r="Z383" s="579">
        <f>$W393*5</f>
        <v>0</v>
      </c>
      <c r="AA383" s="579">
        <f>$W393*6</f>
        <v>0</v>
      </c>
    </row>
    <row r="384" spans="2:27" s="416" customFormat="1" hidden="1" outlineLevel="1" x14ac:dyDescent="0.2">
      <c r="E384" s="433" t="s">
        <v>1160</v>
      </c>
      <c r="F384" s="586"/>
      <c r="G384" s="268"/>
      <c r="H384" s="621"/>
      <c r="I384" s="621"/>
      <c r="J384" s="621"/>
      <c r="K384" s="621"/>
      <c r="L384" s="243"/>
      <c r="M384" s="433" t="s">
        <v>1160</v>
      </c>
      <c r="N384" s="586"/>
      <c r="O384" s="587" t="str">
        <f>IF(G384&lt;&gt;"",G384,"")</f>
        <v/>
      </c>
      <c r="P384" s="525"/>
      <c r="Q384" s="525"/>
      <c r="R384" s="525"/>
      <c r="S384" s="525"/>
      <c r="U384" s="580" t="s">
        <v>1156</v>
      </c>
      <c r="V384" s="581">
        <f>IF($F384&gt;=V383,$W393,IF($F384&gt;0,$F384,0))</f>
        <v>0</v>
      </c>
      <c r="W384" s="581">
        <f>IF($F384&gt;=W383,$W$41,IF($F384&gt;V383,($F384-V383),0))</f>
        <v>0</v>
      </c>
      <c r="X384" s="581">
        <f>IF($F384&gt;=X383,$W$41,IF($F384&gt;W383,($F384-W383),0))</f>
        <v>0</v>
      </c>
      <c r="Y384" s="581">
        <f>IF($F384&gt;=Y383,$W$41,IF($F384&gt;X383,($F384-X383),0))</f>
        <v>0</v>
      </c>
      <c r="Z384" s="581">
        <f>IF($F384&gt;=Z383,$W$41,IF($F384&gt;Y383,($F384-Y383),0))</f>
        <v>0</v>
      </c>
      <c r="AA384" s="581">
        <f>IF($F384&gt;=AA383,$W$41,IF($F384&gt;Z383,($F384-Z383),0))</f>
        <v>0</v>
      </c>
    </row>
    <row r="385" spans="2:27" s="416" customFormat="1" hidden="1" outlineLevel="1" x14ac:dyDescent="0.2">
      <c r="D385" s="615"/>
      <c r="E385" s="622"/>
      <c r="F385" s="622"/>
      <c r="G385" s="583"/>
      <c r="H385" s="622"/>
      <c r="I385" s="622"/>
      <c r="J385" s="622"/>
      <c r="K385" s="622"/>
      <c r="L385" s="243"/>
      <c r="M385" s="617"/>
      <c r="N385" s="618"/>
      <c r="O385" s="618"/>
      <c r="P385" s="618"/>
      <c r="Q385" s="618"/>
      <c r="R385" s="618"/>
      <c r="S385" s="618"/>
      <c r="U385" s="582" t="s">
        <v>1157</v>
      </c>
      <c r="V385" s="579">
        <f t="shared" ref="V385:AA385" si="498">IF(V384&gt;0,$W393-V384,$W393)</f>
        <v>0</v>
      </c>
      <c r="W385" s="579">
        <f t="shared" si="498"/>
        <v>0</v>
      </c>
      <c r="X385" s="579">
        <f t="shared" si="498"/>
        <v>0</v>
      </c>
      <c r="Y385" s="579">
        <f t="shared" si="498"/>
        <v>0</v>
      </c>
      <c r="Z385" s="579">
        <f t="shared" si="498"/>
        <v>0</v>
      </c>
      <c r="AA385" s="579">
        <f t="shared" si="498"/>
        <v>0</v>
      </c>
    </row>
    <row r="386" spans="2:27" s="416" customFormat="1" hidden="1" outlineLevel="1" x14ac:dyDescent="0.2">
      <c r="D386" s="615"/>
      <c r="E386" s="617" t="str">
        <f>E381</f>
        <v/>
      </c>
      <c r="F386" s="623"/>
      <c r="G386" s="588"/>
      <c r="H386" s="623"/>
      <c r="I386" s="623"/>
      <c r="J386" s="623"/>
      <c r="K386" s="623"/>
      <c r="L386" s="243"/>
      <c r="M386" s="617" t="str">
        <f>M381</f>
        <v/>
      </c>
      <c r="N386" s="619"/>
      <c r="O386" s="620"/>
      <c r="P386" s="620"/>
      <c r="Q386" s="620"/>
      <c r="R386" s="620"/>
      <c r="S386" s="620"/>
      <c r="U386" s="525"/>
      <c r="V386" s="525"/>
      <c r="W386" s="525"/>
      <c r="X386" s="525"/>
      <c r="Y386" s="525"/>
      <c r="Z386" s="525"/>
      <c r="AA386" s="525"/>
    </row>
    <row r="387" spans="2:27" s="416" customFormat="1" hidden="1" outlineLevel="1" x14ac:dyDescent="0.2">
      <c r="E387" s="589" t="s">
        <v>1207</v>
      </c>
      <c r="F387" s="63">
        <f ca="1">$F381*V390</f>
        <v>0</v>
      </c>
      <c r="G387" s="63">
        <f t="shared" ref="G387" ca="1" si="499">$F381*W390</f>
        <v>0</v>
      </c>
      <c r="H387" s="63">
        <f t="shared" ref="H387" ca="1" si="500">$F381*X390</f>
        <v>0</v>
      </c>
      <c r="I387" s="63">
        <f t="shared" ref="I387" ca="1" si="501">$F381*Y390</f>
        <v>0</v>
      </c>
      <c r="J387" s="63">
        <f t="shared" ref="J387" ca="1" si="502">$F381*Z390</f>
        <v>0</v>
      </c>
      <c r="K387" s="63">
        <f t="shared" ref="K387" ca="1" si="503">$F381*AA390</f>
        <v>0</v>
      </c>
      <c r="L387" s="243"/>
      <c r="M387" s="589" t="s">
        <v>1207</v>
      </c>
      <c r="N387" s="63">
        <f ca="1">$N381*V391</f>
        <v>0</v>
      </c>
      <c r="O387" s="63">
        <f ca="1">$N381*W391</f>
        <v>0</v>
      </c>
      <c r="P387" s="63">
        <f t="shared" ref="P387" ca="1" si="504">$N381*X391</f>
        <v>0</v>
      </c>
      <c r="Q387" s="63">
        <f t="shared" ref="Q387" ca="1" si="505">$N381*Y391</f>
        <v>0</v>
      </c>
      <c r="R387" s="63">
        <f t="shared" ref="R387" ca="1" si="506">$N381*Z391</f>
        <v>0</v>
      </c>
      <c r="S387" s="63">
        <f t="shared" ref="S387" ca="1" si="507">$N381*AA391</f>
        <v>0</v>
      </c>
      <c r="U387" s="582" t="s">
        <v>1158</v>
      </c>
      <c r="V387" s="581">
        <f>IF($N384&gt;=V385,V385,N384)</f>
        <v>0</v>
      </c>
      <c r="W387" s="581">
        <f>IF(V388&gt;=W385,W385,V388)</f>
        <v>0</v>
      </c>
      <c r="X387" s="581">
        <f>IF(W388&gt;=X385,X385,W388)</f>
        <v>0</v>
      </c>
      <c r="Y387" s="581">
        <f>IF(X388&gt;=Y385,Y385,X388)</f>
        <v>0</v>
      </c>
      <c r="Z387" s="581">
        <f>IF(Y388&gt;=Z385,Z385,Y388)</f>
        <v>0</v>
      </c>
      <c r="AA387" s="581">
        <f>IF(Z388&gt;=AA385,AA385,Z388)</f>
        <v>0</v>
      </c>
    </row>
    <row r="388" spans="2:27" s="416" customFormat="1" hidden="1" outlineLevel="1" x14ac:dyDescent="0.2">
      <c r="E388" s="589" t="s">
        <v>1208</v>
      </c>
      <c r="F388" s="130"/>
      <c r="G388" s="63">
        <f ca="1">$G381*V390</f>
        <v>0</v>
      </c>
      <c r="H388" s="63">
        <f t="shared" ref="H388" ca="1" si="508">$G381*W390</f>
        <v>0</v>
      </c>
      <c r="I388" s="63">
        <f t="shared" ref="I388" ca="1" si="509">$G381*X390</f>
        <v>0</v>
      </c>
      <c r="J388" s="63">
        <f t="shared" ref="J388" ca="1" si="510">$G381*Y390</f>
        <v>0</v>
      </c>
      <c r="K388" s="63">
        <f t="shared" ref="K388" ca="1" si="511">$G381*Z390</f>
        <v>0</v>
      </c>
      <c r="L388" s="243"/>
      <c r="M388" s="589" t="s">
        <v>1208</v>
      </c>
      <c r="N388" s="130"/>
      <c r="O388" s="63">
        <f ca="1">$O381*V391</f>
        <v>0</v>
      </c>
      <c r="P388" s="63">
        <f t="shared" ref="P388" ca="1" si="512">$O381*W391</f>
        <v>0</v>
      </c>
      <c r="Q388" s="63">
        <f t="shared" ref="Q388" ca="1" si="513">$O381*X391</f>
        <v>0</v>
      </c>
      <c r="R388" s="63">
        <f t="shared" ref="R388" ca="1" si="514">$O381*Y391</f>
        <v>0</v>
      </c>
      <c r="S388" s="63">
        <f t="shared" ref="S388" ca="1" si="515">$O381*Z391</f>
        <v>0</v>
      </c>
      <c r="U388" s="582" t="s">
        <v>1159</v>
      </c>
      <c r="V388" s="579">
        <f>$N384-V387</f>
        <v>0</v>
      </c>
      <c r="W388" s="579">
        <f>$N384-SUM($V387:W387)</f>
        <v>0</v>
      </c>
      <c r="X388" s="579">
        <f>$N384-SUM($V387:X387)</f>
        <v>0</v>
      </c>
      <c r="Y388" s="579">
        <f>$N384-SUM($V387:Y387)</f>
        <v>0</v>
      </c>
      <c r="Z388" s="579">
        <f>$N384-SUM($V387:Z387)</f>
        <v>0</v>
      </c>
      <c r="AA388" s="579">
        <f>$N384-SUM($V387:AA387)</f>
        <v>0</v>
      </c>
    </row>
    <row r="389" spans="2:27" s="416" customFormat="1" hidden="1" outlineLevel="1" x14ac:dyDescent="0.2">
      <c r="E389" s="589" t="s">
        <v>1209</v>
      </c>
      <c r="F389" s="130"/>
      <c r="G389" s="130"/>
      <c r="H389" s="63">
        <f ca="1">$H381*V390</f>
        <v>0</v>
      </c>
      <c r="I389" s="63">
        <f t="shared" ref="I389" ca="1" si="516">$H381*W390</f>
        <v>0</v>
      </c>
      <c r="J389" s="63">
        <f t="shared" ref="J389" ca="1" si="517">$H381*X390</f>
        <v>0</v>
      </c>
      <c r="K389" s="63">
        <f t="shared" ref="K389" ca="1" si="518">$H381*Y390</f>
        <v>0</v>
      </c>
      <c r="L389" s="243"/>
      <c r="M389" s="589" t="s">
        <v>1209</v>
      </c>
      <c r="N389" s="130"/>
      <c r="O389" s="130"/>
      <c r="P389" s="63">
        <f ca="1">$P381*V391</f>
        <v>0</v>
      </c>
      <c r="Q389" s="63">
        <f t="shared" ref="Q389" ca="1" si="519">$P381*W391</f>
        <v>0</v>
      </c>
      <c r="R389" s="63">
        <f t="shared" ref="R389" ca="1" si="520">$P381*X391</f>
        <v>0</v>
      </c>
      <c r="S389" s="63">
        <f t="shared" ref="S389" ca="1" si="521">$P381*Y391</f>
        <v>0</v>
      </c>
      <c r="U389" s="583"/>
      <c r="V389" s="584"/>
      <c r="W389" s="583"/>
      <c r="X389" s="583"/>
      <c r="Y389" s="583"/>
      <c r="Z389" s="583"/>
      <c r="AA389" s="525"/>
    </row>
    <row r="390" spans="2:27" s="416" customFormat="1" hidden="1" outlineLevel="1" x14ac:dyDescent="0.2">
      <c r="E390" s="589" t="s">
        <v>1210</v>
      </c>
      <c r="F390" s="130"/>
      <c r="G390" s="130"/>
      <c r="H390" s="130"/>
      <c r="I390" s="63">
        <f ca="1">$I381*V390</f>
        <v>0</v>
      </c>
      <c r="J390" s="63">
        <f t="shared" ref="J390" ca="1" si="522">$I381*W390</f>
        <v>0</v>
      </c>
      <c r="K390" s="63">
        <f t="shared" ref="K390" ca="1" si="523">$I381*X390</f>
        <v>0</v>
      </c>
      <c r="L390" s="243"/>
      <c r="M390" s="589" t="s">
        <v>1210</v>
      </c>
      <c r="N390" s="130"/>
      <c r="O390" s="130"/>
      <c r="P390" s="130"/>
      <c r="Q390" s="63">
        <f ca="1">$Q381*V391</f>
        <v>0</v>
      </c>
      <c r="R390" s="63">
        <f t="shared" ref="R390" ca="1" si="524">$Q381*W391</f>
        <v>0</v>
      </c>
      <c r="S390" s="63">
        <f t="shared" ref="S390" ca="1" si="525">$Q381*X391</f>
        <v>0</v>
      </c>
      <c r="U390" s="580" t="s">
        <v>1156</v>
      </c>
      <c r="V390" s="585">
        <f t="shared" ref="V390:AA390" si="526">IFERROR(V384/$W393,0)</f>
        <v>0</v>
      </c>
      <c r="W390" s="585">
        <f t="shared" si="526"/>
        <v>0</v>
      </c>
      <c r="X390" s="585">
        <f t="shared" si="526"/>
        <v>0</v>
      </c>
      <c r="Y390" s="585">
        <f t="shared" si="526"/>
        <v>0</v>
      </c>
      <c r="Z390" s="585">
        <f t="shared" si="526"/>
        <v>0</v>
      </c>
      <c r="AA390" s="585">
        <f t="shared" si="526"/>
        <v>0</v>
      </c>
    </row>
    <row r="391" spans="2:27" s="416" customFormat="1" hidden="1" outlineLevel="1" x14ac:dyDescent="0.2">
      <c r="E391" s="589" t="s">
        <v>1211</v>
      </c>
      <c r="F391" s="130"/>
      <c r="G391" s="130"/>
      <c r="H391" s="130"/>
      <c r="I391" s="130"/>
      <c r="J391" s="63">
        <f ca="1">$J381*V390</f>
        <v>0</v>
      </c>
      <c r="K391" s="63">
        <f ca="1">$J381*W390</f>
        <v>0</v>
      </c>
      <c r="L391" s="243"/>
      <c r="M391" s="589" t="s">
        <v>1211</v>
      </c>
      <c r="N391" s="130"/>
      <c r="O391" s="130"/>
      <c r="P391" s="130"/>
      <c r="Q391" s="130"/>
      <c r="R391" s="63">
        <f ca="1">$R381*V391</f>
        <v>0</v>
      </c>
      <c r="S391" s="63">
        <f ca="1">$R381*W391</f>
        <v>0</v>
      </c>
      <c r="U391" s="582" t="s">
        <v>1158</v>
      </c>
      <c r="V391" s="585">
        <f t="shared" ref="V391:AA391" si="527">IFERROR(V387/$W393,0)</f>
        <v>0</v>
      </c>
      <c r="W391" s="585">
        <f t="shared" si="527"/>
        <v>0</v>
      </c>
      <c r="X391" s="585">
        <f t="shared" si="527"/>
        <v>0</v>
      </c>
      <c r="Y391" s="585">
        <f t="shared" si="527"/>
        <v>0</v>
      </c>
      <c r="Z391" s="585">
        <f t="shared" si="527"/>
        <v>0</v>
      </c>
      <c r="AA391" s="585">
        <f t="shared" si="527"/>
        <v>0</v>
      </c>
    </row>
    <row r="392" spans="2:27" s="416" customFormat="1" hidden="1" outlineLevel="1" x14ac:dyDescent="0.2">
      <c r="E392" s="589" t="s">
        <v>1212</v>
      </c>
      <c r="F392" s="130"/>
      <c r="G392" s="130"/>
      <c r="H392" s="130"/>
      <c r="I392" s="130"/>
      <c r="J392" s="130"/>
      <c r="K392" s="63">
        <f ca="1">$K381*V390</f>
        <v>0</v>
      </c>
      <c r="L392" s="243"/>
      <c r="M392" s="589" t="s">
        <v>1212</v>
      </c>
      <c r="N392" s="130"/>
      <c r="O392" s="130"/>
      <c r="P392" s="130"/>
      <c r="Q392" s="130"/>
      <c r="R392" s="130"/>
      <c r="S392" s="63">
        <f ca="1">$S381*V391</f>
        <v>0</v>
      </c>
    </row>
    <row r="393" spans="2:27" s="416" customFormat="1" hidden="1" outlineLevel="1" x14ac:dyDescent="0.2">
      <c r="E393" s="590" t="str">
        <f>TxPhase1PxUnitsTx</f>
        <v/>
      </c>
      <c r="F393" s="591">
        <f ca="1">IF(F384&lt;&gt;"",SUM(F387:F392),F381)</f>
        <v>0</v>
      </c>
      <c r="G393" s="591">
        <f ca="1">IF(F384&lt;&gt;"",SUM(G387:G392),G381)</f>
        <v>0</v>
      </c>
      <c r="H393" s="591">
        <f ca="1">IF(F384&lt;&gt;"",SUM(H387:H392),H381)</f>
        <v>0</v>
      </c>
      <c r="I393" s="591">
        <f ca="1">IF(F384&lt;&gt;"",SUM(I387:I392),I381)</f>
        <v>0</v>
      </c>
      <c r="J393" s="591">
        <f ca="1">IF(F384&lt;&gt;"",SUM(J387:J392),J381)</f>
        <v>0</v>
      </c>
      <c r="K393" s="591">
        <f ca="1">IF(F384&lt;&gt;"",SUM(K387:K392),K381)</f>
        <v>0</v>
      </c>
      <c r="L393" s="243"/>
      <c r="M393" s="590" t="str">
        <f>TxPhase2PxUnitsTx</f>
        <v/>
      </c>
      <c r="N393" s="591">
        <f ca="1">IF(N384&lt;&gt;"",SUM(N387:N392),N381)</f>
        <v>0</v>
      </c>
      <c r="O393" s="591">
        <f ca="1">IF(N384&lt;&gt;"",SUM(O387:O392),O381)</f>
        <v>0</v>
      </c>
      <c r="P393" s="591">
        <f ca="1">IF(N384&lt;&gt;"",SUM(P387:P392),P381)</f>
        <v>0</v>
      </c>
      <c r="Q393" s="591">
        <f ca="1">IF(N384&lt;&gt;"",SUM(Q387:Q392),Q381)</f>
        <v>0</v>
      </c>
      <c r="R393" s="591">
        <f ca="1">IF(N384&lt;&gt;"",SUM(R387:R392),R381)</f>
        <v>0</v>
      </c>
      <c r="S393" s="591">
        <f ca="1">IF(N384&lt;&gt;"",SUM(S387:S392),S381)</f>
        <v>0</v>
      </c>
      <c r="U393" s="582" t="s">
        <v>1161</v>
      </c>
      <c r="V393" s="579">
        <f>IFERROR(VLOOKUP(G384,TimeUnitCode,2,FALSE),0)</f>
        <v>0</v>
      </c>
      <c r="W393" s="579">
        <f>IFERROR(INDEX(TimeUnitCount,V393,2),0)</f>
        <v>0</v>
      </c>
    </row>
    <row r="394" spans="2:27" s="416" customFormat="1" hidden="1" outlineLevel="1" x14ac:dyDescent="0.2"/>
    <row r="395" spans="2:27" s="416" customFormat="1" collapsed="1" x14ac:dyDescent="0.2"/>
    <row r="396" spans="2:27" s="416" customFormat="1" ht="15.75" x14ac:dyDescent="0.2">
      <c r="B396" s="475">
        <f>IF(F406+N406&gt;12,1,0)</f>
        <v>0</v>
      </c>
      <c r="C396" s="291">
        <f ca="1">IFERROR(INDEX(PxTxPhase1,$D401,7),0)</f>
        <v>0</v>
      </c>
      <c r="D396" s="573">
        <v>18</v>
      </c>
      <c r="E396" s="79" t="str">
        <f>IF(F400&lt;&gt;"",CONCATENATE("DTG ",D396,": ",H400,": ",N396),MsgNotUsed)</f>
        <v>** NOT USED **</v>
      </c>
      <c r="F396" s="132"/>
      <c r="G396" s="132"/>
      <c r="H396" s="132"/>
      <c r="I396" s="132"/>
      <c r="J396" s="134"/>
      <c r="K396" s="134"/>
      <c r="L396" s="134"/>
      <c r="M396" s="325"/>
      <c r="N396" s="637" t="str">
        <f>IF(AND(F406="",N406=""),"Full year",IF(AND(F406&lt;&gt;"",N406=""),CONCATENATE(F406," ",G406),IF(AND(F406="",N406&lt;&gt;""),CONCATENATE(N406," ",G406),CONCATENATE(F406," + ",N406," ",G406))))</f>
        <v>Full year</v>
      </c>
      <c r="O396" s="325"/>
      <c r="P396" s="325"/>
      <c r="Q396" s="325"/>
      <c r="R396" s="325"/>
      <c r="S396" s="325"/>
      <c r="T396" s="325"/>
      <c r="U396" s="325"/>
      <c r="V396" s="325"/>
      <c r="W396" s="325"/>
      <c r="X396" s="325"/>
      <c r="Y396" s="325"/>
      <c r="Z396" s="325"/>
      <c r="AA396" s="325"/>
    </row>
    <row r="397" spans="2:27" s="416" customFormat="1" hidden="1" outlineLevel="1" x14ac:dyDescent="0.2">
      <c r="C397" s="615"/>
      <c r="D397" s="615"/>
      <c r="E397" s="615"/>
      <c r="F397" s="624">
        <v>1</v>
      </c>
      <c r="G397" s="397">
        <v>2</v>
      </c>
      <c r="H397" s="397">
        <v>3</v>
      </c>
      <c r="I397" s="397">
        <v>4</v>
      </c>
      <c r="J397" s="397">
        <v>5</v>
      </c>
      <c r="K397" s="397">
        <v>6</v>
      </c>
      <c r="N397" s="397">
        <v>1</v>
      </c>
      <c r="O397" s="397">
        <v>2</v>
      </c>
      <c r="P397" s="397">
        <v>3</v>
      </c>
      <c r="Q397" s="397">
        <v>4</v>
      </c>
      <c r="R397" s="397">
        <v>5</v>
      </c>
      <c r="S397" s="397">
        <v>6</v>
      </c>
    </row>
    <row r="398" spans="2:27" s="416" customFormat="1" hidden="1" outlineLevel="1" x14ac:dyDescent="0.2">
      <c r="C398" s="243"/>
      <c r="D398" s="243"/>
      <c r="E398" s="162" t="s">
        <v>1206</v>
      </c>
      <c r="F398" s="615"/>
    </row>
    <row r="399" spans="2:27" s="416" customFormat="1" hidden="1" outlineLevel="1" x14ac:dyDescent="0.2">
      <c r="C399" s="243"/>
      <c r="D399" s="243"/>
      <c r="E399" s="616"/>
      <c r="F399" s="615"/>
      <c r="N399" s="615"/>
      <c r="O399" s="615"/>
      <c r="P399" s="615"/>
      <c r="Q399" s="615"/>
      <c r="R399" s="615"/>
      <c r="S399" s="615"/>
    </row>
    <row r="400" spans="2:27" s="416" customFormat="1" hidden="1" outlineLevel="1" x14ac:dyDescent="0.2">
      <c r="C400" s="291">
        <f>IF(F400&lt;&gt;"",MATCH(F400,PxTxSource,0)-1,0)</f>
        <v>0</v>
      </c>
      <c r="D400" s="291">
        <f ca="1">IF(H400&lt;&gt;"",MATCH(H400,OFFSET(References!$AE$23,0,C400,PxPopMaxCount),0),0)</f>
        <v>0</v>
      </c>
      <c r="E400" s="423" t="s">
        <v>113</v>
      </c>
      <c r="F400" s="613"/>
      <c r="H400" s="812"/>
      <c r="I400" s="813"/>
      <c r="J400" s="813"/>
      <c r="K400" s="813"/>
      <c r="L400" s="615"/>
      <c r="N400" s="806" t="str">
        <f ca="1">IF(ISERROR($D401)=TRUE,MsgError &amp; VLOOKUP("BadPop",ErrorMessages,2,FALSE),"")</f>
        <v/>
      </c>
      <c r="O400" s="806"/>
      <c r="P400" s="806"/>
      <c r="Q400" s="806"/>
      <c r="R400" s="806"/>
      <c r="S400" s="806"/>
    </row>
    <row r="401" spans="3:27" s="416" customFormat="1" hidden="1" outlineLevel="1" x14ac:dyDescent="0.2">
      <c r="C401" s="291">
        <f>INDEX(PxTxValid,,C400+1)</f>
        <v>0</v>
      </c>
      <c r="D401" s="291" t="str">
        <f ca="1">IF(AND(C400=0,D400=0),"",(C400*PxPopMaxCount)+D400)</f>
        <v/>
      </c>
      <c r="E401" s="243"/>
      <c r="L401" s="615"/>
      <c r="M401" s="615"/>
      <c r="N401" s="615"/>
      <c r="O401" s="615"/>
      <c r="P401" s="615"/>
      <c r="Q401" s="615"/>
      <c r="R401" s="615"/>
      <c r="S401" s="615"/>
    </row>
    <row r="402" spans="3:27" s="416" customFormat="1" hidden="1" outlineLevel="1" x14ac:dyDescent="0.2">
      <c r="C402" s="615"/>
      <c r="E402" s="495"/>
      <c r="F402" s="614">
        <f>FirstYear</f>
        <v>2021</v>
      </c>
      <c r="G402" s="614">
        <f>F402+1</f>
        <v>2022</v>
      </c>
      <c r="H402" s="614">
        <f>G402+1</f>
        <v>2023</v>
      </c>
      <c r="I402" s="614">
        <f>H402+1</f>
        <v>2024</v>
      </c>
      <c r="J402" s="614">
        <f>I402+1</f>
        <v>2025</v>
      </c>
      <c r="K402" s="614">
        <f>J402+1</f>
        <v>2026</v>
      </c>
      <c r="L402" s="243"/>
      <c r="N402" s="614">
        <f>FirstYear</f>
        <v>2021</v>
      </c>
      <c r="O402" s="614">
        <f>N402+1</f>
        <v>2022</v>
      </c>
      <c r="P402" s="614">
        <f>O402+1</f>
        <v>2023</v>
      </c>
      <c r="Q402" s="614">
        <f>P402+1</f>
        <v>2024</v>
      </c>
      <c r="R402" s="614">
        <f>Q402+1</f>
        <v>2025</v>
      </c>
      <c r="S402" s="614">
        <f>R402+1</f>
        <v>2026</v>
      </c>
    </row>
    <row r="403" spans="3:27" s="416" customFormat="1" hidden="1" outlineLevel="1" x14ac:dyDescent="0.2">
      <c r="E403" s="59" t="str">
        <f>TxPhase1Px</f>
        <v/>
      </c>
      <c r="F403" s="32">
        <f t="shared" ref="F403:K403" ca="1" si="528">IFERROR(INDEX(PxTxPhase1,$D401,F397),0)</f>
        <v>0</v>
      </c>
      <c r="G403" s="32">
        <f t="shared" ca="1" si="528"/>
        <v>0</v>
      </c>
      <c r="H403" s="32">
        <f t="shared" ca="1" si="528"/>
        <v>0</v>
      </c>
      <c r="I403" s="32">
        <f t="shared" ca="1" si="528"/>
        <v>0</v>
      </c>
      <c r="J403" s="32">
        <f t="shared" ca="1" si="528"/>
        <v>0</v>
      </c>
      <c r="K403" s="32">
        <f t="shared" ca="1" si="528"/>
        <v>0</v>
      </c>
      <c r="L403" s="243"/>
      <c r="M403" s="59" t="str">
        <f>TxPhase2Px</f>
        <v/>
      </c>
      <c r="N403" s="32">
        <f t="shared" ref="N403:S403" ca="1" si="529">IFERROR(INDEX(PxTxPhase2,$D401,N397),0)</f>
        <v>0</v>
      </c>
      <c r="O403" s="32">
        <f t="shared" ca="1" si="529"/>
        <v>0</v>
      </c>
      <c r="P403" s="32">
        <f t="shared" ca="1" si="529"/>
        <v>0</v>
      </c>
      <c r="Q403" s="32">
        <f t="shared" ca="1" si="529"/>
        <v>0</v>
      </c>
      <c r="R403" s="32">
        <f t="shared" ca="1" si="529"/>
        <v>0</v>
      </c>
      <c r="S403" s="32">
        <f t="shared" ca="1" si="529"/>
        <v>0</v>
      </c>
    </row>
    <row r="404" spans="3:27" s="416" customFormat="1" hidden="1" outlineLevel="1" x14ac:dyDescent="0.2">
      <c r="D404" s="615"/>
      <c r="E404" s="615"/>
      <c r="F404" s="615"/>
      <c r="G404" s="615"/>
      <c r="H404" s="615"/>
      <c r="I404" s="615"/>
      <c r="J404" s="615"/>
      <c r="K404" s="615"/>
      <c r="L404" s="243"/>
      <c r="M404" s="615"/>
      <c r="N404" s="615"/>
    </row>
    <row r="405" spans="3:27" s="416" customFormat="1" hidden="1" outlineLevel="1" x14ac:dyDescent="0.2">
      <c r="D405" s="615"/>
      <c r="E405" s="243"/>
      <c r="F405" s="243"/>
      <c r="G405" s="243"/>
      <c r="H405" s="243"/>
      <c r="I405" s="243"/>
      <c r="J405" s="243"/>
      <c r="K405" s="243"/>
      <c r="L405" s="243"/>
      <c r="M405" s="243"/>
      <c r="N405" s="615"/>
      <c r="U405" s="578"/>
      <c r="V405" s="579">
        <f>$W415*1</f>
        <v>0</v>
      </c>
      <c r="W405" s="579">
        <f>$W415*2</f>
        <v>0</v>
      </c>
      <c r="X405" s="579">
        <f>$W415*3</f>
        <v>0</v>
      </c>
      <c r="Y405" s="579">
        <f>$W415*4</f>
        <v>0</v>
      </c>
      <c r="Z405" s="579">
        <f>$W415*5</f>
        <v>0</v>
      </c>
      <c r="AA405" s="579">
        <f>$W415*6</f>
        <v>0</v>
      </c>
    </row>
    <row r="406" spans="3:27" s="416" customFormat="1" hidden="1" outlineLevel="1" x14ac:dyDescent="0.2">
      <c r="E406" s="433" t="s">
        <v>1160</v>
      </c>
      <c r="F406" s="586"/>
      <c r="G406" s="268"/>
      <c r="H406" s="621"/>
      <c r="I406" s="621"/>
      <c r="J406" s="621"/>
      <c r="K406" s="621"/>
      <c r="L406" s="243"/>
      <c r="M406" s="433" t="s">
        <v>1160</v>
      </c>
      <c r="N406" s="586"/>
      <c r="O406" s="587" t="str">
        <f>IF(G406&lt;&gt;"",G406,"")</f>
        <v/>
      </c>
      <c r="P406" s="525"/>
      <c r="Q406" s="525"/>
      <c r="R406" s="525"/>
      <c r="S406" s="525"/>
      <c r="U406" s="580" t="s">
        <v>1156</v>
      </c>
      <c r="V406" s="581">
        <f>IF($F406&gt;=V405,$W415,IF($F406&gt;0,$F406,0))</f>
        <v>0</v>
      </c>
      <c r="W406" s="581">
        <f>IF($F406&gt;=W405,$W$41,IF($F406&gt;V405,($F406-V405),0))</f>
        <v>0</v>
      </c>
      <c r="X406" s="581">
        <f>IF($F406&gt;=X405,$W$41,IF($F406&gt;W405,($F406-W405),0))</f>
        <v>0</v>
      </c>
      <c r="Y406" s="581">
        <f>IF($F406&gt;=Y405,$W$41,IF($F406&gt;X405,($F406-X405),0))</f>
        <v>0</v>
      </c>
      <c r="Z406" s="581">
        <f>IF($F406&gt;=Z405,$W$41,IF($F406&gt;Y405,($F406-Y405),0))</f>
        <v>0</v>
      </c>
      <c r="AA406" s="581">
        <f>IF($F406&gt;=AA405,$W$41,IF($F406&gt;Z405,($F406-Z405),0))</f>
        <v>0</v>
      </c>
    </row>
    <row r="407" spans="3:27" s="416" customFormat="1" hidden="1" outlineLevel="1" x14ac:dyDescent="0.2">
      <c r="D407" s="615"/>
      <c r="E407" s="622"/>
      <c r="F407" s="622"/>
      <c r="G407" s="583"/>
      <c r="H407" s="622"/>
      <c r="I407" s="622"/>
      <c r="J407" s="622"/>
      <c r="K407" s="622"/>
      <c r="L407" s="243"/>
      <c r="M407" s="617"/>
      <c r="N407" s="618"/>
      <c r="O407" s="618"/>
      <c r="P407" s="618"/>
      <c r="Q407" s="618"/>
      <c r="R407" s="618"/>
      <c r="S407" s="618"/>
      <c r="U407" s="582" t="s">
        <v>1157</v>
      </c>
      <c r="V407" s="579">
        <f t="shared" ref="V407:AA407" si="530">IF(V406&gt;0,$W415-V406,$W415)</f>
        <v>0</v>
      </c>
      <c r="W407" s="579">
        <f t="shared" si="530"/>
        <v>0</v>
      </c>
      <c r="X407" s="579">
        <f t="shared" si="530"/>
        <v>0</v>
      </c>
      <c r="Y407" s="579">
        <f t="shared" si="530"/>
        <v>0</v>
      </c>
      <c r="Z407" s="579">
        <f t="shared" si="530"/>
        <v>0</v>
      </c>
      <c r="AA407" s="579">
        <f t="shared" si="530"/>
        <v>0</v>
      </c>
    </row>
    <row r="408" spans="3:27" s="416" customFormat="1" hidden="1" outlineLevel="1" x14ac:dyDescent="0.2">
      <c r="D408" s="615"/>
      <c r="E408" s="617" t="str">
        <f>E403</f>
        <v/>
      </c>
      <c r="F408" s="623"/>
      <c r="G408" s="588"/>
      <c r="H408" s="623"/>
      <c r="I408" s="623"/>
      <c r="J408" s="623"/>
      <c r="K408" s="623"/>
      <c r="L408" s="243"/>
      <c r="M408" s="617" t="str">
        <f>M403</f>
        <v/>
      </c>
      <c r="N408" s="619"/>
      <c r="O408" s="620"/>
      <c r="P408" s="620"/>
      <c r="Q408" s="620"/>
      <c r="R408" s="620"/>
      <c r="S408" s="620"/>
      <c r="U408" s="525"/>
      <c r="V408" s="525"/>
      <c r="W408" s="525"/>
      <c r="X408" s="525"/>
      <c r="Y408" s="525"/>
      <c r="Z408" s="525"/>
      <c r="AA408" s="525"/>
    </row>
    <row r="409" spans="3:27" s="416" customFormat="1" hidden="1" outlineLevel="1" x14ac:dyDescent="0.2">
      <c r="E409" s="589" t="s">
        <v>1207</v>
      </c>
      <c r="F409" s="63">
        <f ca="1">$F403*V412</f>
        <v>0</v>
      </c>
      <c r="G409" s="63">
        <f t="shared" ref="G409" ca="1" si="531">$F403*W412</f>
        <v>0</v>
      </c>
      <c r="H409" s="63">
        <f t="shared" ref="H409" ca="1" si="532">$F403*X412</f>
        <v>0</v>
      </c>
      <c r="I409" s="63">
        <f t="shared" ref="I409" ca="1" si="533">$F403*Y412</f>
        <v>0</v>
      </c>
      <c r="J409" s="63">
        <f t="shared" ref="J409" ca="1" si="534">$F403*Z412</f>
        <v>0</v>
      </c>
      <c r="K409" s="63">
        <f t="shared" ref="K409" ca="1" si="535">$F403*AA412</f>
        <v>0</v>
      </c>
      <c r="L409" s="243"/>
      <c r="M409" s="589" t="s">
        <v>1207</v>
      </c>
      <c r="N409" s="63">
        <f ca="1">$N403*V413</f>
        <v>0</v>
      </c>
      <c r="O409" s="63">
        <f ca="1">$N403*W413</f>
        <v>0</v>
      </c>
      <c r="P409" s="63">
        <f t="shared" ref="P409" ca="1" si="536">$N403*X413</f>
        <v>0</v>
      </c>
      <c r="Q409" s="63">
        <f t="shared" ref="Q409" ca="1" si="537">$N403*Y413</f>
        <v>0</v>
      </c>
      <c r="R409" s="63">
        <f t="shared" ref="R409" ca="1" si="538">$N403*Z413</f>
        <v>0</v>
      </c>
      <c r="S409" s="63">
        <f t="shared" ref="S409" ca="1" si="539">$N403*AA413</f>
        <v>0</v>
      </c>
      <c r="U409" s="582" t="s">
        <v>1158</v>
      </c>
      <c r="V409" s="581">
        <f>IF($N406&gt;=V407,V407,N406)</f>
        <v>0</v>
      </c>
      <c r="W409" s="581">
        <f>IF(V410&gt;=W407,W407,V410)</f>
        <v>0</v>
      </c>
      <c r="X409" s="581">
        <f>IF(W410&gt;=X407,X407,W410)</f>
        <v>0</v>
      </c>
      <c r="Y409" s="581">
        <f>IF(X410&gt;=Y407,Y407,X410)</f>
        <v>0</v>
      </c>
      <c r="Z409" s="581">
        <f>IF(Y410&gt;=Z407,Z407,Y410)</f>
        <v>0</v>
      </c>
      <c r="AA409" s="581">
        <f>IF(Z410&gt;=AA407,AA407,Z410)</f>
        <v>0</v>
      </c>
    </row>
    <row r="410" spans="3:27" s="416" customFormat="1" hidden="1" outlineLevel="1" x14ac:dyDescent="0.2">
      <c r="E410" s="589" t="s">
        <v>1208</v>
      </c>
      <c r="F410" s="130"/>
      <c r="G410" s="63">
        <f ca="1">$G403*V412</f>
        <v>0</v>
      </c>
      <c r="H410" s="63">
        <f t="shared" ref="H410" ca="1" si="540">$G403*W412</f>
        <v>0</v>
      </c>
      <c r="I410" s="63">
        <f t="shared" ref="I410" ca="1" si="541">$G403*X412</f>
        <v>0</v>
      </c>
      <c r="J410" s="63">
        <f t="shared" ref="J410" ca="1" si="542">$G403*Y412</f>
        <v>0</v>
      </c>
      <c r="K410" s="63">
        <f t="shared" ref="K410" ca="1" si="543">$G403*Z412</f>
        <v>0</v>
      </c>
      <c r="L410" s="243"/>
      <c r="M410" s="589" t="s">
        <v>1208</v>
      </c>
      <c r="N410" s="130"/>
      <c r="O410" s="63">
        <f ca="1">$O403*V413</f>
        <v>0</v>
      </c>
      <c r="P410" s="63">
        <f t="shared" ref="P410" ca="1" si="544">$O403*W413</f>
        <v>0</v>
      </c>
      <c r="Q410" s="63">
        <f t="shared" ref="Q410" ca="1" si="545">$O403*X413</f>
        <v>0</v>
      </c>
      <c r="R410" s="63">
        <f t="shared" ref="R410" ca="1" si="546">$O403*Y413</f>
        <v>0</v>
      </c>
      <c r="S410" s="63">
        <f t="shared" ref="S410" ca="1" si="547">$O403*Z413</f>
        <v>0</v>
      </c>
      <c r="U410" s="582" t="s">
        <v>1159</v>
      </c>
      <c r="V410" s="579">
        <f>$N406-V409</f>
        <v>0</v>
      </c>
      <c r="W410" s="579">
        <f>$N406-SUM($V409:W409)</f>
        <v>0</v>
      </c>
      <c r="X410" s="579">
        <f>$N406-SUM($V409:X409)</f>
        <v>0</v>
      </c>
      <c r="Y410" s="579">
        <f>$N406-SUM($V409:Y409)</f>
        <v>0</v>
      </c>
      <c r="Z410" s="579">
        <f>$N406-SUM($V409:Z409)</f>
        <v>0</v>
      </c>
      <c r="AA410" s="579">
        <f>$N406-SUM($V409:AA409)</f>
        <v>0</v>
      </c>
    </row>
    <row r="411" spans="3:27" s="416" customFormat="1" hidden="1" outlineLevel="1" x14ac:dyDescent="0.2">
      <c r="E411" s="589" t="s">
        <v>1209</v>
      </c>
      <c r="F411" s="130"/>
      <c r="G411" s="130"/>
      <c r="H411" s="63">
        <f ca="1">$H403*V412</f>
        <v>0</v>
      </c>
      <c r="I411" s="63">
        <f t="shared" ref="I411" ca="1" si="548">$H403*W412</f>
        <v>0</v>
      </c>
      <c r="J411" s="63">
        <f t="shared" ref="J411" ca="1" si="549">$H403*X412</f>
        <v>0</v>
      </c>
      <c r="K411" s="63">
        <f t="shared" ref="K411" ca="1" si="550">$H403*Y412</f>
        <v>0</v>
      </c>
      <c r="L411" s="243"/>
      <c r="M411" s="589" t="s">
        <v>1209</v>
      </c>
      <c r="N411" s="130"/>
      <c r="O411" s="130"/>
      <c r="P411" s="63">
        <f ca="1">$P403*V413</f>
        <v>0</v>
      </c>
      <c r="Q411" s="63">
        <f t="shared" ref="Q411" ca="1" si="551">$P403*W413</f>
        <v>0</v>
      </c>
      <c r="R411" s="63">
        <f t="shared" ref="R411" ca="1" si="552">$P403*X413</f>
        <v>0</v>
      </c>
      <c r="S411" s="63">
        <f t="shared" ref="S411" ca="1" si="553">$P403*Y413</f>
        <v>0</v>
      </c>
      <c r="U411" s="583"/>
      <c r="V411" s="584"/>
      <c r="W411" s="583"/>
      <c r="X411" s="583"/>
      <c r="Y411" s="583"/>
      <c r="Z411" s="583"/>
      <c r="AA411" s="525"/>
    </row>
    <row r="412" spans="3:27" s="416" customFormat="1" hidden="1" outlineLevel="1" x14ac:dyDescent="0.2">
      <c r="E412" s="589" t="s">
        <v>1210</v>
      </c>
      <c r="F412" s="130"/>
      <c r="G412" s="130"/>
      <c r="H412" s="130"/>
      <c r="I412" s="63">
        <f ca="1">$I403*V412</f>
        <v>0</v>
      </c>
      <c r="J412" s="63">
        <f t="shared" ref="J412" ca="1" si="554">$I403*W412</f>
        <v>0</v>
      </c>
      <c r="K412" s="63">
        <f t="shared" ref="K412" ca="1" si="555">$I403*X412</f>
        <v>0</v>
      </c>
      <c r="L412" s="243"/>
      <c r="M412" s="589" t="s">
        <v>1210</v>
      </c>
      <c r="N412" s="130"/>
      <c r="O412" s="130"/>
      <c r="P412" s="130"/>
      <c r="Q412" s="63">
        <f ca="1">$Q403*V413</f>
        <v>0</v>
      </c>
      <c r="R412" s="63">
        <f t="shared" ref="R412" ca="1" si="556">$Q403*W413</f>
        <v>0</v>
      </c>
      <c r="S412" s="63">
        <f t="shared" ref="S412" ca="1" si="557">$Q403*X413</f>
        <v>0</v>
      </c>
      <c r="U412" s="580" t="s">
        <v>1156</v>
      </c>
      <c r="V412" s="585">
        <f t="shared" ref="V412:AA412" si="558">IFERROR(V406/$W415,0)</f>
        <v>0</v>
      </c>
      <c r="W412" s="585">
        <f t="shared" si="558"/>
        <v>0</v>
      </c>
      <c r="X412" s="585">
        <f t="shared" si="558"/>
        <v>0</v>
      </c>
      <c r="Y412" s="585">
        <f t="shared" si="558"/>
        <v>0</v>
      </c>
      <c r="Z412" s="585">
        <f t="shared" si="558"/>
        <v>0</v>
      </c>
      <c r="AA412" s="585">
        <f t="shared" si="558"/>
        <v>0</v>
      </c>
    </row>
    <row r="413" spans="3:27" s="416" customFormat="1" hidden="1" outlineLevel="1" x14ac:dyDescent="0.2">
      <c r="E413" s="589" t="s">
        <v>1211</v>
      </c>
      <c r="F413" s="130"/>
      <c r="G413" s="130"/>
      <c r="H413" s="130"/>
      <c r="I413" s="130"/>
      <c r="J413" s="63">
        <f ca="1">$J403*V412</f>
        <v>0</v>
      </c>
      <c r="K413" s="63">
        <f ca="1">$J403*W412</f>
        <v>0</v>
      </c>
      <c r="L413" s="243"/>
      <c r="M413" s="589" t="s">
        <v>1211</v>
      </c>
      <c r="N413" s="130"/>
      <c r="O413" s="130"/>
      <c r="P413" s="130"/>
      <c r="Q413" s="130"/>
      <c r="R413" s="63">
        <f ca="1">$R403*V413</f>
        <v>0</v>
      </c>
      <c r="S413" s="63">
        <f ca="1">$R403*W413</f>
        <v>0</v>
      </c>
      <c r="U413" s="582" t="s">
        <v>1158</v>
      </c>
      <c r="V413" s="585">
        <f t="shared" ref="V413:AA413" si="559">IFERROR(V409/$W415,0)</f>
        <v>0</v>
      </c>
      <c r="W413" s="585">
        <f t="shared" si="559"/>
        <v>0</v>
      </c>
      <c r="X413" s="585">
        <f t="shared" si="559"/>
        <v>0</v>
      </c>
      <c r="Y413" s="585">
        <f t="shared" si="559"/>
        <v>0</v>
      </c>
      <c r="Z413" s="585">
        <f t="shared" si="559"/>
        <v>0</v>
      </c>
      <c r="AA413" s="585">
        <f t="shared" si="559"/>
        <v>0</v>
      </c>
    </row>
    <row r="414" spans="3:27" s="416" customFormat="1" hidden="1" outlineLevel="1" x14ac:dyDescent="0.2">
      <c r="E414" s="589" t="s">
        <v>1212</v>
      </c>
      <c r="F414" s="130"/>
      <c r="G414" s="130"/>
      <c r="H414" s="130"/>
      <c r="I414" s="130"/>
      <c r="J414" s="130"/>
      <c r="K414" s="63">
        <f ca="1">$K403*V412</f>
        <v>0</v>
      </c>
      <c r="L414" s="243"/>
      <c r="M414" s="589" t="s">
        <v>1212</v>
      </c>
      <c r="N414" s="130"/>
      <c r="O414" s="130"/>
      <c r="P414" s="130"/>
      <c r="Q414" s="130"/>
      <c r="R414" s="130"/>
      <c r="S414" s="63">
        <f ca="1">$S403*V413</f>
        <v>0</v>
      </c>
    </row>
    <row r="415" spans="3:27" s="416" customFormat="1" hidden="1" outlineLevel="1" x14ac:dyDescent="0.2">
      <c r="E415" s="590" t="str">
        <f>TxPhase1PxUnitsTx</f>
        <v/>
      </c>
      <c r="F415" s="591">
        <f ca="1">IF(F406&lt;&gt;"",SUM(F409:F414),F403)</f>
        <v>0</v>
      </c>
      <c r="G415" s="591">
        <f ca="1">IF(F406&lt;&gt;"",SUM(G409:G414),G403)</f>
        <v>0</v>
      </c>
      <c r="H415" s="591">
        <f ca="1">IF(F406&lt;&gt;"",SUM(H409:H414),H403)</f>
        <v>0</v>
      </c>
      <c r="I415" s="591">
        <f ca="1">IF(F406&lt;&gt;"",SUM(I409:I414),I403)</f>
        <v>0</v>
      </c>
      <c r="J415" s="591">
        <f ca="1">IF(F406&lt;&gt;"",SUM(J409:J414),J403)</f>
        <v>0</v>
      </c>
      <c r="K415" s="591">
        <f ca="1">IF(F406&lt;&gt;"",SUM(K409:K414),K403)</f>
        <v>0</v>
      </c>
      <c r="L415" s="243"/>
      <c r="M415" s="590" t="str">
        <f>TxPhase2PxUnitsTx</f>
        <v/>
      </c>
      <c r="N415" s="591">
        <f ca="1">IF(N406&lt;&gt;"",SUM(N409:N414),N403)</f>
        <v>0</v>
      </c>
      <c r="O415" s="591">
        <f ca="1">IF(N406&lt;&gt;"",SUM(O409:O414),O403)</f>
        <v>0</v>
      </c>
      <c r="P415" s="591">
        <f ca="1">IF(N406&lt;&gt;"",SUM(P409:P414),P403)</f>
        <v>0</v>
      </c>
      <c r="Q415" s="591">
        <f ca="1">IF(N406&lt;&gt;"",SUM(Q409:Q414),Q403)</f>
        <v>0</v>
      </c>
      <c r="R415" s="591">
        <f ca="1">IF(N406&lt;&gt;"",SUM(R409:R414),R403)</f>
        <v>0</v>
      </c>
      <c r="S415" s="591">
        <f ca="1">IF(N406&lt;&gt;"",SUM(S409:S414),S403)</f>
        <v>0</v>
      </c>
      <c r="U415" s="582" t="s">
        <v>1161</v>
      </c>
      <c r="V415" s="579">
        <f>IFERROR(VLOOKUP(G406,TimeUnitCode,2,FALSE),0)</f>
        <v>0</v>
      </c>
      <c r="W415" s="579">
        <f>IFERROR(INDEX(TimeUnitCount,V415,2),0)</f>
        <v>0</v>
      </c>
    </row>
    <row r="416" spans="3:27" s="416" customFormat="1" hidden="1" outlineLevel="1" x14ac:dyDescent="0.2"/>
    <row r="417" spans="2:27" s="416" customFormat="1" collapsed="1" x14ac:dyDescent="0.2"/>
    <row r="418" spans="2:27" s="416" customFormat="1" ht="15.75" x14ac:dyDescent="0.2">
      <c r="B418" s="475">
        <f>IF(F428+N428&gt;12,1,0)</f>
        <v>0</v>
      </c>
      <c r="C418" s="291">
        <f ca="1">IFERROR(INDEX(PxTxPhase1,$D423,7),0)</f>
        <v>0</v>
      </c>
      <c r="D418" s="573">
        <v>19</v>
      </c>
      <c r="E418" s="79" t="str">
        <f>IF(F422&lt;&gt;"",CONCATENATE("DTG ",D418,": ",H422,": ",N418),MsgNotUsed)</f>
        <v>** NOT USED **</v>
      </c>
      <c r="F418" s="132"/>
      <c r="G418" s="132"/>
      <c r="H418" s="132"/>
      <c r="I418" s="132"/>
      <c r="J418" s="134"/>
      <c r="K418" s="134"/>
      <c r="L418" s="134"/>
      <c r="M418" s="325"/>
      <c r="N418" s="637" t="str">
        <f>IF(AND(F428="",N428=""),"Full year",IF(AND(F428&lt;&gt;"",N428=""),CONCATENATE(F428," ",G428),IF(AND(F428="",N428&lt;&gt;""),CONCATENATE(N428," ",G428),CONCATENATE(F428," + ",N428," ",G428))))</f>
        <v>Full year</v>
      </c>
      <c r="O418" s="325"/>
      <c r="P418" s="325"/>
      <c r="Q418" s="325"/>
      <c r="R418" s="325"/>
      <c r="S418" s="325"/>
      <c r="T418" s="325"/>
      <c r="U418" s="325"/>
      <c r="V418" s="325"/>
      <c r="W418" s="325"/>
      <c r="X418" s="325"/>
      <c r="Y418" s="325"/>
      <c r="Z418" s="325"/>
      <c r="AA418" s="325"/>
    </row>
    <row r="419" spans="2:27" s="416" customFormat="1" hidden="1" outlineLevel="1" x14ac:dyDescent="0.2">
      <c r="C419" s="615"/>
      <c r="D419" s="615"/>
      <c r="E419" s="615"/>
      <c r="F419" s="624">
        <v>1</v>
      </c>
      <c r="G419" s="397">
        <v>2</v>
      </c>
      <c r="H419" s="397">
        <v>3</v>
      </c>
      <c r="I419" s="397">
        <v>4</v>
      </c>
      <c r="J419" s="397">
        <v>5</v>
      </c>
      <c r="K419" s="397">
        <v>6</v>
      </c>
      <c r="N419" s="397">
        <v>1</v>
      </c>
      <c r="O419" s="397">
        <v>2</v>
      </c>
      <c r="P419" s="397">
        <v>3</v>
      </c>
      <c r="Q419" s="397">
        <v>4</v>
      </c>
      <c r="R419" s="397">
        <v>5</v>
      </c>
      <c r="S419" s="397">
        <v>6</v>
      </c>
    </row>
    <row r="420" spans="2:27" s="416" customFormat="1" hidden="1" outlineLevel="1" x14ac:dyDescent="0.2">
      <c r="C420" s="243"/>
      <c r="D420" s="243"/>
      <c r="E420" s="162" t="s">
        <v>1206</v>
      </c>
      <c r="F420" s="615"/>
    </row>
    <row r="421" spans="2:27" s="416" customFormat="1" hidden="1" outlineLevel="1" x14ac:dyDescent="0.2">
      <c r="C421" s="243"/>
      <c r="D421" s="243"/>
      <c r="E421" s="616"/>
      <c r="F421" s="615"/>
      <c r="N421" s="615"/>
      <c r="O421" s="615"/>
      <c r="P421" s="615"/>
      <c r="Q421" s="615"/>
      <c r="R421" s="615"/>
      <c r="S421" s="615"/>
    </row>
    <row r="422" spans="2:27" s="416" customFormat="1" hidden="1" outlineLevel="1" x14ac:dyDescent="0.2">
      <c r="C422" s="291">
        <f>IF(F422&lt;&gt;"",MATCH(F422,PxTxSource,0)-1,0)</f>
        <v>0</v>
      </c>
      <c r="D422" s="291">
        <f ca="1">IF(H422&lt;&gt;"",MATCH(H422,OFFSET(References!$AE$23,0,C422,PxPopMaxCount),0),0)</f>
        <v>0</v>
      </c>
      <c r="E422" s="423" t="s">
        <v>113</v>
      </c>
      <c r="F422" s="613"/>
      <c r="H422" s="812"/>
      <c r="I422" s="813"/>
      <c r="J422" s="813"/>
      <c r="K422" s="813"/>
      <c r="L422" s="615"/>
      <c r="N422" s="806" t="str">
        <f ca="1">IF(ISERROR($D423)=TRUE,MsgError &amp; VLOOKUP("BadPop",ErrorMessages,2,FALSE),"")</f>
        <v/>
      </c>
      <c r="O422" s="806"/>
      <c r="P422" s="806"/>
      <c r="Q422" s="806"/>
      <c r="R422" s="806"/>
      <c r="S422" s="806"/>
    </row>
    <row r="423" spans="2:27" s="416" customFormat="1" hidden="1" outlineLevel="1" x14ac:dyDescent="0.2">
      <c r="C423" s="291">
        <f>INDEX(PxTxValid,,C422+1)</f>
        <v>0</v>
      </c>
      <c r="D423" s="291" t="str">
        <f ca="1">IF(AND(C422=0,D422=0),"",(C422*PxPopMaxCount)+D422)</f>
        <v/>
      </c>
      <c r="E423" s="243"/>
      <c r="L423" s="615"/>
      <c r="M423" s="615"/>
      <c r="N423" s="615"/>
      <c r="O423" s="615"/>
      <c r="P423" s="615"/>
      <c r="Q423" s="615"/>
      <c r="R423" s="615"/>
      <c r="S423" s="615"/>
    </row>
    <row r="424" spans="2:27" s="416" customFormat="1" hidden="1" outlineLevel="1" x14ac:dyDescent="0.2">
      <c r="C424" s="615"/>
      <c r="E424" s="495"/>
      <c r="F424" s="614">
        <f>FirstYear</f>
        <v>2021</v>
      </c>
      <c r="G424" s="614">
        <f>F424+1</f>
        <v>2022</v>
      </c>
      <c r="H424" s="614">
        <f>G424+1</f>
        <v>2023</v>
      </c>
      <c r="I424" s="614">
        <f>H424+1</f>
        <v>2024</v>
      </c>
      <c r="J424" s="614">
        <f>I424+1</f>
        <v>2025</v>
      </c>
      <c r="K424" s="614">
        <f>J424+1</f>
        <v>2026</v>
      </c>
      <c r="L424" s="243"/>
      <c r="N424" s="614">
        <f>FirstYear</f>
        <v>2021</v>
      </c>
      <c r="O424" s="614">
        <f>N424+1</f>
        <v>2022</v>
      </c>
      <c r="P424" s="614">
        <f>O424+1</f>
        <v>2023</v>
      </c>
      <c r="Q424" s="614">
        <f>P424+1</f>
        <v>2024</v>
      </c>
      <c r="R424" s="614">
        <f>Q424+1</f>
        <v>2025</v>
      </c>
      <c r="S424" s="614">
        <f>R424+1</f>
        <v>2026</v>
      </c>
    </row>
    <row r="425" spans="2:27" s="416" customFormat="1" hidden="1" outlineLevel="1" x14ac:dyDescent="0.2">
      <c r="E425" s="59" t="str">
        <f>TxPhase1Px</f>
        <v/>
      </c>
      <c r="F425" s="32">
        <f t="shared" ref="F425:K425" ca="1" si="560">IFERROR(INDEX(PxTxPhase1,$D423,F419),0)</f>
        <v>0</v>
      </c>
      <c r="G425" s="32">
        <f t="shared" ca="1" si="560"/>
        <v>0</v>
      </c>
      <c r="H425" s="32">
        <f t="shared" ca="1" si="560"/>
        <v>0</v>
      </c>
      <c r="I425" s="32">
        <f t="shared" ca="1" si="560"/>
        <v>0</v>
      </c>
      <c r="J425" s="32">
        <f t="shared" ca="1" si="560"/>
        <v>0</v>
      </c>
      <c r="K425" s="32">
        <f t="shared" ca="1" si="560"/>
        <v>0</v>
      </c>
      <c r="L425" s="243"/>
      <c r="M425" s="59" t="str">
        <f>TxPhase2Px</f>
        <v/>
      </c>
      <c r="N425" s="32">
        <f t="shared" ref="N425:S425" ca="1" si="561">IFERROR(INDEX(PxTxPhase2,$D423,N419),0)</f>
        <v>0</v>
      </c>
      <c r="O425" s="32">
        <f t="shared" ca="1" si="561"/>
        <v>0</v>
      </c>
      <c r="P425" s="32">
        <f t="shared" ca="1" si="561"/>
        <v>0</v>
      </c>
      <c r="Q425" s="32">
        <f t="shared" ca="1" si="561"/>
        <v>0</v>
      </c>
      <c r="R425" s="32">
        <f t="shared" ca="1" si="561"/>
        <v>0</v>
      </c>
      <c r="S425" s="32">
        <f t="shared" ca="1" si="561"/>
        <v>0</v>
      </c>
    </row>
    <row r="426" spans="2:27" s="416" customFormat="1" hidden="1" outlineLevel="1" x14ac:dyDescent="0.2">
      <c r="D426" s="615"/>
      <c r="E426" s="615"/>
      <c r="F426" s="615"/>
      <c r="G426" s="615"/>
      <c r="H426" s="615"/>
      <c r="I426" s="615"/>
      <c r="J426" s="615"/>
      <c r="K426" s="615"/>
      <c r="L426" s="243"/>
      <c r="M426" s="615"/>
      <c r="N426" s="615"/>
    </row>
    <row r="427" spans="2:27" s="416" customFormat="1" hidden="1" outlineLevel="1" x14ac:dyDescent="0.2">
      <c r="D427" s="615"/>
      <c r="E427" s="243"/>
      <c r="F427" s="243"/>
      <c r="G427" s="243"/>
      <c r="H427" s="243"/>
      <c r="I427" s="243"/>
      <c r="J427" s="243"/>
      <c r="K427" s="243"/>
      <c r="L427" s="243"/>
      <c r="M427" s="243"/>
      <c r="N427" s="615"/>
      <c r="U427" s="578"/>
      <c r="V427" s="579">
        <f>$W437*1</f>
        <v>0</v>
      </c>
      <c r="W427" s="579">
        <f>$W437*2</f>
        <v>0</v>
      </c>
      <c r="X427" s="579">
        <f>$W437*3</f>
        <v>0</v>
      </c>
      <c r="Y427" s="579">
        <f>$W437*4</f>
        <v>0</v>
      </c>
      <c r="Z427" s="579">
        <f>$W437*5</f>
        <v>0</v>
      </c>
      <c r="AA427" s="579">
        <f>$W437*6</f>
        <v>0</v>
      </c>
    </row>
    <row r="428" spans="2:27" s="416" customFormat="1" hidden="1" outlineLevel="1" x14ac:dyDescent="0.2">
      <c r="E428" s="433" t="s">
        <v>1160</v>
      </c>
      <c r="F428" s="586"/>
      <c r="G428" s="268"/>
      <c r="H428" s="621"/>
      <c r="I428" s="621"/>
      <c r="J428" s="621"/>
      <c r="K428" s="621"/>
      <c r="L428" s="243"/>
      <c r="M428" s="433" t="s">
        <v>1160</v>
      </c>
      <c r="N428" s="586"/>
      <c r="O428" s="587" t="str">
        <f>IF(G428&lt;&gt;"",G428,"")</f>
        <v/>
      </c>
      <c r="P428" s="525"/>
      <c r="Q428" s="525"/>
      <c r="R428" s="525"/>
      <c r="S428" s="525"/>
      <c r="U428" s="580" t="s">
        <v>1156</v>
      </c>
      <c r="V428" s="581">
        <f>IF($F428&gt;=V427,$W437,IF($F428&gt;0,$F428,0))</f>
        <v>0</v>
      </c>
      <c r="W428" s="581">
        <f>IF($F428&gt;=W427,$W$41,IF($F428&gt;V427,($F428-V427),0))</f>
        <v>0</v>
      </c>
      <c r="X428" s="581">
        <f>IF($F428&gt;=X427,$W$41,IF($F428&gt;W427,($F428-W427),0))</f>
        <v>0</v>
      </c>
      <c r="Y428" s="581">
        <f>IF($F428&gt;=Y427,$W$41,IF($F428&gt;X427,($F428-X427),0))</f>
        <v>0</v>
      </c>
      <c r="Z428" s="581">
        <f>IF($F428&gt;=Z427,$W$41,IF($F428&gt;Y427,($F428-Y427),0))</f>
        <v>0</v>
      </c>
      <c r="AA428" s="581">
        <f>IF($F428&gt;=AA427,$W$41,IF($F428&gt;Z427,($F428-Z427),0))</f>
        <v>0</v>
      </c>
    </row>
    <row r="429" spans="2:27" s="416" customFormat="1" hidden="1" outlineLevel="1" x14ac:dyDescent="0.2">
      <c r="D429" s="615"/>
      <c r="E429" s="622"/>
      <c r="F429" s="622"/>
      <c r="G429" s="583"/>
      <c r="H429" s="622"/>
      <c r="I429" s="622"/>
      <c r="J429" s="622"/>
      <c r="K429" s="622"/>
      <c r="L429" s="243"/>
      <c r="M429" s="617"/>
      <c r="N429" s="618"/>
      <c r="O429" s="618"/>
      <c r="P429" s="618"/>
      <c r="Q429" s="618"/>
      <c r="R429" s="618"/>
      <c r="S429" s="618"/>
      <c r="U429" s="582" t="s">
        <v>1157</v>
      </c>
      <c r="V429" s="579">
        <f t="shared" ref="V429:AA429" si="562">IF(V428&gt;0,$W437-V428,$W437)</f>
        <v>0</v>
      </c>
      <c r="W429" s="579">
        <f t="shared" si="562"/>
        <v>0</v>
      </c>
      <c r="X429" s="579">
        <f t="shared" si="562"/>
        <v>0</v>
      </c>
      <c r="Y429" s="579">
        <f t="shared" si="562"/>
        <v>0</v>
      </c>
      <c r="Z429" s="579">
        <f t="shared" si="562"/>
        <v>0</v>
      </c>
      <c r="AA429" s="579">
        <f t="shared" si="562"/>
        <v>0</v>
      </c>
    </row>
    <row r="430" spans="2:27" s="416" customFormat="1" hidden="1" outlineLevel="1" x14ac:dyDescent="0.2">
      <c r="D430" s="615"/>
      <c r="E430" s="617" t="str">
        <f>E425</f>
        <v/>
      </c>
      <c r="F430" s="623"/>
      <c r="G430" s="588"/>
      <c r="H430" s="623"/>
      <c r="I430" s="623"/>
      <c r="J430" s="623"/>
      <c r="K430" s="623"/>
      <c r="L430" s="243"/>
      <c r="M430" s="617" t="str">
        <f>M425</f>
        <v/>
      </c>
      <c r="N430" s="619"/>
      <c r="O430" s="620"/>
      <c r="P430" s="620"/>
      <c r="Q430" s="620"/>
      <c r="R430" s="620"/>
      <c r="S430" s="620"/>
      <c r="U430" s="525"/>
      <c r="V430" s="525"/>
      <c r="W430" s="525"/>
      <c r="X430" s="525"/>
      <c r="Y430" s="525"/>
      <c r="Z430" s="525"/>
      <c r="AA430" s="525"/>
    </row>
    <row r="431" spans="2:27" s="416" customFormat="1" hidden="1" outlineLevel="1" x14ac:dyDescent="0.2">
      <c r="E431" s="589" t="s">
        <v>1207</v>
      </c>
      <c r="F431" s="63">
        <f ca="1">$F425*V434</f>
        <v>0</v>
      </c>
      <c r="G431" s="63">
        <f t="shared" ref="G431" ca="1" si="563">$F425*W434</f>
        <v>0</v>
      </c>
      <c r="H431" s="63">
        <f t="shared" ref="H431" ca="1" si="564">$F425*X434</f>
        <v>0</v>
      </c>
      <c r="I431" s="63">
        <f t="shared" ref="I431" ca="1" si="565">$F425*Y434</f>
        <v>0</v>
      </c>
      <c r="J431" s="63">
        <f t="shared" ref="J431" ca="1" si="566">$F425*Z434</f>
        <v>0</v>
      </c>
      <c r="K431" s="63">
        <f t="shared" ref="K431" ca="1" si="567">$F425*AA434</f>
        <v>0</v>
      </c>
      <c r="L431" s="243"/>
      <c r="M431" s="589" t="s">
        <v>1207</v>
      </c>
      <c r="N431" s="63">
        <f ca="1">$N425*V435</f>
        <v>0</v>
      </c>
      <c r="O431" s="63">
        <f ca="1">$N425*W435</f>
        <v>0</v>
      </c>
      <c r="P431" s="63">
        <f t="shared" ref="P431" ca="1" si="568">$N425*X435</f>
        <v>0</v>
      </c>
      <c r="Q431" s="63">
        <f t="shared" ref="Q431" ca="1" si="569">$N425*Y435</f>
        <v>0</v>
      </c>
      <c r="R431" s="63">
        <f t="shared" ref="R431" ca="1" si="570">$N425*Z435</f>
        <v>0</v>
      </c>
      <c r="S431" s="63">
        <f t="shared" ref="S431" ca="1" si="571">$N425*AA435</f>
        <v>0</v>
      </c>
      <c r="U431" s="582" t="s">
        <v>1158</v>
      </c>
      <c r="V431" s="581">
        <f>IF($N428&gt;=V429,V429,N428)</f>
        <v>0</v>
      </c>
      <c r="W431" s="581">
        <f>IF(V432&gt;=W429,W429,V432)</f>
        <v>0</v>
      </c>
      <c r="X431" s="581">
        <f>IF(W432&gt;=X429,X429,W432)</f>
        <v>0</v>
      </c>
      <c r="Y431" s="581">
        <f>IF(X432&gt;=Y429,Y429,X432)</f>
        <v>0</v>
      </c>
      <c r="Z431" s="581">
        <f>IF(Y432&gt;=Z429,Z429,Y432)</f>
        <v>0</v>
      </c>
      <c r="AA431" s="581">
        <f>IF(Z432&gt;=AA429,AA429,Z432)</f>
        <v>0</v>
      </c>
    </row>
    <row r="432" spans="2:27" s="416" customFormat="1" hidden="1" outlineLevel="1" x14ac:dyDescent="0.2">
      <c r="E432" s="589" t="s">
        <v>1208</v>
      </c>
      <c r="F432" s="130"/>
      <c r="G432" s="63">
        <f ca="1">$G425*V434</f>
        <v>0</v>
      </c>
      <c r="H432" s="63">
        <f t="shared" ref="H432" ca="1" si="572">$G425*W434</f>
        <v>0</v>
      </c>
      <c r="I432" s="63">
        <f t="shared" ref="I432" ca="1" si="573">$G425*X434</f>
        <v>0</v>
      </c>
      <c r="J432" s="63">
        <f t="shared" ref="J432" ca="1" si="574">$G425*Y434</f>
        <v>0</v>
      </c>
      <c r="K432" s="63">
        <f t="shared" ref="K432" ca="1" si="575">$G425*Z434</f>
        <v>0</v>
      </c>
      <c r="L432" s="243"/>
      <c r="M432" s="589" t="s">
        <v>1208</v>
      </c>
      <c r="N432" s="130"/>
      <c r="O432" s="63">
        <f ca="1">$O425*V435</f>
        <v>0</v>
      </c>
      <c r="P432" s="63">
        <f t="shared" ref="P432" ca="1" si="576">$O425*W435</f>
        <v>0</v>
      </c>
      <c r="Q432" s="63">
        <f t="shared" ref="Q432" ca="1" si="577">$O425*X435</f>
        <v>0</v>
      </c>
      <c r="R432" s="63">
        <f t="shared" ref="R432" ca="1" si="578">$O425*Y435</f>
        <v>0</v>
      </c>
      <c r="S432" s="63">
        <f t="shared" ref="S432" ca="1" si="579">$O425*Z435</f>
        <v>0</v>
      </c>
      <c r="U432" s="582" t="s">
        <v>1159</v>
      </c>
      <c r="V432" s="579">
        <f>$N428-V431</f>
        <v>0</v>
      </c>
      <c r="W432" s="579">
        <f>$N428-SUM($V431:W431)</f>
        <v>0</v>
      </c>
      <c r="X432" s="579">
        <f>$N428-SUM($V431:X431)</f>
        <v>0</v>
      </c>
      <c r="Y432" s="579">
        <f>$N428-SUM($V431:Y431)</f>
        <v>0</v>
      </c>
      <c r="Z432" s="579">
        <f>$N428-SUM($V431:Z431)</f>
        <v>0</v>
      </c>
      <c r="AA432" s="579">
        <f>$N428-SUM($V431:AA431)</f>
        <v>0</v>
      </c>
    </row>
    <row r="433" spans="2:27" s="416" customFormat="1" hidden="1" outlineLevel="1" x14ac:dyDescent="0.2">
      <c r="E433" s="589" t="s">
        <v>1209</v>
      </c>
      <c r="F433" s="130"/>
      <c r="G433" s="130"/>
      <c r="H433" s="63">
        <f ca="1">$H425*V434</f>
        <v>0</v>
      </c>
      <c r="I433" s="63">
        <f t="shared" ref="I433" ca="1" si="580">$H425*W434</f>
        <v>0</v>
      </c>
      <c r="J433" s="63">
        <f t="shared" ref="J433" ca="1" si="581">$H425*X434</f>
        <v>0</v>
      </c>
      <c r="K433" s="63">
        <f t="shared" ref="K433" ca="1" si="582">$H425*Y434</f>
        <v>0</v>
      </c>
      <c r="L433" s="243"/>
      <c r="M433" s="589" t="s">
        <v>1209</v>
      </c>
      <c r="N433" s="130"/>
      <c r="O433" s="130"/>
      <c r="P433" s="63">
        <f ca="1">$P425*V435</f>
        <v>0</v>
      </c>
      <c r="Q433" s="63">
        <f t="shared" ref="Q433" ca="1" si="583">$P425*W435</f>
        <v>0</v>
      </c>
      <c r="R433" s="63">
        <f t="shared" ref="R433" ca="1" si="584">$P425*X435</f>
        <v>0</v>
      </c>
      <c r="S433" s="63">
        <f t="shared" ref="S433" ca="1" si="585">$P425*Y435</f>
        <v>0</v>
      </c>
      <c r="U433" s="583"/>
      <c r="V433" s="584"/>
      <c r="W433" s="583"/>
      <c r="X433" s="583"/>
      <c r="Y433" s="583"/>
      <c r="Z433" s="583"/>
      <c r="AA433" s="525"/>
    </row>
    <row r="434" spans="2:27" s="416" customFormat="1" hidden="1" outlineLevel="1" x14ac:dyDescent="0.2">
      <c r="E434" s="589" t="s">
        <v>1210</v>
      </c>
      <c r="F434" s="130"/>
      <c r="G434" s="130"/>
      <c r="H434" s="130"/>
      <c r="I434" s="63">
        <f ca="1">$I425*V434</f>
        <v>0</v>
      </c>
      <c r="J434" s="63">
        <f t="shared" ref="J434" ca="1" si="586">$I425*W434</f>
        <v>0</v>
      </c>
      <c r="K434" s="63">
        <f t="shared" ref="K434" ca="1" si="587">$I425*X434</f>
        <v>0</v>
      </c>
      <c r="L434" s="243"/>
      <c r="M434" s="589" t="s">
        <v>1210</v>
      </c>
      <c r="N434" s="130"/>
      <c r="O434" s="130"/>
      <c r="P434" s="130"/>
      <c r="Q434" s="63">
        <f ca="1">$Q425*V435</f>
        <v>0</v>
      </c>
      <c r="R434" s="63">
        <f t="shared" ref="R434" ca="1" si="588">$Q425*W435</f>
        <v>0</v>
      </c>
      <c r="S434" s="63">
        <f t="shared" ref="S434" ca="1" si="589">$Q425*X435</f>
        <v>0</v>
      </c>
      <c r="U434" s="580" t="s">
        <v>1156</v>
      </c>
      <c r="V434" s="585">
        <f t="shared" ref="V434:AA434" si="590">IFERROR(V428/$W437,0)</f>
        <v>0</v>
      </c>
      <c r="W434" s="585">
        <f t="shared" si="590"/>
        <v>0</v>
      </c>
      <c r="X434" s="585">
        <f t="shared" si="590"/>
        <v>0</v>
      </c>
      <c r="Y434" s="585">
        <f t="shared" si="590"/>
        <v>0</v>
      </c>
      <c r="Z434" s="585">
        <f t="shared" si="590"/>
        <v>0</v>
      </c>
      <c r="AA434" s="585">
        <f t="shared" si="590"/>
        <v>0</v>
      </c>
    </row>
    <row r="435" spans="2:27" s="416" customFormat="1" hidden="1" outlineLevel="1" x14ac:dyDescent="0.2">
      <c r="E435" s="589" t="s">
        <v>1211</v>
      </c>
      <c r="F435" s="130"/>
      <c r="G435" s="130"/>
      <c r="H435" s="130"/>
      <c r="I435" s="130"/>
      <c r="J435" s="63">
        <f ca="1">$J425*V434</f>
        <v>0</v>
      </c>
      <c r="K435" s="63">
        <f ca="1">$J425*W434</f>
        <v>0</v>
      </c>
      <c r="L435" s="243"/>
      <c r="M435" s="589" t="s">
        <v>1211</v>
      </c>
      <c r="N435" s="130"/>
      <c r="O435" s="130"/>
      <c r="P435" s="130"/>
      <c r="Q435" s="130"/>
      <c r="R435" s="63">
        <f ca="1">$R425*V435</f>
        <v>0</v>
      </c>
      <c r="S435" s="63">
        <f ca="1">$R425*W435</f>
        <v>0</v>
      </c>
      <c r="U435" s="582" t="s">
        <v>1158</v>
      </c>
      <c r="V435" s="585">
        <f t="shared" ref="V435:AA435" si="591">IFERROR(V431/$W437,0)</f>
        <v>0</v>
      </c>
      <c r="W435" s="585">
        <f t="shared" si="591"/>
        <v>0</v>
      </c>
      <c r="X435" s="585">
        <f t="shared" si="591"/>
        <v>0</v>
      </c>
      <c r="Y435" s="585">
        <f t="shared" si="591"/>
        <v>0</v>
      </c>
      <c r="Z435" s="585">
        <f t="shared" si="591"/>
        <v>0</v>
      </c>
      <c r="AA435" s="585">
        <f t="shared" si="591"/>
        <v>0</v>
      </c>
    </row>
    <row r="436" spans="2:27" s="416" customFormat="1" hidden="1" outlineLevel="1" x14ac:dyDescent="0.2">
      <c r="E436" s="589" t="s">
        <v>1212</v>
      </c>
      <c r="F436" s="130"/>
      <c r="G436" s="130"/>
      <c r="H436" s="130"/>
      <c r="I436" s="130"/>
      <c r="J436" s="130"/>
      <c r="K436" s="63">
        <f ca="1">$K425*V434</f>
        <v>0</v>
      </c>
      <c r="L436" s="243"/>
      <c r="M436" s="589" t="s">
        <v>1212</v>
      </c>
      <c r="N436" s="130"/>
      <c r="O436" s="130"/>
      <c r="P436" s="130"/>
      <c r="Q436" s="130"/>
      <c r="R436" s="130"/>
      <c r="S436" s="63">
        <f ca="1">$S425*V435</f>
        <v>0</v>
      </c>
    </row>
    <row r="437" spans="2:27" s="416" customFormat="1" hidden="1" outlineLevel="1" x14ac:dyDescent="0.2">
      <c r="E437" s="590" t="str">
        <f>TxPhase1PxUnitsTx</f>
        <v/>
      </c>
      <c r="F437" s="591">
        <f ca="1">IF(F428&lt;&gt;"",SUM(F431:F436),F425)</f>
        <v>0</v>
      </c>
      <c r="G437" s="591">
        <f ca="1">IF(F428&lt;&gt;"",SUM(G431:G436),G425)</f>
        <v>0</v>
      </c>
      <c r="H437" s="591">
        <f ca="1">IF(F428&lt;&gt;"",SUM(H431:H436),H425)</f>
        <v>0</v>
      </c>
      <c r="I437" s="591">
        <f ca="1">IF(F428&lt;&gt;"",SUM(I431:I436),I425)</f>
        <v>0</v>
      </c>
      <c r="J437" s="591">
        <f ca="1">IF(F428&lt;&gt;"",SUM(J431:J436),J425)</f>
        <v>0</v>
      </c>
      <c r="K437" s="591">
        <f ca="1">IF(F428&lt;&gt;"",SUM(K431:K436),K425)</f>
        <v>0</v>
      </c>
      <c r="L437" s="243"/>
      <c r="M437" s="590" t="str">
        <f>TxPhase2PxUnitsTx</f>
        <v/>
      </c>
      <c r="N437" s="591">
        <f ca="1">IF(N428&lt;&gt;"",SUM(N431:N436),N425)</f>
        <v>0</v>
      </c>
      <c r="O437" s="591">
        <f ca="1">IF(N428&lt;&gt;"",SUM(O431:O436),O425)</f>
        <v>0</v>
      </c>
      <c r="P437" s="591">
        <f ca="1">IF(N428&lt;&gt;"",SUM(P431:P436),P425)</f>
        <v>0</v>
      </c>
      <c r="Q437" s="591">
        <f ca="1">IF(N428&lt;&gt;"",SUM(Q431:Q436),Q425)</f>
        <v>0</v>
      </c>
      <c r="R437" s="591">
        <f ca="1">IF(N428&lt;&gt;"",SUM(R431:R436),R425)</f>
        <v>0</v>
      </c>
      <c r="S437" s="591">
        <f ca="1">IF(N428&lt;&gt;"",SUM(S431:S436),S425)</f>
        <v>0</v>
      </c>
      <c r="U437" s="582" t="s">
        <v>1161</v>
      </c>
      <c r="V437" s="579">
        <f>IFERROR(VLOOKUP(G428,TimeUnitCode,2,FALSE),0)</f>
        <v>0</v>
      </c>
      <c r="W437" s="579">
        <f>IFERROR(INDEX(TimeUnitCount,V437,2),0)</f>
        <v>0</v>
      </c>
    </row>
    <row r="438" spans="2:27" s="416" customFormat="1" hidden="1" outlineLevel="1" x14ac:dyDescent="0.2"/>
    <row r="439" spans="2:27" s="416" customFormat="1" collapsed="1" x14ac:dyDescent="0.2"/>
    <row r="440" spans="2:27" s="416" customFormat="1" ht="15.75" x14ac:dyDescent="0.2">
      <c r="B440" s="475">
        <f>IF(F450+N450&gt;12,1,0)</f>
        <v>0</v>
      </c>
      <c r="C440" s="291">
        <f ca="1">IFERROR(INDEX(PxTxPhase1,$D445,7),0)</f>
        <v>0</v>
      </c>
      <c r="D440" s="573">
        <v>20</v>
      </c>
      <c r="E440" s="79" t="str">
        <f>IF(F444&lt;&gt;"",CONCATENATE("DTG ",D440,": ",H444,": ",N440),MsgNotUsed)</f>
        <v>** NOT USED **</v>
      </c>
      <c r="F440" s="132"/>
      <c r="G440" s="132"/>
      <c r="H440" s="132"/>
      <c r="I440" s="132"/>
      <c r="J440" s="134"/>
      <c r="K440" s="134"/>
      <c r="L440" s="134"/>
      <c r="M440" s="325"/>
      <c r="N440" s="637" t="str">
        <f>IF(AND(F450="",N450=""),"Full year",IF(AND(F450&lt;&gt;"",N450=""),CONCATENATE(F450," ",G450),IF(AND(F450="",N450&lt;&gt;""),CONCATENATE(N450," ",G450),CONCATENATE(F450," + ",N450," ",G450))))</f>
        <v>Full year</v>
      </c>
      <c r="O440" s="325"/>
      <c r="P440" s="325"/>
      <c r="Q440" s="325"/>
      <c r="R440" s="325"/>
      <c r="S440" s="325"/>
      <c r="T440" s="325"/>
      <c r="U440" s="325"/>
      <c r="V440" s="325"/>
      <c r="W440" s="325"/>
      <c r="X440" s="325"/>
      <c r="Y440" s="325"/>
      <c r="Z440" s="325"/>
      <c r="AA440" s="325"/>
    </row>
    <row r="441" spans="2:27" s="416" customFormat="1" hidden="1" outlineLevel="1" x14ac:dyDescent="0.2">
      <c r="C441" s="615"/>
      <c r="D441" s="615"/>
      <c r="E441" s="615"/>
      <c r="F441" s="624">
        <v>1</v>
      </c>
      <c r="G441" s="397">
        <v>2</v>
      </c>
      <c r="H441" s="397">
        <v>3</v>
      </c>
      <c r="I441" s="397">
        <v>4</v>
      </c>
      <c r="J441" s="397">
        <v>5</v>
      </c>
      <c r="K441" s="397">
        <v>6</v>
      </c>
      <c r="N441" s="397">
        <v>1</v>
      </c>
      <c r="O441" s="397">
        <v>2</v>
      </c>
      <c r="P441" s="397">
        <v>3</v>
      </c>
      <c r="Q441" s="397">
        <v>4</v>
      </c>
      <c r="R441" s="397">
        <v>5</v>
      </c>
      <c r="S441" s="397">
        <v>6</v>
      </c>
    </row>
    <row r="442" spans="2:27" s="416" customFormat="1" hidden="1" outlineLevel="1" x14ac:dyDescent="0.2">
      <c r="C442" s="243"/>
      <c r="D442" s="243"/>
      <c r="E442" s="162" t="s">
        <v>1206</v>
      </c>
      <c r="F442" s="615"/>
    </row>
    <row r="443" spans="2:27" s="416" customFormat="1" hidden="1" outlineLevel="1" x14ac:dyDescent="0.2">
      <c r="C443" s="243"/>
      <c r="D443" s="243"/>
      <c r="E443" s="616"/>
      <c r="F443" s="615"/>
      <c r="N443" s="615"/>
      <c r="O443" s="615"/>
      <c r="P443" s="615"/>
      <c r="Q443" s="615"/>
      <c r="R443" s="615"/>
      <c r="S443" s="615"/>
    </row>
    <row r="444" spans="2:27" s="416" customFormat="1" hidden="1" outlineLevel="1" x14ac:dyDescent="0.2">
      <c r="C444" s="291">
        <f>IF(F444&lt;&gt;"",MATCH(F444,PxTxSource,0)-1,0)</f>
        <v>0</v>
      </c>
      <c r="D444" s="291">
        <f ca="1">IF(H444&lt;&gt;"",MATCH(H444,OFFSET(References!$AE$23,0,C444,PxPopMaxCount),0),0)</f>
        <v>0</v>
      </c>
      <c r="E444" s="423" t="s">
        <v>113</v>
      </c>
      <c r="F444" s="613"/>
      <c r="H444" s="812"/>
      <c r="I444" s="813"/>
      <c r="J444" s="813"/>
      <c r="K444" s="813"/>
      <c r="L444" s="615"/>
      <c r="N444" s="806" t="str">
        <f ca="1">IF(ISERROR($D445)=TRUE,MsgError &amp; VLOOKUP("BadPop",ErrorMessages,2,FALSE),"")</f>
        <v/>
      </c>
      <c r="O444" s="806"/>
      <c r="P444" s="806"/>
      <c r="Q444" s="806"/>
      <c r="R444" s="806"/>
      <c r="S444" s="806"/>
    </row>
    <row r="445" spans="2:27" s="416" customFormat="1" hidden="1" outlineLevel="1" x14ac:dyDescent="0.2">
      <c r="C445" s="291">
        <f>INDEX(PxTxValid,,C444+1)</f>
        <v>0</v>
      </c>
      <c r="D445" s="291" t="str">
        <f ca="1">IF(AND(C444=0,D444=0),"",(C444*PxPopMaxCount)+D444)</f>
        <v/>
      </c>
      <c r="E445" s="243"/>
      <c r="L445" s="615"/>
      <c r="M445" s="615"/>
      <c r="N445" s="615"/>
      <c r="O445" s="615"/>
      <c r="P445" s="615"/>
      <c r="Q445" s="615"/>
      <c r="R445" s="615"/>
      <c r="S445" s="615"/>
    </row>
    <row r="446" spans="2:27" s="416" customFormat="1" hidden="1" outlineLevel="1" x14ac:dyDescent="0.2">
      <c r="C446" s="615"/>
      <c r="E446" s="495"/>
      <c r="F446" s="614">
        <f>FirstYear</f>
        <v>2021</v>
      </c>
      <c r="G446" s="614">
        <f>F446+1</f>
        <v>2022</v>
      </c>
      <c r="H446" s="614">
        <f>G446+1</f>
        <v>2023</v>
      </c>
      <c r="I446" s="614">
        <f>H446+1</f>
        <v>2024</v>
      </c>
      <c r="J446" s="614">
        <f>I446+1</f>
        <v>2025</v>
      </c>
      <c r="K446" s="614">
        <f>J446+1</f>
        <v>2026</v>
      </c>
      <c r="L446" s="243"/>
      <c r="N446" s="614">
        <f>FirstYear</f>
        <v>2021</v>
      </c>
      <c r="O446" s="614">
        <f>N446+1</f>
        <v>2022</v>
      </c>
      <c r="P446" s="614">
        <f>O446+1</f>
        <v>2023</v>
      </c>
      <c r="Q446" s="614">
        <f>P446+1</f>
        <v>2024</v>
      </c>
      <c r="R446" s="614">
        <f>Q446+1</f>
        <v>2025</v>
      </c>
      <c r="S446" s="614">
        <f>R446+1</f>
        <v>2026</v>
      </c>
    </row>
    <row r="447" spans="2:27" s="416" customFormat="1" hidden="1" outlineLevel="1" x14ac:dyDescent="0.2">
      <c r="E447" s="59" t="str">
        <f>TxPhase1Px</f>
        <v/>
      </c>
      <c r="F447" s="32">
        <f t="shared" ref="F447:K447" ca="1" si="592">IFERROR(INDEX(PxTxPhase1,$D445,F441),0)</f>
        <v>0</v>
      </c>
      <c r="G447" s="32">
        <f t="shared" ca="1" si="592"/>
        <v>0</v>
      </c>
      <c r="H447" s="32">
        <f t="shared" ca="1" si="592"/>
        <v>0</v>
      </c>
      <c r="I447" s="32">
        <f t="shared" ca="1" si="592"/>
        <v>0</v>
      </c>
      <c r="J447" s="32">
        <f t="shared" ca="1" si="592"/>
        <v>0</v>
      </c>
      <c r="K447" s="32">
        <f t="shared" ca="1" si="592"/>
        <v>0</v>
      </c>
      <c r="L447" s="243"/>
      <c r="M447" s="59" t="str">
        <f>TxPhase2Px</f>
        <v/>
      </c>
      <c r="N447" s="32">
        <f t="shared" ref="N447:S447" ca="1" si="593">IFERROR(INDEX(PxTxPhase2,$D445,N441),0)</f>
        <v>0</v>
      </c>
      <c r="O447" s="32">
        <f t="shared" ca="1" si="593"/>
        <v>0</v>
      </c>
      <c r="P447" s="32">
        <f t="shared" ca="1" si="593"/>
        <v>0</v>
      </c>
      <c r="Q447" s="32">
        <f t="shared" ca="1" si="593"/>
        <v>0</v>
      </c>
      <c r="R447" s="32">
        <f t="shared" ca="1" si="593"/>
        <v>0</v>
      </c>
      <c r="S447" s="32">
        <f t="shared" ca="1" si="593"/>
        <v>0</v>
      </c>
    </row>
    <row r="448" spans="2:27" s="416" customFormat="1" hidden="1" outlineLevel="1" x14ac:dyDescent="0.2">
      <c r="D448" s="615"/>
      <c r="E448" s="615"/>
      <c r="F448" s="615"/>
      <c r="G448" s="615"/>
      <c r="H448" s="615"/>
      <c r="I448" s="615"/>
      <c r="J448" s="615"/>
      <c r="K448" s="615"/>
      <c r="L448" s="243"/>
      <c r="M448" s="615"/>
      <c r="N448" s="615"/>
    </row>
    <row r="449" spans="2:27" s="416" customFormat="1" hidden="1" outlineLevel="1" x14ac:dyDescent="0.2">
      <c r="D449" s="615"/>
      <c r="E449" s="243"/>
      <c r="F449" s="243"/>
      <c r="G449" s="243"/>
      <c r="H449" s="243"/>
      <c r="I449" s="243"/>
      <c r="J449" s="243"/>
      <c r="K449" s="243"/>
      <c r="L449" s="243"/>
      <c r="M449" s="243"/>
      <c r="N449" s="615"/>
      <c r="U449" s="578"/>
      <c r="V449" s="579">
        <f>$W459*1</f>
        <v>0</v>
      </c>
      <c r="W449" s="579">
        <f>$W459*2</f>
        <v>0</v>
      </c>
      <c r="X449" s="579">
        <f>$W459*3</f>
        <v>0</v>
      </c>
      <c r="Y449" s="579">
        <f>$W459*4</f>
        <v>0</v>
      </c>
      <c r="Z449" s="579">
        <f>$W459*5</f>
        <v>0</v>
      </c>
      <c r="AA449" s="579">
        <f>$W459*6</f>
        <v>0</v>
      </c>
    </row>
    <row r="450" spans="2:27" s="416" customFormat="1" hidden="1" outlineLevel="1" x14ac:dyDescent="0.2">
      <c r="E450" s="433" t="s">
        <v>1160</v>
      </c>
      <c r="F450" s="586"/>
      <c r="G450" s="268"/>
      <c r="H450" s="621"/>
      <c r="I450" s="621"/>
      <c r="J450" s="621"/>
      <c r="K450" s="621"/>
      <c r="L450" s="243"/>
      <c r="M450" s="433" t="s">
        <v>1160</v>
      </c>
      <c r="N450" s="586"/>
      <c r="O450" s="587" t="str">
        <f>IF(G450&lt;&gt;"",G450,"")</f>
        <v/>
      </c>
      <c r="P450" s="525"/>
      <c r="Q450" s="525"/>
      <c r="R450" s="525"/>
      <c r="S450" s="525"/>
      <c r="U450" s="580" t="s">
        <v>1156</v>
      </c>
      <c r="V450" s="581">
        <f>IF($F450&gt;=V449,$W459,IF($F450&gt;0,$F450,0))</f>
        <v>0</v>
      </c>
      <c r="W450" s="581">
        <f>IF($F450&gt;=W449,$W$41,IF($F450&gt;V449,($F450-V449),0))</f>
        <v>0</v>
      </c>
      <c r="X450" s="581">
        <f>IF($F450&gt;=X449,$W$41,IF($F450&gt;W449,($F450-W449),0))</f>
        <v>0</v>
      </c>
      <c r="Y450" s="581">
        <f>IF($F450&gt;=Y449,$W$41,IF($F450&gt;X449,($F450-X449),0))</f>
        <v>0</v>
      </c>
      <c r="Z450" s="581">
        <f>IF($F450&gt;=Z449,$W$41,IF($F450&gt;Y449,($F450-Y449),0))</f>
        <v>0</v>
      </c>
      <c r="AA450" s="581">
        <f>IF($F450&gt;=AA449,$W$41,IF($F450&gt;Z449,($F450-Z449),0))</f>
        <v>0</v>
      </c>
    </row>
    <row r="451" spans="2:27" s="416" customFormat="1" hidden="1" outlineLevel="1" x14ac:dyDescent="0.2">
      <c r="D451" s="615"/>
      <c r="E451" s="622"/>
      <c r="F451" s="622"/>
      <c r="G451" s="583"/>
      <c r="H451" s="622"/>
      <c r="I451" s="622"/>
      <c r="J451" s="622"/>
      <c r="K451" s="622"/>
      <c r="L451" s="243"/>
      <c r="M451" s="617"/>
      <c r="N451" s="618"/>
      <c r="O451" s="618"/>
      <c r="P451" s="618"/>
      <c r="Q451" s="618"/>
      <c r="R451" s="618"/>
      <c r="S451" s="618"/>
      <c r="U451" s="582" t="s">
        <v>1157</v>
      </c>
      <c r="V451" s="579">
        <f t="shared" ref="V451:AA451" si="594">IF(V450&gt;0,$W459-V450,$W459)</f>
        <v>0</v>
      </c>
      <c r="W451" s="579">
        <f t="shared" si="594"/>
        <v>0</v>
      </c>
      <c r="X451" s="579">
        <f t="shared" si="594"/>
        <v>0</v>
      </c>
      <c r="Y451" s="579">
        <f t="shared" si="594"/>
        <v>0</v>
      </c>
      <c r="Z451" s="579">
        <f t="shared" si="594"/>
        <v>0</v>
      </c>
      <c r="AA451" s="579">
        <f t="shared" si="594"/>
        <v>0</v>
      </c>
    </row>
    <row r="452" spans="2:27" s="416" customFormat="1" hidden="1" outlineLevel="1" x14ac:dyDescent="0.2">
      <c r="D452" s="615"/>
      <c r="E452" s="617" t="str">
        <f>E447</f>
        <v/>
      </c>
      <c r="F452" s="623"/>
      <c r="G452" s="588"/>
      <c r="H452" s="623"/>
      <c r="I452" s="623"/>
      <c r="J452" s="623"/>
      <c r="K452" s="623"/>
      <c r="L452" s="243"/>
      <c r="M452" s="617" t="str">
        <f>M447</f>
        <v/>
      </c>
      <c r="N452" s="619"/>
      <c r="O452" s="620"/>
      <c r="P452" s="620"/>
      <c r="Q452" s="620"/>
      <c r="R452" s="620"/>
      <c r="S452" s="620"/>
      <c r="U452" s="525"/>
      <c r="V452" s="525"/>
      <c r="W452" s="525"/>
      <c r="X452" s="525"/>
      <c r="Y452" s="525"/>
      <c r="Z452" s="525"/>
      <c r="AA452" s="525"/>
    </row>
    <row r="453" spans="2:27" s="416" customFormat="1" hidden="1" outlineLevel="1" x14ac:dyDescent="0.2">
      <c r="E453" s="589" t="s">
        <v>1207</v>
      </c>
      <c r="F453" s="63">
        <f ca="1">$F447*V456</f>
        <v>0</v>
      </c>
      <c r="G453" s="63">
        <f t="shared" ref="G453" ca="1" si="595">$F447*W456</f>
        <v>0</v>
      </c>
      <c r="H453" s="63">
        <f t="shared" ref="H453" ca="1" si="596">$F447*X456</f>
        <v>0</v>
      </c>
      <c r="I453" s="63">
        <f t="shared" ref="I453" ca="1" si="597">$F447*Y456</f>
        <v>0</v>
      </c>
      <c r="J453" s="63">
        <f t="shared" ref="J453" ca="1" si="598">$F447*Z456</f>
        <v>0</v>
      </c>
      <c r="K453" s="63">
        <f t="shared" ref="K453" ca="1" si="599">$F447*AA456</f>
        <v>0</v>
      </c>
      <c r="L453" s="243"/>
      <c r="M453" s="589" t="s">
        <v>1207</v>
      </c>
      <c r="N453" s="63">
        <f ca="1">$N447*V457</f>
        <v>0</v>
      </c>
      <c r="O453" s="63">
        <f ca="1">$N447*W457</f>
        <v>0</v>
      </c>
      <c r="P453" s="63">
        <f t="shared" ref="P453" ca="1" si="600">$N447*X457</f>
        <v>0</v>
      </c>
      <c r="Q453" s="63">
        <f t="shared" ref="Q453" ca="1" si="601">$N447*Y457</f>
        <v>0</v>
      </c>
      <c r="R453" s="63">
        <f t="shared" ref="R453" ca="1" si="602">$N447*Z457</f>
        <v>0</v>
      </c>
      <c r="S453" s="63">
        <f t="shared" ref="S453" ca="1" si="603">$N447*AA457</f>
        <v>0</v>
      </c>
      <c r="U453" s="582" t="s">
        <v>1158</v>
      </c>
      <c r="V453" s="581">
        <f>IF($N450&gt;=V451,V451,N450)</f>
        <v>0</v>
      </c>
      <c r="W453" s="581">
        <f>IF(V454&gt;=W451,W451,V454)</f>
        <v>0</v>
      </c>
      <c r="X453" s="581">
        <f>IF(W454&gt;=X451,X451,W454)</f>
        <v>0</v>
      </c>
      <c r="Y453" s="581">
        <f>IF(X454&gt;=Y451,Y451,X454)</f>
        <v>0</v>
      </c>
      <c r="Z453" s="581">
        <f>IF(Y454&gt;=Z451,Z451,Y454)</f>
        <v>0</v>
      </c>
      <c r="AA453" s="581">
        <f>IF(Z454&gt;=AA451,AA451,Z454)</f>
        <v>0</v>
      </c>
    </row>
    <row r="454" spans="2:27" s="416" customFormat="1" hidden="1" outlineLevel="1" x14ac:dyDescent="0.2">
      <c r="E454" s="589" t="s">
        <v>1208</v>
      </c>
      <c r="F454" s="130"/>
      <c r="G454" s="63">
        <f ca="1">$G447*V456</f>
        <v>0</v>
      </c>
      <c r="H454" s="63">
        <f t="shared" ref="H454" ca="1" si="604">$G447*W456</f>
        <v>0</v>
      </c>
      <c r="I454" s="63">
        <f t="shared" ref="I454" ca="1" si="605">$G447*X456</f>
        <v>0</v>
      </c>
      <c r="J454" s="63">
        <f t="shared" ref="J454" ca="1" si="606">$G447*Y456</f>
        <v>0</v>
      </c>
      <c r="K454" s="63">
        <f t="shared" ref="K454" ca="1" si="607">$G447*Z456</f>
        <v>0</v>
      </c>
      <c r="L454" s="243"/>
      <c r="M454" s="589" t="s">
        <v>1208</v>
      </c>
      <c r="N454" s="130"/>
      <c r="O454" s="63">
        <f ca="1">$O447*V457</f>
        <v>0</v>
      </c>
      <c r="P454" s="63">
        <f t="shared" ref="P454" ca="1" si="608">$O447*W457</f>
        <v>0</v>
      </c>
      <c r="Q454" s="63">
        <f t="shared" ref="Q454" ca="1" si="609">$O447*X457</f>
        <v>0</v>
      </c>
      <c r="R454" s="63">
        <f t="shared" ref="R454" ca="1" si="610">$O447*Y457</f>
        <v>0</v>
      </c>
      <c r="S454" s="63">
        <f t="shared" ref="S454" ca="1" si="611">$O447*Z457</f>
        <v>0</v>
      </c>
      <c r="U454" s="582" t="s">
        <v>1159</v>
      </c>
      <c r="V454" s="579">
        <f>$N450-V453</f>
        <v>0</v>
      </c>
      <c r="W454" s="579">
        <f>$N450-SUM($V453:W453)</f>
        <v>0</v>
      </c>
      <c r="X454" s="579">
        <f>$N450-SUM($V453:X453)</f>
        <v>0</v>
      </c>
      <c r="Y454" s="579">
        <f>$N450-SUM($V453:Y453)</f>
        <v>0</v>
      </c>
      <c r="Z454" s="579">
        <f>$N450-SUM($V453:Z453)</f>
        <v>0</v>
      </c>
      <c r="AA454" s="579">
        <f>$N450-SUM($V453:AA453)</f>
        <v>0</v>
      </c>
    </row>
    <row r="455" spans="2:27" s="416" customFormat="1" hidden="1" outlineLevel="1" x14ac:dyDescent="0.2">
      <c r="E455" s="589" t="s">
        <v>1209</v>
      </c>
      <c r="F455" s="130"/>
      <c r="G455" s="130"/>
      <c r="H455" s="63">
        <f ca="1">$H447*V456</f>
        <v>0</v>
      </c>
      <c r="I455" s="63">
        <f t="shared" ref="I455" ca="1" si="612">$H447*W456</f>
        <v>0</v>
      </c>
      <c r="J455" s="63">
        <f t="shared" ref="J455" ca="1" si="613">$H447*X456</f>
        <v>0</v>
      </c>
      <c r="K455" s="63">
        <f t="shared" ref="K455" ca="1" si="614">$H447*Y456</f>
        <v>0</v>
      </c>
      <c r="L455" s="243"/>
      <c r="M455" s="589" t="s">
        <v>1209</v>
      </c>
      <c r="N455" s="130"/>
      <c r="O455" s="130"/>
      <c r="P455" s="63">
        <f ca="1">$P447*V457</f>
        <v>0</v>
      </c>
      <c r="Q455" s="63">
        <f t="shared" ref="Q455" ca="1" si="615">$P447*W457</f>
        <v>0</v>
      </c>
      <c r="R455" s="63">
        <f t="shared" ref="R455" ca="1" si="616">$P447*X457</f>
        <v>0</v>
      </c>
      <c r="S455" s="63">
        <f t="shared" ref="S455" ca="1" si="617">$P447*Y457</f>
        <v>0</v>
      </c>
      <c r="U455" s="583"/>
      <c r="V455" s="584"/>
      <c r="W455" s="583"/>
      <c r="X455" s="583"/>
      <c r="Y455" s="583"/>
      <c r="Z455" s="583"/>
      <c r="AA455" s="525"/>
    </row>
    <row r="456" spans="2:27" s="416" customFormat="1" hidden="1" outlineLevel="1" x14ac:dyDescent="0.2">
      <c r="E456" s="589" t="s">
        <v>1210</v>
      </c>
      <c r="F456" s="130"/>
      <c r="G456" s="130"/>
      <c r="H456" s="130"/>
      <c r="I456" s="63">
        <f ca="1">$I447*V456</f>
        <v>0</v>
      </c>
      <c r="J456" s="63">
        <f t="shared" ref="J456" ca="1" si="618">$I447*W456</f>
        <v>0</v>
      </c>
      <c r="K456" s="63">
        <f t="shared" ref="K456" ca="1" si="619">$I447*X456</f>
        <v>0</v>
      </c>
      <c r="L456" s="243"/>
      <c r="M456" s="589" t="s">
        <v>1210</v>
      </c>
      <c r="N456" s="130"/>
      <c r="O456" s="130"/>
      <c r="P456" s="130"/>
      <c r="Q456" s="63">
        <f ca="1">$Q447*V457</f>
        <v>0</v>
      </c>
      <c r="R456" s="63">
        <f t="shared" ref="R456" ca="1" si="620">$Q447*W457</f>
        <v>0</v>
      </c>
      <c r="S456" s="63">
        <f t="shared" ref="S456" ca="1" si="621">$Q447*X457</f>
        <v>0</v>
      </c>
      <c r="U456" s="580" t="s">
        <v>1156</v>
      </c>
      <c r="V456" s="585">
        <f t="shared" ref="V456:AA456" si="622">IFERROR(V450/$W459,0)</f>
        <v>0</v>
      </c>
      <c r="W456" s="585">
        <f t="shared" si="622"/>
        <v>0</v>
      </c>
      <c r="X456" s="585">
        <f t="shared" si="622"/>
        <v>0</v>
      </c>
      <c r="Y456" s="585">
        <f t="shared" si="622"/>
        <v>0</v>
      </c>
      <c r="Z456" s="585">
        <f t="shared" si="622"/>
        <v>0</v>
      </c>
      <c r="AA456" s="585">
        <f t="shared" si="622"/>
        <v>0</v>
      </c>
    </row>
    <row r="457" spans="2:27" s="416" customFormat="1" hidden="1" outlineLevel="1" x14ac:dyDescent="0.2">
      <c r="E457" s="589" t="s">
        <v>1211</v>
      </c>
      <c r="F457" s="130"/>
      <c r="G457" s="130"/>
      <c r="H457" s="130"/>
      <c r="I457" s="130"/>
      <c r="J457" s="63">
        <f ca="1">$J447*V456</f>
        <v>0</v>
      </c>
      <c r="K457" s="63">
        <f ca="1">$J447*W456</f>
        <v>0</v>
      </c>
      <c r="L457" s="243"/>
      <c r="M457" s="589" t="s">
        <v>1211</v>
      </c>
      <c r="N457" s="130"/>
      <c r="O457" s="130"/>
      <c r="P457" s="130"/>
      <c r="Q457" s="130"/>
      <c r="R457" s="63">
        <f ca="1">$R447*V457</f>
        <v>0</v>
      </c>
      <c r="S457" s="63">
        <f ca="1">$R447*W457</f>
        <v>0</v>
      </c>
      <c r="U457" s="582" t="s">
        <v>1158</v>
      </c>
      <c r="V457" s="585">
        <f t="shared" ref="V457:AA457" si="623">IFERROR(V453/$W459,0)</f>
        <v>0</v>
      </c>
      <c r="W457" s="585">
        <f t="shared" si="623"/>
        <v>0</v>
      </c>
      <c r="X457" s="585">
        <f t="shared" si="623"/>
        <v>0</v>
      </c>
      <c r="Y457" s="585">
        <f t="shared" si="623"/>
        <v>0</v>
      </c>
      <c r="Z457" s="585">
        <f t="shared" si="623"/>
        <v>0</v>
      </c>
      <c r="AA457" s="585">
        <f t="shared" si="623"/>
        <v>0</v>
      </c>
    </row>
    <row r="458" spans="2:27" s="416" customFormat="1" hidden="1" outlineLevel="1" x14ac:dyDescent="0.2">
      <c r="E458" s="589" t="s">
        <v>1212</v>
      </c>
      <c r="F458" s="130"/>
      <c r="G458" s="130"/>
      <c r="H458" s="130"/>
      <c r="I458" s="130"/>
      <c r="J458" s="130"/>
      <c r="K458" s="63">
        <f ca="1">$K447*V456</f>
        <v>0</v>
      </c>
      <c r="L458" s="243"/>
      <c r="M458" s="589" t="s">
        <v>1212</v>
      </c>
      <c r="N458" s="130"/>
      <c r="O458" s="130"/>
      <c r="P458" s="130"/>
      <c r="Q458" s="130"/>
      <c r="R458" s="130"/>
      <c r="S458" s="63">
        <f ca="1">$S447*V457</f>
        <v>0</v>
      </c>
    </row>
    <row r="459" spans="2:27" s="416" customFormat="1" hidden="1" outlineLevel="1" x14ac:dyDescent="0.2">
      <c r="E459" s="590" t="str">
        <f>TxPhase1PxUnitsTx</f>
        <v/>
      </c>
      <c r="F459" s="591">
        <f ca="1">IF(F450&lt;&gt;"",SUM(F453:F458),F447)</f>
        <v>0</v>
      </c>
      <c r="G459" s="591">
        <f ca="1">IF(F450&lt;&gt;"",SUM(G453:G458),G447)</f>
        <v>0</v>
      </c>
      <c r="H459" s="591">
        <f ca="1">IF(F450&lt;&gt;"",SUM(H453:H458),H447)</f>
        <v>0</v>
      </c>
      <c r="I459" s="591">
        <f ca="1">IF(F450&lt;&gt;"",SUM(I453:I458),I447)</f>
        <v>0</v>
      </c>
      <c r="J459" s="591">
        <f ca="1">IF(F450&lt;&gt;"",SUM(J453:J458),J447)</f>
        <v>0</v>
      </c>
      <c r="K459" s="591">
        <f ca="1">IF(F450&lt;&gt;"",SUM(K453:K458),K447)</f>
        <v>0</v>
      </c>
      <c r="L459" s="243"/>
      <c r="M459" s="590" t="str">
        <f>TxPhase2PxUnitsTx</f>
        <v/>
      </c>
      <c r="N459" s="591">
        <f ca="1">IF(N450&lt;&gt;"",SUM(N453:N458),N447)</f>
        <v>0</v>
      </c>
      <c r="O459" s="591">
        <f ca="1">IF(N450&lt;&gt;"",SUM(O453:O458),O447)</f>
        <v>0</v>
      </c>
      <c r="P459" s="591">
        <f ca="1">IF(N450&lt;&gt;"",SUM(P453:P458),P447)</f>
        <v>0</v>
      </c>
      <c r="Q459" s="591">
        <f ca="1">IF(N450&lt;&gt;"",SUM(Q453:Q458),Q447)</f>
        <v>0</v>
      </c>
      <c r="R459" s="591">
        <f ca="1">IF(N450&lt;&gt;"",SUM(R453:R458),R447)</f>
        <v>0</v>
      </c>
      <c r="S459" s="591">
        <f ca="1">IF(N450&lt;&gt;"",SUM(S453:S458),S447)</f>
        <v>0</v>
      </c>
      <c r="U459" s="582" t="s">
        <v>1161</v>
      </c>
      <c r="V459" s="579">
        <f>IFERROR(VLOOKUP(G450,TimeUnitCode,2,FALSE),0)</f>
        <v>0</v>
      </c>
      <c r="W459" s="579">
        <f>IFERROR(INDEX(TimeUnitCount,V459,2),0)</f>
        <v>0</v>
      </c>
    </row>
    <row r="460" spans="2:27" hidden="1" outlineLevel="1" x14ac:dyDescent="0.2"/>
    <row r="461" spans="2:27" collapsed="1" x14ac:dyDescent="0.2"/>
    <row r="462" spans="2:27" s="416" customFormat="1" ht="15.75" x14ac:dyDescent="0.2">
      <c r="B462" s="475">
        <f>IF(F472+N472&gt;12,1,0)</f>
        <v>0</v>
      </c>
      <c r="C462" s="291">
        <f ca="1">IFERROR(INDEX(PxTxPhase1,$D467,7),0)</f>
        <v>0</v>
      </c>
      <c r="D462" s="573">
        <v>21</v>
      </c>
      <c r="E462" s="79" t="str">
        <f>IF(F466&lt;&gt;"",CONCATENATE("DTG ",D462,": ",H466,": ",N462),MsgNotUsed)</f>
        <v>** NOT USED **</v>
      </c>
      <c r="F462" s="132"/>
      <c r="G462" s="132"/>
      <c r="H462" s="132"/>
      <c r="I462" s="132"/>
      <c r="J462" s="134"/>
      <c r="K462" s="134"/>
      <c r="L462" s="134"/>
      <c r="M462" s="325"/>
      <c r="N462" s="637" t="str">
        <f>IF(AND(F472="",N472=""),"Full year",IF(AND(F472&lt;&gt;"",N472=""),CONCATENATE(F472," ",G472),IF(AND(F472="",N472&lt;&gt;""),CONCATENATE(N472," ",G472),CONCATENATE(F472," + ",N472," ",G472))))</f>
        <v>Full year</v>
      </c>
      <c r="O462" s="325"/>
      <c r="P462" s="325"/>
      <c r="Q462" s="325"/>
      <c r="R462" s="325"/>
      <c r="S462" s="325"/>
      <c r="T462" s="325"/>
      <c r="U462" s="325"/>
      <c r="V462" s="325"/>
      <c r="W462" s="325"/>
      <c r="X462" s="325"/>
      <c r="Y462" s="325"/>
      <c r="Z462" s="325"/>
      <c r="AA462" s="325"/>
    </row>
    <row r="463" spans="2:27" s="416" customFormat="1" hidden="1" outlineLevel="1" x14ac:dyDescent="0.2">
      <c r="C463" s="615"/>
      <c r="D463" s="615"/>
      <c r="E463" s="615"/>
      <c r="F463" s="624">
        <v>1</v>
      </c>
      <c r="G463" s="397">
        <v>2</v>
      </c>
      <c r="H463" s="397">
        <v>3</v>
      </c>
      <c r="I463" s="397">
        <v>4</v>
      </c>
      <c r="J463" s="397">
        <v>5</v>
      </c>
      <c r="K463" s="397">
        <v>6</v>
      </c>
      <c r="N463" s="397">
        <v>1</v>
      </c>
      <c r="O463" s="397">
        <v>2</v>
      </c>
      <c r="P463" s="397">
        <v>3</v>
      </c>
      <c r="Q463" s="397">
        <v>4</v>
      </c>
      <c r="R463" s="397">
        <v>5</v>
      </c>
      <c r="S463" s="397">
        <v>6</v>
      </c>
    </row>
    <row r="464" spans="2:27" s="416" customFormat="1" hidden="1" outlineLevel="1" x14ac:dyDescent="0.2">
      <c r="C464" s="243"/>
      <c r="D464" s="243"/>
      <c r="E464" s="162" t="s">
        <v>1206</v>
      </c>
      <c r="F464" s="615"/>
    </row>
    <row r="465" spans="3:27" s="416" customFormat="1" hidden="1" outlineLevel="1" x14ac:dyDescent="0.2">
      <c r="C465" s="243"/>
      <c r="D465" s="243"/>
      <c r="E465" s="616"/>
      <c r="F465" s="615"/>
      <c r="N465" s="615"/>
      <c r="O465" s="615"/>
      <c r="P465" s="615"/>
      <c r="Q465" s="615"/>
      <c r="R465" s="615"/>
      <c r="S465" s="615"/>
    </row>
    <row r="466" spans="3:27" s="416" customFormat="1" hidden="1" outlineLevel="1" x14ac:dyDescent="0.2">
      <c r="C466" s="291">
        <f>IF(F466&lt;&gt;"",MATCH(F466,PxTxSource,0)-1,0)</f>
        <v>0</v>
      </c>
      <c r="D466" s="291">
        <f ca="1">IF(H466&lt;&gt;"",MATCH(H466,OFFSET(References!$AE$23,0,C466,PxPopMaxCount),0),0)</f>
        <v>0</v>
      </c>
      <c r="E466" s="423" t="s">
        <v>113</v>
      </c>
      <c r="F466" s="613"/>
      <c r="H466" s="812"/>
      <c r="I466" s="813"/>
      <c r="J466" s="813"/>
      <c r="K466" s="813"/>
      <c r="L466" s="615"/>
      <c r="N466" s="806" t="str">
        <f ca="1">IF(ISERROR($D467)=TRUE,MsgError &amp; VLOOKUP("BadPop",ErrorMessages,2,FALSE),"")</f>
        <v/>
      </c>
      <c r="O466" s="806"/>
      <c r="P466" s="806"/>
      <c r="Q466" s="806"/>
      <c r="R466" s="806"/>
      <c r="S466" s="806"/>
    </row>
    <row r="467" spans="3:27" s="416" customFormat="1" hidden="1" outlineLevel="1" x14ac:dyDescent="0.2">
      <c r="C467" s="291">
        <f>INDEX(PxTxValid,,C466+1)</f>
        <v>0</v>
      </c>
      <c r="D467" s="291" t="str">
        <f ca="1">IF(AND(C466&lt;&gt;0,D466&lt;&gt;0),(C466*PxPopMaxCount)+D466,"")</f>
        <v/>
      </c>
      <c r="E467" s="243"/>
      <c r="L467" s="615"/>
      <c r="M467" s="615"/>
      <c r="N467" s="615"/>
      <c r="O467" s="615"/>
      <c r="P467" s="615"/>
      <c r="Q467" s="615"/>
      <c r="R467" s="615"/>
      <c r="S467" s="615"/>
    </row>
    <row r="468" spans="3:27" s="416" customFormat="1" hidden="1" outlineLevel="1" x14ac:dyDescent="0.2">
      <c r="C468" s="615"/>
      <c r="E468" s="495"/>
      <c r="F468" s="614">
        <f>FirstYear</f>
        <v>2021</v>
      </c>
      <c r="G468" s="614">
        <f>F468+1</f>
        <v>2022</v>
      </c>
      <c r="H468" s="614">
        <f>G468+1</f>
        <v>2023</v>
      </c>
      <c r="I468" s="614">
        <f>H468+1</f>
        <v>2024</v>
      </c>
      <c r="J468" s="614">
        <f>I468+1</f>
        <v>2025</v>
      </c>
      <c r="K468" s="614">
        <f>J468+1</f>
        <v>2026</v>
      </c>
      <c r="L468" s="243"/>
      <c r="N468" s="614">
        <f>FirstYear</f>
        <v>2021</v>
      </c>
      <c r="O468" s="614">
        <f>N468+1</f>
        <v>2022</v>
      </c>
      <c r="P468" s="614">
        <f>O468+1</f>
        <v>2023</v>
      </c>
      <c r="Q468" s="614">
        <f>P468+1</f>
        <v>2024</v>
      </c>
      <c r="R468" s="614">
        <f>Q468+1</f>
        <v>2025</v>
      </c>
      <c r="S468" s="614">
        <f>R468+1</f>
        <v>2026</v>
      </c>
    </row>
    <row r="469" spans="3:27" s="416" customFormat="1" hidden="1" outlineLevel="1" x14ac:dyDescent="0.2">
      <c r="E469" s="59" t="str">
        <f>TxPhase1Px</f>
        <v/>
      </c>
      <c r="F469" s="32">
        <f t="shared" ref="F469:K469" ca="1" si="624">IFERROR(INDEX(PxTxPhase1,$D467,F463),0)</f>
        <v>0</v>
      </c>
      <c r="G469" s="32">
        <f t="shared" ca="1" si="624"/>
        <v>0</v>
      </c>
      <c r="H469" s="32">
        <f t="shared" ca="1" si="624"/>
        <v>0</v>
      </c>
      <c r="I469" s="32">
        <f t="shared" ca="1" si="624"/>
        <v>0</v>
      </c>
      <c r="J469" s="32">
        <f t="shared" ca="1" si="624"/>
        <v>0</v>
      </c>
      <c r="K469" s="32">
        <f t="shared" ca="1" si="624"/>
        <v>0</v>
      </c>
      <c r="L469" s="243"/>
      <c r="M469" s="59" t="str">
        <f>TxPhase2Px</f>
        <v/>
      </c>
      <c r="N469" s="32">
        <f t="shared" ref="N469:S469" ca="1" si="625">IFERROR(INDEX(PxTxPhase2,$D467,N463),0)</f>
        <v>0</v>
      </c>
      <c r="O469" s="32">
        <f t="shared" ca="1" si="625"/>
        <v>0</v>
      </c>
      <c r="P469" s="32">
        <f t="shared" ca="1" si="625"/>
        <v>0</v>
      </c>
      <c r="Q469" s="32">
        <f t="shared" ca="1" si="625"/>
        <v>0</v>
      </c>
      <c r="R469" s="32">
        <f t="shared" ca="1" si="625"/>
        <v>0</v>
      </c>
      <c r="S469" s="32">
        <f t="shared" ca="1" si="625"/>
        <v>0</v>
      </c>
    </row>
    <row r="470" spans="3:27" s="416" customFormat="1" hidden="1" outlineLevel="1" x14ac:dyDescent="0.2">
      <c r="D470" s="615"/>
      <c r="E470" s="615"/>
      <c r="F470" s="615"/>
      <c r="G470" s="615"/>
      <c r="H470" s="615"/>
      <c r="I470" s="615"/>
      <c r="J470" s="615"/>
      <c r="K470" s="615"/>
      <c r="L470" s="243"/>
      <c r="M470" s="615"/>
      <c r="N470" s="615"/>
    </row>
    <row r="471" spans="3:27" s="416" customFormat="1" hidden="1" outlineLevel="1" x14ac:dyDescent="0.2">
      <c r="D471" s="615"/>
      <c r="E471" s="243"/>
      <c r="F471" s="243"/>
      <c r="G471" s="243"/>
      <c r="H471" s="243"/>
      <c r="I471" s="243"/>
      <c r="J471" s="243"/>
      <c r="K471" s="243"/>
      <c r="L471" s="243"/>
      <c r="M471" s="243"/>
      <c r="N471" s="615"/>
      <c r="U471" s="578"/>
      <c r="V471" s="579">
        <f>$W481*1</f>
        <v>0</v>
      </c>
      <c r="W471" s="579">
        <f>$W481*2</f>
        <v>0</v>
      </c>
      <c r="X471" s="579">
        <f>$W481*3</f>
        <v>0</v>
      </c>
      <c r="Y471" s="579">
        <f>$W481*4</f>
        <v>0</v>
      </c>
      <c r="Z471" s="579">
        <f>$W481*5</f>
        <v>0</v>
      </c>
      <c r="AA471" s="579">
        <f>$W481*6</f>
        <v>0</v>
      </c>
    </row>
    <row r="472" spans="3:27" s="416" customFormat="1" hidden="1" outlineLevel="1" x14ac:dyDescent="0.2">
      <c r="E472" s="433" t="s">
        <v>1160</v>
      </c>
      <c r="F472" s="586"/>
      <c r="G472" s="268"/>
      <c r="H472" s="621"/>
      <c r="I472" s="621"/>
      <c r="J472" s="621"/>
      <c r="K472" s="621"/>
      <c r="L472" s="243"/>
      <c r="M472" s="433" t="s">
        <v>1160</v>
      </c>
      <c r="N472" s="586"/>
      <c r="O472" s="587" t="str">
        <f>IF(G472&lt;&gt;"",G472,"")</f>
        <v/>
      </c>
      <c r="P472" s="525"/>
      <c r="Q472" s="525"/>
      <c r="R472" s="525"/>
      <c r="S472" s="525"/>
      <c r="U472" s="580" t="s">
        <v>1156</v>
      </c>
      <c r="V472" s="581">
        <f>IF($F472&gt;=V471,$W481,IF($F472&gt;0,$F472,0))</f>
        <v>0</v>
      </c>
      <c r="W472" s="581">
        <f>IF($F472&gt;=W471,$W$41,IF($F472&gt;V471,($F472-V471),0))</f>
        <v>0</v>
      </c>
      <c r="X472" s="581">
        <f>IF($F472&gt;=X471,$W$41,IF($F472&gt;W471,($F472-W471),0))</f>
        <v>0</v>
      </c>
      <c r="Y472" s="581">
        <f>IF($F472&gt;=Y471,$W$41,IF($F472&gt;X471,($F472-X471),0))</f>
        <v>0</v>
      </c>
      <c r="Z472" s="581">
        <f>IF($F472&gt;=Z471,$W$41,IF($F472&gt;Y471,($F472-Y471),0))</f>
        <v>0</v>
      </c>
      <c r="AA472" s="581">
        <f>IF($F472&gt;=AA471,$W$41,IF($F472&gt;Z471,($F472-Z471),0))</f>
        <v>0</v>
      </c>
    </row>
    <row r="473" spans="3:27" s="416" customFormat="1" hidden="1" outlineLevel="1" x14ac:dyDescent="0.2">
      <c r="D473" s="615"/>
      <c r="E473" s="622"/>
      <c r="F473" s="622"/>
      <c r="G473" s="583"/>
      <c r="H473" s="622"/>
      <c r="I473" s="622"/>
      <c r="J473" s="622"/>
      <c r="K473" s="622"/>
      <c r="L473" s="243"/>
      <c r="M473" s="617"/>
      <c r="N473" s="618"/>
      <c r="O473" s="618"/>
      <c r="P473" s="618"/>
      <c r="Q473" s="618"/>
      <c r="R473" s="618"/>
      <c r="S473" s="618"/>
      <c r="U473" s="582" t="s">
        <v>1157</v>
      </c>
      <c r="V473" s="579">
        <f t="shared" ref="V473:AA473" si="626">IF(V472&gt;0,$W481-V472,$W481)</f>
        <v>0</v>
      </c>
      <c r="W473" s="579">
        <f t="shared" si="626"/>
        <v>0</v>
      </c>
      <c r="X473" s="579">
        <f t="shared" si="626"/>
        <v>0</v>
      </c>
      <c r="Y473" s="579">
        <f t="shared" si="626"/>
        <v>0</v>
      </c>
      <c r="Z473" s="579">
        <f t="shared" si="626"/>
        <v>0</v>
      </c>
      <c r="AA473" s="579">
        <f t="shared" si="626"/>
        <v>0</v>
      </c>
    </row>
    <row r="474" spans="3:27" s="416" customFormat="1" hidden="1" outlineLevel="1" x14ac:dyDescent="0.2">
      <c r="D474" s="615"/>
      <c r="E474" s="617" t="str">
        <f>E469</f>
        <v/>
      </c>
      <c r="F474" s="623"/>
      <c r="G474" s="588"/>
      <c r="H474" s="623"/>
      <c r="I474" s="623"/>
      <c r="J474" s="623"/>
      <c r="K474" s="623"/>
      <c r="L474" s="243"/>
      <c r="M474" s="617" t="str">
        <f>M469</f>
        <v/>
      </c>
      <c r="N474" s="619"/>
      <c r="O474" s="620"/>
      <c r="P474" s="620"/>
      <c r="Q474" s="620"/>
      <c r="R474" s="620"/>
      <c r="S474" s="620"/>
      <c r="U474" s="525"/>
      <c r="V474" s="525"/>
      <c r="W474" s="525"/>
      <c r="X474" s="525"/>
      <c r="Y474" s="525"/>
      <c r="Z474" s="525"/>
      <c r="AA474" s="525"/>
    </row>
    <row r="475" spans="3:27" s="416" customFormat="1" hidden="1" outlineLevel="1" x14ac:dyDescent="0.2">
      <c r="E475" s="589" t="s">
        <v>1207</v>
      </c>
      <c r="F475" s="63">
        <f ca="1">$F469*V478</f>
        <v>0</v>
      </c>
      <c r="G475" s="63">
        <f t="shared" ref="G475" ca="1" si="627">$F469*W478</f>
        <v>0</v>
      </c>
      <c r="H475" s="63">
        <f t="shared" ref="H475" ca="1" si="628">$F469*X478</f>
        <v>0</v>
      </c>
      <c r="I475" s="63">
        <f t="shared" ref="I475" ca="1" si="629">$F469*Y478</f>
        <v>0</v>
      </c>
      <c r="J475" s="63">
        <f t="shared" ref="J475" ca="1" si="630">$F469*Z478</f>
        <v>0</v>
      </c>
      <c r="K475" s="63">
        <f t="shared" ref="K475" ca="1" si="631">$F469*AA478</f>
        <v>0</v>
      </c>
      <c r="L475" s="243"/>
      <c r="M475" s="589" t="s">
        <v>1207</v>
      </c>
      <c r="N475" s="63">
        <f ca="1">$N469*V479</f>
        <v>0</v>
      </c>
      <c r="O475" s="63">
        <f ca="1">$N469*W479</f>
        <v>0</v>
      </c>
      <c r="P475" s="63">
        <f t="shared" ref="P475" ca="1" si="632">$N469*X479</f>
        <v>0</v>
      </c>
      <c r="Q475" s="63">
        <f t="shared" ref="Q475" ca="1" si="633">$N469*Y479</f>
        <v>0</v>
      </c>
      <c r="R475" s="63">
        <f t="shared" ref="R475" ca="1" si="634">$N469*Z479</f>
        <v>0</v>
      </c>
      <c r="S475" s="63">
        <f t="shared" ref="S475" ca="1" si="635">$N469*AA479</f>
        <v>0</v>
      </c>
      <c r="U475" s="582" t="s">
        <v>1158</v>
      </c>
      <c r="V475" s="581">
        <f>IF($N472&gt;=V473,V473,N472)</f>
        <v>0</v>
      </c>
      <c r="W475" s="581">
        <f>IF(V476&gt;=W473,W473,V476)</f>
        <v>0</v>
      </c>
      <c r="X475" s="581">
        <f>IF(W476&gt;=X473,X473,W476)</f>
        <v>0</v>
      </c>
      <c r="Y475" s="581">
        <f>IF(X476&gt;=Y473,Y473,X476)</f>
        <v>0</v>
      </c>
      <c r="Z475" s="581">
        <f>IF(Y476&gt;=Z473,Z473,Y476)</f>
        <v>0</v>
      </c>
      <c r="AA475" s="581">
        <f>IF(Z476&gt;=AA473,AA473,Z476)</f>
        <v>0</v>
      </c>
    </row>
    <row r="476" spans="3:27" s="416" customFormat="1" hidden="1" outlineLevel="1" x14ac:dyDescent="0.2">
      <c r="E476" s="589" t="s">
        <v>1208</v>
      </c>
      <c r="F476" s="130"/>
      <c r="G476" s="63">
        <f ca="1">$G469*V478</f>
        <v>0</v>
      </c>
      <c r="H476" s="63">
        <f t="shared" ref="H476" ca="1" si="636">$G469*W478</f>
        <v>0</v>
      </c>
      <c r="I476" s="63">
        <f t="shared" ref="I476" ca="1" si="637">$G469*X478</f>
        <v>0</v>
      </c>
      <c r="J476" s="63">
        <f t="shared" ref="J476" ca="1" si="638">$G469*Y478</f>
        <v>0</v>
      </c>
      <c r="K476" s="63">
        <f t="shared" ref="K476" ca="1" si="639">$G469*Z478</f>
        <v>0</v>
      </c>
      <c r="L476" s="243"/>
      <c r="M476" s="589" t="s">
        <v>1208</v>
      </c>
      <c r="N476" s="130"/>
      <c r="O476" s="63">
        <f ca="1">$O469*V479</f>
        <v>0</v>
      </c>
      <c r="P476" s="63">
        <f t="shared" ref="P476" ca="1" si="640">$O469*W479</f>
        <v>0</v>
      </c>
      <c r="Q476" s="63">
        <f t="shared" ref="Q476" ca="1" si="641">$O469*X479</f>
        <v>0</v>
      </c>
      <c r="R476" s="63">
        <f t="shared" ref="R476" ca="1" si="642">$O469*Y479</f>
        <v>0</v>
      </c>
      <c r="S476" s="63">
        <f t="shared" ref="S476" ca="1" si="643">$O469*Z479</f>
        <v>0</v>
      </c>
      <c r="U476" s="582" t="s">
        <v>1159</v>
      </c>
      <c r="V476" s="579">
        <f>$N472-V475</f>
        <v>0</v>
      </c>
      <c r="W476" s="579">
        <f>$N472-SUM($V475:W475)</f>
        <v>0</v>
      </c>
      <c r="X476" s="579">
        <f>$N472-SUM($V475:X475)</f>
        <v>0</v>
      </c>
      <c r="Y476" s="579">
        <f>$N472-SUM($V475:Y475)</f>
        <v>0</v>
      </c>
      <c r="Z476" s="579">
        <f>$N472-SUM($V475:Z475)</f>
        <v>0</v>
      </c>
      <c r="AA476" s="579">
        <f>$N472-SUM($V475:AA475)</f>
        <v>0</v>
      </c>
    </row>
    <row r="477" spans="3:27" s="416" customFormat="1" hidden="1" outlineLevel="1" x14ac:dyDescent="0.2">
      <c r="E477" s="589" t="s">
        <v>1209</v>
      </c>
      <c r="F477" s="130"/>
      <c r="G477" s="130"/>
      <c r="H477" s="63">
        <f ca="1">$H469*V478</f>
        <v>0</v>
      </c>
      <c r="I477" s="63">
        <f t="shared" ref="I477" ca="1" si="644">$H469*W478</f>
        <v>0</v>
      </c>
      <c r="J477" s="63">
        <f t="shared" ref="J477" ca="1" si="645">$H469*X478</f>
        <v>0</v>
      </c>
      <c r="K477" s="63">
        <f t="shared" ref="K477" ca="1" si="646">$H469*Y478</f>
        <v>0</v>
      </c>
      <c r="L477" s="243"/>
      <c r="M477" s="589" t="s">
        <v>1209</v>
      </c>
      <c r="N477" s="130"/>
      <c r="O477" s="130"/>
      <c r="P477" s="63">
        <f ca="1">$P469*V479</f>
        <v>0</v>
      </c>
      <c r="Q477" s="63">
        <f t="shared" ref="Q477" ca="1" si="647">$P469*W479</f>
        <v>0</v>
      </c>
      <c r="R477" s="63">
        <f t="shared" ref="R477" ca="1" si="648">$P469*X479</f>
        <v>0</v>
      </c>
      <c r="S477" s="63">
        <f t="shared" ref="S477" ca="1" si="649">$P469*Y479</f>
        <v>0</v>
      </c>
      <c r="U477" s="583"/>
      <c r="V477" s="584"/>
      <c r="W477" s="583"/>
      <c r="X477" s="583"/>
      <c r="Y477" s="583"/>
      <c r="Z477" s="583"/>
      <c r="AA477" s="525"/>
    </row>
    <row r="478" spans="3:27" s="416" customFormat="1" hidden="1" outlineLevel="1" x14ac:dyDescent="0.2">
      <c r="E478" s="589" t="s">
        <v>1210</v>
      </c>
      <c r="F478" s="130"/>
      <c r="G478" s="130"/>
      <c r="H478" s="130"/>
      <c r="I478" s="63">
        <f ca="1">$I469*V478</f>
        <v>0</v>
      </c>
      <c r="J478" s="63">
        <f t="shared" ref="J478" ca="1" si="650">$I469*W478</f>
        <v>0</v>
      </c>
      <c r="K478" s="63">
        <f t="shared" ref="K478" ca="1" si="651">$I469*X478</f>
        <v>0</v>
      </c>
      <c r="L478" s="243"/>
      <c r="M478" s="589" t="s">
        <v>1210</v>
      </c>
      <c r="N478" s="130"/>
      <c r="O478" s="130"/>
      <c r="P478" s="130"/>
      <c r="Q478" s="63">
        <f ca="1">$Q469*V479</f>
        <v>0</v>
      </c>
      <c r="R478" s="63">
        <f t="shared" ref="R478" ca="1" si="652">$Q469*W479</f>
        <v>0</v>
      </c>
      <c r="S478" s="63">
        <f t="shared" ref="S478" ca="1" si="653">$Q469*X479</f>
        <v>0</v>
      </c>
      <c r="U478" s="580" t="s">
        <v>1156</v>
      </c>
      <c r="V478" s="585">
        <f t="shared" ref="V478:AA478" si="654">IFERROR(V472/$W481,0)</f>
        <v>0</v>
      </c>
      <c r="W478" s="585">
        <f t="shared" si="654"/>
        <v>0</v>
      </c>
      <c r="X478" s="585">
        <f t="shared" si="654"/>
        <v>0</v>
      </c>
      <c r="Y478" s="585">
        <f t="shared" si="654"/>
        <v>0</v>
      </c>
      <c r="Z478" s="585">
        <f t="shared" si="654"/>
        <v>0</v>
      </c>
      <c r="AA478" s="585">
        <f t="shared" si="654"/>
        <v>0</v>
      </c>
    </row>
    <row r="479" spans="3:27" s="416" customFormat="1" hidden="1" outlineLevel="1" x14ac:dyDescent="0.2">
      <c r="E479" s="589" t="s">
        <v>1211</v>
      </c>
      <c r="F479" s="130"/>
      <c r="G479" s="130"/>
      <c r="H479" s="130"/>
      <c r="I479" s="130"/>
      <c r="J479" s="63">
        <f ca="1">$J469*V478</f>
        <v>0</v>
      </c>
      <c r="K479" s="63">
        <f ca="1">$J469*W478</f>
        <v>0</v>
      </c>
      <c r="L479" s="243"/>
      <c r="M479" s="589" t="s">
        <v>1211</v>
      </c>
      <c r="N479" s="130"/>
      <c r="O479" s="130"/>
      <c r="P479" s="130"/>
      <c r="Q479" s="130"/>
      <c r="R479" s="63">
        <f ca="1">$R469*V479</f>
        <v>0</v>
      </c>
      <c r="S479" s="63">
        <f ca="1">$R469*W479</f>
        <v>0</v>
      </c>
      <c r="U479" s="582" t="s">
        <v>1158</v>
      </c>
      <c r="V479" s="585">
        <f t="shared" ref="V479:AA479" si="655">IFERROR(V475/$W481,0)</f>
        <v>0</v>
      </c>
      <c r="W479" s="585">
        <f t="shared" si="655"/>
        <v>0</v>
      </c>
      <c r="X479" s="585">
        <f t="shared" si="655"/>
        <v>0</v>
      </c>
      <c r="Y479" s="585">
        <f t="shared" si="655"/>
        <v>0</v>
      </c>
      <c r="Z479" s="585">
        <f t="shared" si="655"/>
        <v>0</v>
      </c>
      <c r="AA479" s="585">
        <f t="shared" si="655"/>
        <v>0</v>
      </c>
    </row>
    <row r="480" spans="3:27" s="416" customFormat="1" hidden="1" outlineLevel="1" x14ac:dyDescent="0.2">
      <c r="E480" s="589" t="s">
        <v>1212</v>
      </c>
      <c r="F480" s="130"/>
      <c r="G480" s="130"/>
      <c r="H480" s="130"/>
      <c r="I480" s="130"/>
      <c r="J480" s="130"/>
      <c r="K480" s="63">
        <f ca="1">$K469*V478</f>
        <v>0</v>
      </c>
      <c r="L480" s="243"/>
      <c r="M480" s="589" t="s">
        <v>1212</v>
      </c>
      <c r="N480" s="130"/>
      <c r="O480" s="130"/>
      <c r="P480" s="130"/>
      <c r="Q480" s="130"/>
      <c r="R480" s="130"/>
      <c r="S480" s="63">
        <f ca="1">$S469*V479</f>
        <v>0</v>
      </c>
    </row>
    <row r="481" spans="2:27" s="416" customFormat="1" hidden="1" outlineLevel="1" x14ac:dyDescent="0.2">
      <c r="E481" s="590" t="str">
        <f>TxPhase1PxUnitsTx</f>
        <v/>
      </c>
      <c r="F481" s="591">
        <f ca="1">IF(F472&lt;&gt;"",SUM(F475:F480),F469)</f>
        <v>0</v>
      </c>
      <c r="G481" s="591">
        <f ca="1">IF(F472&lt;&gt;"",SUM(G475:G480),G469)</f>
        <v>0</v>
      </c>
      <c r="H481" s="591">
        <f ca="1">IF(F472&lt;&gt;"",SUM(H475:H480),H469)</f>
        <v>0</v>
      </c>
      <c r="I481" s="591">
        <f ca="1">IF(F472&lt;&gt;"",SUM(I475:I480),I469)</f>
        <v>0</v>
      </c>
      <c r="J481" s="591">
        <f ca="1">IF(F472&lt;&gt;"",SUM(J475:J480),J469)</f>
        <v>0</v>
      </c>
      <c r="K481" s="591">
        <f ca="1">IF(F472&lt;&gt;"",SUM(K475:K480),K469)</f>
        <v>0</v>
      </c>
      <c r="L481" s="243"/>
      <c r="M481" s="590" t="str">
        <f>TxPhase2PxUnitsTx</f>
        <v/>
      </c>
      <c r="N481" s="591">
        <f ca="1">IF(N472&lt;&gt;"",SUM(N475:N480),N469)</f>
        <v>0</v>
      </c>
      <c r="O481" s="591">
        <f ca="1">IF(N472&lt;&gt;"",SUM(O475:O480),O469)</f>
        <v>0</v>
      </c>
      <c r="P481" s="591">
        <f ca="1">IF(N472&lt;&gt;"",SUM(P475:P480),P469)</f>
        <v>0</v>
      </c>
      <c r="Q481" s="591">
        <f ca="1">IF(N472&lt;&gt;"",SUM(Q475:Q480),Q469)</f>
        <v>0</v>
      </c>
      <c r="R481" s="591">
        <f ca="1">IF(N472&lt;&gt;"",SUM(R475:R480),R469)</f>
        <v>0</v>
      </c>
      <c r="S481" s="591">
        <f ca="1">IF(N472&lt;&gt;"",SUM(S475:S480),S469)</f>
        <v>0</v>
      </c>
      <c r="U481" s="582" t="s">
        <v>1161</v>
      </c>
      <c r="V481" s="579">
        <f>IFERROR(VLOOKUP(G472,TimeUnitCode,2,FALSE),0)</f>
        <v>0</v>
      </c>
      <c r="W481" s="579">
        <f>IFERROR(INDEX(TimeUnitCount,V481,2),0)</f>
        <v>0</v>
      </c>
    </row>
    <row r="482" spans="2:27" s="416" customFormat="1" hidden="1" outlineLevel="1" x14ac:dyDescent="0.2"/>
    <row r="483" spans="2:27" s="416" customFormat="1" collapsed="1" x14ac:dyDescent="0.2"/>
    <row r="484" spans="2:27" s="416" customFormat="1" ht="15.75" x14ac:dyDescent="0.2">
      <c r="B484" s="475">
        <f>IF(F494+N494&gt;12,1,0)</f>
        <v>0</v>
      </c>
      <c r="C484" s="291">
        <f ca="1">IFERROR(INDEX(PxTxPhase1,$D489,7),0)</f>
        <v>0</v>
      </c>
      <c r="D484" s="573">
        <v>22</v>
      </c>
      <c r="E484" s="79" t="str">
        <f>IF(F488&lt;&gt;"",CONCATENATE("DTG ",D484,": ",H488,": ",N484),MsgNotUsed)</f>
        <v>** NOT USED **</v>
      </c>
      <c r="F484" s="132"/>
      <c r="G484" s="132"/>
      <c r="H484" s="132"/>
      <c r="I484" s="132"/>
      <c r="J484" s="134"/>
      <c r="K484" s="134"/>
      <c r="L484" s="134"/>
      <c r="M484" s="325"/>
      <c r="N484" s="637" t="str">
        <f>IF(AND(F494="",N494=""),"Full year",IF(AND(F494&lt;&gt;"",N494=""),CONCATENATE(F494," ",G494),IF(AND(F494="",N494&lt;&gt;""),CONCATENATE(N494," ",G494),CONCATENATE(F494," + ",N494," ",G494))))</f>
        <v>Full year</v>
      </c>
      <c r="O484" s="325"/>
      <c r="P484" s="325"/>
      <c r="Q484" s="325"/>
      <c r="R484" s="325"/>
      <c r="S484" s="325"/>
      <c r="T484" s="325"/>
      <c r="U484" s="325"/>
      <c r="V484" s="325"/>
      <c r="W484" s="325"/>
      <c r="X484" s="325"/>
      <c r="Y484" s="325"/>
      <c r="Z484" s="325"/>
      <c r="AA484" s="325"/>
    </row>
    <row r="485" spans="2:27" s="416" customFormat="1" hidden="1" outlineLevel="1" x14ac:dyDescent="0.2">
      <c r="C485" s="615"/>
      <c r="D485" s="615"/>
      <c r="E485" s="615"/>
      <c r="F485" s="624">
        <v>1</v>
      </c>
      <c r="G485" s="397">
        <v>2</v>
      </c>
      <c r="H485" s="397">
        <v>3</v>
      </c>
      <c r="I485" s="397">
        <v>4</v>
      </c>
      <c r="J485" s="397">
        <v>5</v>
      </c>
      <c r="K485" s="397">
        <v>6</v>
      </c>
      <c r="N485" s="397">
        <v>1</v>
      </c>
      <c r="O485" s="397">
        <v>2</v>
      </c>
      <c r="P485" s="397">
        <v>3</v>
      </c>
      <c r="Q485" s="397">
        <v>4</v>
      </c>
      <c r="R485" s="397">
        <v>5</v>
      </c>
      <c r="S485" s="397">
        <v>6</v>
      </c>
    </row>
    <row r="486" spans="2:27" s="416" customFormat="1" hidden="1" outlineLevel="1" x14ac:dyDescent="0.2">
      <c r="C486" s="243"/>
      <c r="D486" s="243"/>
      <c r="E486" s="162" t="s">
        <v>1206</v>
      </c>
      <c r="F486" s="615"/>
    </row>
    <row r="487" spans="2:27" s="416" customFormat="1" hidden="1" outlineLevel="1" x14ac:dyDescent="0.2">
      <c r="C487" s="243"/>
      <c r="D487" s="243"/>
      <c r="E487" s="616"/>
      <c r="F487" s="615"/>
      <c r="N487" s="615"/>
      <c r="O487" s="615"/>
      <c r="P487" s="615"/>
      <c r="Q487" s="615"/>
      <c r="R487" s="615"/>
      <c r="S487" s="615"/>
    </row>
    <row r="488" spans="2:27" s="416" customFormat="1" hidden="1" outlineLevel="1" x14ac:dyDescent="0.2">
      <c r="C488" s="291">
        <f>IF(F488&lt;&gt;"",MATCH(F488,PxTxSource,0)-1,0)</f>
        <v>0</v>
      </c>
      <c r="D488" s="291">
        <f ca="1">IF(H488&lt;&gt;"",MATCH(H488,OFFSET(References!$AE$23,0,C488,PxPopMaxCount),0),0)</f>
        <v>0</v>
      </c>
      <c r="E488" s="423" t="s">
        <v>113</v>
      </c>
      <c r="F488" s="613"/>
      <c r="H488" s="812"/>
      <c r="I488" s="813"/>
      <c r="J488" s="813"/>
      <c r="K488" s="813"/>
      <c r="L488" s="615"/>
      <c r="N488" s="806" t="str">
        <f ca="1">IF(ISERROR($D489)=TRUE,MsgError &amp; VLOOKUP("BadPop",ErrorMessages,2,FALSE),"")</f>
        <v/>
      </c>
      <c r="O488" s="806"/>
      <c r="P488" s="806"/>
      <c r="Q488" s="806"/>
      <c r="R488" s="806"/>
      <c r="S488" s="806"/>
    </row>
    <row r="489" spans="2:27" s="416" customFormat="1" hidden="1" outlineLevel="1" x14ac:dyDescent="0.2">
      <c r="C489" s="291">
        <f>INDEX(PxTxValid,,C488+1)</f>
        <v>0</v>
      </c>
      <c r="D489" s="291" t="str">
        <f ca="1">IF(AND(C488&lt;&gt;0,D488&lt;&gt;0),(C488*PxPopMaxCount)+D488,"")</f>
        <v/>
      </c>
      <c r="E489" s="243"/>
      <c r="L489" s="615"/>
      <c r="M489" s="615"/>
      <c r="N489" s="615"/>
      <c r="O489" s="615"/>
      <c r="P489" s="615"/>
      <c r="Q489" s="615"/>
      <c r="R489" s="615"/>
      <c r="S489" s="615"/>
    </row>
    <row r="490" spans="2:27" s="416" customFormat="1" hidden="1" outlineLevel="1" x14ac:dyDescent="0.2">
      <c r="C490" s="615"/>
      <c r="E490" s="495"/>
      <c r="F490" s="614">
        <f>FirstYear</f>
        <v>2021</v>
      </c>
      <c r="G490" s="614">
        <f>F490+1</f>
        <v>2022</v>
      </c>
      <c r="H490" s="614">
        <f>G490+1</f>
        <v>2023</v>
      </c>
      <c r="I490" s="614">
        <f>H490+1</f>
        <v>2024</v>
      </c>
      <c r="J490" s="614">
        <f>I490+1</f>
        <v>2025</v>
      </c>
      <c r="K490" s="614">
        <f>J490+1</f>
        <v>2026</v>
      </c>
      <c r="L490" s="243"/>
      <c r="N490" s="614">
        <f>FirstYear</f>
        <v>2021</v>
      </c>
      <c r="O490" s="614">
        <f>N490+1</f>
        <v>2022</v>
      </c>
      <c r="P490" s="614">
        <f>O490+1</f>
        <v>2023</v>
      </c>
      <c r="Q490" s="614">
        <f>P490+1</f>
        <v>2024</v>
      </c>
      <c r="R490" s="614">
        <f>Q490+1</f>
        <v>2025</v>
      </c>
      <c r="S490" s="614">
        <f>R490+1</f>
        <v>2026</v>
      </c>
    </row>
    <row r="491" spans="2:27" s="416" customFormat="1" hidden="1" outlineLevel="1" x14ac:dyDescent="0.2">
      <c r="E491" s="59" t="str">
        <f>TxPhase1Px</f>
        <v/>
      </c>
      <c r="F491" s="32">
        <f t="shared" ref="F491:K491" ca="1" si="656">IFERROR(INDEX(PxTxPhase1,$D489,F485),0)</f>
        <v>0</v>
      </c>
      <c r="G491" s="32">
        <f t="shared" ca="1" si="656"/>
        <v>0</v>
      </c>
      <c r="H491" s="32">
        <f t="shared" ca="1" si="656"/>
        <v>0</v>
      </c>
      <c r="I491" s="32">
        <f t="shared" ca="1" si="656"/>
        <v>0</v>
      </c>
      <c r="J491" s="32">
        <f t="shared" ca="1" si="656"/>
        <v>0</v>
      </c>
      <c r="K491" s="32">
        <f t="shared" ca="1" si="656"/>
        <v>0</v>
      </c>
      <c r="L491" s="243"/>
      <c r="M491" s="59" t="str">
        <f>TxPhase2Px</f>
        <v/>
      </c>
      <c r="N491" s="32">
        <f t="shared" ref="N491:S491" ca="1" si="657">IFERROR(INDEX(PxTxPhase2,$D489,N485),0)</f>
        <v>0</v>
      </c>
      <c r="O491" s="32">
        <f t="shared" ca="1" si="657"/>
        <v>0</v>
      </c>
      <c r="P491" s="32">
        <f t="shared" ca="1" si="657"/>
        <v>0</v>
      </c>
      <c r="Q491" s="32">
        <f t="shared" ca="1" si="657"/>
        <v>0</v>
      </c>
      <c r="R491" s="32">
        <f t="shared" ca="1" si="657"/>
        <v>0</v>
      </c>
      <c r="S491" s="32">
        <f t="shared" ca="1" si="657"/>
        <v>0</v>
      </c>
    </row>
    <row r="492" spans="2:27" s="416" customFormat="1" hidden="1" outlineLevel="1" x14ac:dyDescent="0.2">
      <c r="D492" s="615"/>
      <c r="E492" s="615"/>
      <c r="F492" s="615"/>
      <c r="G492" s="615"/>
      <c r="H492" s="615"/>
      <c r="I492" s="615"/>
      <c r="J492" s="615"/>
      <c r="K492" s="615"/>
      <c r="L492" s="243"/>
      <c r="M492" s="615"/>
      <c r="N492" s="615"/>
    </row>
    <row r="493" spans="2:27" s="416" customFormat="1" hidden="1" outlineLevel="1" x14ac:dyDescent="0.2">
      <c r="D493" s="615"/>
      <c r="E493" s="243"/>
      <c r="F493" s="243"/>
      <c r="G493" s="243"/>
      <c r="H493" s="243"/>
      <c r="I493" s="243"/>
      <c r="J493" s="243"/>
      <c r="K493" s="243"/>
      <c r="L493" s="243"/>
      <c r="M493" s="243"/>
      <c r="N493" s="615"/>
      <c r="U493" s="578"/>
      <c r="V493" s="579">
        <f>$W503*1</f>
        <v>0</v>
      </c>
      <c r="W493" s="579">
        <f>$W503*2</f>
        <v>0</v>
      </c>
      <c r="X493" s="579">
        <f>$W503*3</f>
        <v>0</v>
      </c>
      <c r="Y493" s="579">
        <f>$W503*4</f>
        <v>0</v>
      </c>
      <c r="Z493" s="579">
        <f>$W503*5</f>
        <v>0</v>
      </c>
      <c r="AA493" s="579">
        <f>$W503*6</f>
        <v>0</v>
      </c>
    </row>
    <row r="494" spans="2:27" s="416" customFormat="1" hidden="1" outlineLevel="1" x14ac:dyDescent="0.2">
      <c r="E494" s="433" t="s">
        <v>1160</v>
      </c>
      <c r="F494" s="586"/>
      <c r="G494" s="268"/>
      <c r="H494" s="621"/>
      <c r="I494" s="621"/>
      <c r="J494" s="621"/>
      <c r="K494" s="621"/>
      <c r="L494" s="243"/>
      <c r="M494" s="433" t="s">
        <v>1160</v>
      </c>
      <c r="N494" s="586"/>
      <c r="O494" s="587" t="str">
        <f>IF(G494&lt;&gt;"",G494,"")</f>
        <v/>
      </c>
      <c r="P494" s="525"/>
      <c r="Q494" s="525"/>
      <c r="R494" s="525"/>
      <c r="S494" s="525"/>
      <c r="U494" s="580" t="s">
        <v>1156</v>
      </c>
      <c r="V494" s="581">
        <f>IF($F494&gt;=V493,$W503,IF($F494&gt;0,$F494,0))</f>
        <v>0</v>
      </c>
      <c r="W494" s="581">
        <f>IF($F494&gt;=W493,$W$41,IF($F494&gt;V493,($F494-V493),0))</f>
        <v>0</v>
      </c>
      <c r="X494" s="581">
        <f>IF($F494&gt;=X493,$W$41,IF($F494&gt;W493,($F494-W493),0))</f>
        <v>0</v>
      </c>
      <c r="Y494" s="581">
        <f>IF($F494&gt;=Y493,$W$41,IF($F494&gt;X493,($F494-X493),0))</f>
        <v>0</v>
      </c>
      <c r="Z494" s="581">
        <f>IF($F494&gt;=Z493,$W$41,IF($F494&gt;Y493,($F494-Y493),0))</f>
        <v>0</v>
      </c>
      <c r="AA494" s="581">
        <f>IF($F494&gt;=AA493,$W$41,IF($F494&gt;Z493,($F494-Z493),0))</f>
        <v>0</v>
      </c>
    </row>
    <row r="495" spans="2:27" s="416" customFormat="1" hidden="1" outlineLevel="1" x14ac:dyDescent="0.2">
      <c r="D495" s="615"/>
      <c r="E495" s="622"/>
      <c r="F495" s="622"/>
      <c r="G495" s="583"/>
      <c r="H495" s="622"/>
      <c r="I495" s="622"/>
      <c r="J495" s="622"/>
      <c r="K495" s="622"/>
      <c r="L495" s="243"/>
      <c r="M495" s="617"/>
      <c r="N495" s="618"/>
      <c r="O495" s="618"/>
      <c r="P495" s="618"/>
      <c r="Q495" s="618"/>
      <c r="R495" s="618"/>
      <c r="S495" s="618"/>
      <c r="U495" s="582" t="s">
        <v>1157</v>
      </c>
      <c r="V495" s="579">
        <f t="shared" ref="V495:AA495" si="658">IF(V494&gt;0,$W503-V494,$W503)</f>
        <v>0</v>
      </c>
      <c r="W495" s="579">
        <f t="shared" si="658"/>
        <v>0</v>
      </c>
      <c r="X495" s="579">
        <f t="shared" si="658"/>
        <v>0</v>
      </c>
      <c r="Y495" s="579">
        <f t="shared" si="658"/>
        <v>0</v>
      </c>
      <c r="Z495" s="579">
        <f t="shared" si="658"/>
        <v>0</v>
      </c>
      <c r="AA495" s="579">
        <f t="shared" si="658"/>
        <v>0</v>
      </c>
    </row>
    <row r="496" spans="2:27" s="416" customFormat="1" hidden="1" outlineLevel="1" x14ac:dyDescent="0.2">
      <c r="D496" s="615"/>
      <c r="E496" s="617" t="str">
        <f>E491</f>
        <v/>
      </c>
      <c r="F496" s="623"/>
      <c r="G496" s="588"/>
      <c r="H496" s="623"/>
      <c r="I496" s="623"/>
      <c r="J496" s="623"/>
      <c r="K496" s="623"/>
      <c r="L496" s="243"/>
      <c r="M496" s="617" t="str">
        <f>M491</f>
        <v/>
      </c>
      <c r="N496" s="619"/>
      <c r="O496" s="620"/>
      <c r="P496" s="620"/>
      <c r="Q496" s="620"/>
      <c r="R496" s="620"/>
      <c r="S496" s="620"/>
      <c r="U496" s="525"/>
      <c r="V496" s="525"/>
      <c r="W496" s="525"/>
      <c r="X496" s="525"/>
      <c r="Y496" s="525"/>
      <c r="Z496" s="525"/>
      <c r="AA496" s="525"/>
    </row>
    <row r="497" spans="2:27" s="416" customFormat="1" hidden="1" outlineLevel="1" x14ac:dyDescent="0.2">
      <c r="E497" s="589" t="s">
        <v>1207</v>
      </c>
      <c r="F497" s="63">
        <f ca="1">$F491*V500</f>
        <v>0</v>
      </c>
      <c r="G497" s="63">
        <f t="shared" ref="G497" ca="1" si="659">$F491*W500</f>
        <v>0</v>
      </c>
      <c r="H497" s="63">
        <f t="shared" ref="H497" ca="1" si="660">$F491*X500</f>
        <v>0</v>
      </c>
      <c r="I497" s="63">
        <f t="shared" ref="I497" ca="1" si="661">$F491*Y500</f>
        <v>0</v>
      </c>
      <c r="J497" s="63">
        <f t="shared" ref="J497" ca="1" si="662">$F491*Z500</f>
        <v>0</v>
      </c>
      <c r="K497" s="63">
        <f t="shared" ref="K497" ca="1" si="663">$F491*AA500</f>
        <v>0</v>
      </c>
      <c r="L497" s="243"/>
      <c r="M497" s="589" t="s">
        <v>1207</v>
      </c>
      <c r="N497" s="63">
        <f ca="1">$N491*V501</f>
        <v>0</v>
      </c>
      <c r="O497" s="63">
        <f ca="1">$N491*W501</f>
        <v>0</v>
      </c>
      <c r="P497" s="63">
        <f t="shared" ref="P497" ca="1" si="664">$N491*X501</f>
        <v>0</v>
      </c>
      <c r="Q497" s="63">
        <f t="shared" ref="Q497" ca="1" si="665">$N491*Y501</f>
        <v>0</v>
      </c>
      <c r="R497" s="63">
        <f t="shared" ref="R497" ca="1" si="666">$N491*Z501</f>
        <v>0</v>
      </c>
      <c r="S497" s="63">
        <f t="shared" ref="S497" ca="1" si="667">$N491*AA501</f>
        <v>0</v>
      </c>
      <c r="U497" s="582" t="s">
        <v>1158</v>
      </c>
      <c r="V497" s="581">
        <f>IF($N494&gt;=V495,V495,N494)</f>
        <v>0</v>
      </c>
      <c r="W497" s="581">
        <f>IF(V498&gt;=W495,W495,V498)</f>
        <v>0</v>
      </c>
      <c r="X497" s="581">
        <f>IF(W498&gt;=X495,X495,W498)</f>
        <v>0</v>
      </c>
      <c r="Y497" s="581">
        <f>IF(X498&gt;=Y495,Y495,X498)</f>
        <v>0</v>
      </c>
      <c r="Z497" s="581">
        <f>IF(Y498&gt;=Z495,Z495,Y498)</f>
        <v>0</v>
      </c>
      <c r="AA497" s="581">
        <f>IF(Z498&gt;=AA495,AA495,Z498)</f>
        <v>0</v>
      </c>
    </row>
    <row r="498" spans="2:27" s="416" customFormat="1" hidden="1" outlineLevel="1" x14ac:dyDescent="0.2">
      <c r="E498" s="589" t="s">
        <v>1208</v>
      </c>
      <c r="F498" s="130"/>
      <c r="G498" s="63">
        <f ca="1">$G491*V500</f>
        <v>0</v>
      </c>
      <c r="H498" s="63">
        <f t="shared" ref="H498" ca="1" si="668">$G491*W500</f>
        <v>0</v>
      </c>
      <c r="I498" s="63">
        <f t="shared" ref="I498" ca="1" si="669">$G491*X500</f>
        <v>0</v>
      </c>
      <c r="J498" s="63">
        <f t="shared" ref="J498" ca="1" si="670">$G491*Y500</f>
        <v>0</v>
      </c>
      <c r="K498" s="63">
        <f t="shared" ref="K498" ca="1" si="671">$G491*Z500</f>
        <v>0</v>
      </c>
      <c r="L498" s="243"/>
      <c r="M498" s="589" t="s">
        <v>1208</v>
      </c>
      <c r="N498" s="130"/>
      <c r="O498" s="63">
        <f ca="1">$O491*V501</f>
        <v>0</v>
      </c>
      <c r="P498" s="63">
        <f t="shared" ref="P498" ca="1" si="672">$O491*W501</f>
        <v>0</v>
      </c>
      <c r="Q498" s="63">
        <f t="shared" ref="Q498" ca="1" si="673">$O491*X501</f>
        <v>0</v>
      </c>
      <c r="R498" s="63">
        <f t="shared" ref="R498" ca="1" si="674">$O491*Y501</f>
        <v>0</v>
      </c>
      <c r="S498" s="63">
        <f t="shared" ref="S498" ca="1" si="675">$O491*Z501</f>
        <v>0</v>
      </c>
      <c r="U498" s="582" t="s">
        <v>1159</v>
      </c>
      <c r="V498" s="579">
        <f>$N494-V497</f>
        <v>0</v>
      </c>
      <c r="W498" s="579">
        <f>$N494-SUM($V497:W497)</f>
        <v>0</v>
      </c>
      <c r="X498" s="579">
        <f>$N494-SUM($V497:X497)</f>
        <v>0</v>
      </c>
      <c r="Y498" s="579">
        <f>$N494-SUM($V497:Y497)</f>
        <v>0</v>
      </c>
      <c r="Z498" s="579">
        <f>$N494-SUM($V497:Z497)</f>
        <v>0</v>
      </c>
      <c r="AA498" s="579">
        <f>$N494-SUM($V497:AA497)</f>
        <v>0</v>
      </c>
    </row>
    <row r="499" spans="2:27" s="416" customFormat="1" hidden="1" outlineLevel="1" x14ac:dyDescent="0.2">
      <c r="E499" s="589" t="s">
        <v>1209</v>
      </c>
      <c r="F499" s="130"/>
      <c r="G499" s="130"/>
      <c r="H499" s="63">
        <f ca="1">$H491*V500</f>
        <v>0</v>
      </c>
      <c r="I499" s="63">
        <f t="shared" ref="I499" ca="1" si="676">$H491*W500</f>
        <v>0</v>
      </c>
      <c r="J499" s="63">
        <f t="shared" ref="J499" ca="1" si="677">$H491*X500</f>
        <v>0</v>
      </c>
      <c r="K499" s="63">
        <f t="shared" ref="K499" ca="1" si="678">$H491*Y500</f>
        <v>0</v>
      </c>
      <c r="L499" s="243"/>
      <c r="M499" s="589" t="s">
        <v>1209</v>
      </c>
      <c r="N499" s="130"/>
      <c r="O499" s="130"/>
      <c r="P499" s="63">
        <f ca="1">$P491*V501</f>
        <v>0</v>
      </c>
      <c r="Q499" s="63">
        <f t="shared" ref="Q499" ca="1" si="679">$P491*W501</f>
        <v>0</v>
      </c>
      <c r="R499" s="63">
        <f t="shared" ref="R499" ca="1" si="680">$P491*X501</f>
        <v>0</v>
      </c>
      <c r="S499" s="63">
        <f t="shared" ref="S499" ca="1" si="681">$P491*Y501</f>
        <v>0</v>
      </c>
      <c r="U499" s="583"/>
      <c r="V499" s="584"/>
      <c r="W499" s="583"/>
      <c r="X499" s="583"/>
      <c r="Y499" s="583"/>
      <c r="Z499" s="583"/>
      <c r="AA499" s="525"/>
    </row>
    <row r="500" spans="2:27" s="416" customFormat="1" hidden="1" outlineLevel="1" x14ac:dyDescent="0.2">
      <c r="E500" s="589" t="s">
        <v>1210</v>
      </c>
      <c r="F500" s="130"/>
      <c r="G500" s="130"/>
      <c r="H500" s="130"/>
      <c r="I500" s="63">
        <f ca="1">$I491*V500</f>
        <v>0</v>
      </c>
      <c r="J500" s="63">
        <f t="shared" ref="J500" ca="1" si="682">$I491*W500</f>
        <v>0</v>
      </c>
      <c r="K500" s="63">
        <f t="shared" ref="K500" ca="1" si="683">$I491*X500</f>
        <v>0</v>
      </c>
      <c r="L500" s="243"/>
      <c r="M500" s="589" t="s">
        <v>1210</v>
      </c>
      <c r="N500" s="130"/>
      <c r="O500" s="130"/>
      <c r="P500" s="130"/>
      <c r="Q500" s="63">
        <f ca="1">$Q491*V501</f>
        <v>0</v>
      </c>
      <c r="R500" s="63">
        <f t="shared" ref="R500" ca="1" si="684">$Q491*W501</f>
        <v>0</v>
      </c>
      <c r="S500" s="63">
        <f t="shared" ref="S500" ca="1" si="685">$Q491*X501</f>
        <v>0</v>
      </c>
      <c r="U500" s="580" t="s">
        <v>1156</v>
      </c>
      <c r="V500" s="585">
        <f t="shared" ref="V500:AA500" si="686">IFERROR(V494/$W503,0)</f>
        <v>0</v>
      </c>
      <c r="W500" s="585">
        <f t="shared" si="686"/>
        <v>0</v>
      </c>
      <c r="X500" s="585">
        <f t="shared" si="686"/>
        <v>0</v>
      </c>
      <c r="Y500" s="585">
        <f t="shared" si="686"/>
        <v>0</v>
      </c>
      <c r="Z500" s="585">
        <f t="shared" si="686"/>
        <v>0</v>
      </c>
      <c r="AA500" s="585">
        <f t="shared" si="686"/>
        <v>0</v>
      </c>
    </row>
    <row r="501" spans="2:27" s="416" customFormat="1" hidden="1" outlineLevel="1" x14ac:dyDescent="0.2">
      <c r="E501" s="589" t="s">
        <v>1211</v>
      </c>
      <c r="F501" s="130"/>
      <c r="G501" s="130"/>
      <c r="H501" s="130"/>
      <c r="I501" s="130"/>
      <c r="J501" s="63">
        <f ca="1">$J491*V500</f>
        <v>0</v>
      </c>
      <c r="K501" s="63">
        <f ca="1">$J491*W500</f>
        <v>0</v>
      </c>
      <c r="L501" s="243"/>
      <c r="M501" s="589" t="s">
        <v>1211</v>
      </c>
      <c r="N501" s="130"/>
      <c r="O501" s="130"/>
      <c r="P501" s="130"/>
      <c r="Q501" s="130"/>
      <c r="R501" s="63">
        <f ca="1">$R491*V501</f>
        <v>0</v>
      </c>
      <c r="S501" s="63">
        <f ca="1">$R491*W501</f>
        <v>0</v>
      </c>
      <c r="U501" s="582" t="s">
        <v>1158</v>
      </c>
      <c r="V501" s="585">
        <f t="shared" ref="V501:AA501" si="687">IFERROR(V497/$W503,0)</f>
        <v>0</v>
      </c>
      <c r="W501" s="585">
        <f t="shared" si="687"/>
        <v>0</v>
      </c>
      <c r="X501" s="585">
        <f t="shared" si="687"/>
        <v>0</v>
      </c>
      <c r="Y501" s="585">
        <f t="shared" si="687"/>
        <v>0</v>
      </c>
      <c r="Z501" s="585">
        <f t="shared" si="687"/>
        <v>0</v>
      </c>
      <c r="AA501" s="585">
        <f t="shared" si="687"/>
        <v>0</v>
      </c>
    </row>
    <row r="502" spans="2:27" s="416" customFormat="1" hidden="1" outlineLevel="1" x14ac:dyDescent="0.2">
      <c r="E502" s="589" t="s">
        <v>1212</v>
      </c>
      <c r="F502" s="130"/>
      <c r="G502" s="130"/>
      <c r="H502" s="130"/>
      <c r="I502" s="130"/>
      <c r="J502" s="130"/>
      <c r="K502" s="63">
        <f ca="1">$K491*V500</f>
        <v>0</v>
      </c>
      <c r="L502" s="243"/>
      <c r="M502" s="589" t="s">
        <v>1212</v>
      </c>
      <c r="N502" s="130"/>
      <c r="O502" s="130"/>
      <c r="P502" s="130"/>
      <c r="Q502" s="130"/>
      <c r="R502" s="130"/>
      <c r="S502" s="63">
        <f ca="1">$S491*V501</f>
        <v>0</v>
      </c>
    </row>
    <row r="503" spans="2:27" s="416" customFormat="1" hidden="1" outlineLevel="1" x14ac:dyDescent="0.2">
      <c r="E503" s="590" t="str">
        <f>TxPhase1PxUnitsTx</f>
        <v/>
      </c>
      <c r="F503" s="591">
        <f ca="1">IF(F494&lt;&gt;"",SUM(F497:F502),F491)</f>
        <v>0</v>
      </c>
      <c r="G503" s="591">
        <f ca="1">IF(F494&lt;&gt;"",SUM(G497:G502),G491)</f>
        <v>0</v>
      </c>
      <c r="H503" s="591">
        <f ca="1">IF(F494&lt;&gt;"",SUM(H497:H502),H491)</f>
        <v>0</v>
      </c>
      <c r="I503" s="591">
        <f ca="1">IF(F494&lt;&gt;"",SUM(I497:I502),I491)</f>
        <v>0</v>
      </c>
      <c r="J503" s="591">
        <f ca="1">IF(F494&lt;&gt;"",SUM(J497:J502),J491)</f>
        <v>0</v>
      </c>
      <c r="K503" s="591">
        <f ca="1">IF(F494&lt;&gt;"",SUM(K497:K502),K491)</f>
        <v>0</v>
      </c>
      <c r="L503" s="243"/>
      <c r="M503" s="590" t="str">
        <f>TxPhase2PxUnitsTx</f>
        <v/>
      </c>
      <c r="N503" s="591">
        <f ca="1">IF(N494&lt;&gt;"",SUM(N497:N502),N491)</f>
        <v>0</v>
      </c>
      <c r="O503" s="591">
        <f ca="1">IF(N494&lt;&gt;"",SUM(O497:O502),O491)</f>
        <v>0</v>
      </c>
      <c r="P503" s="591">
        <f ca="1">IF(N494&lt;&gt;"",SUM(P497:P502),P491)</f>
        <v>0</v>
      </c>
      <c r="Q503" s="591">
        <f ca="1">IF(N494&lt;&gt;"",SUM(Q497:Q502),Q491)</f>
        <v>0</v>
      </c>
      <c r="R503" s="591">
        <f ca="1">IF(N494&lt;&gt;"",SUM(R497:R502),R491)</f>
        <v>0</v>
      </c>
      <c r="S503" s="591">
        <f ca="1">IF(N494&lt;&gt;"",SUM(S497:S502),S491)</f>
        <v>0</v>
      </c>
      <c r="U503" s="582" t="s">
        <v>1161</v>
      </c>
      <c r="V503" s="579">
        <f>IFERROR(VLOOKUP(G494,TimeUnitCode,2,FALSE),0)</f>
        <v>0</v>
      </c>
      <c r="W503" s="579">
        <f>IFERROR(INDEX(TimeUnitCount,V503,2),0)</f>
        <v>0</v>
      </c>
    </row>
    <row r="504" spans="2:27" s="416" customFormat="1" hidden="1" outlineLevel="1" x14ac:dyDescent="0.2">
      <c r="L504" s="615"/>
    </row>
    <row r="505" spans="2:27" s="416" customFormat="1" collapsed="1" x14ac:dyDescent="0.2"/>
    <row r="506" spans="2:27" s="416" customFormat="1" ht="15.75" x14ac:dyDescent="0.2">
      <c r="B506" s="475">
        <f>IF(F516+N516&gt;12,1,0)</f>
        <v>0</v>
      </c>
      <c r="C506" s="291">
        <f ca="1">IFERROR(INDEX(PxTxPhase1,$D511,7),0)</f>
        <v>0</v>
      </c>
      <c r="D506" s="573">
        <v>23</v>
      </c>
      <c r="E506" s="79" t="str">
        <f>IF(F510&lt;&gt;"",CONCATENATE("DTG ",D506,": ",H510,": ",N506),MsgNotUsed)</f>
        <v>** NOT USED **</v>
      </c>
      <c r="F506" s="132"/>
      <c r="G506" s="132"/>
      <c r="H506" s="132"/>
      <c r="I506" s="132"/>
      <c r="J506" s="134"/>
      <c r="K506" s="134"/>
      <c r="L506" s="134"/>
      <c r="M506" s="325"/>
      <c r="N506" s="637" t="str">
        <f>IF(AND(F516="",N516=""),"Full year",IF(AND(F516&lt;&gt;"",N516=""),CONCATENATE(F516," ",G516),IF(AND(F516="",N516&lt;&gt;""),CONCATENATE(N516," ",G516),CONCATENATE(F516," + ",N516," ",G516))))</f>
        <v>Full year</v>
      </c>
      <c r="O506" s="325"/>
      <c r="P506" s="325"/>
      <c r="Q506" s="325"/>
      <c r="R506" s="325"/>
      <c r="S506" s="325"/>
      <c r="T506" s="325"/>
      <c r="U506" s="325"/>
      <c r="V506" s="325"/>
      <c r="W506" s="325"/>
      <c r="X506" s="325"/>
      <c r="Y506" s="325"/>
      <c r="Z506" s="325"/>
      <c r="AA506" s="325"/>
    </row>
    <row r="507" spans="2:27" s="416" customFormat="1" hidden="1" outlineLevel="1" x14ac:dyDescent="0.2">
      <c r="C507" s="615"/>
      <c r="D507" s="615"/>
      <c r="E507" s="615"/>
      <c r="F507" s="624">
        <v>1</v>
      </c>
      <c r="G507" s="397">
        <v>2</v>
      </c>
      <c r="H507" s="397">
        <v>3</v>
      </c>
      <c r="I507" s="397">
        <v>4</v>
      </c>
      <c r="J507" s="397">
        <v>5</v>
      </c>
      <c r="K507" s="397">
        <v>6</v>
      </c>
      <c r="N507" s="397">
        <v>1</v>
      </c>
      <c r="O507" s="397">
        <v>2</v>
      </c>
      <c r="P507" s="397">
        <v>3</v>
      </c>
      <c r="Q507" s="397">
        <v>4</v>
      </c>
      <c r="R507" s="397">
        <v>5</v>
      </c>
      <c r="S507" s="397">
        <v>6</v>
      </c>
    </row>
    <row r="508" spans="2:27" s="416" customFormat="1" hidden="1" outlineLevel="1" x14ac:dyDescent="0.2">
      <c r="C508" s="243"/>
      <c r="D508" s="243"/>
      <c r="E508" s="162" t="s">
        <v>1206</v>
      </c>
      <c r="F508" s="615"/>
    </row>
    <row r="509" spans="2:27" s="416" customFormat="1" hidden="1" outlineLevel="1" x14ac:dyDescent="0.2">
      <c r="C509" s="243"/>
      <c r="D509" s="243"/>
      <c r="E509" s="616"/>
      <c r="F509" s="615"/>
      <c r="N509" s="615"/>
      <c r="O509" s="615"/>
      <c r="P509" s="615"/>
      <c r="Q509" s="615"/>
      <c r="R509" s="615"/>
      <c r="S509" s="615"/>
    </row>
    <row r="510" spans="2:27" s="416" customFormat="1" hidden="1" outlineLevel="1" x14ac:dyDescent="0.2">
      <c r="C510" s="291">
        <f>IF(F510&lt;&gt;"",MATCH(F510,PxTxSource,0)-1,0)</f>
        <v>0</v>
      </c>
      <c r="D510" s="291">
        <f ca="1">IF(H510&lt;&gt;"",MATCH(H510,OFFSET(References!$AE$23,0,C510,PxPopMaxCount),0),0)</f>
        <v>0</v>
      </c>
      <c r="E510" s="423" t="s">
        <v>113</v>
      </c>
      <c r="F510" s="613"/>
      <c r="H510" s="812"/>
      <c r="I510" s="813"/>
      <c r="J510" s="813"/>
      <c r="K510" s="813"/>
      <c r="L510" s="615"/>
      <c r="N510" s="806" t="str">
        <f ca="1">IF(ISERROR($D511)=TRUE,MsgError &amp; VLOOKUP("BadPop",ErrorMessages,2,FALSE),"")</f>
        <v/>
      </c>
      <c r="O510" s="806"/>
      <c r="P510" s="806"/>
      <c r="Q510" s="806"/>
      <c r="R510" s="806"/>
      <c r="S510" s="806"/>
    </row>
    <row r="511" spans="2:27" s="416" customFormat="1" hidden="1" outlineLevel="1" x14ac:dyDescent="0.2">
      <c r="C511" s="291">
        <f>INDEX(PxTxValid,,C510+1)</f>
        <v>0</v>
      </c>
      <c r="D511" s="291" t="str">
        <f ca="1">IF(AND(C510&lt;&gt;0,D510&lt;&gt;0),(C510*PxPopMaxCount)+D510,"")</f>
        <v/>
      </c>
      <c r="E511" s="243"/>
      <c r="L511" s="615"/>
      <c r="M511" s="615"/>
      <c r="N511" s="615"/>
      <c r="O511" s="615"/>
      <c r="P511" s="615"/>
      <c r="Q511" s="615"/>
      <c r="R511" s="615"/>
      <c r="S511" s="615"/>
    </row>
    <row r="512" spans="2:27" s="416" customFormat="1" hidden="1" outlineLevel="1" x14ac:dyDescent="0.2">
      <c r="C512" s="615"/>
      <c r="E512" s="495"/>
      <c r="F512" s="614">
        <f>FirstYear</f>
        <v>2021</v>
      </c>
      <c r="G512" s="614">
        <f>F512+1</f>
        <v>2022</v>
      </c>
      <c r="H512" s="614">
        <f>G512+1</f>
        <v>2023</v>
      </c>
      <c r="I512" s="614">
        <f>H512+1</f>
        <v>2024</v>
      </c>
      <c r="J512" s="614">
        <f>I512+1</f>
        <v>2025</v>
      </c>
      <c r="K512" s="614">
        <f>J512+1</f>
        <v>2026</v>
      </c>
      <c r="L512" s="243"/>
      <c r="N512" s="614">
        <f>FirstYear</f>
        <v>2021</v>
      </c>
      <c r="O512" s="614">
        <f>N512+1</f>
        <v>2022</v>
      </c>
      <c r="P512" s="614">
        <f>O512+1</f>
        <v>2023</v>
      </c>
      <c r="Q512" s="614">
        <f>P512+1</f>
        <v>2024</v>
      </c>
      <c r="R512" s="614">
        <f>Q512+1</f>
        <v>2025</v>
      </c>
      <c r="S512" s="614">
        <f>R512+1</f>
        <v>2026</v>
      </c>
    </row>
    <row r="513" spans="2:27" s="416" customFormat="1" hidden="1" outlineLevel="1" x14ac:dyDescent="0.2">
      <c r="E513" s="59" t="str">
        <f>TxPhase1Px</f>
        <v/>
      </c>
      <c r="F513" s="32">
        <f t="shared" ref="F513:K513" ca="1" si="688">IFERROR(INDEX(PxTxPhase1,$D511,F507),0)</f>
        <v>0</v>
      </c>
      <c r="G513" s="32">
        <f t="shared" ca="1" si="688"/>
        <v>0</v>
      </c>
      <c r="H513" s="32">
        <f t="shared" ca="1" si="688"/>
        <v>0</v>
      </c>
      <c r="I513" s="32">
        <f t="shared" ca="1" si="688"/>
        <v>0</v>
      </c>
      <c r="J513" s="32">
        <f t="shared" ca="1" si="688"/>
        <v>0</v>
      </c>
      <c r="K513" s="32">
        <f t="shared" ca="1" si="688"/>
        <v>0</v>
      </c>
      <c r="L513" s="243"/>
      <c r="M513" s="59" t="str">
        <f>TxPhase2Px</f>
        <v/>
      </c>
      <c r="N513" s="32">
        <f t="shared" ref="N513:S513" ca="1" si="689">IFERROR(INDEX(PxTxPhase2,$D511,N507),0)</f>
        <v>0</v>
      </c>
      <c r="O513" s="32">
        <f t="shared" ca="1" si="689"/>
        <v>0</v>
      </c>
      <c r="P513" s="32">
        <f t="shared" ca="1" si="689"/>
        <v>0</v>
      </c>
      <c r="Q513" s="32">
        <f t="shared" ca="1" si="689"/>
        <v>0</v>
      </c>
      <c r="R513" s="32">
        <f t="shared" ca="1" si="689"/>
        <v>0</v>
      </c>
      <c r="S513" s="32">
        <f t="shared" ca="1" si="689"/>
        <v>0</v>
      </c>
    </row>
    <row r="514" spans="2:27" s="416" customFormat="1" hidden="1" outlineLevel="1" x14ac:dyDescent="0.2">
      <c r="D514" s="615"/>
      <c r="E514" s="615"/>
      <c r="F514" s="615"/>
      <c r="G514" s="615"/>
      <c r="H514" s="615"/>
      <c r="I514" s="615"/>
      <c r="J514" s="615"/>
      <c r="K514" s="615"/>
      <c r="L514" s="243"/>
      <c r="M514" s="615"/>
      <c r="N514" s="615"/>
    </row>
    <row r="515" spans="2:27" s="416" customFormat="1" hidden="1" outlineLevel="1" x14ac:dyDescent="0.2">
      <c r="D515" s="615"/>
      <c r="E515" s="243"/>
      <c r="F515" s="243"/>
      <c r="G515" s="243"/>
      <c r="H515" s="243"/>
      <c r="I515" s="243"/>
      <c r="J515" s="243"/>
      <c r="K515" s="243"/>
      <c r="L515" s="243"/>
      <c r="M515" s="243"/>
      <c r="N515" s="615"/>
      <c r="U515" s="578"/>
      <c r="V515" s="579">
        <f>$W525*1</f>
        <v>0</v>
      </c>
      <c r="W515" s="579">
        <f>$W525*2</f>
        <v>0</v>
      </c>
      <c r="X515" s="579">
        <f>$W525*3</f>
        <v>0</v>
      </c>
      <c r="Y515" s="579">
        <f>$W525*4</f>
        <v>0</v>
      </c>
      <c r="Z515" s="579">
        <f>$W525*5</f>
        <v>0</v>
      </c>
      <c r="AA515" s="579">
        <f>$W525*6</f>
        <v>0</v>
      </c>
    </row>
    <row r="516" spans="2:27" s="416" customFormat="1" hidden="1" outlineLevel="1" x14ac:dyDescent="0.2">
      <c r="E516" s="433" t="s">
        <v>1160</v>
      </c>
      <c r="F516" s="586"/>
      <c r="G516" s="268"/>
      <c r="H516" s="621"/>
      <c r="I516" s="621"/>
      <c r="J516" s="621"/>
      <c r="K516" s="621"/>
      <c r="L516" s="243"/>
      <c r="M516" s="433" t="s">
        <v>1160</v>
      </c>
      <c r="N516" s="586"/>
      <c r="O516" s="587" t="str">
        <f>IF(G516&lt;&gt;"",G516,"")</f>
        <v/>
      </c>
      <c r="P516" s="525"/>
      <c r="Q516" s="525"/>
      <c r="R516" s="525"/>
      <c r="S516" s="525"/>
      <c r="U516" s="580" t="s">
        <v>1156</v>
      </c>
      <c r="V516" s="581">
        <f>IF($F516&gt;=V515,$W525,IF($F516&gt;0,$F516,0))</f>
        <v>0</v>
      </c>
      <c r="W516" s="581">
        <f>IF($F516&gt;=W515,$W$41,IF($F516&gt;V515,($F516-V515),0))</f>
        <v>0</v>
      </c>
      <c r="X516" s="581">
        <f>IF($F516&gt;=X515,$W$41,IF($F516&gt;W515,($F516-W515),0))</f>
        <v>0</v>
      </c>
      <c r="Y516" s="581">
        <f>IF($F516&gt;=Y515,$W$41,IF($F516&gt;X515,($F516-X515),0))</f>
        <v>0</v>
      </c>
      <c r="Z516" s="581">
        <f>IF($F516&gt;=Z515,$W$41,IF($F516&gt;Y515,($F516-Y515),0))</f>
        <v>0</v>
      </c>
      <c r="AA516" s="581">
        <f>IF($F516&gt;=AA515,$W$41,IF($F516&gt;Z515,($F516-Z515),0))</f>
        <v>0</v>
      </c>
    </row>
    <row r="517" spans="2:27" s="416" customFormat="1" hidden="1" outlineLevel="1" x14ac:dyDescent="0.2">
      <c r="D517" s="615"/>
      <c r="E517" s="622"/>
      <c r="F517" s="622"/>
      <c r="G517" s="583"/>
      <c r="H517" s="622"/>
      <c r="I517" s="622"/>
      <c r="J517" s="622"/>
      <c r="K517" s="622"/>
      <c r="L517" s="243"/>
      <c r="M517" s="617"/>
      <c r="N517" s="618"/>
      <c r="O517" s="618"/>
      <c r="P517" s="618"/>
      <c r="Q517" s="618"/>
      <c r="R517" s="618"/>
      <c r="S517" s="618"/>
      <c r="U517" s="582" t="s">
        <v>1157</v>
      </c>
      <c r="V517" s="579">
        <f t="shared" ref="V517:AA517" si="690">IF(V516&gt;0,$W525-V516,$W525)</f>
        <v>0</v>
      </c>
      <c r="W517" s="579">
        <f t="shared" si="690"/>
        <v>0</v>
      </c>
      <c r="X517" s="579">
        <f t="shared" si="690"/>
        <v>0</v>
      </c>
      <c r="Y517" s="579">
        <f t="shared" si="690"/>
        <v>0</v>
      </c>
      <c r="Z517" s="579">
        <f t="shared" si="690"/>
        <v>0</v>
      </c>
      <c r="AA517" s="579">
        <f t="shared" si="690"/>
        <v>0</v>
      </c>
    </row>
    <row r="518" spans="2:27" s="416" customFormat="1" hidden="1" outlineLevel="1" x14ac:dyDescent="0.2">
      <c r="D518" s="615"/>
      <c r="E518" s="617" t="str">
        <f>E513</f>
        <v/>
      </c>
      <c r="F518" s="623"/>
      <c r="G518" s="588"/>
      <c r="H518" s="623"/>
      <c r="I518" s="623"/>
      <c r="J518" s="623"/>
      <c r="K518" s="623"/>
      <c r="L518" s="243"/>
      <c r="M518" s="617" t="str">
        <f>M513</f>
        <v/>
      </c>
      <c r="N518" s="619"/>
      <c r="O518" s="620"/>
      <c r="P518" s="620"/>
      <c r="Q518" s="620"/>
      <c r="R518" s="620"/>
      <c r="S518" s="620"/>
      <c r="U518" s="525"/>
      <c r="V518" s="525"/>
      <c r="W518" s="525"/>
      <c r="X518" s="525"/>
      <c r="Y518" s="525"/>
      <c r="Z518" s="525"/>
      <c r="AA518" s="525"/>
    </row>
    <row r="519" spans="2:27" s="416" customFormat="1" hidden="1" outlineLevel="1" x14ac:dyDescent="0.2">
      <c r="E519" s="589" t="s">
        <v>1207</v>
      </c>
      <c r="F519" s="63">
        <f ca="1">$F513*V522</f>
        <v>0</v>
      </c>
      <c r="G519" s="63">
        <f t="shared" ref="G519" ca="1" si="691">$F513*W522</f>
        <v>0</v>
      </c>
      <c r="H519" s="63">
        <f t="shared" ref="H519" ca="1" si="692">$F513*X522</f>
        <v>0</v>
      </c>
      <c r="I519" s="63">
        <f t="shared" ref="I519" ca="1" si="693">$F513*Y522</f>
        <v>0</v>
      </c>
      <c r="J519" s="63">
        <f t="shared" ref="J519" ca="1" si="694">$F513*Z522</f>
        <v>0</v>
      </c>
      <c r="K519" s="63">
        <f t="shared" ref="K519" ca="1" si="695">$F513*AA522</f>
        <v>0</v>
      </c>
      <c r="L519" s="243"/>
      <c r="M519" s="589" t="s">
        <v>1207</v>
      </c>
      <c r="N519" s="63">
        <f ca="1">$N513*V523</f>
        <v>0</v>
      </c>
      <c r="O519" s="63">
        <f ca="1">$N513*W523</f>
        <v>0</v>
      </c>
      <c r="P519" s="63">
        <f t="shared" ref="P519" ca="1" si="696">$N513*X523</f>
        <v>0</v>
      </c>
      <c r="Q519" s="63">
        <f t="shared" ref="Q519" ca="1" si="697">$N513*Y523</f>
        <v>0</v>
      </c>
      <c r="R519" s="63">
        <f t="shared" ref="R519" ca="1" si="698">$N513*Z523</f>
        <v>0</v>
      </c>
      <c r="S519" s="63">
        <f t="shared" ref="S519" ca="1" si="699">$N513*AA523</f>
        <v>0</v>
      </c>
      <c r="U519" s="582" t="s">
        <v>1158</v>
      </c>
      <c r="V519" s="581">
        <f>IF($N516&gt;=V517,V517,N516)</f>
        <v>0</v>
      </c>
      <c r="W519" s="581">
        <f>IF(V520&gt;=W517,W517,V520)</f>
        <v>0</v>
      </c>
      <c r="X519" s="581">
        <f>IF(W520&gt;=X517,X517,W520)</f>
        <v>0</v>
      </c>
      <c r="Y519" s="581">
        <f>IF(X520&gt;=Y517,Y517,X520)</f>
        <v>0</v>
      </c>
      <c r="Z519" s="581">
        <f>IF(Y520&gt;=Z517,Z517,Y520)</f>
        <v>0</v>
      </c>
      <c r="AA519" s="581">
        <f>IF(Z520&gt;=AA517,AA517,Z520)</f>
        <v>0</v>
      </c>
    </row>
    <row r="520" spans="2:27" s="416" customFormat="1" hidden="1" outlineLevel="1" x14ac:dyDescent="0.2">
      <c r="E520" s="589" t="s">
        <v>1208</v>
      </c>
      <c r="F520" s="130"/>
      <c r="G520" s="63">
        <f ca="1">$G513*V522</f>
        <v>0</v>
      </c>
      <c r="H520" s="63">
        <f t="shared" ref="H520" ca="1" si="700">$G513*W522</f>
        <v>0</v>
      </c>
      <c r="I520" s="63">
        <f t="shared" ref="I520" ca="1" si="701">$G513*X522</f>
        <v>0</v>
      </c>
      <c r="J520" s="63">
        <f t="shared" ref="J520" ca="1" si="702">$G513*Y522</f>
        <v>0</v>
      </c>
      <c r="K520" s="63">
        <f t="shared" ref="K520" ca="1" si="703">$G513*Z522</f>
        <v>0</v>
      </c>
      <c r="L520" s="243"/>
      <c r="M520" s="589" t="s">
        <v>1208</v>
      </c>
      <c r="N520" s="130"/>
      <c r="O520" s="63">
        <f ca="1">$O513*V523</f>
        <v>0</v>
      </c>
      <c r="P520" s="63">
        <f t="shared" ref="P520" ca="1" si="704">$O513*W523</f>
        <v>0</v>
      </c>
      <c r="Q520" s="63">
        <f t="shared" ref="Q520" ca="1" si="705">$O513*X523</f>
        <v>0</v>
      </c>
      <c r="R520" s="63">
        <f t="shared" ref="R520" ca="1" si="706">$O513*Y523</f>
        <v>0</v>
      </c>
      <c r="S520" s="63">
        <f t="shared" ref="S520" ca="1" si="707">$O513*Z523</f>
        <v>0</v>
      </c>
      <c r="U520" s="582" t="s">
        <v>1159</v>
      </c>
      <c r="V520" s="579">
        <f>$N516-V519</f>
        <v>0</v>
      </c>
      <c r="W520" s="579">
        <f>$N516-SUM($V519:W519)</f>
        <v>0</v>
      </c>
      <c r="X520" s="579">
        <f>$N516-SUM($V519:X519)</f>
        <v>0</v>
      </c>
      <c r="Y520" s="579">
        <f>$N516-SUM($V519:Y519)</f>
        <v>0</v>
      </c>
      <c r="Z520" s="579">
        <f>$N516-SUM($V519:Z519)</f>
        <v>0</v>
      </c>
      <c r="AA520" s="579">
        <f>$N516-SUM($V519:AA519)</f>
        <v>0</v>
      </c>
    </row>
    <row r="521" spans="2:27" s="416" customFormat="1" hidden="1" outlineLevel="1" x14ac:dyDescent="0.2">
      <c r="E521" s="589" t="s">
        <v>1209</v>
      </c>
      <c r="F521" s="130"/>
      <c r="G521" s="130"/>
      <c r="H521" s="63">
        <f ca="1">$H513*V522</f>
        <v>0</v>
      </c>
      <c r="I521" s="63">
        <f t="shared" ref="I521" ca="1" si="708">$H513*W522</f>
        <v>0</v>
      </c>
      <c r="J521" s="63">
        <f t="shared" ref="J521" ca="1" si="709">$H513*X522</f>
        <v>0</v>
      </c>
      <c r="K521" s="63">
        <f t="shared" ref="K521" ca="1" si="710">$H513*Y522</f>
        <v>0</v>
      </c>
      <c r="L521" s="243"/>
      <c r="M521" s="589" t="s">
        <v>1209</v>
      </c>
      <c r="N521" s="130"/>
      <c r="O521" s="130"/>
      <c r="P521" s="63">
        <f ca="1">$P513*V523</f>
        <v>0</v>
      </c>
      <c r="Q521" s="63">
        <f t="shared" ref="Q521" ca="1" si="711">$P513*W523</f>
        <v>0</v>
      </c>
      <c r="R521" s="63">
        <f t="shared" ref="R521" ca="1" si="712">$P513*X523</f>
        <v>0</v>
      </c>
      <c r="S521" s="63">
        <f t="shared" ref="S521" ca="1" si="713">$P513*Y523</f>
        <v>0</v>
      </c>
      <c r="U521" s="583"/>
      <c r="V521" s="584"/>
      <c r="W521" s="583"/>
      <c r="X521" s="583"/>
      <c r="Y521" s="583"/>
      <c r="Z521" s="583"/>
      <c r="AA521" s="525"/>
    </row>
    <row r="522" spans="2:27" s="416" customFormat="1" hidden="1" outlineLevel="1" x14ac:dyDescent="0.2">
      <c r="E522" s="589" t="s">
        <v>1210</v>
      </c>
      <c r="F522" s="130"/>
      <c r="G522" s="130"/>
      <c r="H522" s="130"/>
      <c r="I522" s="63">
        <f ca="1">$I513*V522</f>
        <v>0</v>
      </c>
      <c r="J522" s="63">
        <f t="shared" ref="J522" ca="1" si="714">$I513*W522</f>
        <v>0</v>
      </c>
      <c r="K522" s="63">
        <f t="shared" ref="K522" ca="1" si="715">$I513*X522</f>
        <v>0</v>
      </c>
      <c r="L522" s="243"/>
      <c r="M522" s="589" t="s">
        <v>1210</v>
      </c>
      <c r="N522" s="130"/>
      <c r="O522" s="130"/>
      <c r="P522" s="130"/>
      <c r="Q522" s="63">
        <f ca="1">$Q513*V523</f>
        <v>0</v>
      </c>
      <c r="R522" s="63">
        <f t="shared" ref="R522" ca="1" si="716">$Q513*W523</f>
        <v>0</v>
      </c>
      <c r="S522" s="63">
        <f t="shared" ref="S522" ca="1" si="717">$Q513*X523</f>
        <v>0</v>
      </c>
      <c r="U522" s="580" t="s">
        <v>1156</v>
      </c>
      <c r="V522" s="585">
        <f t="shared" ref="V522:AA522" si="718">IFERROR(V516/$W525,0)</f>
        <v>0</v>
      </c>
      <c r="W522" s="585">
        <f t="shared" si="718"/>
        <v>0</v>
      </c>
      <c r="X522" s="585">
        <f t="shared" si="718"/>
        <v>0</v>
      </c>
      <c r="Y522" s="585">
        <f t="shared" si="718"/>
        <v>0</v>
      </c>
      <c r="Z522" s="585">
        <f t="shared" si="718"/>
        <v>0</v>
      </c>
      <c r="AA522" s="585">
        <f t="shared" si="718"/>
        <v>0</v>
      </c>
    </row>
    <row r="523" spans="2:27" s="416" customFormat="1" hidden="1" outlineLevel="1" x14ac:dyDescent="0.2">
      <c r="E523" s="589" t="s">
        <v>1211</v>
      </c>
      <c r="F523" s="130"/>
      <c r="G523" s="130"/>
      <c r="H523" s="130"/>
      <c r="I523" s="130"/>
      <c r="J523" s="63">
        <f ca="1">$J513*V522</f>
        <v>0</v>
      </c>
      <c r="K523" s="63">
        <f ca="1">$J513*W522</f>
        <v>0</v>
      </c>
      <c r="L523" s="243"/>
      <c r="M523" s="589" t="s">
        <v>1211</v>
      </c>
      <c r="N523" s="130"/>
      <c r="O523" s="130"/>
      <c r="P523" s="130"/>
      <c r="Q523" s="130"/>
      <c r="R523" s="63">
        <f ca="1">$R513*V523</f>
        <v>0</v>
      </c>
      <c r="S523" s="63">
        <f ca="1">$R513*W523</f>
        <v>0</v>
      </c>
      <c r="U523" s="582" t="s">
        <v>1158</v>
      </c>
      <c r="V523" s="585">
        <f t="shared" ref="V523:AA523" si="719">IFERROR(V519/$W525,0)</f>
        <v>0</v>
      </c>
      <c r="W523" s="585">
        <f t="shared" si="719"/>
        <v>0</v>
      </c>
      <c r="X523" s="585">
        <f t="shared" si="719"/>
        <v>0</v>
      </c>
      <c r="Y523" s="585">
        <f t="shared" si="719"/>
        <v>0</v>
      </c>
      <c r="Z523" s="585">
        <f t="shared" si="719"/>
        <v>0</v>
      </c>
      <c r="AA523" s="585">
        <f t="shared" si="719"/>
        <v>0</v>
      </c>
    </row>
    <row r="524" spans="2:27" s="416" customFormat="1" hidden="1" outlineLevel="1" x14ac:dyDescent="0.2">
      <c r="E524" s="589" t="s">
        <v>1212</v>
      </c>
      <c r="F524" s="130"/>
      <c r="G524" s="130"/>
      <c r="H524" s="130"/>
      <c r="I524" s="130"/>
      <c r="J524" s="130"/>
      <c r="K524" s="63">
        <f ca="1">$K513*V522</f>
        <v>0</v>
      </c>
      <c r="L524" s="243"/>
      <c r="M524" s="589" t="s">
        <v>1212</v>
      </c>
      <c r="N524" s="130"/>
      <c r="O524" s="130"/>
      <c r="P524" s="130"/>
      <c r="Q524" s="130"/>
      <c r="R524" s="130"/>
      <c r="S524" s="63">
        <f ca="1">$S513*V523</f>
        <v>0</v>
      </c>
    </row>
    <row r="525" spans="2:27" s="416" customFormat="1" hidden="1" outlineLevel="1" x14ac:dyDescent="0.2">
      <c r="E525" s="590" t="str">
        <f>TxPhase1PxUnitsTx</f>
        <v/>
      </c>
      <c r="F525" s="591">
        <f ca="1">IF(F516&lt;&gt;"",SUM(F519:F524),F513)</f>
        <v>0</v>
      </c>
      <c r="G525" s="591">
        <f ca="1">IF(F516&lt;&gt;"",SUM(G519:G524),G513)</f>
        <v>0</v>
      </c>
      <c r="H525" s="591">
        <f ca="1">IF(F516&lt;&gt;"",SUM(H519:H524),H513)</f>
        <v>0</v>
      </c>
      <c r="I525" s="591">
        <f ca="1">IF(F516&lt;&gt;"",SUM(I519:I524),I513)</f>
        <v>0</v>
      </c>
      <c r="J525" s="591">
        <f ca="1">IF(F516&lt;&gt;"",SUM(J519:J524),J513)</f>
        <v>0</v>
      </c>
      <c r="K525" s="591">
        <f ca="1">IF(F516&lt;&gt;"",SUM(K519:K524),K513)</f>
        <v>0</v>
      </c>
      <c r="L525" s="243"/>
      <c r="M525" s="590" t="str">
        <f>TxPhase2PxUnitsTx</f>
        <v/>
      </c>
      <c r="N525" s="591">
        <f ca="1">IF(N516&lt;&gt;"",SUM(N519:N524),N513)</f>
        <v>0</v>
      </c>
      <c r="O525" s="591">
        <f ca="1">IF(N516&lt;&gt;"",SUM(O519:O524),O513)</f>
        <v>0</v>
      </c>
      <c r="P525" s="591">
        <f ca="1">IF(N516&lt;&gt;"",SUM(P519:P524),P513)</f>
        <v>0</v>
      </c>
      <c r="Q525" s="591">
        <f ca="1">IF(N516&lt;&gt;"",SUM(Q519:Q524),Q513)</f>
        <v>0</v>
      </c>
      <c r="R525" s="591">
        <f ca="1">IF(N516&lt;&gt;"",SUM(R519:R524),R513)</f>
        <v>0</v>
      </c>
      <c r="S525" s="591">
        <f ca="1">IF(N516&lt;&gt;"",SUM(S519:S524),S513)</f>
        <v>0</v>
      </c>
      <c r="U525" s="582" t="s">
        <v>1161</v>
      </c>
      <c r="V525" s="579">
        <f>IFERROR(VLOOKUP(G516,TimeUnitCode,2,FALSE),0)</f>
        <v>0</v>
      </c>
      <c r="W525" s="579">
        <f>IFERROR(INDEX(TimeUnitCount,V525,2),0)</f>
        <v>0</v>
      </c>
    </row>
    <row r="526" spans="2:27" s="416" customFormat="1" hidden="1" outlineLevel="1" x14ac:dyDescent="0.2"/>
    <row r="527" spans="2:27" s="416" customFormat="1" collapsed="1" x14ac:dyDescent="0.2"/>
    <row r="528" spans="2:27" s="416" customFormat="1" ht="15.75" x14ac:dyDescent="0.2">
      <c r="B528" s="475">
        <f>IF(F538+N538&gt;12,1,0)</f>
        <v>0</v>
      </c>
      <c r="C528" s="291">
        <f ca="1">IFERROR(INDEX(PxTxPhase1,$D533,7),0)</f>
        <v>0</v>
      </c>
      <c r="D528" s="573">
        <v>24</v>
      </c>
      <c r="E528" s="79" t="str">
        <f>IF(F532&lt;&gt;"",CONCATENATE("DTG ",D528,": ",H532,": ",N528),MsgNotUsed)</f>
        <v>** NOT USED **</v>
      </c>
      <c r="F528" s="132"/>
      <c r="G528" s="132"/>
      <c r="H528" s="132"/>
      <c r="I528" s="132"/>
      <c r="J528" s="134"/>
      <c r="K528" s="134"/>
      <c r="L528" s="134"/>
      <c r="M528" s="325"/>
      <c r="N528" s="637" t="str">
        <f>IF(AND(F538="",N538=""),"Full year",IF(AND(F538&lt;&gt;"",N538=""),CONCATENATE(F538," ",G538),IF(AND(F538="",N538&lt;&gt;""),CONCATENATE(N538," ",G538),CONCATENATE(F538," + ",N538," ",G538))))</f>
        <v>Full year</v>
      </c>
      <c r="O528" s="325"/>
      <c r="P528" s="325"/>
      <c r="Q528" s="325"/>
      <c r="R528" s="325"/>
      <c r="S528" s="325"/>
      <c r="T528" s="325"/>
      <c r="U528" s="325"/>
      <c r="V528" s="325"/>
      <c r="W528" s="325"/>
      <c r="X528" s="325"/>
      <c r="Y528" s="325"/>
      <c r="Z528" s="325"/>
      <c r="AA528" s="325"/>
    </row>
    <row r="529" spans="3:27" s="416" customFormat="1" hidden="1" outlineLevel="1" x14ac:dyDescent="0.2">
      <c r="C529" s="615"/>
      <c r="D529" s="615"/>
      <c r="E529" s="615"/>
      <c r="F529" s="624">
        <v>1</v>
      </c>
      <c r="G529" s="397">
        <v>2</v>
      </c>
      <c r="H529" s="397">
        <v>3</v>
      </c>
      <c r="I529" s="397">
        <v>4</v>
      </c>
      <c r="J529" s="397">
        <v>5</v>
      </c>
      <c r="K529" s="397">
        <v>6</v>
      </c>
      <c r="N529" s="397">
        <v>1</v>
      </c>
      <c r="O529" s="397">
        <v>2</v>
      </c>
      <c r="P529" s="397">
        <v>3</v>
      </c>
      <c r="Q529" s="397">
        <v>4</v>
      </c>
      <c r="R529" s="397">
        <v>5</v>
      </c>
      <c r="S529" s="397">
        <v>6</v>
      </c>
    </row>
    <row r="530" spans="3:27" s="416" customFormat="1" hidden="1" outlineLevel="1" x14ac:dyDescent="0.2">
      <c r="C530" s="243"/>
      <c r="D530" s="243"/>
      <c r="E530" s="162" t="s">
        <v>1206</v>
      </c>
      <c r="F530" s="615"/>
    </row>
    <row r="531" spans="3:27" s="416" customFormat="1" hidden="1" outlineLevel="1" x14ac:dyDescent="0.2">
      <c r="C531" s="243"/>
      <c r="D531" s="243"/>
      <c r="E531" s="616"/>
      <c r="F531" s="615"/>
      <c r="N531" s="615"/>
      <c r="O531" s="615"/>
      <c r="P531" s="615"/>
      <c r="Q531" s="615"/>
      <c r="R531" s="615"/>
      <c r="S531" s="615"/>
    </row>
    <row r="532" spans="3:27" s="416" customFormat="1" hidden="1" outlineLevel="1" x14ac:dyDescent="0.2">
      <c r="C532" s="291">
        <f>IF(F532&lt;&gt;"",MATCH(F532,PxTxSource,0)-1,0)</f>
        <v>0</v>
      </c>
      <c r="D532" s="291">
        <f ca="1">IF(H532&lt;&gt;"",MATCH(H532,OFFSET(References!$AE$23,0,C532,PxPopMaxCount),0),0)</f>
        <v>0</v>
      </c>
      <c r="E532" s="423" t="s">
        <v>113</v>
      </c>
      <c r="F532" s="613"/>
      <c r="H532" s="812"/>
      <c r="I532" s="813"/>
      <c r="J532" s="813"/>
      <c r="K532" s="813"/>
      <c r="L532" s="615"/>
      <c r="N532" s="806" t="str">
        <f ca="1">IF(ISERROR($D533)=TRUE,MsgError &amp; VLOOKUP("BadPop",ErrorMessages,2,FALSE),"")</f>
        <v/>
      </c>
      <c r="O532" s="806"/>
      <c r="P532" s="806"/>
      <c r="Q532" s="806"/>
      <c r="R532" s="806"/>
      <c r="S532" s="806"/>
    </row>
    <row r="533" spans="3:27" s="416" customFormat="1" hidden="1" outlineLevel="1" x14ac:dyDescent="0.2">
      <c r="C533" s="291">
        <f>INDEX(PxTxValid,,C532+1)</f>
        <v>0</v>
      </c>
      <c r="D533" s="291" t="str">
        <f ca="1">IF(AND(C532&lt;&gt;0,D532&lt;&gt;0),(C532*PxPopMaxCount)+D532,"")</f>
        <v/>
      </c>
      <c r="E533" s="243"/>
      <c r="L533" s="615"/>
      <c r="M533" s="615"/>
      <c r="N533" s="615"/>
      <c r="O533" s="615"/>
      <c r="P533" s="615"/>
      <c r="Q533" s="615"/>
      <c r="R533" s="615"/>
      <c r="S533" s="615"/>
    </row>
    <row r="534" spans="3:27" s="416" customFormat="1" hidden="1" outlineLevel="1" x14ac:dyDescent="0.2">
      <c r="C534" s="615"/>
      <c r="E534" s="495"/>
      <c r="F534" s="614">
        <f>FirstYear</f>
        <v>2021</v>
      </c>
      <c r="G534" s="614">
        <f>F534+1</f>
        <v>2022</v>
      </c>
      <c r="H534" s="614">
        <f>G534+1</f>
        <v>2023</v>
      </c>
      <c r="I534" s="614">
        <f>H534+1</f>
        <v>2024</v>
      </c>
      <c r="J534" s="614">
        <f>I534+1</f>
        <v>2025</v>
      </c>
      <c r="K534" s="614">
        <f>J534+1</f>
        <v>2026</v>
      </c>
      <c r="L534" s="243"/>
      <c r="N534" s="614">
        <f>FirstYear</f>
        <v>2021</v>
      </c>
      <c r="O534" s="614">
        <f>N534+1</f>
        <v>2022</v>
      </c>
      <c r="P534" s="614">
        <f>O534+1</f>
        <v>2023</v>
      </c>
      <c r="Q534" s="614">
        <f>P534+1</f>
        <v>2024</v>
      </c>
      <c r="R534" s="614">
        <f>Q534+1</f>
        <v>2025</v>
      </c>
      <c r="S534" s="614">
        <f>R534+1</f>
        <v>2026</v>
      </c>
    </row>
    <row r="535" spans="3:27" s="416" customFormat="1" hidden="1" outlineLevel="1" x14ac:dyDescent="0.2">
      <c r="E535" s="59" t="str">
        <f>TxPhase1Px</f>
        <v/>
      </c>
      <c r="F535" s="32">
        <f t="shared" ref="F535:K535" ca="1" si="720">IFERROR(INDEX(PxTxPhase1,$D533,F529),0)</f>
        <v>0</v>
      </c>
      <c r="G535" s="32">
        <f t="shared" ca="1" si="720"/>
        <v>0</v>
      </c>
      <c r="H535" s="32">
        <f t="shared" ca="1" si="720"/>
        <v>0</v>
      </c>
      <c r="I535" s="32">
        <f t="shared" ca="1" si="720"/>
        <v>0</v>
      </c>
      <c r="J535" s="32">
        <f t="shared" ca="1" si="720"/>
        <v>0</v>
      </c>
      <c r="K535" s="32">
        <f t="shared" ca="1" si="720"/>
        <v>0</v>
      </c>
      <c r="L535" s="243"/>
      <c r="M535" s="59" t="str">
        <f>TxPhase2Px</f>
        <v/>
      </c>
      <c r="N535" s="32">
        <f t="shared" ref="N535:S535" ca="1" si="721">IFERROR(INDEX(PxTxPhase2,$D533,N529),0)</f>
        <v>0</v>
      </c>
      <c r="O535" s="32">
        <f t="shared" ca="1" si="721"/>
        <v>0</v>
      </c>
      <c r="P535" s="32">
        <f t="shared" ca="1" si="721"/>
        <v>0</v>
      </c>
      <c r="Q535" s="32">
        <f t="shared" ca="1" si="721"/>
        <v>0</v>
      </c>
      <c r="R535" s="32">
        <f t="shared" ca="1" si="721"/>
        <v>0</v>
      </c>
      <c r="S535" s="32">
        <f t="shared" ca="1" si="721"/>
        <v>0</v>
      </c>
    </row>
    <row r="536" spans="3:27" s="416" customFormat="1" hidden="1" outlineLevel="1" x14ac:dyDescent="0.2">
      <c r="D536" s="615"/>
      <c r="E536" s="615"/>
      <c r="F536" s="615"/>
      <c r="G536" s="615"/>
      <c r="H536" s="615"/>
      <c r="I536" s="615"/>
      <c r="J536" s="615"/>
      <c r="K536" s="615"/>
      <c r="L536" s="243"/>
      <c r="M536" s="615"/>
      <c r="N536" s="615"/>
    </row>
    <row r="537" spans="3:27" s="416" customFormat="1" hidden="1" outlineLevel="1" x14ac:dyDescent="0.2">
      <c r="D537" s="615"/>
      <c r="E537" s="243"/>
      <c r="F537" s="243"/>
      <c r="G537" s="243"/>
      <c r="H537" s="243"/>
      <c r="I537" s="243"/>
      <c r="J537" s="243"/>
      <c r="K537" s="243"/>
      <c r="L537" s="243"/>
      <c r="M537" s="243"/>
      <c r="N537" s="615"/>
      <c r="U537" s="578"/>
      <c r="V537" s="579">
        <f>$W547*1</f>
        <v>0</v>
      </c>
      <c r="W537" s="579">
        <f>$W547*2</f>
        <v>0</v>
      </c>
      <c r="X537" s="579">
        <f>$W547*3</f>
        <v>0</v>
      </c>
      <c r="Y537" s="579">
        <f>$W547*4</f>
        <v>0</v>
      </c>
      <c r="Z537" s="579">
        <f>$W547*5</f>
        <v>0</v>
      </c>
      <c r="AA537" s="579">
        <f>$W547*6</f>
        <v>0</v>
      </c>
    </row>
    <row r="538" spans="3:27" s="416" customFormat="1" hidden="1" outlineLevel="1" x14ac:dyDescent="0.2">
      <c r="E538" s="433" t="s">
        <v>1160</v>
      </c>
      <c r="F538" s="586"/>
      <c r="G538" s="268"/>
      <c r="H538" s="621"/>
      <c r="I538" s="621"/>
      <c r="J538" s="621"/>
      <c r="K538" s="621"/>
      <c r="L538" s="243"/>
      <c r="M538" s="433" t="s">
        <v>1160</v>
      </c>
      <c r="N538" s="586"/>
      <c r="O538" s="587" t="str">
        <f>IF(G538&lt;&gt;"",G538,"")</f>
        <v/>
      </c>
      <c r="P538" s="525"/>
      <c r="Q538" s="525"/>
      <c r="R538" s="525"/>
      <c r="S538" s="525"/>
      <c r="U538" s="580" t="s">
        <v>1156</v>
      </c>
      <c r="V538" s="581">
        <f>IF($F538&gt;=V537,$W547,IF($F538&gt;0,$F538,0))</f>
        <v>0</v>
      </c>
      <c r="W538" s="581">
        <f>IF($F538&gt;=W537,$W$41,IF($F538&gt;V537,($F538-V537),0))</f>
        <v>0</v>
      </c>
      <c r="X538" s="581">
        <f>IF($F538&gt;=X537,$W$41,IF($F538&gt;W537,($F538-W537),0))</f>
        <v>0</v>
      </c>
      <c r="Y538" s="581">
        <f>IF($F538&gt;=Y537,$W$41,IF($F538&gt;X537,($F538-X537),0))</f>
        <v>0</v>
      </c>
      <c r="Z538" s="581">
        <f>IF($F538&gt;=Z537,$W$41,IF($F538&gt;Y537,($F538-Y537),0))</f>
        <v>0</v>
      </c>
      <c r="AA538" s="581">
        <f>IF($F538&gt;=AA537,$W$41,IF($F538&gt;Z537,($F538-Z537),0))</f>
        <v>0</v>
      </c>
    </row>
    <row r="539" spans="3:27" s="416" customFormat="1" hidden="1" outlineLevel="1" x14ac:dyDescent="0.2">
      <c r="D539" s="615"/>
      <c r="E539" s="622"/>
      <c r="F539" s="622"/>
      <c r="G539" s="583"/>
      <c r="H539" s="622"/>
      <c r="I539" s="622"/>
      <c r="J539" s="622"/>
      <c r="K539" s="622"/>
      <c r="L539" s="243"/>
      <c r="M539" s="617"/>
      <c r="N539" s="618"/>
      <c r="O539" s="618"/>
      <c r="P539" s="618"/>
      <c r="Q539" s="618"/>
      <c r="R539" s="618"/>
      <c r="S539" s="618"/>
      <c r="U539" s="582" t="s">
        <v>1157</v>
      </c>
      <c r="V539" s="579">
        <f t="shared" ref="V539:AA539" si="722">IF(V538&gt;0,$W547-V538,$W547)</f>
        <v>0</v>
      </c>
      <c r="W539" s="579">
        <f t="shared" si="722"/>
        <v>0</v>
      </c>
      <c r="X539" s="579">
        <f t="shared" si="722"/>
        <v>0</v>
      </c>
      <c r="Y539" s="579">
        <f t="shared" si="722"/>
        <v>0</v>
      </c>
      <c r="Z539" s="579">
        <f t="shared" si="722"/>
        <v>0</v>
      </c>
      <c r="AA539" s="579">
        <f t="shared" si="722"/>
        <v>0</v>
      </c>
    </row>
    <row r="540" spans="3:27" s="416" customFormat="1" hidden="1" outlineLevel="1" x14ac:dyDescent="0.2">
      <c r="D540" s="615"/>
      <c r="E540" s="617" t="str">
        <f>E535</f>
        <v/>
      </c>
      <c r="F540" s="623"/>
      <c r="G540" s="588"/>
      <c r="H540" s="623"/>
      <c r="I540" s="623"/>
      <c r="J540" s="623"/>
      <c r="K540" s="623"/>
      <c r="L540" s="243"/>
      <c r="M540" s="617" t="str">
        <f>M535</f>
        <v/>
      </c>
      <c r="N540" s="619"/>
      <c r="O540" s="620"/>
      <c r="P540" s="620"/>
      <c r="Q540" s="620"/>
      <c r="R540" s="620"/>
      <c r="S540" s="620"/>
      <c r="U540" s="525"/>
      <c r="V540" s="525"/>
      <c r="W540" s="525"/>
      <c r="X540" s="525"/>
      <c r="Y540" s="525"/>
      <c r="Z540" s="525"/>
      <c r="AA540" s="525"/>
    </row>
    <row r="541" spans="3:27" s="416" customFormat="1" hidden="1" outlineLevel="1" x14ac:dyDescent="0.2">
      <c r="E541" s="589" t="s">
        <v>1207</v>
      </c>
      <c r="F541" s="63">
        <f ca="1">$F535*V544</f>
        <v>0</v>
      </c>
      <c r="G541" s="63">
        <f t="shared" ref="G541" ca="1" si="723">$F535*W544</f>
        <v>0</v>
      </c>
      <c r="H541" s="63">
        <f t="shared" ref="H541" ca="1" si="724">$F535*X544</f>
        <v>0</v>
      </c>
      <c r="I541" s="63">
        <f t="shared" ref="I541" ca="1" si="725">$F535*Y544</f>
        <v>0</v>
      </c>
      <c r="J541" s="63">
        <f t="shared" ref="J541" ca="1" si="726">$F535*Z544</f>
        <v>0</v>
      </c>
      <c r="K541" s="63">
        <f t="shared" ref="K541" ca="1" si="727">$F535*AA544</f>
        <v>0</v>
      </c>
      <c r="L541" s="243"/>
      <c r="M541" s="589" t="s">
        <v>1207</v>
      </c>
      <c r="N541" s="63">
        <f ca="1">$N535*V545</f>
        <v>0</v>
      </c>
      <c r="O541" s="63">
        <f ca="1">$N535*W545</f>
        <v>0</v>
      </c>
      <c r="P541" s="63">
        <f t="shared" ref="P541" ca="1" si="728">$N535*X545</f>
        <v>0</v>
      </c>
      <c r="Q541" s="63">
        <f t="shared" ref="Q541" ca="1" si="729">$N535*Y545</f>
        <v>0</v>
      </c>
      <c r="R541" s="63">
        <f t="shared" ref="R541" ca="1" si="730">$N535*Z545</f>
        <v>0</v>
      </c>
      <c r="S541" s="63">
        <f t="shared" ref="S541" ca="1" si="731">$N535*AA545</f>
        <v>0</v>
      </c>
      <c r="U541" s="582" t="s">
        <v>1158</v>
      </c>
      <c r="V541" s="581">
        <f>IF($N538&gt;=V539,V539,N538)</f>
        <v>0</v>
      </c>
      <c r="W541" s="581">
        <f>IF(V542&gt;=W539,W539,V542)</f>
        <v>0</v>
      </c>
      <c r="X541" s="581">
        <f>IF(W542&gt;=X539,X539,W542)</f>
        <v>0</v>
      </c>
      <c r="Y541" s="581">
        <f>IF(X542&gt;=Y539,Y539,X542)</f>
        <v>0</v>
      </c>
      <c r="Z541" s="581">
        <f>IF(Y542&gt;=Z539,Z539,Y542)</f>
        <v>0</v>
      </c>
      <c r="AA541" s="581">
        <f>IF(Z542&gt;=AA539,AA539,Z542)</f>
        <v>0</v>
      </c>
    </row>
    <row r="542" spans="3:27" s="416" customFormat="1" hidden="1" outlineLevel="1" x14ac:dyDescent="0.2">
      <c r="E542" s="589" t="s">
        <v>1208</v>
      </c>
      <c r="F542" s="130"/>
      <c r="G542" s="63">
        <f ca="1">$G535*V544</f>
        <v>0</v>
      </c>
      <c r="H542" s="63">
        <f t="shared" ref="H542" ca="1" si="732">$G535*W544</f>
        <v>0</v>
      </c>
      <c r="I542" s="63">
        <f t="shared" ref="I542" ca="1" si="733">$G535*X544</f>
        <v>0</v>
      </c>
      <c r="J542" s="63">
        <f t="shared" ref="J542" ca="1" si="734">$G535*Y544</f>
        <v>0</v>
      </c>
      <c r="K542" s="63">
        <f t="shared" ref="K542" ca="1" si="735">$G535*Z544</f>
        <v>0</v>
      </c>
      <c r="L542" s="243"/>
      <c r="M542" s="589" t="s">
        <v>1208</v>
      </c>
      <c r="N542" s="130"/>
      <c r="O542" s="63">
        <f ca="1">$O535*V545</f>
        <v>0</v>
      </c>
      <c r="P542" s="63">
        <f t="shared" ref="P542" ca="1" si="736">$O535*W545</f>
        <v>0</v>
      </c>
      <c r="Q542" s="63">
        <f t="shared" ref="Q542" ca="1" si="737">$O535*X545</f>
        <v>0</v>
      </c>
      <c r="R542" s="63">
        <f t="shared" ref="R542" ca="1" si="738">$O535*Y545</f>
        <v>0</v>
      </c>
      <c r="S542" s="63">
        <f t="shared" ref="S542" ca="1" si="739">$O535*Z545</f>
        <v>0</v>
      </c>
      <c r="U542" s="582" t="s">
        <v>1159</v>
      </c>
      <c r="V542" s="579">
        <f>$N538-V541</f>
        <v>0</v>
      </c>
      <c r="W542" s="579">
        <f>$N538-SUM($V541:W541)</f>
        <v>0</v>
      </c>
      <c r="X542" s="579">
        <f>$N538-SUM($V541:X541)</f>
        <v>0</v>
      </c>
      <c r="Y542" s="579">
        <f>$N538-SUM($V541:Y541)</f>
        <v>0</v>
      </c>
      <c r="Z542" s="579">
        <f>$N538-SUM($V541:Z541)</f>
        <v>0</v>
      </c>
      <c r="AA542" s="579">
        <f>$N538-SUM($V541:AA541)</f>
        <v>0</v>
      </c>
    </row>
    <row r="543" spans="3:27" s="416" customFormat="1" hidden="1" outlineLevel="1" x14ac:dyDescent="0.2">
      <c r="E543" s="589" t="s">
        <v>1209</v>
      </c>
      <c r="F543" s="130"/>
      <c r="G543" s="130"/>
      <c r="H543" s="63">
        <f ca="1">$H535*V544</f>
        <v>0</v>
      </c>
      <c r="I543" s="63">
        <f t="shared" ref="I543" ca="1" si="740">$H535*W544</f>
        <v>0</v>
      </c>
      <c r="J543" s="63">
        <f t="shared" ref="J543" ca="1" si="741">$H535*X544</f>
        <v>0</v>
      </c>
      <c r="K543" s="63">
        <f t="shared" ref="K543" ca="1" si="742">$H535*Y544</f>
        <v>0</v>
      </c>
      <c r="L543" s="243"/>
      <c r="M543" s="589" t="s">
        <v>1209</v>
      </c>
      <c r="N543" s="130"/>
      <c r="O543" s="130"/>
      <c r="P543" s="63">
        <f ca="1">$P535*V545</f>
        <v>0</v>
      </c>
      <c r="Q543" s="63">
        <f t="shared" ref="Q543" ca="1" si="743">$P535*W545</f>
        <v>0</v>
      </c>
      <c r="R543" s="63">
        <f t="shared" ref="R543" ca="1" si="744">$P535*X545</f>
        <v>0</v>
      </c>
      <c r="S543" s="63">
        <f t="shared" ref="S543" ca="1" si="745">$P535*Y545</f>
        <v>0</v>
      </c>
      <c r="U543" s="583"/>
      <c r="V543" s="584"/>
      <c r="W543" s="583"/>
      <c r="X543" s="583"/>
      <c r="Y543" s="583"/>
      <c r="Z543" s="583"/>
      <c r="AA543" s="525"/>
    </row>
    <row r="544" spans="3:27" s="416" customFormat="1" hidden="1" outlineLevel="1" x14ac:dyDescent="0.2">
      <c r="E544" s="589" t="s">
        <v>1210</v>
      </c>
      <c r="F544" s="130"/>
      <c r="G544" s="130"/>
      <c r="H544" s="130"/>
      <c r="I544" s="63">
        <f ca="1">$I535*V544</f>
        <v>0</v>
      </c>
      <c r="J544" s="63">
        <f t="shared" ref="J544" ca="1" si="746">$I535*W544</f>
        <v>0</v>
      </c>
      <c r="K544" s="63">
        <f t="shared" ref="K544" ca="1" si="747">$I535*X544</f>
        <v>0</v>
      </c>
      <c r="L544" s="243"/>
      <c r="M544" s="589" t="s">
        <v>1210</v>
      </c>
      <c r="N544" s="130"/>
      <c r="O544" s="130"/>
      <c r="P544" s="130"/>
      <c r="Q544" s="63">
        <f ca="1">$Q535*V545</f>
        <v>0</v>
      </c>
      <c r="R544" s="63">
        <f t="shared" ref="R544" ca="1" si="748">$Q535*W545</f>
        <v>0</v>
      </c>
      <c r="S544" s="63">
        <f t="shared" ref="S544" ca="1" si="749">$Q535*X545</f>
        <v>0</v>
      </c>
      <c r="U544" s="580" t="s">
        <v>1156</v>
      </c>
      <c r="V544" s="585">
        <f t="shared" ref="V544:AA544" si="750">IFERROR(V538/$W547,0)</f>
        <v>0</v>
      </c>
      <c r="W544" s="585">
        <f t="shared" si="750"/>
        <v>0</v>
      </c>
      <c r="X544" s="585">
        <f t="shared" si="750"/>
        <v>0</v>
      </c>
      <c r="Y544" s="585">
        <f t="shared" si="750"/>
        <v>0</v>
      </c>
      <c r="Z544" s="585">
        <f t="shared" si="750"/>
        <v>0</v>
      </c>
      <c r="AA544" s="585">
        <f t="shared" si="750"/>
        <v>0</v>
      </c>
    </row>
    <row r="545" spans="2:27" s="416" customFormat="1" hidden="1" outlineLevel="1" x14ac:dyDescent="0.2">
      <c r="E545" s="589" t="s">
        <v>1211</v>
      </c>
      <c r="F545" s="130"/>
      <c r="G545" s="130"/>
      <c r="H545" s="130"/>
      <c r="I545" s="130"/>
      <c r="J545" s="63">
        <f ca="1">$J535*V544</f>
        <v>0</v>
      </c>
      <c r="K545" s="63">
        <f ca="1">$J535*W544</f>
        <v>0</v>
      </c>
      <c r="L545" s="243"/>
      <c r="M545" s="589" t="s">
        <v>1211</v>
      </c>
      <c r="N545" s="130"/>
      <c r="O545" s="130"/>
      <c r="P545" s="130"/>
      <c r="Q545" s="130"/>
      <c r="R545" s="63">
        <f ca="1">$R535*V545</f>
        <v>0</v>
      </c>
      <c r="S545" s="63">
        <f ca="1">$R535*W545</f>
        <v>0</v>
      </c>
      <c r="U545" s="582" t="s">
        <v>1158</v>
      </c>
      <c r="V545" s="585">
        <f t="shared" ref="V545:AA545" si="751">IFERROR(V541/$W547,0)</f>
        <v>0</v>
      </c>
      <c r="W545" s="585">
        <f t="shared" si="751"/>
        <v>0</v>
      </c>
      <c r="X545" s="585">
        <f t="shared" si="751"/>
        <v>0</v>
      </c>
      <c r="Y545" s="585">
        <f t="shared" si="751"/>
        <v>0</v>
      </c>
      <c r="Z545" s="585">
        <f t="shared" si="751"/>
        <v>0</v>
      </c>
      <c r="AA545" s="585">
        <f t="shared" si="751"/>
        <v>0</v>
      </c>
    </row>
    <row r="546" spans="2:27" s="416" customFormat="1" hidden="1" outlineLevel="1" x14ac:dyDescent="0.2">
      <c r="E546" s="589" t="s">
        <v>1212</v>
      </c>
      <c r="F546" s="130"/>
      <c r="G546" s="130"/>
      <c r="H546" s="130"/>
      <c r="I546" s="130"/>
      <c r="J546" s="130"/>
      <c r="K546" s="63">
        <f ca="1">$K535*V544</f>
        <v>0</v>
      </c>
      <c r="L546" s="243"/>
      <c r="M546" s="589" t="s">
        <v>1212</v>
      </c>
      <c r="N546" s="130"/>
      <c r="O546" s="130"/>
      <c r="P546" s="130"/>
      <c r="Q546" s="130"/>
      <c r="R546" s="130"/>
      <c r="S546" s="63">
        <f ca="1">$S535*V545</f>
        <v>0</v>
      </c>
    </row>
    <row r="547" spans="2:27" s="416" customFormat="1" hidden="1" outlineLevel="1" x14ac:dyDescent="0.2">
      <c r="E547" s="590" t="str">
        <f>TxPhase1PxUnitsTx</f>
        <v/>
      </c>
      <c r="F547" s="591">
        <f ca="1">IF(F538&lt;&gt;"",SUM(F541:F546),F535)</f>
        <v>0</v>
      </c>
      <c r="G547" s="591">
        <f ca="1">IF(F538&lt;&gt;"",SUM(G541:G546),G535)</f>
        <v>0</v>
      </c>
      <c r="H547" s="591">
        <f ca="1">IF(F538&lt;&gt;"",SUM(H541:H546),H535)</f>
        <v>0</v>
      </c>
      <c r="I547" s="591">
        <f ca="1">IF(F538&lt;&gt;"",SUM(I541:I546),I535)</f>
        <v>0</v>
      </c>
      <c r="J547" s="591">
        <f ca="1">IF(F538&lt;&gt;"",SUM(J541:J546),J535)</f>
        <v>0</v>
      </c>
      <c r="K547" s="591">
        <f ca="1">IF(F538&lt;&gt;"",SUM(K541:K546),K535)</f>
        <v>0</v>
      </c>
      <c r="L547" s="243"/>
      <c r="M547" s="590" t="str">
        <f>TxPhase2PxUnitsTx</f>
        <v/>
      </c>
      <c r="N547" s="591">
        <f ca="1">IF(N538&lt;&gt;"",SUM(N541:N546),N535)</f>
        <v>0</v>
      </c>
      <c r="O547" s="591">
        <f ca="1">IF(N538&lt;&gt;"",SUM(O541:O546),O535)</f>
        <v>0</v>
      </c>
      <c r="P547" s="591">
        <f ca="1">IF(N538&lt;&gt;"",SUM(P541:P546),P535)</f>
        <v>0</v>
      </c>
      <c r="Q547" s="591">
        <f ca="1">IF(N538&lt;&gt;"",SUM(Q541:Q546),Q535)</f>
        <v>0</v>
      </c>
      <c r="R547" s="591">
        <f ca="1">IF(N538&lt;&gt;"",SUM(R541:R546),R535)</f>
        <v>0</v>
      </c>
      <c r="S547" s="591">
        <f ca="1">IF(N538&lt;&gt;"",SUM(S541:S546),S535)</f>
        <v>0</v>
      </c>
      <c r="U547" s="582" t="s">
        <v>1161</v>
      </c>
      <c r="V547" s="579">
        <f>IFERROR(VLOOKUP(G538,TimeUnitCode,2,FALSE),0)</f>
        <v>0</v>
      </c>
      <c r="W547" s="579">
        <f>IFERROR(INDEX(TimeUnitCount,V547,2),0)</f>
        <v>0</v>
      </c>
    </row>
    <row r="548" spans="2:27" s="416" customFormat="1" hidden="1" outlineLevel="1" x14ac:dyDescent="0.2"/>
    <row r="549" spans="2:27" s="416" customFormat="1" collapsed="1" x14ac:dyDescent="0.2"/>
    <row r="550" spans="2:27" s="416" customFormat="1" ht="15.75" x14ac:dyDescent="0.2">
      <c r="B550" s="475">
        <f>IF(F560+N560&gt;12,1,0)</f>
        <v>0</v>
      </c>
      <c r="C550" s="291">
        <f ca="1">IFERROR(INDEX(PxTxPhase1,$D555,7),0)</f>
        <v>0</v>
      </c>
      <c r="D550" s="573">
        <v>25</v>
      </c>
      <c r="E550" s="79" t="str">
        <f>IF(F554&lt;&gt;"",CONCATENATE("DTG ",D550,": ",H554,": ",N550),MsgNotUsed)</f>
        <v>** NOT USED **</v>
      </c>
      <c r="F550" s="132"/>
      <c r="G550" s="132"/>
      <c r="H550" s="132"/>
      <c r="I550" s="132"/>
      <c r="J550" s="134"/>
      <c r="K550" s="134"/>
      <c r="L550" s="134"/>
      <c r="M550" s="325"/>
      <c r="N550" s="637" t="str">
        <f>IF(AND(F560="",N560=""),"Full year",IF(AND(F560&lt;&gt;"",N560=""),CONCATENATE(F560," ",G560),IF(AND(F560="",N560&lt;&gt;""),CONCATENATE(N560," ",G560),CONCATENATE(F560," + ",N560," ",G560))))</f>
        <v>Full year</v>
      </c>
      <c r="O550" s="325"/>
      <c r="P550" s="325"/>
      <c r="Q550" s="325"/>
      <c r="R550" s="325"/>
      <c r="S550" s="325"/>
      <c r="T550" s="325"/>
      <c r="U550" s="325"/>
      <c r="V550" s="325"/>
      <c r="W550" s="325"/>
      <c r="X550" s="325"/>
      <c r="Y550" s="325"/>
      <c r="Z550" s="325"/>
      <c r="AA550" s="325"/>
    </row>
    <row r="551" spans="2:27" s="416" customFormat="1" hidden="1" outlineLevel="1" x14ac:dyDescent="0.2">
      <c r="C551" s="615"/>
      <c r="D551" s="615"/>
      <c r="E551" s="615"/>
      <c r="F551" s="624">
        <v>1</v>
      </c>
      <c r="G551" s="397">
        <v>2</v>
      </c>
      <c r="H551" s="397">
        <v>3</v>
      </c>
      <c r="I551" s="397">
        <v>4</v>
      </c>
      <c r="J551" s="397">
        <v>5</v>
      </c>
      <c r="K551" s="397">
        <v>6</v>
      </c>
      <c r="N551" s="397">
        <v>1</v>
      </c>
      <c r="O551" s="397">
        <v>2</v>
      </c>
      <c r="P551" s="397">
        <v>3</v>
      </c>
      <c r="Q551" s="397">
        <v>4</v>
      </c>
      <c r="R551" s="397">
        <v>5</v>
      </c>
      <c r="S551" s="397">
        <v>6</v>
      </c>
    </row>
    <row r="552" spans="2:27" s="416" customFormat="1" hidden="1" outlineLevel="1" x14ac:dyDescent="0.2">
      <c r="C552" s="243"/>
      <c r="D552" s="243"/>
      <c r="E552" s="162" t="s">
        <v>1206</v>
      </c>
      <c r="F552" s="615"/>
    </row>
    <row r="553" spans="2:27" s="416" customFormat="1" hidden="1" outlineLevel="1" x14ac:dyDescent="0.2">
      <c r="C553" s="243"/>
      <c r="D553" s="243"/>
      <c r="E553" s="616"/>
      <c r="F553" s="615"/>
      <c r="N553" s="615"/>
      <c r="O553" s="615"/>
      <c r="P553" s="615"/>
      <c r="Q553" s="615"/>
      <c r="R553" s="615"/>
      <c r="S553" s="615"/>
    </row>
    <row r="554" spans="2:27" s="416" customFormat="1" hidden="1" outlineLevel="1" x14ac:dyDescent="0.2">
      <c r="C554" s="291">
        <f>IF(F554&lt;&gt;"",MATCH(F554,PxTxSource,0)-1,0)</f>
        <v>0</v>
      </c>
      <c r="D554" s="291">
        <f ca="1">IF(H554&lt;&gt;"",MATCH(H554,OFFSET(References!$AE$23,0,C554,PxPopMaxCount),0),0)</f>
        <v>0</v>
      </c>
      <c r="E554" s="423" t="s">
        <v>113</v>
      </c>
      <c r="F554" s="613"/>
      <c r="H554" s="812"/>
      <c r="I554" s="813"/>
      <c r="J554" s="813"/>
      <c r="K554" s="813"/>
      <c r="L554" s="615"/>
      <c r="N554" s="806" t="str">
        <f ca="1">IF(ISERROR($D555)=TRUE,MsgError &amp; VLOOKUP("BadPop",ErrorMessages,2,FALSE),"")</f>
        <v/>
      </c>
      <c r="O554" s="806"/>
      <c r="P554" s="806"/>
      <c r="Q554" s="806"/>
      <c r="R554" s="806"/>
      <c r="S554" s="806"/>
    </row>
    <row r="555" spans="2:27" s="416" customFormat="1" hidden="1" outlineLevel="1" x14ac:dyDescent="0.2">
      <c r="C555" s="291">
        <f>INDEX(PxTxValid,,C554+1)</f>
        <v>0</v>
      </c>
      <c r="D555" s="291" t="str">
        <f ca="1">IF(AND(C554&lt;&gt;0,D554&lt;&gt;0),(C554*PxPopMaxCount)+D554,"")</f>
        <v/>
      </c>
      <c r="E555" s="243"/>
      <c r="L555" s="615"/>
      <c r="M555" s="615"/>
      <c r="N555" s="615"/>
      <c r="O555" s="615"/>
      <c r="P555" s="615"/>
      <c r="Q555" s="615"/>
      <c r="R555" s="615"/>
      <c r="S555" s="615"/>
    </row>
    <row r="556" spans="2:27" s="416" customFormat="1" hidden="1" outlineLevel="1" x14ac:dyDescent="0.2">
      <c r="C556" s="615"/>
      <c r="E556" s="495"/>
      <c r="F556" s="614">
        <f>FirstYear</f>
        <v>2021</v>
      </c>
      <c r="G556" s="614">
        <f>F556+1</f>
        <v>2022</v>
      </c>
      <c r="H556" s="614">
        <f>G556+1</f>
        <v>2023</v>
      </c>
      <c r="I556" s="614">
        <f>H556+1</f>
        <v>2024</v>
      </c>
      <c r="J556" s="614">
        <f>I556+1</f>
        <v>2025</v>
      </c>
      <c r="K556" s="614">
        <f>J556+1</f>
        <v>2026</v>
      </c>
      <c r="L556" s="243"/>
      <c r="N556" s="614">
        <f>FirstYear</f>
        <v>2021</v>
      </c>
      <c r="O556" s="614">
        <f>N556+1</f>
        <v>2022</v>
      </c>
      <c r="P556" s="614">
        <f>O556+1</f>
        <v>2023</v>
      </c>
      <c r="Q556" s="614">
        <f>P556+1</f>
        <v>2024</v>
      </c>
      <c r="R556" s="614">
        <f>Q556+1</f>
        <v>2025</v>
      </c>
      <c r="S556" s="614">
        <f>R556+1</f>
        <v>2026</v>
      </c>
    </row>
    <row r="557" spans="2:27" s="416" customFormat="1" hidden="1" outlineLevel="1" x14ac:dyDescent="0.2">
      <c r="E557" s="59" t="str">
        <f>TxPhase1Px</f>
        <v/>
      </c>
      <c r="F557" s="32">
        <f t="shared" ref="F557:K557" ca="1" si="752">IFERROR(INDEX(PxTxPhase1,$D555,F551),0)</f>
        <v>0</v>
      </c>
      <c r="G557" s="32">
        <f t="shared" ca="1" si="752"/>
        <v>0</v>
      </c>
      <c r="H557" s="32">
        <f t="shared" ca="1" si="752"/>
        <v>0</v>
      </c>
      <c r="I557" s="32">
        <f t="shared" ca="1" si="752"/>
        <v>0</v>
      </c>
      <c r="J557" s="32">
        <f t="shared" ca="1" si="752"/>
        <v>0</v>
      </c>
      <c r="K557" s="32">
        <f t="shared" ca="1" si="752"/>
        <v>0</v>
      </c>
      <c r="L557" s="243"/>
      <c r="M557" s="59" t="str">
        <f>TxPhase2Px</f>
        <v/>
      </c>
      <c r="N557" s="32">
        <f t="shared" ref="N557:S557" ca="1" si="753">IFERROR(INDEX(PxTxPhase2,$D555,N551),0)</f>
        <v>0</v>
      </c>
      <c r="O557" s="32">
        <f t="shared" ca="1" si="753"/>
        <v>0</v>
      </c>
      <c r="P557" s="32">
        <f t="shared" ca="1" si="753"/>
        <v>0</v>
      </c>
      <c r="Q557" s="32">
        <f t="shared" ca="1" si="753"/>
        <v>0</v>
      </c>
      <c r="R557" s="32">
        <f t="shared" ca="1" si="753"/>
        <v>0</v>
      </c>
      <c r="S557" s="32">
        <f t="shared" ca="1" si="753"/>
        <v>0</v>
      </c>
    </row>
    <row r="558" spans="2:27" s="416" customFormat="1" hidden="1" outlineLevel="1" x14ac:dyDescent="0.2">
      <c r="D558" s="615"/>
      <c r="E558" s="615"/>
      <c r="F558" s="615"/>
      <c r="G558" s="615"/>
      <c r="H558" s="615"/>
      <c r="I558" s="615"/>
      <c r="J558" s="615"/>
      <c r="K558" s="615"/>
      <c r="L558" s="243"/>
      <c r="M558" s="615"/>
      <c r="N558" s="615"/>
    </row>
    <row r="559" spans="2:27" s="416" customFormat="1" hidden="1" outlineLevel="1" x14ac:dyDescent="0.2">
      <c r="D559" s="615"/>
      <c r="E559" s="243"/>
      <c r="F559" s="243"/>
      <c r="G559" s="243"/>
      <c r="H559" s="243"/>
      <c r="I559" s="243"/>
      <c r="J559" s="243"/>
      <c r="K559" s="243"/>
      <c r="L559" s="243"/>
      <c r="M559" s="243"/>
      <c r="N559" s="615"/>
      <c r="U559" s="578"/>
      <c r="V559" s="579">
        <f>$W569*1</f>
        <v>0</v>
      </c>
      <c r="W559" s="579">
        <f>$W569*2</f>
        <v>0</v>
      </c>
      <c r="X559" s="579">
        <f>$W569*3</f>
        <v>0</v>
      </c>
      <c r="Y559" s="579">
        <f>$W569*4</f>
        <v>0</v>
      </c>
      <c r="Z559" s="579">
        <f>$W569*5</f>
        <v>0</v>
      </c>
      <c r="AA559" s="579">
        <f>$W569*6</f>
        <v>0</v>
      </c>
    </row>
    <row r="560" spans="2:27" s="416" customFormat="1" hidden="1" outlineLevel="1" x14ac:dyDescent="0.2">
      <c r="E560" s="433" t="s">
        <v>1160</v>
      </c>
      <c r="F560" s="586"/>
      <c r="G560" s="268"/>
      <c r="H560" s="621"/>
      <c r="I560" s="621"/>
      <c r="J560" s="621"/>
      <c r="K560" s="621"/>
      <c r="L560" s="243"/>
      <c r="M560" s="433" t="s">
        <v>1160</v>
      </c>
      <c r="N560" s="586"/>
      <c r="O560" s="587" t="str">
        <f>IF(G560&lt;&gt;"",G560,"")</f>
        <v/>
      </c>
      <c r="P560" s="525"/>
      <c r="Q560" s="525"/>
      <c r="R560" s="525"/>
      <c r="S560" s="525"/>
      <c r="U560" s="580" t="s">
        <v>1156</v>
      </c>
      <c r="V560" s="581">
        <f>IF($F560&gt;=V559,$W569,IF($F560&gt;0,$F560,0))</f>
        <v>0</v>
      </c>
      <c r="W560" s="581">
        <f>IF($F560&gt;=W559,$W$41,IF($F560&gt;V559,($F560-V559),0))</f>
        <v>0</v>
      </c>
      <c r="X560" s="581">
        <f>IF($F560&gt;=X559,$W$41,IF($F560&gt;W559,($F560-W559),0))</f>
        <v>0</v>
      </c>
      <c r="Y560" s="581">
        <f>IF($F560&gt;=Y559,$W$41,IF($F560&gt;X559,($F560-X559),0))</f>
        <v>0</v>
      </c>
      <c r="Z560" s="581">
        <f>IF($F560&gt;=Z559,$W$41,IF($F560&gt;Y559,($F560-Y559),0))</f>
        <v>0</v>
      </c>
      <c r="AA560" s="581">
        <f>IF($F560&gt;=AA559,$W$41,IF($F560&gt;Z559,($F560-Z559),0))</f>
        <v>0</v>
      </c>
    </row>
    <row r="561" spans="4:27" s="416" customFormat="1" hidden="1" outlineLevel="1" x14ac:dyDescent="0.2">
      <c r="D561" s="615"/>
      <c r="E561" s="622"/>
      <c r="F561" s="622"/>
      <c r="G561" s="583"/>
      <c r="H561" s="622"/>
      <c r="I561" s="622"/>
      <c r="J561" s="622"/>
      <c r="K561" s="622"/>
      <c r="L561" s="243"/>
      <c r="M561" s="617"/>
      <c r="N561" s="618"/>
      <c r="O561" s="618"/>
      <c r="P561" s="618"/>
      <c r="Q561" s="618"/>
      <c r="R561" s="618"/>
      <c r="S561" s="618"/>
      <c r="U561" s="582" t="s">
        <v>1157</v>
      </c>
      <c r="V561" s="579">
        <f t="shared" ref="V561:AA561" si="754">IF(V560&gt;0,$W569-V560,$W569)</f>
        <v>0</v>
      </c>
      <c r="W561" s="579">
        <f t="shared" si="754"/>
        <v>0</v>
      </c>
      <c r="X561" s="579">
        <f t="shared" si="754"/>
        <v>0</v>
      </c>
      <c r="Y561" s="579">
        <f t="shared" si="754"/>
        <v>0</v>
      </c>
      <c r="Z561" s="579">
        <f t="shared" si="754"/>
        <v>0</v>
      </c>
      <c r="AA561" s="579">
        <f t="shared" si="754"/>
        <v>0</v>
      </c>
    </row>
    <row r="562" spans="4:27" s="416" customFormat="1" hidden="1" outlineLevel="1" x14ac:dyDescent="0.2">
      <c r="D562" s="615"/>
      <c r="E562" s="617" t="str">
        <f>E557</f>
        <v/>
      </c>
      <c r="F562" s="623"/>
      <c r="G562" s="588"/>
      <c r="H562" s="623"/>
      <c r="I562" s="623"/>
      <c r="J562" s="623"/>
      <c r="K562" s="623"/>
      <c r="L562" s="243"/>
      <c r="M562" s="617" t="str">
        <f>M557</f>
        <v/>
      </c>
      <c r="N562" s="619"/>
      <c r="O562" s="620"/>
      <c r="P562" s="620"/>
      <c r="Q562" s="620"/>
      <c r="R562" s="620"/>
      <c r="S562" s="620"/>
      <c r="U562" s="525"/>
      <c r="V562" s="525"/>
      <c r="W562" s="525"/>
      <c r="X562" s="525"/>
      <c r="Y562" s="525"/>
      <c r="Z562" s="525"/>
      <c r="AA562" s="525"/>
    </row>
    <row r="563" spans="4:27" s="416" customFormat="1" hidden="1" outlineLevel="1" x14ac:dyDescent="0.2">
      <c r="E563" s="589" t="s">
        <v>1207</v>
      </c>
      <c r="F563" s="63">
        <f ca="1">$F557*V566</f>
        <v>0</v>
      </c>
      <c r="G563" s="63">
        <f t="shared" ref="G563" ca="1" si="755">$F557*W566</f>
        <v>0</v>
      </c>
      <c r="H563" s="63">
        <f t="shared" ref="H563" ca="1" si="756">$F557*X566</f>
        <v>0</v>
      </c>
      <c r="I563" s="63">
        <f t="shared" ref="I563" ca="1" si="757">$F557*Y566</f>
        <v>0</v>
      </c>
      <c r="J563" s="63">
        <f t="shared" ref="J563" ca="1" si="758">$F557*Z566</f>
        <v>0</v>
      </c>
      <c r="K563" s="63">
        <f t="shared" ref="K563" ca="1" si="759">$F557*AA566</f>
        <v>0</v>
      </c>
      <c r="L563" s="243"/>
      <c r="M563" s="589" t="s">
        <v>1207</v>
      </c>
      <c r="N563" s="63">
        <f ca="1">$N557*V567</f>
        <v>0</v>
      </c>
      <c r="O563" s="63">
        <f ca="1">$N557*W567</f>
        <v>0</v>
      </c>
      <c r="P563" s="63">
        <f t="shared" ref="P563" ca="1" si="760">$N557*X567</f>
        <v>0</v>
      </c>
      <c r="Q563" s="63">
        <f t="shared" ref="Q563" ca="1" si="761">$N557*Y567</f>
        <v>0</v>
      </c>
      <c r="R563" s="63">
        <f t="shared" ref="R563" ca="1" si="762">$N557*Z567</f>
        <v>0</v>
      </c>
      <c r="S563" s="63">
        <f t="shared" ref="S563" ca="1" si="763">$N557*AA567</f>
        <v>0</v>
      </c>
      <c r="U563" s="582" t="s">
        <v>1158</v>
      </c>
      <c r="V563" s="581">
        <f>IF($N560&gt;=V561,V561,N560)</f>
        <v>0</v>
      </c>
      <c r="W563" s="581">
        <f>IF(V564&gt;=W561,W561,V564)</f>
        <v>0</v>
      </c>
      <c r="X563" s="581">
        <f>IF(W564&gt;=X561,X561,W564)</f>
        <v>0</v>
      </c>
      <c r="Y563" s="581">
        <f>IF(X564&gt;=Y561,Y561,X564)</f>
        <v>0</v>
      </c>
      <c r="Z563" s="581">
        <f>IF(Y564&gt;=Z561,Z561,Y564)</f>
        <v>0</v>
      </c>
      <c r="AA563" s="581">
        <f>IF(Z564&gt;=AA561,AA561,Z564)</f>
        <v>0</v>
      </c>
    </row>
    <row r="564" spans="4:27" s="416" customFormat="1" hidden="1" outlineLevel="1" x14ac:dyDescent="0.2">
      <c r="E564" s="589" t="s">
        <v>1208</v>
      </c>
      <c r="F564" s="130"/>
      <c r="G564" s="63">
        <f ca="1">$G557*V566</f>
        <v>0</v>
      </c>
      <c r="H564" s="63">
        <f t="shared" ref="H564" ca="1" si="764">$G557*W566</f>
        <v>0</v>
      </c>
      <c r="I564" s="63">
        <f t="shared" ref="I564" ca="1" si="765">$G557*X566</f>
        <v>0</v>
      </c>
      <c r="J564" s="63">
        <f t="shared" ref="J564" ca="1" si="766">$G557*Y566</f>
        <v>0</v>
      </c>
      <c r="K564" s="63">
        <f t="shared" ref="K564" ca="1" si="767">$G557*Z566</f>
        <v>0</v>
      </c>
      <c r="L564" s="243"/>
      <c r="M564" s="589" t="s">
        <v>1208</v>
      </c>
      <c r="N564" s="130"/>
      <c r="O564" s="63">
        <f ca="1">$O557*V567</f>
        <v>0</v>
      </c>
      <c r="P564" s="63">
        <f t="shared" ref="P564" ca="1" si="768">$O557*W567</f>
        <v>0</v>
      </c>
      <c r="Q564" s="63">
        <f t="shared" ref="Q564" ca="1" si="769">$O557*X567</f>
        <v>0</v>
      </c>
      <c r="R564" s="63">
        <f t="shared" ref="R564" ca="1" si="770">$O557*Y567</f>
        <v>0</v>
      </c>
      <c r="S564" s="63">
        <f t="shared" ref="S564" ca="1" si="771">$O557*Z567</f>
        <v>0</v>
      </c>
      <c r="U564" s="582" t="s">
        <v>1159</v>
      </c>
      <c r="V564" s="579">
        <f>$N560-V563</f>
        <v>0</v>
      </c>
      <c r="W564" s="579">
        <f>$N560-SUM($V563:W563)</f>
        <v>0</v>
      </c>
      <c r="X564" s="579">
        <f>$N560-SUM($V563:X563)</f>
        <v>0</v>
      </c>
      <c r="Y564" s="579">
        <f>$N560-SUM($V563:Y563)</f>
        <v>0</v>
      </c>
      <c r="Z564" s="579">
        <f>$N560-SUM($V563:Z563)</f>
        <v>0</v>
      </c>
      <c r="AA564" s="579">
        <f>$N560-SUM($V563:AA563)</f>
        <v>0</v>
      </c>
    </row>
    <row r="565" spans="4:27" s="416" customFormat="1" hidden="1" outlineLevel="1" x14ac:dyDescent="0.2">
      <c r="E565" s="589" t="s">
        <v>1209</v>
      </c>
      <c r="F565" s="130"/>
      <c r="G565" s="130"/>
      <c r="H565" s="63">
        <f ca="1">$H557*V566</f>
        <v>0</v>
      </c>
      <c r="I565" s="63">
        <f t="shared" ref="I565" ca="1" si="772">$H557*W566</f>
        <v>0</v>
      </c>
      <c r="J565" s="63">
        <f t="shared" ref="J565" ca="1" si="773">$H557*X566</f>
        <v>0</v>
      </c>
      <c r="K565" s="63">
        <f t="shared" ref="K565" ca="1" si="774">$H557*Y566</f>
        <v>0</v>
      </c>
      <c r="L565" s="243"/>
      <c r="M565" s="589" t="s">
        <v>1209</v>
      </c>
      <c r="N565" s="130"/>
      <c r="O565" s="130"/>
      <c r="P565" s="63">
        <f ca="1">$P557*V567</f>
        <v>0</v>
      </c>
      <c r="Q565" s="63">
        <f t="shared" ref="Q565" ca="1" si="775">$P557*W567</f>
        <v>0</v>
      </c>
      <c r="R565" s="63">
        <f t="shared" ref="R565" ca="1" si="776">$P557*X567</f>
        <v>0</v>
      </c>
      <c r="S565" s="63">
        <f t="shared" ref="S565" ca="1" si="777">$P557*Y567</f>
        <v>0</v>
      </c>
      <c r="U565" s="583"/>
      <c r="V565" s="584"/>
      <c r="W565" s="583"/>
      <c r="X565" s="583"/>
      <c r="Y565" s="583"/>
      <c r="Z565" s="583"/>
      <c r="AA565" s="525"/>
    </row>
    <row r="566" spans="4:27" s="416" customFormat="1" hidden="1" outlineLevel="1" x14ac:dyDescent="0.2">
      <c r="E566" s="589" t="s">
        <v>1210</v>
      </c>
      <c r="F566" s="130"/>
      <c r="G566" s="130"/>
      <c r="H566" s="130"/>
      <c r="I566" s="63">
        <f ca="1">$I557*V566</f>
        <v>0</v>
      </c>
      <c r="J566" s="63">
        <f t="shared" ref="J566" ca="1" si="778">$I557*W566</f>
        <v>0</v>
      </c>
      <c r="K566" s="63">
        <f t="shared" ref="K566" ca="1" si="779">$I557*X566</f>
        <v>0</v>
      </c>
      <c r="L566" s="243"/>
      <c r="M566" s="589" t="s">
        <v>1210</v>
      </c>
      <c r="N566" s="130"/>
      <c r="O566" s="130"/>
      <c r="P566" s="130"/>
      <c r="Q566" s="63">
        <f ca="1">$Q557*V567</f>
        <v>0</v>
      </c>
      <c r="R566" s="63">
        <f t="shared" ref="R566" ca="1" si="780">$Q557*W567</f>
        <v>0</v>
      </c>
      <c r="S566" s="63">
        <f t="shared" ref="S566" ca="1" si="781">$Q557*X567</f>
        <v>0</v>
      </c>
      <c r="U566" s="580" t="s">
        <v>1156</v>
      </c>
      <c r="V566" s="585">
        <f t="shared" ref="V566:AA566" si="782">IFERROR(V560/$W569,0)</f>
        <v>0</v>
      </c>
      <c r="W566" s="585">
        <f t="shared" si="782"/>
        <v>0</v>
      </c>
      <c r="X566" s="585">
        <f t="shared" si="782"/>
        <v>0</v>
      </c>
      <c r="Y566" s="585">
        <f t="shared" si="782"/>
        <v>0</v>
      </c>
      <c r="Z566" s="585">
        <f t="shared" si="782"/>
        <v>0</v>
      </c>
      <c r="AA566" s="585">
        <f t="shared" si="782"/>
        <v>0</v>
      </c>
    </row>
    <row r="567" spans="4:27" s="416" customFormat="1" hidden="1" outlineLevel="1" x14ac:dyDescent="0.2">
      <c r="E567" s="589" t="s">
        <v>1211</v>
      </c>
      <c r="F567" s="130"/>
      <c r="G567" s="130"/>
      <c r="H567" s="130"/>
      <c r="I567" s="130"/>
      <c r="J567" s="63">
        <f ca="1">$J557*V566</f>
        <v>0</v>
      </c>
      <c r="K567" s="63">
        <f ca="1">$J557*W566</f>
        <v>0</v>
      </c>
      <c r="L567" s="243"/>
      <c r="M567" s="589" t="s">
        <v>1211</v>
      </c>
      <c r="N567" s="130"/>
      <c r="O567" s="130"/>
      <c r="P567" s="130"/>
      <c r="Q567" s="130"/>
      <c r="R567" s="63">
        <f ca="1">$R557*V567</f>
        <v>0</v>
      </c>
      <c r="S567" s="63">
        <f ca="1">$R557*W567</f>
        <v>0</v>
      </c>
      <c r="U567" s="582" t="s">
        <v>1158</v>
      </c>
      <c r="V567" s="585">
        <f t="shared" ref="V567:AA567" si="783">IFERROR(V563/$W569,0)</f>
        <v>0</v>
      </c>
      <c r="W567" s="585">
        <f t="shared" si="783"/>
        <v>0</v>
      </c>
      <c r="X567" s="585">
        <f t="shared" si="783"/>
        <v>0</v>
      </c>
      <c r="Y567" s="585">
        <f t="shared" si="783"/>
        <v>0</v>
      </c>
      <c r="Z567" s="585">
        <f t="shared" si="783"/>
        <v>0</v>
      </c>
      <c r="AA567" s="585">
        <f t="shared" si="783"/>
        <v>0</v>
      </c>
    </row>
    <row r="568" spans="4:27" s="416" customFormat="1" hidden="1" outlineLevel="1" x14ac:dyDescent="0.2">
      <c r="E568" s="589" t="s">
        <v>1212</v>
      </c>
      <c r="F568" s="130"/>
      <c r="G568" s="130"/>
      <c r="H568" s="130"/>
      <c r="I568" s="130"/>
      <c r="J568" s="130"/>
      <c r="K568" s="63">
        <f ca="1">$K557*V566</f>
        <v>0</v>
      </c>
      <c r="L568" s="243"/>
      <c r="M568" s="589" t="s">
        <v>1212</v>
      </c>
      <c r="N568" s="130"/>
      <c r="O568" s="130"/>
      <c r="P568" s="130"/>
      <c r="Q568" s="130"/>
      <c r="R568" s="130"/>
      <c r="S568" s="63">
        <f ca="1">$S557*V567</f>
        <v>0</v>
      </c>
    </row>
    <row r="569" spans="4:27" s="416" customFormat="1" hidden="1" outlineLevel="1" x14ac:dyDescent="0.2">
      <c r="E569" s="590" t="str">
        <f>TxPhase1PxUnitsTx</f>
        <v/>
      </c>
      <c r="F569" s="591">
        <f ca="1">IF(F560&lt;&gt;"",SUM(F563:F568),F557)</f>
        <v>0</v>
      </c>
      <c r="G569" s="591">
        <f ca="1">IF(F560&lt;&gt;"",SUM(G563:G568),G557)</f>
        <v>0</v>
      </c>
      <c r="H569" s="591">
        <f ca="1">IF(F560&lt;&gt;"",SUM(H563:H568),H557)</f>
        <v>0</v>
      </c>
      <c r="I569" s="591">
        <f ca="1">IF(F560&lt;&gt;"",SUM(I563:I568),I557)</f>
        <v>0</v>
      </c>
      <c r="J569" s="591">
        <f ca="1">IF(F560&lt;&gt;"",SUM(J563:J568),J557)</f>
        <v>0</v>
      </c>
      <c r="K569" s="591">
        <f ca="1">IF(F560&lt;&gt;"",SUM(K563:K568),K557)</f>
        <v>0</v>
      </c>
      <c r="L569" s="243"/>
      <c r="M569" s="590" t="str">
        <f>TxPhase2PxUnitsTx</f>
        <v/>
      </c>
      <c r="N569" s="591">
        <f ca="1">IF(N560&lt;&gt;"",SUM(N563:N568),N557)</f>
        <v>0</v>
      </c>
      <c r="O569" s="591">
        <f ca="1">IF(N560&lt;&gt;"",SUM(O563:O568),O557)</f>
        <v>0</v>
      </c>
      <c r="P569" s="591">
        <f ca="1">IF(N560&lt;&gt;"",SUM(P563:P568),P557)</f>
        <v>0</v>
      </c>
      <c r="Q569" s="591">
        <f ca="1">IF(N560&lt;&gt;"",SUM(Q563:Q568),Q557)</f>
        <v>0</v>
      </c>
      <c r="R569" s="591">
        <f ca="1">IF(N560&lt;&gt;"",SUM(R563:R568),R557)</f>
        <v>0</v>
      </c>
      <c r="S569" s="591">
        <f ca="1">IF(N560&lt;&gt;"",SUM(S563:S568),S557)</f>
        <v>0</v>
      </c>
      <c r="U569" s="582" t="s">
        <v>1161</v>
      </c>
      <c r="V569" s="579">
        <f>IFERROR(VLOOKUP(G560,TimeUnitCode,2,FALSE),0)</f>
        <v>0</v>
      </c>
      <c r="W569" s="579">
        <f>IFERROR(INDEX(TimeUnitCount,V569,2),0)</f>
        <v>0</v>
      </c>
    </row>
    <row r="570" spans="4:27" s="416" customFormat="1" hidden="1" outlineLevel="1" x14ac:dyDescent="0.2"/>
    <row r="571" spans="4:27" s="416" customFormat="1" collapsed="1" x14ac:dyDescent="0.2"/>
  </sheetData>
  <mergeCells count="51">
    <mergeCell ref="H532:K532"/>
    <mergeCell ref="N532:S532"/>
    <mergeCell ref="H554:K554"/>
    <mergeCell ref="N554:S554"/>
    <mergeCell ref="H466:K466"/>
    <mergeCell ref="N466:S466"/>
    <mergeCell ref="H488:K488"/>
    <mergeCell ref="N488:S488"/>
    <mergeCell ref="H510:K510"/>
    <mergeCell ref="N510:S510"/>
    <mergeCell ref="H400:K400"/>
    <mergeCell ref="N400:S400"/>
    <mergeCell ref="H422:K422"/>
    <mergeCell ref="N422:S422"/>
    <mergeCell ref="H444:K444"/>
    <mergeCell ref="N444:S444"/>
    <mergeCell ref="H334:K334"/>
    <mergeCell ref="N334:S334"/>
    <mergeCell ref="H356:K356"/>
    <mergeCell ref="N356:S356"/>
    <mergeCell ref="H378:K378"/>
    <mergeCell ref="N378:S378"/>
    <mergeCell ref="H268:K268"/>
    <mergeCell ref="N268:S268"/>
    <mergeCell ref="H290:K290"/>
    <mergeCell ref="N290:S290"/>
    <mergeCell ref="H312:K312"/>
    <mergeCell ref="N312:S312"/>
    <mergeCell ref="H202:K202"/>
    <mergeCell ref="N202:S202"/>
    <mergeCell ref="H224:K224"/>
    <mergeCell ref="N224:S224"/>
    <mergeCell ref="H246:K246"/>
    <mergeCell ref="N246:S246"/>
    <mergeCell ref="H136:K136"/>
    <mergeCell ref="N136:S136"/>
    <mergeCell ref="H158:K158"/>
    <mergeCell ref="N158:S158"/>
    <mergeCell ref="H180:K180"/>
    <mergeCell ref="N180:S180"/>
    <mergeCell ref="H70:K70"/>
    <mergeCell ref="N70:S70"/>
    <mergeCell ref="H92:K92"/>
    <mergeCell ref="N92:S92"/>
    <mergeCell ref="H114:K114"/>
    <mergeCell ref="N114:S114"/>
    <mergeCell ref="K1:M1"/>
    <mergeCell ref="H26:K26"/>
    <mergeCell ref="N26:S26"/>
    <mergeCell ref="H48:K48"/>
    <mergeCell ref="N48:S48"/>
  </mergeCells>
  <conditionalFormatting sqref="E16">
    <cfRule type="expression" dxfId="283" priority="85">
      <formula>$E$16=""</formula>
    </cfRule>
  </conditionalFormatting>
  <conditionalFormatting sqref="F15:K16">
    <cfRule type="expression" dxfId="282" priority="84">
      <formula>PxIncident&lt;&gt;1</formula>
    </cfRule>
  </conditionalFormatting>
  <conditionalFormatting sqref="F16:K16">
    <cfRule type="expression" dxfId="281" priority="83">
      <formula>#REF!=""</formula>
    </cfRule>
  </conditionalFormatting>
  <conditionalFormatting sqref="H32:K32">
    <cfRule type="notContainsBlanks" dxfId="280" priority="79">
      <formula>LEN(TRIM(H32))&gt;0</formula>
    </cfRule>
  </conditionalFormatting>
  <conditionalFormatting sqref="P32:S32">
    <cfRule type="notContainsBlanks" dxfId="279" priority="80">
      <formula>LEN(TRIM(P32))&gt;0</formula>
    </cfRule>
  </conditionalFormatting>
  <conditionalFormatting sqref="N26:S26">
    <cfRule type="notContainsBlanks" dxfId="278" priority="76">
      <formula>LEN(TRIM(N26))&gt;0</formula>
    </cfRule>
  </conditionalFormatting>
  <conditionalFormatting sqref="H54:K54">
    <cfRule type="notContainsBlanks" dxfId="277" priority="74">
      <formula>LEN(TRIM(H54))&gt;0</formula>
    </cfRule>
  </conditionalFormatting>
  <conditionalFormatting sqref="P54:S54">
    <cfRule type="notContainsBlanks" dxfId="276" priority="75">
      <formula>LEN(TRIM(P54))&gt;0</formula>
    </cfRule>
  </conditionalFormatting>
  <conditionalFormatting sqref="N48:S48">
    <cfRule type="notContainsBlanks" dxfId="275" priority="73">
      <formula>LEN(TRIM(N48))&gt;0</formula>
    </cfRule>
  </conditionalFormatting>
  <conditionalFormatting sqref="H76:K76">
    <cfRule type="notContainsBlanks" dxfId="274" priority="71">
      <formula>LEN(TRIM(H76))&gt;0</formula>
    </cfRule>
  </conditionalFormatting>
  <conditionalFormatting sqref="P76:S76">
    <cfRule type="notContainsBlanks" dxfId="273" priority="72">
      <formula>LEN(TRIM(P76))&gt;0</formula>
    </cfRule>
  </conditionalFormatting>
  <conditionalFormatting sqref="N70:S70">
    <cfRule type="notContainsBlanks" dxfId="272" priority="70">
      <formula>LEN(TRIM(N70))&gt;0</formula>
    </cfRule>
  </conditionalFormatting>
  <conditionalFormatting sqref="H98:K98">
    <cfRule type="notContainsBlanks" dxfId="271" priority="68">
      <formula>LEN(TRIM(H98))&gt;0</formula>
    </cfRule>
  </conditionalFormatting>
  <conditionalFormatting sqref="P98:S98">
    <cfRule type="notContainsBlanks" dxfId="270" priority="69">
      <formula>LEN(TRIM(P98))&gt;0</formula>
    </cfRule>
  </conditionalFormatting>
  <conditionalFormatting sqref="N92:S92">
    <cfRule type="notContainsBlanks" dxfId="269" priority="67">
      <formula>LEN(TRIM(N92))&gt;0</formula>
    </cfRule>
  </conditionalFormatting>
  <conditionalFormatting sqref="H120:K120">
    <cfRule type="notContainsBlanks" dxfId="268" priority="65">
      <formula>LEN(TRIM(H120))&gt;0</formula>
    </cfRule>
  </conditionalFormatting>
  <conditionalFormatting sqref="P120:S120">
    <cfRule type="notContainsBlanks" dxfId="267" priority="66">
      <formula>LEN(TRIM(P120))&gt;0</formula>
    </cfRule>
  </conditionalFormatting>
  <conditionalFormatting sqref="N114:S114">
    <cfRule type="notContainsBlanks" dxfId="266" priority="64">
      <formula>LEN(TRIM(N114))&gt;0</formula>
    </cfRule>
  </conditionalFormatting>
  <conditionalFormatting sqref="H142:K142">
    <cfRule type="notContainsBlanks" dxfId="265" priority="62">
      <formula>LEN(TRIM(H142))&gt;0</formula>
    </cfRule>
  </conditionalFormatting>
  <conditionalFormatting sqref="P142:S142">
    <cfRule type="notContainsBlanks" dxfId="264" priority="63">
      <formula>LEN(TRIM(P142))&gt;0</formula>
    </cfRule>
  </conditionalFormatting>
  <conditionalFormatting sqref="N136:S136">
    <cfRule type="notContainsBlanks" dxfId="263" priority="61">
      <formula>LEN(TRIM(N136))&gt;0</formula>
    </cfRule>
  </conditionalFormatting>
  <conditionalFormatting sqref="H164:K164">
    <cfRule type="notContainsBlanks" dxfId="262" priority="59">
      <formula>LEN(TRIM(H164))&gt;0</formula>
    </cfRule>
  </conditionalFormatting>
  <conditionalFormatting sqref="P164:S164">
    <cfRule type="notContainsBlanks" dxfId="261" priority="60">
      <formula>LEN(TRIM(P164))&gt;0</formula>
    </cfRule>
  </conditionalFormatting>
  <conditionalFormatting sqref="N158:S158">
    <cfRule type="notContainsBlanks" dxfId="260" priority="58">
      <formula>LEN(TRIM(N158))&gt;0</formula>
    </cfRule>
  </conditionalFormatting>
  <conditionalFormatting sqref="H186:K186">
    <cfRule type="notContainsBlanks" dxfId="259" priority="56">
      <formula>LEN(TRIM(H186))&gt;0</formula>
    </cfRule>
  </conditionalFormatting>
  <conditionalFormatting sqref="P186:S186">
    <cfRule type="notContainsBlanks" dxfId="258" priority="57">
      <formula>LEN(TRIM(P186))&gt;0</formula>
    </cfRule>
  </conditionalFormatting>
  <conditionalFormatting sqref="N180:S180">
    <cfRule type="notContainsBlanks" dxfId="257" priority="55">
      <formula>LEN(TRIM(N180))&gt;0</formula>
    </cfRule>
  </conditionalFormatting>
  <conditionalFormatting sqref="H208:K208">
    <cfRule type="notContainsBlanks" dxfId="256" priority="53">
      <formula>LEN(TRIM(H208))&gt;0</formula>
    </cfRule>
  </conditionalFormatting>
  <conditionalFormatting sqref="P208:S208">
    <cfRule type="notContainsBlanks" dxfId="255" priority="54">
      <formula>LEN(TRIM(P208))&gt;0</formula>
    </cfRule>
  </conditionalFormatting>
  <conditionalFormatting sqref="N202:S202">
    <cfRule type="notContainsBlanks" dxfId="254" priority="52">
      <formula>LEN(TRIM(N202))&gt;0</formula>
    </cfRule>
  </conditionalFormatting>
  <conditionalFormatting sqref="H230:K230">
    <cfRule type="notContainsBlanks" dxfId="253" priority="50">
      <formula>LEN(TRIM(H230))&gt;0</formula>
    </cfRule>
  </conditionalFormatting>
  <conditionalFormatting sqref="P230:S230">
    <cfRule type="notContainsBlanks" dxfId="252" priority="51">
      <formula>LEN(TRIM(P230))&gt;0</formula>
    </cfRule>
  </conditionalFormatting>
  <conditionalFormatting sqref="N224:S224">
    <cfRule type="notContainsBlanks" dxfId="251" priority="49">
      <formula>LEN(TRIM(N224))&gt;0</formula>
    </cfRule>
  </conditionalFormatting>
  <conditionalFormatting sqref="H252:K252">
    <cfRule type="notContainsBlanks" dxfId="250" priority="47">
      <formula>LEN(TRIM(H252))&gt;0</formula>
    </cfRule>
  </conditionalFormatting>
  <conditionalFormatting sqref="P252:S252">
    <cfRule type="notContainsBlanks" dxfId="249" priority="48">
      <formula>LEN(TRIM(P252))&gt;0</formula>
    </cfRule>
  </conditionalFormatting>
  <conditionalFormatting sqref="N246:S246">
    <cfRule type="notContainsBlanks" dxfId="248" priority="46">
      <formula>LEN(TRIM(N246))&gt;0</formula>
    </cfRule>
  </conditionalFormatting>
  <conditionalFormatting sqref="H274:K274">
    <cfRule type="notContainsBlanks" dxfId="247" priority="44">
      <formula>LEN(TRIM(H274))&gt;0</formula>
    </cfRule>
  </conditionalFormatting>
  <conditionalFormatting sqref="P274:S274">
    <cfRule type="notContainsBlanks" dxfId="246" priority="45">
      <formula>LEN(TRIM(P274))&gt;0</formula>
    </cfRule>
  </conditionalFormatting>
  <conditionalFormatting sqref="N268:S268">
    <cfRule type="notContainsBlanks" dxfId="245" priority="43">
      <formula>LEN(TRIM(N268))&gt;0</formula>
    </cfRule>
  </conditionalFormatting>
  <conditionalFormatting sqref="H296:K296">
    <cfRule type="notContainsBlanks" dxfId="244" priority="41">
      <formula>LEN(TRIM(H296))&gt;0</formula>
    </cfRule>
  </conditionalFormatting>
  <conditionalFormatting sqref="P296:S296">
    <cfRule type="notContainsBlanks" dxfId="243" priority="42">
      <formula>LEN(TRIM(P296))&gt;0</formula>
    </cfRule>
  </conditionalFormatting>
  <conditionalFormatting sqref="N290:S290">
    <cfRule type="notContainsBlanks" dxfId="242" priority="40">
      <formula>LEN(TRIM(N290))&gt;0</formula>
    </cfRule>
  </conditionalFormatting>
  <conditionalFormatting sqref="H318:K318">
    <cfRule type="notContainsBlanks" dxfId="241" priority="38">
      <formula>LEN(TRIM(H318))&gt;0</formula>
    </cfRule>
  </conditionalFormatting>
  <conditionalFormatting sqref="P318:S318">
    <cfRule type="notContainsBlanks" dxfId="240" priority="39">
      <formula>LEN(TRIM(P318))&gt;0</formula>
    </cfRule>
  </conditionalFormatting>
  <conditionalFormatting sqref="N312:S312">
    <cfRule type="notContainsBlanks" dxfId="239" priority="37">
      <formula>LEN(TRIM(N312))&gt;0</formula>
    </cfRule>
  </conditionalFormatting>
  <conditionalFormatting sqref="H340:K340">
    <cfRule type="notContainsBlanks" dxfId="238" priority="35">
      <formula>LEN(TRIM(H340))&gt;0</formula>
    </cfRule>
  </conditionalFormatting>
  <conditionalFormatting sqref="P340:S340">
    <cfRule type="notContainsBlanks" dxfId="237" priority="36">
      <formula>LEN(TRIM(P340))&gt;0</formula>
    </cfRule>
  </conditionalFormatting>
  <conditionalFormatting sqref="N334:S334">
    <cfRule type="notContainsBlanks" dxfId="236" priority="34">
      <formula>LEN(TRIM(N334))&gt;0</formula>
    </cfRule>
  </conditionalFormatting>
  <conditionalFormatting sqref="H362:K362">
    <cfRule type="notContainsBlanks" dxfId="235" priority="32">
      <formula>LEN(TRIM(H362))&gt;0</formula>
    </cfRule>
  </conditionalFormatting>
  <conditionalFormatting sqref="P362:S362">
    <cfRule type="notContainsBlanks" dxfId="234" priority="33">
      <formula>LEN(TRIM(P362))&gt;0</formula>
    </cfRule>
  </conditionalFormatting>
  <conditionalFormatting sqref="N356:S356">
    <cfRule type="notContainsBlanks" dxfId="233" priority="31">
      <formula>LEN(TRIM(N356))&gt;0</formula>
    </cfRule>
  </conditionalFormatting>
  <conditionalFormatting sqref="H384:K384">
    <cfRule type="notContainsBlanks" dxfId="232" priority="29">
      <formula>LEN(TRIM(H384))&gt;0</formula>
    </cfRule>
  </conditionalFormatting>
  <conditionalFormatting sqref="P384:S384">
    <cfRule type="notContainsBlanks" dxfId="231" priority="30">
      <formula>LEN(TRIM(P384))&gt;0</formula>
    </cfRule>
  </conditionalFormatting>
  <conditionalFormatting sqref="N378:S378">
    <cfRule type="notContainsBlanks" dxfId="230" priority="28">
      <formula>LEN(TRIM(N378))&gt;0</formula>
    </cfRule>
  </conditionalFormatting>
  <conditionalFormatting sqref="H406:K406">
    <cfRule type="notContainsBlanks" dxfId="229" priority="26">
      <formula>LEN(TRIM(H406))&gt;0</formula>
    </cfRule>
  </conditionalFormatting>
  <conditionalFormatting sqref="P406:S406">
    <cfRule type="notContainsBlanks" dxfId="228" priority="27">
      <formula>LEN(TRIM(P406))&gt;0</formula>
    </cfRule>
  </conditionalFormatting>
  <conditionalFormatting sqref="N400:S400">
    <cfRule type="notContainsBlanks" dxfId="227" priority="25">
      <formula>LEN(TRIM(N400))&gt;0</formula>
    </cfRule>
  </conditionalFormatting>
  <conditionalFormatting sqref="H428:K428">
    <cfRule type="notContainsBlanks" dxfId="226" priority="23">
      <formula>LEN(TRIM(H428))&gt;0</formula>
    </cfRule>
  </conditionalFormatting>
  <conditionalFormatting sqref="P428:S428">
    <cfRule type="notContainsBlanks" dxfId="225" priority="24">
      <formula>LEN(TRIM(P428))&gt;0</formula>
    </cfRule>
  </conditionalFormatting>
  <conditionalFormatting sqref="N422:S422">
    <cfRule type="notContainsBlanks" dxfId="224" priority="22">
      <formula>LEN(TRIM(N422))&gt;0</formula>
    </cfRule>
  </conditionalFormatting>
  <conditionalFormatting sqref="H450:K450">
    <cfRule type="notContainsBlanks" dxfId="223" priority="20">
      <formula>LEN(TRIM(H450))&gt;0</formula>
    </cfRule>
  </conditionalFormatting>
  <conditionalFormatting sqref="P450:S450">
    <cfRule type="notContainsBlanks" dxfId="222" priority="21">
      <formula>LEN(TRIM(P450))&gt;0</formula>
    </cfRule>
  </conditionalFormatting>
  <conditionalFormatting sqref="N444:S444">
    <cfRule type="notContainsBlanks" dxfId="221" priority="19">
      <formula>LEN(TRIM(N444))&gt;0</formula>
    </cfRule>
  </conditionalFormatting>
  <conditionalFormatting sqref="H472:K472">
    <cfRule type="notContainsBlanks" dxfId="220" priority="17">
      <formula>LEN(TRIM(H472))&gt;0</formula>
    </cfRule>
  </conditionalFormatting>
  <conditionalFormatting sqref="P472:S472">
    <cfRule type="notContainsBlanks" dxfId="219" priority="18">
      <formula>LEN(TRIM(P472))&gt;0</formula>
    </cfRule>
  </conditionalFormatting>
  <conditionalFormatting sqref="N466:S466">
    <cfRule type="notContainsBlanks" dxfId="218" priority="16">
      <formula>LEN(TRIM(N466))&gt;0</formula>
    </cfRule>
  </conditionalFormatting>
  <conditionalFormatting sqref="H494:K494">
    <cfRule type="notContainsBlanks" dxfId="217" priority="14">
      <formula>LEN(TRIM(H494))&gt;0</formula>
    </cfRule>
  </conditionalFormatting>
  <conditionalFormatting sqref="P494:S494">
    <cfRule type="notContainsBlanks" dxfId="216" priority="15">
      <formula>LEN(TRIM(P494))&gt;0</formula>
    </cfRule>
  </conditionalFormatting>
  <conditionalFormatting sqref="N488:S488">
    <cfRule type="notContainsBlanks" dxfId="215" priority="13">
      <formula>LEN(TRIM(N488))&gt;0</formula>
    </cfRule>
  </conditionalFormatting>
  <conditionalFormatting sqref="H516:K516">
    <cfRule type="notContainsBlanks" dxfId="214" priority="11">
      <formula>LEN(TRIM(H516))&gt;0</formula>
    </cfRule>
  </conditionalFormatting>
  <conditionalFormatting sqref="P516:S516">
    <cfRule type="notContainsBlanks" dxfId="213" priority="12">
      <formula>LEN(TRIM(P516))&gt;0</formula>
    </cfRule>
  </conditionalFormatting>
  <conditionalFormatting sqref="N510:S510">
    <cfRule type="notContainsBlanks" dxfId="212" priority="10">
      <formula>LEN(TRIM(N510))&gt;0</formula>
    </cfRule>
  </conditionalFormatting>
  <conditionalFormatting sqref="H538:K538">
    <cfRule type="notContainsBlanks" dxfId="211" priority="8">
      <formula>LEN(TRIM(H538))&gt;0</formula>
    </cfRule>
  </conditionalFormatting>
  <conditionalFormatting sqref="P538:S538">
    <cfRule type="notContainsBlanks" dxfId="210" priority="9">
      <formula>LEN(TRIM(P538))&gt;0</formula>
    </cfRule>
  </conditionalFormatting>
  <conditionalFormatting sqref="N532:S532">
    <cfRule type="notContainsBlanks" dxfId="209" priority="7">
      <formula>LEN(TRIM(N532))&gt;0</formula>
    </cfRule>
  </conditionalFormatting>
  <conditionalFormatting sqref="H560:K560">
    <cfRule type="notContainsBlanks" dxfId="208" priority="5">
      <formula>LEN(TRIM(H560))&gt;0</formula>
    </cfRule>
  </conditionalFormatting>
  <conditionalFormatting sqref="P560:S560">
    <cfRule type="notContainsBlanks" dxfId="207" priority="6">
      <formula>LEN(TRIM(P560))&gt;0</formula>
    </cfRule>
  </conditionalFormatting>
  <conditionalFormatting sqref="N554:S554">
    <cfRule type="notContainsBlanks" dxfId="206" priority="4">
      <formula>LEN(TRIM(N554))&gt;0</formula>
    </cfRule>
  </conditionalFormatting>
  <dataValidations count="27">
    <dataValidation type="list" allowBlank="1" showInputMessage="1" showErrorMessage="1" sqref="F26 F48 F70 F92 F114 F136 F158 F180 F202 F224 F246 F268 F290 F312 F334 F356 F378 F400 F422 F444 F466 F488 F510 F532 F554">
      <formula1>PxTxSource</formula1>
    </dataValidation>
    <dataValidation type="list" allowBlank="1" showInputMessage="1" showErrorMessage="1" sqref="G428">
      <formula1>"Days,Weeks,Months"</formula1>
    </dataValidation>
    <dataValidation type="list" allowBlank="1" showInputMessage="1" showErrorMessage="1" sqref="H26:K26">
      <formula1>DTGPops01</formula1>
    </dataValidation>
    <dataValidation type="list" allowBlank="1" showInputMessage="1" showErrorMessage="1" sqref="H48:K48">
      <formula1>DTGPops02</formula1>
    </dataValidation>
    <dataValidation type="list" allowBlank="1" showInputMessage="1" showErrorMessage="1" sqref="H70:K70">
      <formula1>DTGPops03</formula1>
    </dataValidation>
    <dataValidation type="list" allowBlank="1" showInputMessage="1" showErrorMessage="1" sqref="H92:K92">
      <formula1>DTGPops04</formula1>
    </dataValidation>
    <dataValidation type="list" allowBlank="1" showInputMessage="1" showErrorMessage="1" sqref="H114:K114">
      <formula1>DTGPops05</formula1>
    </dataValidation>
    <dataValidation type="list" allowBlank="1" showInputMessage="1" showErrorMessage="1" sqref="H136:K136">
      <formula1>DTGPops06</formula1>
    </dataValidation>
    <dataValidation type="list" allowBlank="1" showInputMessage="1" showErrorMessage="1" sqref="H158:K158">
      <formula1>DTGPops07</formula1>
    </dataValidation>
    <dataValidation type="list" allowBlank="1" showInputMessage="1" showErrorMessage="1" sqref="H180:K180">
      <formula1>DTGPops08</formula1>
    </dataValidation>
    <dataValidation type="list" allowBlank="1" showInputMessage="1" showErrorMessage="1" sqref="H202:K202">
      <formula1>DTGPops09</formula1>
    </dataValidation>
    <dataValidation type="list" allowBlank="1" showInputMessage="1" showErrorMessage="1" sqref="H224:K224">
      <formula1>DTGPops10</formula1>
    </dataValidation>
    <dataValidation type="list" allowBlank="1" showInputMessage="1" showErrorMessage="1" sqref="H246:K246">
      <formula1>DTGPops11</formula1>
    </dataValidation>
    <dataValidation type="list" allowBlank="1" showInputMessage="1" showErrorMessage="1" sqref="H268:K268">
      <formula1>DTGPops12</formula1>
    </dataValidation>
    <dataValidation type="list" allowBlank="1" showInputMessage="1" showErrorMessage="1" sqref="H290:K290 H312:K312">
      <formula1>DTGPops13</formula1>
    </dataValidation>
    <dataValidation type="list" allowBlank="1" showInputMessage="1" showErrorMessage="1" sqref="H334:K334">
      <formula1>DTGPops15</formula1>
    </dataValidation>
    <dataValidation type="list" allowBlank="1" showInputMessage="1" showErrorMessage="1" sqref="H356:K356">
      <formula1>DTGPops16</formula1>
    </dataValidation>
    <dataValidation type="list" allowBlank="1" showInputMessage="1" showErrorMessage="1" sqref="H378:K378">
      <formula1>DTGPops17</formula1>
    </dataValidation>
    <dataValidation type="list" allowBlank="1" showInputMessage="1" showErrorMessage="1" sqref="H400:K400">
      <formula1>DTGPops18</formula1>
    </dataValidation>
    <dataValidation type="list" allowBlank="1" showInputMessage="1" showErrorMessage="1" sqref="H422:K422">
      <formula1>DTGPops19</formula1>
    </dataValidation>
    <dataValidation type="list" allowBlank="1" showInputMessage="1" showErrorMessage="1" sqref="H444:K444">
      <formula1>DTGPops20</formula1>
    </dataValidation>
    <dataValidation type="list" allowBlank="1" showInputMessage="1" showErrorMessage="1" sqref="H466:K466">
      <formula1>DTGPops21</formula1>
    </dataValidation>
    <dataValidation type="list" allowBlank="1" showInputMessage="1" showErrorMessage="1" sqref="H488:K488">
      <formula1>DTGPops22</formula1>
    </dataValidation>
    <dataValidation type="list" allowBlank="1" showInputMessage="1" showErrorMessage="1" sqref="H510:K510">
      <formula1>DTGPops23</formula1>
    </dataValidation>
    <dataValidation type="list" allowBlank="1" showInputMessage="1" showErrorMessage="1" sqref="H532:K532">
      <formula1>DTGPops24</formula1>
    </dataValidation>
    <dataValidation type="list" allowBlank="1" showInputMessage="1" showErrorMessage="1" sqref="H554:K554">
      <formula1>DTGPops25</formula1>
    </dataValidation>
    <dataValidation type="list" allowBlank="1" showInputMessage="1" showErrorMessage="1" sqref="G32 G54 G76 G98 G120 G142 G164 G186 G208 G230 G252 G274 G296 G318 G340 G362 G384 G406 G450 G472 G494 G516 G538 G560">
      <formula1>TimeUnit</formula1>
    </dataValidation>
  </dataValidation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theme="7"/>
    <pageSetUpPr fitToPage="1"/>
  </sheetPr>
  <dimension ref="A1:AD345"/>
  <sheetViews>
    <sheetView showGridLines="0" zoomScaleNormal="100" workbookViewId="0">
      <pane ySplit="3" topLeftCell="A4" activePane="bottomLeft" state="frozen"/>
      <selection activeCell="B7" sqref="B7:G7"/>
      <selection pane="bottomLeft"/>
    </sheetView>
  </sheetViews>
  <sheetFormatPr defaultRowHeight="12.75" customHeight="1" outlineLevelRow="1" x14ac:dyDescent="0.2"/>
  <cols>
    <col min="1" max="1" width="3.7109375" customWidth="1"/>
    <col min="2" max="2" width="3.7109375" hidden="1" customWidth="1"/>
    <col min="3" max="3" width="50.7109375" customWidth="1"/>
    <col min="4" max="17" width="15.7109375" customWidth="1"/>
    <col min="18" max="18" width="15.7109375" style="416" customWidth="1"/>
    <col min="19" max="20" width="15.7109375" customWidth="1"/>
    <col min="21" max="25" width="10.7109375" hidden="1" customWidth="1"/>
    <col min="26" max="26" width="10.7109375" style="416" hidden="1" customWidth="1"/>
    <col min="27" max="27" width="50.7109375" hidden="1" customWidth="1"/>
  </cols>
  <sheetData>
    <row r="1" spans="1:27" ht="23.25" x14ac:dyDescent="0.2">
      <c r="A1" s="338">
        <f>IF((SUM(D40:I40)+SUM(D41:I41)&lt;&gt;0),2,IF(AND(ScriptSourceCode=1,SUM(I70:N70)&lt;&gt;0),2,0))</f>
        <v>0</v>
      </c>
      <c r="B1" s="334"/>
      <c r="C1" s="335" t="s">
        <v>923</v>
      </c>
      <c r="D1" s="334"/>
      <c r="E1" s="334"/>
      <c r="F1" s="334"/>
      <c r="G1" s="334"/>
      <c r="H1" s="334"/>
      <c r="I1" s="838" t="str">
        <f>IF(ScriptSourceCode&lt;&gt;1,"","** Co-payments only **")</f>
        <v/>
      </c>
      <c r="J1" s="838"/>
      <c r="K1" s="838"/>
      <c r="L1" s="334"/>
      <c r="M1" s="334"/>
      <c r="N1" s="334"/>
      <c r="O1" s="334"/>
      <c r="P1" s="334"/>
      <c r="Q1" s="334"/>
      <c r="R1" s="334"/>
      <c r="S1" s="334"/>
      <c r="T1" s="334"/>
      <c r="U1" s="336"/>
      <c r="V1" s="336"/>
      <c r="W1" s="336"/>
      <c r="X1" s="336"/>
      <c r="Y1" s="336"/>
      <c r="Z1" s="336"/>
      <c r="AA1" s="336"/>
    </row>
    <row r="2" spans="1:27" ht="15.75" x14ac:dyDescent="0.2">
      <c r="A2" s="334"/>
      <c r="B2" s="334"/>
      <c r="C2" s="337" t="str">
        <f>CONCATENATE("Name of medicine: ", MedicineBrand)</f>
        <v xml:space="preserve">Name of medicine: </v>
      </c>
      <c r="D2" s="334"/>
      <c r="E2" s="334"/>
      <c r="F2" s="334"/>
      <c r="G2" s="334"/>
      <c r="H2" s="334"/>
      <c r="I2" s="334"/>
      <c r="J2" s="334"/>
      <c r="K2" s="334"/>
      <c r="L2" s="334"/>
      <c r="M2" s="334"/>
      <c r="N2" s="334"/>
      <c r="O2" s="334"/>
      <c r="P2" s="334"/>
      <c r="Q2" s="334"/>
      <c r="R2" s="334"/>
      <c r="S2" s="334"/>
      <c r="T2" s="334"/>
      <c r="U2" s="336"/>
      <c r="V2" s="336"/>
      <c r="W2" s="336"/>
      <c r="X2" s="336"/>
      <c r="Y2" s="336"/>
      <c r="Z2" s="336"/>
      <c r="AA2" s="336"/>
    </row>
    <row r="3" spans="1:27" ht="15.75" x14ac:dyDescent="0.2">
      <c r="A3" s="334"/>
      <c r="B3" s="334"/>
      <c r="C3" s="337" t="str">
        <f>CONCATENATE("Indication: ", Indication)</f>
        <v xml:space="preserve">Indication: </v>
      </c>
      <c r="D3" s="334"/>
      <c r="E3" s="334"/>
      <c r="F3" s="334"/>
      <c r="G3" s="334"/>
      <c r="H3" s="334"/>
      <c r="I3" s="334"/>
      <c r="J3" s="334"/>
      <c r="K3" s="334"/>
      <c r="L3" s="334"/>
      <c r="M3" s="334"/>
      <c r="N3" s="334"/>
      <c r="O3" s="334"/>
      <c r="P3" s="334"/>
      <c r="Q3" s="334"/>
      <c r="R3" s="334"/>
      <c r="S3" s="334"/>
      <c r="T3" s="334"/>
      <c r="U3" s="336"/>
      <c r="V3" s="336"/>
      <c r="W3" s="336"/>
      <c r="X3" s="336"/>
      <c r="Y3" s="336"/>
      <c r="Z3" s="336"/>
      <c r="AA3" s="336"/>
    </row>
    <row r="4" spans="1:27" s="420" customFormat="1" x14ac:dyDescent="0.2">
      <c r="A4" s="162"/>
      <c r="B4" s="162"/>
      <c r="C4" s="648"/>
      <c r="D4" s="162"/>
      <c r="E4" s="162"/>
      <c r="F4" s="162"/>
      <c r="G4" s="162"/>
      <c r="H4" s="162"/>
      <c r="I4" s="162"/>
      <c r="J4" s="162"/>
      <c r="K4" s="162"/>
      <c r="L4" s="162"/>
      <c r="M4" s="162"/>
      <c r="N4" s="162"/>
      <c r="O4" s="162"/>
      <c r="P4" s="162"/>
      <c r="Q4" s="162"/>
      <c r="R4" s="162"/>
      <c r="S4" s="162"/>
      <c r="T4" s="162"/>
      <c r="U4" s="641"/>
      <c r="V4" s="641"/>
      <c r="W4" s="641"/>
      <c r="X4" s="641"/>
      <c r="Y4" s="641"/>
      <c r="Z4" s="641"/>
      <c r="AA4" s="641"/>
    </row>
    <row r="5" spans="1:27" ht="15.75" x14ac:dyDescent="0.2">
      <c r="A5" s="122"/>
      <c r="B5" s="122"/>
      <c r="C5" s="123" t="s">
        <v>2</v>
      </c>
      <c r="D5" s="124"/>
      <c r="E5" s="124"/>
      <c r="F5" s="124"/>
      <c r="G5" s="124"/>
      <c r="H5" s="124"/>
      <c r="I5" s="124"/>
      <c r="J5" s="124"/>
      <c r="K5" s="124"/>
      <c r="L5" s="124"/>
      <c r="M5" s="124"/>
      <c r="N5" s="124"/>
      <c r="O5" s="124"/>
      <c r="P5" s="124"/>
      <c r="Q5" s="124"/>
      <c r="R5" s="124"/>
      <c r="S5" s="124"/>
      <c r="T5" s="124"/>
      <c r="U5" s="25"/>
      <c r="V5" s="25"/>
      <c r="W5" s="25"/>
      <c r="X5" s="25"/>
      <c r="Y5" s="25"/>
      <c r="Z5" s="25"/>
      <c r="AA5" s="25"/>
    </row>
    <row r="6" spans="1:27" ht="14.25" x14ac:dyDescent="0.2">
      <c r="A6" s="125"/>
      <c r="B6" s="125"/>
      <c r="C6" s="647"/>
      <c r="D6" s="125"/>
      <c r="E6" s="125"/>
      <c r="F6" s="125"/>
      <c r="G6" s="125"/>
      <c r="H6" s="125"/>
      <c r="I6" s="125"/>
      <c r="J6" s="125"/>
      <c r="K6" s="125"/>
      <c r="L6" s="125"/>
      <c r="M6" s="125"/>
      <c r="N6" s="125"/>
      <c r="O6" s="125"/>
      <c r="P6" s="125"/>
      <c r="Q6" s="125"/>
      <c r="R6" s="125"/>
      <c r="S6" s="125"/>
      <c r="T6" s="125"/>
      <c r="U6" s="615"/>
      <c r="V6" s="615"/>
      <c r="W6" s="615"/>
      <c r="X6" s="615"/>
      <c r="Y6" s="615"/>
      <c r="Z6" s="615"/>
      <c r="AA6" s="615"/>
    </row>
    <row r="7" spans="1:27" x14ac:dyDescent="0.2">
      <c r="A7" s="125"/>
      <c r="B7" s="125"/>
      <c r="C7" s="243" t="str">
        <f>"Estimate the number of scripts dispensed for currently listed medicines. Estimate " &amp; IF(MarketImpact=0,"the rate of substitution of the proposed medicine and ","") &amp; "the market growth rate over the six years."</f>
        <v>Estimate the number of scripts dispensed for currently listed medicines. Estimate the market growth rate over the six years.</v>
      </c>
      <c r="D7" s="700"/>
      <c r="E7" s="700"/>
      <c r="F7" s="700"/>
      <c r="G7" s="700"/>
      <c r="H7" s="700"/>
      <c r="I7" s="700"/>
      <c r="J7" s="125"/>
      <c r="K7" s="125"/>
      <c r="L7" s="125"/>
      <c r="M7" s="125"/>
      <c r="N7" s="125"/>
      <c r="O7" s="125"/>
      <c r="P7" s="125"/>
      <c r="Q7" s="125"/>
      <c r="R7" s="125"/>
      <c r="S7" s="125"/>
      <c r="T7" s="125"/>
      <c r="U7" s="615"/>
      <c r="V7" s="615"/>
      <c r="W7" s="615"/>
      <c r="X7" s="615"/>
      <c r="Y7" s="615"/>
      <c r="Z7" s="615"/>
      <c r="AA7" s="615"/>
    </row>
    <row r="8" spans="1:27" x14ac:dyDescent="0.2">
      <c r="A8" s="125"/>
      <c r="B8" s="125"/>
      <c r="C8" s="162"/>
      <c r="D8" s="700"/>
      <c r="E8" s="700"/>
      <c r="F8" s="700"/>
      <c r="G8" s="700"/>
      <c r="H8" s="700"/>
      <c r="I8" s="700"/>
      <c r="J8" s="125"/>
      <c r="K8" s="125"/>
      <c r="L8" s="125"/>
      <c r="M8" s="125"/>
      <c r="N8" s="125"/>
      <c r="O8" s="125"/>
      <c r="P8" s="125"/>
      <c r="Q8" s="125"/>
      <c r="R8" s="125"/>
      <c r="S8" s="125"/>
      <c r="T8" s="125"/>
      <c r="U8" s="615"/>
      <c r="V8" s="615"/>
      <c r="W8" s="615"/>
      <c r="X8" s="615"/>
      <c r="Y8" s="615"/>
      <c r="Z8" s="615"/>
      <c r="AA8" s="615"/>
    </row>
    <row r="9" spans="1:27" x14ac:dyDescent="0.2">
      <c r="A9" s="125"/>
      <c r="B9" s="125"/>
      <c r="C9" s="162"/>
      <c r="D9" s="700"/>
      <c r="E9" s="700"/>
      <c r="F9" s="700"/>
      <c r="G9" s="700"/>
      <c r="H9" s="700"/>
      <c r="I9" s="700"/>
      <c r="J9" s="125"/>
      <c r="K9" s="125"/>
      <c r="L9" s="125"/>
      <c r="M9" s="125"/>
      <c r="N9" s="125"/>
      <c r="O9" s="125"/>
      <c r="P9" s="125"/>
      <c r="Q9" s="125"/>
      <c r="R9" s="125"/>
      <c r="S9" s="125"/>
      <c r="T9" s="125"/>
      <c r="U9" s="615"/>
      <c r="V9" s="615"/>
      <c r="W9" s="615"/>
      <c r="X9" s="615"/>
      <c r="Y9" s="615"/>
      <c r="Z9" s="615"/>
      <c r="AA9" s="615"/>
    </row>
    <row r="10" spans="1:27" ht="15.75" x14ac:dyDescent="0.2">
      <c r="A10" s="125"/>
      <c r="B10" s="125"/>
      <c r="C10" s="123" t="s">
        <v>862</v>
      </c>
      <c r="D10" s="126"/>
      <c r="E10" s="126"/>
      <c r="F10" s="126"/>
      <c r="G10" s="126"/>
      <c r="H10" s="126"/>
      <c r="I10" s="127"/>
      <c r="J10" s="127"/>
      <c r="K10" s="123"/>
      <c r="L10" s="139"/>
      <c r="M10" s="124"/>
      <c r="N10" s="124"/>
      <c r="O10" s="124"/>
      <c r="P10" s="124"/>
      <c r="Q10" s="124"/>
      <c r="R10" s="124"/>
      <c r="S10" s="124"/>
      <c r="T10" s="124"/>
      <c r="U10" s="25"/>
      <c r="V10" s="25"/>
      <c r="W10" s="25"/>
      <c r="X10" s="25"/>
      <c r="Y10" s="25"/>
      <c r="Z10" s="25"/>
      <c r="AA10" s="25"/>
    </row>
    <row r="11" spans="1:27" s="420" customFormat="1" x14ac:dyDescent="0.2">
      <c r="A11" s="162"/>
      <c r="B11" s="162"/>
      <c r="C11" s="162"/>
      <c r="D11" s="162"/>
      <c r="E11" s="162"/>
      <c r="F11" s="162"/>
      <c r="G11" s="162"/>
      <c r="H11" s="162"/>
      <c r="I11" s="162"/>
      <c r="J11" s="162"/>
      <c r="K11" s="162"/>
      <c r="L11" s="162"/>
      <c r="M11" s="162"/>
      <c r="N11" s="162"/>
      <c r="O11" s="162"/>
      <c r="P11" s="162"/>
      <c r="Q11" s="162"/>
      <c r="R11" s="162"/>
      <c r="S11" s="162"/>
      <c r="T11" s="162"/>
      <c r="U11" s="641"/>
      <c r="V11" s="641"/>
      <c r="W11" s="641"/>
      <c r="X11" s="641"/>
      <c r="Y11" s="641"/>
      <c r="Z11" s="641"/>
      <c r="AA11" s="641"/>
    </row>
    <row r="12" spans="1:27" s="420" customFormat="1" x14ac:dyDescent="0.2">
      <c r="A12" s="162"/>
      <c r="B12" s="162"/>
      <c r="C12" s="162" t="s">
        <v>28</v>
      </c>
      <c r="D12" s="162"/>
      <c r="E12" s="162"/>
      <c r="F12" s="162"/>
      <c r="G12" s="162"/>
      <c r="H12" s="162"/>
      <c r="I12" s="162"/>
      <c r="J12" s="162"/>
      <c r="K12" s="162"/>
      <c r="L12" s="162"/>
      <c r="M12" s="162"/>
      <c r="N12" s="162"/>
      <c r="O12" s="162"/>
      <c r="P12" s="162"/>
      <c r="Q12" s="162"/>
      <c r="R12" s="162"/>
      <c r="S12" s="162"/>
      <c r="T12" s="162"/>
      <c r="U12" s="641"/>
      <c r="V12" s="641"/>
      <c r="W12" s="641"/>
      <c r="X12" s="641"/>
      <c r="Y12" s="641"/>
      <c r="Z12" s="641"/>
      <c r="AA12" s="641"/>
    </row>
    <row r="13" spans="1:27" s="420" customFormat="1" x14ac:dyDescent="0.2">
      <c r="A13" s="162"/>
      <c r="B13" s="162"/>
      <c r="C13" s="162"/>
      <c r="D13" s="162"/>
      <c r="E13" s="162"/>
      <c r="F13" s="162"/>
      <c r="G13" s="162"/>
      <c r="H13" s="162"/>
      <c r="I13" s="162"/>
      <c r="J13" s="162"/>
      <c r="K13" s="642"/>
      <c r="L13" s="162"/>
      <c r="M13" s="162"/>
      <c r="N13" s="162"/>
      <c r="O13" s="162"/>
      <c r="P13" s="162"/>
      <c r="Q13" s="162"/>
      <c r="R13" s="162"/>
      <c r="S13" s="162"/>
      <c r="T13" s="162"/>
      <c r="U13" s="641"/>
      <c r="V13" s="641"/>
      <c r="W13" s="641"/>
      <c r="X13" s="641"/>
      <c r="Y13" s="641"/>
      <c r="Z13" s="641"/>
      <c r="AA13" s="641"/>
    </row>
    <row r="14" spans="1:27" s="420" customFormat="1" x14ac:dyDescent="0.2">
      <c r="A14" s="162"/>
      <c r="B14" s="162"/>
      <c r="C14" s="646"/>
      <c r="D14" s="830" t="s">
        <v>223</v>
      </c>
      <c r="E14" s="841"/>
      <c r="F14" s="841"/>
      <c r="G14" s="841"/>
      <c r="H14" s="841"/>
      <c r="I14" s="842"/>
      <c r="J14" s="162"/>
      <c r="K14" s="827" t="s">
        <v>224</v>
      </c>
      <c r="L14" s="828"/>
      <c r="M14" s="828"/>
      <c r="N14" s="828"/>
      <c r="O14" s="829"/>
      <c r="P14" s="829"/>
      <c r="Q14" s="162"/>
      <c r="R14" s="162"/>
      <c r="S14" s="162"/>
      <c r="T14" s="162"/>
      <c r="U14" s="641"/>
      <c r="V14" s="641"/>
      <c r="W14" s="641"/>
      <c r="X14" s="641"/>
      <c r="Y14" s="641"/>
      <c r="Z14" s="641"/>
      <c r="AA14" s="641"/>
    </row>
    <row r="15" spans="1:27" s="420" customFormat="1" x14ac:dyDescent="0.2">
      <c r="A15" s="162"/>
      <c r="B15" s="162"/>
      <c r="C15" s="15" t="s">
        <v>812</v>
      </c>
      <c r="D15" s="458">
        <f>FirstYear</f>
        <v>2021</v>
      </c>
      <c r="E15" s="458">
        <f>D15+1</f>
        <v>2022</v>
      </c>
      <c r="F15" s="458">
        <f>E15+1</f>
        <v>2023</v>
      </c>
      <c r="G15" s="458">
        <f>F15+1</f>
        <v>2024</v>
      </c>
      <c r="H15" s="458">
        <f>G15+1</f>
        <v>2025</v>
      </c>
      <c r="I15" s="458">
        <f>H15+1</f>
        <v>2026</v>
      </c>
      <c r="J15" s="162"/>
      <c r="K15" s="458">
        <f>FirstYear</f>
        <v>2021</v>
      </c>
      <c r="L15" s="458">
        <f>K15+1</f>
        <v>2022</v>
      </c>
      <c r="M15" s="458">
        <f>L15+1</f>
        <v>2023</v>
      </c>
      <c r="N15" s="458">
        <f>M15+1</f>
        <v>2024</v>
      </c>
      <c r="O15" s="458">
        <f>N15+1</f>
        <v>2025</v>
      </c>
      <c r="P15" s="458">
        <f>O15+1</f>
        <v>2026</v>
      </c>
      <c r="Q15" s="162"/>
      <c r="R15" s="162"/>
      <c r="S15" s="162"/>
      <c r="T15" s="162"/>
      <c r="U15" s="641"/>
      <c r="V15" s="641"/>
      <c r="W15" s="641"/>
      <c r="X15" s="641"/>
      <c r="Y15" s="641"/>
      <c r="Z15" s="641"/>
      <c r="AA15" s="641"/>
    </row>
    <row r="16" spans="1:27" s="420" customFormat="1" x14ac:dyDescent="0.2">
      <c r="A16" s="162"/>
      <c r="B16" s="141">
        <v>1</v>
      </c>
      <c r="C16" s="460" t="str">
        <f t="shared" ref="C16:C35" si="0">INDEX(NamesMS,B16)</f>
        <v>** NOT USED **</v>
      </c>
      <c r="D16" s="440">
        <f t="shared" ref="D16:I16" si="1">IF($C16&lt;&gt;"",E108,0)</f>
        <v>0</v>
      </c>
      <c r="E16" s="440">
        <f t="shared" si="1"/>
        <v>0</v>
      </c>
      <c r="F16" s="440">
        <f t="shared" si="1"/>
        <v>0</v>
      </c>
      <c r="G16" s="440">
        <f t="shared" si="1"/>
        <v>0</v>
      </c>
      <c r="H16" s="440">
        <f t="shared" si="1"/>
        <v>0</v>
      </c>
      <c r="I16" s="440">
        <f t="shared" si="1"/>
        <v>0</v>
      </c>
      <c r="J16" s="713"/>
      <c r="K16" s="440">
        <f t="shared" ref="K16:P16" si="2">IF($C16&lt;&gt;"",E109,0)</f>
        <v>0</v>
      </c>
      <c r="L16" s="440">
        <f t="shared" si="2"/>
        <v>0</v>
      </c>
      <c r="M16" s="440">
        <f t="shared" si="2"/>
        <v>0</v>
      </c>
      <c r="N16" s="440">
        <f t="shared" si="2"/>
        <v>0</v>
      </c>
      <c r="O16" s="440">
        <f t="shared" si="2"/>
        <v>0</v>
      </c>
      <c r="P16" s="440">
        <f t="shared" si="2"/>
        <v>0</v>
      </c>
      <c r="Q16" s="162"/>
      <c r="R16" s="162"/>
      <c r="S16" s="162"/>
      <c r="T16" s="162"/>
      <c r="U16" s="641"/>
      <c r="V16" s="641"/>
      <c r="W16" s="641"/>
      <c r="X16" s="641"/>
      <c r="Y16" s="641"/>
      <c r="Z16" s="641"/>
      <c r="AA16" s="641"/>
    </row>
    <row r="17" spans="1:27" s="420" customFormat="1" x14ac:dyDescent="0.2">
      <c r="A17" s="162"/>
      <c r="B17" s="141">
        <v>2</v>
      </c>
      <c r="C17" s="460" t="str">
        <f t="shared" si="0"/>
        <v>** NOT USED **</v>
      </c>
      <c r="D17" s="440">
        <f t="shared" ref="D17:I17" si="3">IF($C17&lt;&gt;"",E120,0)</f>
        <v>0</v>
      </c>
      <c r="E17" s="440">
        <f t="shared" si="3"/>
        <v>0</v>
      </c>
      <c r="F17" s="440">
        <f t="shared" si="3"/>
        <v>0</v>
      </c>
      <c r="G17" s="440">
        <f t="shared" si="3"/>
        <v>0</v>
      </c>
      <c r="H17" s="440">
        <f t="shared" si="3"/>
        <v>0</v>
      </c>
      <c r="I17" s="440">
        <f t="shared" si="3"/>
        <v>0</v>
      </c>
      <c r="J17" s="162"/>
      <c r="K17" s="440">
        <f t="shared" ref="K17:P17" si="4">IF($C17&lt;&gt;"",E121,0)</f>
        <v>0</v>
      </c>
      <c r="L17" s="440">
        <f t="shared" si="4"/>
        <v>0</v>
      </c>
      <c r="M17" s="440">
        <f t="shared" si="4"/>
        <v>0</v>
      </c>
      <c r="N17" s="440">
        <f t="shared" si="4"/>
        <v>0</v>
      </c>
      <c r="O17" s="440">
        <f t="shared" si="4"/>
        <v>0</v>
      </c>
      <c r="P17" s="440">
        <f t="shared" si="4"/>
        <v>0</v>
      </c>
      <c r="Q17" s="162"/>
      <c r="R17" s="162"/>
      <c r="S17" s="162"/>
      <c r="T17" s="162"/>
      <c r="U17" s="641"/>
      <c r="V17" s="641"/>
      <c r="W17" s="641"/>
      <c r="X17" s="641"/>
      <c r="Y17" s="641"/>
      <c r="Z17" s="641"/>
      <c r="AA17" s="641"/>
    </row>
    <row r="18" spans="1:27" s="420" customFormat="1" x14ac:dyDescent="0.2">
      <c r="A18" s="162"/>
      <c r="B18" s="141">
        <v>3</v>
      </c>
      <c r="C18" s="460" t="str">
        <f t="shared" si="0"/>
        <v>** NOT USED **</v>
      </c>
      <c r="D18" s="440">
        <f t="shared" ref="D18:I18" si="5">IF($C18&lt;&gt;"",E132,0)</f>
        <v>0</v>
      </c>
      <c r="E18" s="440">
        <f t="shared" si="5"/>
        <v>0</v>
      </c>
      <c r="F18" s="440">
        <f t="shared" si="5"/>
        <v>0</v>
      </c>
      <c r="G18" s="440">
        <f t="shared" si="5"/>
        <v>0</v>
      </c>
      <c r="H18" s="440">
        <f t="shared" si="5"/>
        <v>0</v>
      </c>
      <c r="I18" s="440">
        <f t="shared" si="5"/>
        <v>0</v>
      </c>
      <c r="J18" s="714"/>
      <c r="K18" s="440">
        <f t="shared" ref="K18:P18" si="6">IF($C18&lt;&gt;"",E133,0)</f>
        <v>0</v>
      </c>
      <c r="L18" s="440">
        <f t="shared" si="6"/>
        <v>0</v>
      </c>
      <c r="M18" s="440">
        <f t="shared" si="6"/>
        <v>0</v>
      </c>
      <c r="N18" s="440">
        <f t="shared" si="6"/>
        <v>0</v>
      </c>
      <c r="O18" s="440">
        <f t="shared" si="6"/>
        <v>0</v>
      </c>
      <c r="P18" s="440">
        <f t="shared" si="6"/>
        <v>0</v>
      </c>
      <c r="Q18" s="162"/>
      <c r="R18" s="162"/>
      <c r="S18" s="162"/>
      <c r="T18" s="162"/>
      <c r="U18" s="641"/>
      <c r="V18" s="641"/>
      <c r="W18" s="641"/>
      <c r="X18" s="641"/>
      <c r="Y18" s="641"/>
      <c r="Z18" s="641"/>
      <c r="AA18" s="641"/>
    </row>
    <row r="19" spans="1:27" s="420" customFormat="1" x14ac:dyDescent="0.2">
      <c r="A19" s="162"/>
      <c r="B19" s="141">
        <v>4</v>
      </c>
      <c r="C19" s="460" t="str">
        <f t="shared" si="0"/>
        <v>** NOT USED **</v>
      </c>
      <c r="D19" s="440">
        <f t="shared" ref="D19:I19" si="7">IF($C19&lt;&gt;"",E144,0)</f>
        <v>0</v>
      </c>
      <c r="E19" s="440">
        <f t="shared" si="7"/>
        <v>0</v>
      </c>
      <c r="F19" s="440">
        <f t="shared" si="7"/>
        <v>0</v>
      </c>
      <c r="G19" s="440">
        <f t="shared" si="7"/>
        <v>0</v>
      </c>
      <c r="H19" s="440">
        <f t="shared" si="7"/>
        <v>0</v>
      </c>
      <c r="I19" s="440">
        <f t="shared" si="7"/>
        <v>0</v>
      </c>
      <c r="J19" s="714"/>
      <c r="K19" s="440">
        <f t="shared" ref="K19:P19" si="8">IF($C19&lt;&gt;"",E145,0)</f>
        <v>0</v>
      </c>
      <c r="L19" s="440">
        <f t="shared" si="8"/>
        <v>0</v>
      </c>
      <c r="M19" s="440">
        <f t="shared" si="8"/>
        <v>0</v>
      </c>
      <c r="N19" s="440">
        <f t="shared" si="8"/>
        <v>0</v>
      </c>
      <c r="O19" s="440">
        <f t="shared" si="8"/>
        <v>0</v>
      </c>
      <c r="P19" s="440">
        <f t="shared" si="8"/>
        <v>0</v>
      </c>
      <c r="Q19" s="162"/>
      <c r="R19" s="162"/>
      <c r="S19" s="162"/>
      <c r="T19" s="162"/>
      <c r="U19" s="641"/>
      <c r="V19" s="641"/>
      <c r="W19" s="641"/>
      <c r="X19" s="641"/>
      <c r="Y19" s="641"/>
      <c r="Z19" s="641"/>
      <c r="AA19" s="641"/>
    </row>
    <row r="20" spans="1:27" s="420" customFormat="1" x14ac:dyDescent="0.2">
      <c r="A20" s="162"/>
      <c r="B20" s="141">
        <v>5</v>
      </c>
      <c r="C20" s="460" t="str">
        <f t="shared" si="0"/>
        <v>** NOT USED **</v>
      </c>
      <c r="D20" s="440">
        <f t="shared" ref="D20:I20" si="9">IF($C20&lt;&gt;"",E156,0)</f>
        <v>0</v>
      </c>
      <c r="E20" s="440">
        <f t="shared" si="9"/>
        <v>0</v>
      </c>
      <c r="F20" s="440">
        <f t="shared" si="9"/>
        <v>0</v>
      </c>
      <c r="G20" s="440">
        <f t="shared" si="9"/>
        <v>0</v>
      </c>
      <c r="H20" s="440">
        <f t="shared" si="9"/>
        <v>0</v>
      </c>
      <c r="I20" s="440">
        <f t="shared" si="9"/>
        <v>0</v>
      </c>
      <c r="J20" s="162"/>
      <c r="K20" s="440">
        <f t="shared" ref="K20:P20" si="10">IF($C20&lt;&gt;"",E157,0)</f>
        <v>0</v>
      </c>
      <c r="L20" s="440">
        <f t="shared" si="10"/>
        <v>0</v>
      </c>
      <c r="M20" s="440">
        <f t="shared" si="10"/>
        <v>0</v>
      </c>
      <c r="N20" s="440">
        <f t="shared" si="10"/>
        <v>0</v>
      </c>
      <c r="O20" s="440">
        <f t="shared" si="10"/>
        <v>0</v>
      </c>
      <c r="P20" s="440">
        <f t="shared" si="10"/>
        <v>0</v>
      </c>
      <c r="Q20" s="162"/>
      <c r="R20" s="162"/>
      <c r="S20" s="162"/>
      <c r="T20" s="162"/>
      <c r="U20" s="641"/>
      <c r="V20" s="641"/>
      <c r="W20" s="641"/>
      <c r="X20" s="641"/>
      <c r="Y20" s="641"/>
      <c r="Z20" s="641"/>
      <c r="AA20" s="641"/>
    </row>
    <row r="21" spans="1:27" s="420" customFormat="1" x14ac:dyDescent="0.2">
      <c r="A21" s="162"/>
      <c r="B21" s="141">
        <v>6</v>
      </c>
      <c r="C21" s="460" t="str">
        <f t="shared" si="0"/>
        <v>** NOT USED **</v>
      </c>
      <c r="D21" s="440">
        <f t="shared" ref="D21:I21" si="11">IF($C21&lt;&gt;"",E168,0)</f>
        <v>0</v>
      </c>
      <c r="E21" s="440">
        <f t="shared" si="11"/>
        <v>0</v>
      </c>
      <c r="F21" s="440">
        <f t="shared" si="11"/>
        <v>0</v>
      </c>
      <c r="G21" s="440">
        <f t="shared" si="11"/>
        <v>0</v>
      </c>
      <c r="H21" s="440">
        <f t="shared" si="11"/>
        <v>0</v>
      </c>
      <c r="I21" s="440">
        <f t="shared" si="11"/>
        <v>0</v>
      </c>
      <c r="J21" s="162"/>
      <c r="K21" s="440">
        <f t="shared" ref="K21:P21" si="12">IF($C21&lt;&gt;"",E169,0)</f>
        <v>0</v>
      </c>
      <c r="L21" s="440">
        <f t="shared" si="12"/>
        <v>0</v>
      </c>
      <c r="M21" s="440">
        <f t="shared" si="12"/>
        <v>0</v>
      </c>
      <c r="N21" s="440">
        <f t="shared" si="12"/>
        <v>0</v>
      </c>
      <c r="O21" s="440">
        <f t="shared" si="12"/>
        <v>0</v>
      </c>
      <c r="P21" s="440">
        <f t="shared" si="12"/>
        <v>0</v>
      </c>
      <c r="Q21" s="162"/>
      <c r="R21" s="162"/>
      <c r="S21" s="162"/>
      <c r="T21" s="162"/>
      <c r="U21" s="641"/>
      <c r="V21" s="641"/>
      <c r="W21" s="641"/>
      <c r="X21" s="641"/>
      <c r="Y21" s="641"/>
      <c r="Z21" s="641"/>
      <c r="AA21" s="641"/>
    </row>
    <row r="22" spans="1:27" s="420" customFormat="1" x14ac:dyDescent="0.2">
      <c r="A22" s="162"/>
      <c r="B22" s="141">
        <v>7</v>
      </c>
      <c r="C22" s="460" t="str">
        <f t="shared" si="0"/>
        <v>** NOT USED **</v>
      </c>
      <c r="D22" s="440">
        <f t="shared" ref="D22:I22" si="13">IF($C22&lt;&gt;"",E180,0)</f>
        <v>0</v>
      </c>
      <c r="E22" s="440">
        <f t="shared" si="13"/>
        <v>0</v>
      </c>
      <c r="F22" s="440">
        <f t="shared" si="13"/>
        <v>0</v>
      </c>
      <c r="G22" s="440">
        <f t="shared" si="13"/>
        <v>0</v>
      </c>
      <c r="H22" s="440">
        <f t="shared" si="13"/>
        <v>0</v>
      </c>
      <c r="I22" s="440">
        <f t="shared" si="13"/>
        <v>0</v>
      </c>
      <c r="J22" s="162"/>
      <c r="K22" s="440">
        <f t="shared" ref="K22:P22" si="14">IF($C22&lt;&gt;"",E181,0)</f>
        <v>0</v>
      </c>
      <c r="L22" s="440">
        <f t="shared" si="14"/>
        <v>0</v>
      </c>
      <c r="M22" s="440">
        <f t="shared" si="14"/>
        <v>0</v>
      </c>
      <c r="N22" s="440">
        <f t="shared" si="14"/>
        <v>0</v>
      </c>
      <c r="O22" s="440">
        <f t="shared" si="14"/>
        <v>0</v>
      </c>
      <c r="P22" s="440">
        <f t="shared" si="14"/>
        <v>0</v>
      </c>
      <c r="Q22" s="162"/>
      <c r="R22" s="162"/>
      <c r="S22" s="162"/>
      <c r="T22" s="162"/>
      <c r="U22" s="641"/>
      <c r="V22" s="641"/>
      <c r="W22" s="641"/>
      <c r="X22" s="641"/>
      <c r="Y22" s="641"/>
      <c r="Z22" s="641"/>
      <c r="AA22" s="641"/>
    </row>
    <row r="23" spans="1:27" s="420" customFormat="1" x14ac:dyDescent="0.2">
      <c r="A23" s="162"/>
      <c r="B23" s="141">
        <v>8</v>
      </c>
      <c r="C23" s="460" t="str">
        <f t="shared" si="0"/>
        <v>** NOT USED **</v>
      </c>
      <c r="D23" s="440">
        <f t="shared" ref="D23:I23" si="15">IF($C23&lt;&gt;"",E192,0)</f>
        <v>0</v>
      </c>
      <c r="E23" s="440">
        <f t="shared" si="15"/>
        <v>0</v>
      </c>
      <c r="F23" s="440">
        <f t="shared" si="15"/>
        <v>0</v>
      </c>
      <c r="G23" s="440">
        <f t="shared" si="15"/>
        <v>0</v>
      </c>
      <c r="H23" s="440">
        <f t="shared" si="15"/>
        <v>0</v>
      </c>
      <c r="I23" s="440">
        <f t="shared" si="15"/>
        <v>0</v>
      </c>
      <c r="J23" s="162"/>
      <c r="K23" s="440">
        <f t="shared" ref="K23:P23" si="16">IF($C23&lt;&gt;"",E193,0)</f>
        <v>0</v>
      </c>
      <c r="L23" s="440">
        <f t="shared" si="16"/>
        <v>0</v>
      </c>
      <c r="M23" s="440">
        <f t="shared" si="16"/>
        <v>0</v>
      </c>
      <c r="N23" s="440">
        <f t="shared" si="16"/>
        <v>0</v>
      </c>
      <c r="O23" s="440">
        <f t="shared" si="16"/>
        <v>0</v>
      </c>
      <c r="P23" s="440">
        <f t="shared" si="16"/>
        <v>0</v>
      </c>
      <c r="Q23" s="162"/>
      <c r="R23" s="162"/>
      <c r="S23" s="162"/>
      <c r="T23" s="162"/>
      <c r="U23" s="641"/>
      <c r="V23" s="641"/>
      <c r="W23" s="641"/>
      <c r="X23" s="641"/>
      <c r="Y23" s="641"/>
      <c r="Z23" s="641"/>
      <c r="AA23" s="641"/>
    </row>
    <row r="24" spans="1:27" s="420" customFormat="1" x14ac:dyDescent="0.2">
      <c r="A24" s="162"/>
      <c r="B24" s="141">
        <v>9</v>
      </c>
      <c r="C24" s="460" t="str">
        <f t="shared" si="0"/>
        <v>** NOT USED **</v>
      </c>
      <c r="D24" s="440">
        <f t="shared" ref="D24:I24" si="17">IF($C24&lt;&gt;"",E204,0)</f>
        <v>0</v>
      </c>
      <c r="E24" s="440">
        <f t="shared" si="17"/>
        <v>0</v>
      </c>
      <c r="F24" s="440">
        <f t="shared" si="17"/>
        <v>0</v>
      </c>
      <c r="G24" s="440">
        <f t="shared" si="17"/>
        <v>0</v>
      </c>
      <c r="H24" s="440">
        <f t="shared" si="17"/>
        <v>0</v>
      </c>
      <c r="I24" s="440">
        <f t="shared" si="17"/>
        <v>0</v>
      </c>
      <c r="J24" s="162"/>
      <c r="K24" s="440">
        <f t="shared" ref="K24:P24" si="18">IF($C24&lt;&gt;"",E205,0)</f>
        <v>0</v>
      </c>
      <c r="L24" s="440">
        <f t="shared" si="18"/>
        <v>0</v>
      </c>
      <c r="M24" s="440">
        <f t="shared" si="18"/>
        <v>0</v>
      </c>
      <c r="N24" s="440">
        <f t="shared" si="18"/>
        <v>0</v>
      </c>
      <c r="O24" s="440">
        <f t="shared" si="18"/>
        <v>0</v>
      </c>
      <c r="P24" s="440">
        <f t="shared" si="18"/>
        <v>0</v>
      </c>
      <c r="Q24" s="162"/>
      <c r="R24" s="162"/>
      <c r="S24" s="162"/>
      <c r="T24" s="162"/>
      <c r="U24" s="641"/>
      <c r="V24" s="641"/>
      <c r="W24" s="641"/>
      <c r="X24" s="641"/>
      <c r="Y24" s="641"/>
      <c r="Z24" s="641"/>
      <c r="AA24" s="641"/>
    </row>
    <row r="25" spans="1:27" s="420" customFormat="1" x14ac:dyDescent="0.2">
      <c r="A25" s="162"/>
      <c r="B25" s="141">
        <v>10</v>
      </c>
      <c r="C25" s="460" t="str">
        <f t="shared" si="0"/>
        <v>** NOT USED **</v>
      </c>
      <c r="D25" s="440">
        <f t="shared" ref="D25:I25" si="19">IF($C25&lt;&gt;"",E216,0)</f>
        <v>0</v>
      </c>
      <c r="E25" s="440">
        <f t="shared" si="19"/>
        <v>0</v>
      </c>
      <c r="F25" s="440">
        <f t="shared" si="19"/>
        <v>0</v>
      </c>
      <c r="G25" s="440">
        <f t="shared" si="19"/>
        <v>0</v>
      </c>
      <c r="H25" s="440">
        <f t="shared" si="19"/>
        <v>0</v>
      </c>
      <c r="I25" s="440">
        <f t="shared" si="19"/>
        <v>0</v>
      </c>
      <c r="J25" s="162"/>
      <c r="K25" s="440">
        <f t="shared" ref="K25:P25" si="20">IF($C25&lt;&gt;"",E217,0)</f>
        <v>0</v>
      </c>
      <c r="L25" s="440">
        <f t="shared" si="20"/>
        <v>0</v>
      </c>
      <c r="M25" s="440">
        <f t="shared" si="20"/>
        <v>0</v>
      </c>
      <c r="N25" s="440">
        <f t="shared" si="20"/>
        <v>0</v>
      </c>
      <c r="O25" s="440">
        <f t="shared" si="20"/>
        <v>0</v>
      </c>
      <c r="P25" s="440">
        <f t="shared" si="20"/>
        <v>0</v>
      </c>
      <c r="Q25" s="162"/>
      <c r="R25" s="162"/>
      <c r="S25" s="162"/>
      <c r="T25" s="162"/>
      <c r="U25" s="641"/>
      <c r="V25" s="641"/>
      <c r="W25" s="641"/>
      <c r="X25" s="641"/>
      <c r="Y25" s="641"/>
      <c r="Z25" s="641"/>
      <c r="AA25" s="641"/>
    </row>
    <row r="26" spans="1:27" s="420" customFormat="1" x14ac:dyDescent="0.2">
      <c r="A26" s="162"/>
      <c r="B26" s="141">
        <v>11</v>
      </c>
      <c r="C26" s="460" t="str">
        <f t="shared" si="0"/>
        <v>** NOT USED **</v>
      </c>
      <c r="D26" s="440">
        <f t="shared" ref="D26:I26" si="21">IF($C26&lt;&gt;"",E228,0)</f>
        <v>0</v>
      </c>
      <c r="E26" s="440">
        <f t="shared" si="21"/>
        <v>0</v>
      </c>
      <c r="F26" s="440">
        <f t="shared" si="21"/>
        <v>0</v>
      </c>
      <c r="G26" s="440">
        <f t="shared" si="21"/>
        <v>0</v>
      </c>
      <c r="H26" s="440">
        <f t="shared" si="21"/>
        <v>0</v>
      </c>
      <c r="I26" s="440">
        <f t="shared" si="21"/>
        <v>0</v>
      </c>
      <c r="J26" s="162"/>
      <c r="K26" s="440">
        <f t="shared" ref="K26:P26" si="22">IF($C26&lt;&gt;"",E229,0)</f>
        <v>0</v>
      </c>
      <c r="L26" s="440">
        <f t="shared" si="22"/>
        <v>0</v>
      </c>
      <c r="M26" s="440">
        <f t="shared" si="22"/>
        <v>0</v>
      </c>
      <c r="N26" s="440">
        <f t="shared" si="22"/>
        <v>0</v>
      </c>
      <c r="O26" s="440">
        <f t="shared" si="22"/>
        <v>0</v>
      </c>
      <c r="P26" s="440">
        <f t="shared" si="22"/>
        <v>0</v>
      </c>
      <c r="Q26" s="162"/>
      <c r="R26" s="162"/>
      <c r="S26" s="162"/>
      <c r="T26" s="162"/>
      <c r="U26" s="641"/>
      <c r="V26" s="641"/>
      <c r="W26" s="641"/>
      <c r="X26" s="641"/>
      <c r="Y26" s="641"/>
      <c r="Z26" s="641"/>
      <c r="AA26" s="641"/>
    </row>
    <row r="27" spans="1:27" s="420" customFormat="1" x14ac:dyDescent="0.2">
      <c r="A27" s="162"/>
      <c r="B27" s="141">
        <v>12</v>
      </c>
      <c r="C27" s="460" t="str">
        <f t="shared" si="0"/>
        <v>** NOT USED **</v>
      </c>
      <c r="D27" s="440">
        <f t="shared" ref="D27:I27" si="23">IF($C27&lt;&gt;"",E240,0)</f>
        <v>0</v>
      </c>
      <c r="E27" s="440">
        <f t="shared" si="23"/>
        <v>0</v>
      </c>
      <c r="F27" s="440">
        <f t="shared" si="23"/>
        <v>0</v>
      </c>
      <c r="G27" s="440">
        <f t="shared" si="23"/>
        <v>0</v>
      </c>
      <c r="H27" s="440">
        <f t="shared" si="23"/>
        <v>0</v>
      </c>
      <c r="I27" s="440">
        <f t="shared" si="23"/>
        <v>0</v>
      </c>
      <c r="J27" s="162"/>
      <c r="K27" s="440">
        <f t="shared" ref="K27:P27" si="24">IF($C27&lt;&gt;"",E241,0)</f>
        <v>0</v>
      </c>
      <c r="L27" s="440">
        <f t="shared" si="24"/>
        <v>0</v>
      </c>
      <c r="M27" s="440">
        <f t="shared" si="24"/>
        <v>0</v>
      </c>
      <c r="N27" s="440">
        <f t="shared" si="24"/>
        <v>0</v>
      </c>
      <c r="O27" s="440">
        <f t="shared" si="24"/>
        <v>0</v>
      </c>
      <c r="P27" s="440">
        <f t="shared" si="24"/>
        <v>0</v>
      </c>
      <c r="Q27" s="162"/>
      <c r="R27" s="162"/>
      <c r="S27" s="162"/>
      <c r="T27" s="162"/>
      <c r="U27" s="641"/>
      <c r="V27" s="641"/>
      <c r="W27" s="641"/>
      <c r="X27" s="641"/>
      <c r="Y27" s="641"/>
      <c r="Z27" s="641"/>
      <c r="AA27" s="641"/>
    </row>
    <row r="28" spans="1:27" s="420" customFormat="1" x14ac:dyDescent="0.2">
      <c r="A28" s="162"/>
      <c r="B28" s="141">
        <v>13</v>
      </c>
      <c r="C28" s="460" t="str">
        <f t="shared" si="0"/>
        <v>** NOT USED **</v>
      </c>
      <c r="D28" s="440">
        <f t="shared" ref="D28:I28" si="25">IF($C28&lt;&gt;"",E252,0)</f>
        <v>0</v>
      </c>
      <c r="E28" s="440">
        <f t="shared" si="25"/>
        <v>0</v>
      </c>
      <c r="F28" s="440">
        <f t="shared" si="25"/>
        <v>0</v>
      </c>
      <c r="G28" s="440">
        <f t="shared" si="25"/>
        <v>0</v>
      </c>
      <c r="H28" s="440">
        <f t="shared" si="25"/>
        <v>0</v>
      </c>
      <c r="I28" s="440">
        <f t="shared" si="25"/>
        <v>0</v>
      </c>
      <c r="J28" s="162"/>
      <c r="K28" s="440">
        <f t="shared" ref="K28:P28" si="26">IF($C28&lt;&gt;"",E253,0)</f>
        <v>0</v>
      </c>
      <c r="L28" s="440">
        <f t="shared" si="26"/>
        <v>0</v>
      </c>
      <c r="M28" s="440">
        <f t="shared" si="26"/>
        <v>0</v>
      </c>
      <c r="N28" s="440">
        <f t="shared" si="26"/>
        <v>0</v>
      </c>
      <c r="O28" s="440">
        <f t="shared" si="26"/>
        <v>0</v>
      </c>
      <c r="P28" s="440">
        <f t="shared" si="26"/>
        <v>0</v>
      </c>
      <c r="Q28" s="162"/>
      <c r="R28" s="162"/>
      <c r="S28" s="162"/>
      <c r="T28" s="162"/>
      <c r="U28" s="641"/>
      <c r="V28" s="641"/>
      <c r="W28" s="641"/>
      <c r="X28" s="641"/>
      <c r="Y28" s="641"/>
      <c r="Z28" s="641"/>
      <c r="AA28" s="641"/>
    </row>
    <row r="29" spans="1:27" s="420" customFormat="1" x14ac:dyDescent="0.2">
      <c r="A29" s="162"/>
      <c r="B29" s="141">
        <v>14</v>
      </c>
      <c r="C29" s="460" t="str">
        <f t="shared" si="0"/>
        <v>** NOT USED **</v>
      </c>
      <c r="D29" s="440">
        <f t="shared" ref="D29:I29" si="27">IF($C29&lt;&gt;"",E264,0)</f>
        <v>0</v>
      </c>
      <c r="E29" s="440">
        <f t="shared" si="27"/>
        <v>0</v>
      </c>
      <c r="F29" s="440">
        <f t="shared" si="27"/>
        <v>0</v>
      </c>
      <c r="G29" s="440">
        <f t="shared" si="27"/>
        <v>0</v>
      </c>
      <c r="H29" s="440">
        <f t="shared" si="27"/>
        <v>0</v>
      </c>
      <c r="I29" s="440">
        <f t="shared" si="27"/>
        <v>0</v>
      </c>
      <c r="J29" s="162"/>
      <c r="K29" s="440">
        <f t="shared" ref="K29:P29" si="28">IF($C29&lt;&gt;"",E265,0)</f>
        <v>0</v>
      </c>
      <c r="L29" s="440">
        <f t="shared" si="28"/>
        <v>0</v>
      </c>
      <c r="M29" s="440">
        <f t="shared" si="28"/>
        <v>0</v>
      </c>
      <c r="N29" s="440">
        <f t="shared" si="28"/>
        <v>0</v>
      </c>
      <c r="O29" s="440">
        <f t="shared" si="28"/>
        <v>0</v>
      </c>
      <c r="P29" s="440">
        <f t="shared" si="28"/>
        <v>0</v>
      </c>
      <c r="Q29" s="162"/>
      <c r="R29" s="162"/>
      <c r="S29" s="162"/>
      <c r="T29" s="162"/>
      <c r="U29" s="641"/>
      <c r="V29" s="641"/>
      <c r="W29" s="641"/>
      <c r="X29" s="641"/>
      <c r="Y29" s="641"/>
      <c r="Z29" s="641"/>
      <c r="AA29" s="641"/>
    </row>
    <row r="30" spans="1:27" s="420" customFormat="1" x14ac:dyDescent="0.2">
      <c r="A30" s="162"/>
      <c r="B30" s="141">
        <v>15</v>
      </c>
      <c r="C30" s="460" t="str">
        <f t="shared" si="0"/>
        <v>** NOT USED **</v>
      </c>
      <c r="D30" s="440">
        <f t="shared" ref="D30:I30" si="29">IF($C30&lt;&gt;"",E276,0)</f>
        <v>0</v>
      </c>
      <c r="E30" s="440">
        <f t="shared" si="29"/>
        <v>0</v>
      </c>
      <c r="F30" s="440">
        <f t="shared" si="29"/>
        <v>0</v>
      </c>
      <c r="G30" s="440">
        <f t="shared" si="29"/>
        <v>0</v>
      </c>
      <c r="H30" s="440">
        <f t="shared" si="29"/>
        <v>0</v>
      </c>
      <c r="I30" s="440">
        <f t="shared" si="29"/>
        <v>0</v>
      </c>
      <c r="J30" s="162"/>
      <c r="K30" s="440">
        <f t="shared" ref="K30:P30" si="30">IF($C30&lt;&gt;"",E277,0)</f>
        <v>0</v>
      </c>
      <c r="L30" s="440">
        <f t="shared" si="30"/>
        <v>0</v>
      </c>
      <c r="M30" s="440">
        <f t="shared" si="30"/>
        <v>0</v>
      </c>
      <c r="N30" s="440">
        <f t="shared" si="30"/>
        <v>0</v>
      </c>
      <c r="O30" s="440">
        <f t="shared" si="30"/>
        <v>0</v>
      </c>
      <c r="P30" s="440">
        <f t="shared" si="30"/>
        <v>0</v>
      </c>
      <c r="Q30" s="162"/>
      <c r="R30" s="162"/>
      <c r="S30" s="162"/>
      <c r="T30" s="162"/>
      <c r="U30" s="641"/>
      <c r="V30" s="641"/>
      <c r="W30" s="641"/>
      <c r="X30" s="641"/>
      <c r="Y30" s="641"/>
      <c r="Z30" s="641"/>
      <c r="AA30" s="641"/>
    </row>
    <row r="31" spans="1:27" s="420" customFormat="1" x14ac:dyDescent="0.2">
      <c r="A31" s="162"/>
      <c r="B31" s="141">
        <v>16</v>
      </c>
      <c r="C31" s="460" t="str">
        <f t="shared" si="0"/>
        <v>** NOT USED **</v>
      </c>
      <c r="D31" s="440">
        <f t="shared" ref="D31:I31" si="31">IF($C31&lt;&gt;"",E288,0)</f>
        <v>0</v>
      </c>
      <c r="E31" s="440">
        <f t="shared" si="31"/>
        <v>0</v>
      </c>
      <c r="F31" s="440">
        <f t="shared" si="31"/>
        <v>0</v>
      </c>
      <c r="G31" s="440">
        <f t="shared" si="31"/>
        <v>0</v>
      </c>
      <c r="H31" s="440">
        <f t="shared" si="31"/>
        <v>0</v>
      </c>
      <c r="I31" s="440">
        <f t="shared" si="31"/>
        <v>0</v>
      </c>
      <c r="J31" s="162"/>
      <c r="K31" s="440">
        <f t="shared" ref="K31:P31" si="32">IF($C31&lt;&gt;"",E289,0)</f>
        <v>0</v>
      </c>
      <c r="L31" s="440">
        <f t="shared" si="32"/>
        <v>0</v>
      </c>
      <c r="M31" s="440">
        <f t="shared" si="32"/>
        <v>0</v>
      </c>
      <c r="N31" s="440">
        <f t="shared" si="32"/>
        <v>0</v>
      </c>
      <c r="O31" s="440">
        <f t="shared" si="32"/>
        <v>0</v>
      </c>
      <c r="P31" s="440">
        <f t="shared" si="32"/>
        <v>0</v>
      </c>
      <c r="Q31" s="162"/>
      <c r="R31" s="162"/>
      <c r="S31" s="162"/>
      <c r="T31" s="162"/>
      <c r="U31" s="641"/>
      <c r="V31" s="641"/>
      <c r="W31" s="641"/>
      <c r="X31" s="641"/>
      <c r="Y31" s="641"/>
      <c r="Z31" s="641"/>
      <c r="AA31" s="641"/>
    </row>
    <row r="32" spans="1:27" s="420" customFormat="1" x14ac:dyDescent="0.2">
      <c r="A32" s="162"/>
      <c r="B32" s="141">
        <v>17</v>
      </c>
      <c r="C32" s="460" t="str">
        <f t="shared" si="0"/>
        <v>** NOT USED **</v>
      </c>
      <c r="D32" s="440">
        <f t="shared" ref="D32:I32" si="33">IF($C32&lt;&gt;"",E300,0)</f>
        <v>0</v>
      </c>
      <c r="E32" s="440">
        <f t="shared" si="33"/>
        <v>0</v>
      </c>
      <c r="F32" s="440">
        <f t="shared" si="33"/>
        <v>0</v>
      </c>
      <c r="G32" s="440">
        <f t="shared" si="33"/>
        <v>0</v>
      </c>
      <c r="H32" s="440">
        <f t="shared" si="33"/>
        <v>0</v>
      </c>
      <c r="I32" s="440">
        <f t="shared" si="33"/>
        <v>0</v>
      </c>
      <c r="J32" s="162"/>
      <c r="K32" s="440">
        <f t="shared" ref="K32:P32" si="34">IF($C32&lt;&gt;"",E301,0)</f>
        <v>0</v>
      </c>
      <c r="L32" s="440">
        <f t="shared" si="34"/>
        <v>0</v>
      </c>
      <c r="M32" s="440">
        <f t="shared" si="34"/>
        <v>0</v>
      </c>
      <c r="N32" s="440">
        <f t="shared" si="34"/>
        <v>0</v>
      </c>
      <c r="O32" s="440">
        <f t="shared" si="34"/>
        <v>0</v>
      </c>
      <c r="P32" s="440">
        <f t="shared" si="34"/>
        <v>0</v>
      </c>
      <c r="Q32" s="162"/>
      <c r="R32" s="162"/>
      <c r="S32" s="162"/>
      <c r="T32" s="162"/>
      <c r="U32" s="641"/>
      <c r="V32" s="641"/>
      <c r="W32" s="641"/>
      <c r="X32" s="641"/>
      <c r="Y32" s="641"/>
      <c r="Z32" s="641"/>
      <c r="AA32" s="641"/>
    </row>
    <row r="33" spans="1:30" s="420" customFormat="1" x14ac:dyDescent="0.2">
      <c r="A33" s="162"/>
      <c r="B33" s="141">
        <v>18</v>
      </c>
      <c r="C33" s="460" t="str">
        <f t="shared" si="0"/>
        <v>** NOT USED **</v>
      </c>
      <c r="D33" s="440">
        <f t="shared" ref="D33:I33" si="35">IF($C33&lt;&gt;"",E312,0)</f>
        <v>0</v>
      </c>
      <c r="E33" s="440">
        <f t="shared" si="35"/>
        <v>0</v>
      </c>
      <c r="F33" s="440">
        <f t="shared" si="35"/>
        <v>0</v>
      </c>
      <c r="G33" s="440">
        <f t="shared" si="35"/>
        <v>0</v>
      </c>
      <c r="H33" s="440">
        <f t="shared" si="35"/>
        <v>0</v>
      </c>
      <c r="I33" s="440">
        <f t="shared" si="35"/>
        <v>0</v>
      </c>
      <c r="J33" s="646"/>
      <c r="K33" s="440">
        <f t="shared" ref="K33:P33" si="36">IF($C33&lt;&gt;"",E313,0)</f>
        <v>0</v>
      </c>
      <c r="L33" s="440">
        <f t="shared" si="36"/>
        <v>0</v>
      </c>
      <c r="M33" s="440">
        <f t="shared" si="36"/>
        <v>0</v>
      </c>
      <c r="N33" s="440">
        <f t="shared" si="36"/>
        <v>0</v>
      </c>
      <c r="O33" s="440">
        <f t="shared" si="36"/>
        <v>0</v>
      </c>
      <c r="P33" s="440">
        <f t="shared" si="36"/>
        <v>0</v>
      </c>
      <c r="Q33" s="162"/>
      <c r="R33" s="162"/>
      <c r="S33" s="162"/>
      <c r="T33" s="162"/>
      <c r="U33" s="641"/>
      <c r="V33" s="641"/>
      <c r="W33" s="641"/>
      <c r="X33" s="641"/>
      <c r="Y33" s="641"/>
      <c r="Z33" s="641"/>
      <c r="AA33" s="641"/>
    </row>
    <row r="34" spans="1:30" s="420" customFormat="1" x14ac:dyDescent="0.2">
      <c r="A34" s="162"/>
      <c r="B34" s="141">
        <v>19</v>
      </c>
      <c r="C34" s="460" t="str">
        <f t="shared" si="0"/>
        <v>** NOT USED **</v>
      </c>
      <c r="D34" s="440">
        <f t="shared" ref="D34:I34" si="37">IF($C34&lt;&gt;"",E324,0)</f>
        <v>0</v>
      </c>
      <c r="E34" s="440">
        <f t="shared" si="37"/>
        <v>0</v>
      </c>
      <c r="F34" s="440">
        <f t="shared" si="37"/>
        <v>0</v>
      </c>
      <c r="G34" s="440">
        <f t="shared" si="37"/>
        <v>0</v>
      </c>
      <c r="H34" s="440">
        <f t="shared" si="37"/>
        <v>0</v>
      </c>
      <c r="I34" s="440">
        <f t="shared" si="37"/>
        <v>0</v>
      </c>
      <c r="J34" s="646"/>
      <c r="K34" s="440">
        <f t="shared" ref="K34:P34" si="38">IF($C34&lt;&gt;"",E325,0)</f>
        <v>0</v>
      </c>
      <c r="L34" s="440">
        <f t="shared" si="38"/>
        <v>0</v>
      </c>
      <c r="M34" s="440">
        <f t="shared" si="38"/>
        <v>0</v>
      </c>
      <c r="N34" s="440">
        <f t="shared" si="38"/>
        <v>0</v>
      </c>
      <c r="O34" s="440">
        <f t="shared" si="38"/>
        <v>0</v>
      </c>
      <c r="P34" s="440">
        <f t="shared" si="38"/>
        <v>0</v>
      </c>
      <c r="Q34" s="162"/>
      <c r="R34" s="162"/>
      <c r="S34" s="162"/>
      <c r="T34" s="162"/>
      <c r="U34" s="641"/>
      <c r="V34" s="641"/>
      <c r="W34" s="641"/>
      <c r="X34" s="641"/>
      <c r="Y34" s="641"/>
      <c r="Z34" s="641"/>
      <c r="AA34" s="641"/>
    </row>
    <row r="35" spans="1:30" s="420" customFormat="1" x14ac:dyDescent="0.2">
      <c r="A35" s="162"/>
      <c r="B35" s="141">
        <v>20</v>
      </c>
      <c r="C35" s="460" t="str">
        <f t="shared" si="0"/>
        <v>** NOT USED **</v>
      </c>
      <c r="D35" s="440">
        <f t="shared" ref="D35:I35" si="39">IF($C35&lt;&gt;"",E336,0)</f>
        <v>0</v>
      </c>
      <c r="E35" s="440">
        <f t="shared" si="39"/>
        <v>0</v>
      </c>
      <c r="F35" s="440">
        <f t="shared" si="39"/>
        <v>0</v>
      </c>
      <c r="G35" s="440">
        <f t="shared" si="39"/>
        <v>0</v>
      </c>
      <c r="H35" s="440">
        <f t="shared" si="39"/>
        <v>0</v>
      </c>
      <c r="I35" s="440">
        <f t="shared" si="39"/>
        <v>0</v>
      </c>
      <c r="J35" s="646"/>
      <c r="K35" s="440">
        <f t="shared" ref="K35:P35" si="40">IF($C35&lt;&gt;"",E337,0)</f>
        <v>0</v>
      </c>
      <c r="L35" s="440">
        <f t="shared" si="40"/>
        <v>0</v>
      </c>
      <c r="M35" s="440">
        <f t="shared" si="40"/>
        <v>0</v>
      </c>
      <c r="N35" s="440">
        <f t="shared" si="40"/>
        <v>0</v>
      </c>
      <c r="O35" s="440">
        <f t="shared" si="40"/>
        <v>0</v>
      </c>
      <c r="P35" s="440">
        <f t="shared" si="40"/>
        <v>0</v>
      </c>
      <c r="Q35" s="162"/>
      <c r="R35" s="162"/>
      <c r="S35" s="162"/>
      <c r="T35" s="162"/>
      <c r="U35" s="641"/>
      <c r="V35" s="641"/>
      <c r="W35" s="641"/>
      <c r="X35" s="641"/>
      <c r="Y35" s="641"/>
      <c r="Z35" s="641"/>
      <c r="AA35" s="641"/>
    </row>
    <row r="36" spans="1:30" s="420" customFormat="1" x14ac:dyDescent="0.2">
      <c r="A36" s="162"/>
      <c r="B36" s="162"/>
      <c r="C36" s="62" t="str">
        <f>TxPhase1Rx &amp; " - PBS"</f>
        <v xml:space="preserve"> - PBS</v>
      </c>
      <c r="D36" s="35">
        <f t="shared" ref="D36:I36" si="41">SUMIFS(D16:D35,$Y$50:$Y$69,TxPhase1Code)</f>
        <v>0</v>
      </c>
      <c r="E36" s="35">
        <f t="shared" si="41"/>
        <v>0</v>
      </c>
      <c r="F36" s="35">
        <f t="shared" si="41"/>
        <v>0</v>
      </c>
      <c r="G36" s="35">
        <f t="shared" si="41"/>
        <v>0</v>
      </c>
      <c r="H36" s="35">
        <f t="shared" si="41"/>
        <v>0</v>
      </c>
      <c r="I36" s="35">
        <f t="shared" si="41"/>
        <v>0</v>
      </c>
      <c r="J36" s="467"/>
      <c r="K36" s="35">
        <f t="shared" ref="K36:P36" si="42">SUMIFS(K16:K35,$Y$50:$Y$69,TxPhase1Code)</f>
        <v>0</v>
      </c>
      <c r="L36" s="35">
        <f t="shared" si="42"/>
        <v>0</v>
      </c>
      <c r="M36" s="35">
        <f t="shared" si="42"/>
        <v>0</v>
      </c>
      <c r="N36" s="35">
        <f t="shared" si="42"/>
        <v>0</v>
      </c>
      <c r="O36" s="35">
        <f t="shared" si="42"/>
        <v>0</v>
      </c>
      <c r="P36" s="35">
        <f t="shared" si="42"/>
        <v>0</v>
      </c>
      <c r="Q36" s="162"/>
      <c r="R36" s="162"/>
      <c r="S36" s="162"/>
      <c r="T36" s="162"/>
      <c r="U36" s="641"/>
      <c r="V36" s="641"/>
      <c r="W36" s="641"/>
      <c r="X36" s="641"/>
      <c r="Y36" s="641"/>
      <c r="Z36" s="641"/>
      <c r="AA36" s="641"/>
    </row>
    <row r="37" spans="1:30" s="420" customFormat="1" x14ac:dyDescent="0.2">
      <c r="A37" s="162"/>
      <c r="B37" s="162"/>
      <c r="C37" s="62" t="str">
        <f>IF(TxPhase2Px&lt;&gt;"",TxPhase2Rx &amp; " - PBS","")</f>
        <v/>
      </c>
      <c r="D37" s="35">
        <f t="shared" ref="D37:I37" si="43">SUMIFS(D16:D35,$Y$50:$Y$69,TxPhase2Code)</f>
        <v>0</v>
      </c>
      <c r="E37" s="35">
        <f t="shared" si="43"/>
        <v>0</v>
      </c>
      <c r="F37" s="35">
        <f t="shared" si="43"/>
        <v>0</v>
      </c>
      <c r="G37" s="35">
        <f t="shared" si="43"/>
        <v>0</v>
      </c>
      <c r="H37" s="35">
        <f t="shared" si="43"/>
        <v>0</v>
      </c>
      <c r="I37" s="35">
        <f t="shared" si="43"/>
        <v>0</v>
      </c>
      <c r="J37" s="467"/>
      <c r="K37" s="35">
        <f t="shared" ref="K37:P37" si="44">SUMIFS(K16:K35,$Y$50:$Y$69,TxPhase2Code)</f>
        <v>0</v>
      </c>
      <c r="L37" s="35">
        <f t="shared" si="44"/>
        <v>0</v>
      </c>
      <c r="M37" s="35">
        <f t="shared" si="44"/>
        <v>0</v>
      </c>
      <c r="N37" s="35">
        <f t="shared" si="44"/>
        <v>0</v>
      </c>
      <c r="O37" s="35">
        <f t="shared" si="44"/>
        <v>0</v>
      </c>
      <c r="P37" s="35">
        <f t="shared" si="44"/>
        <v>0</v>
      </c>
      <c r="Q37" s="162"/>
      <c r="R37" s="162"/>
      <c r="S37" s="162"/>
      <c r="T37" s="162"/>
      <c r="U37" s="641"/>
      <c r="V37" s="641"/>
      <c r="W37" s="641"/>
      <c r="X37" s="641"/>
      <c r="Y37" s="641"/>
      <c r="Z37" s="641"/>
      <c r="AA37" s="641"/>
    </row>
    <row r="38" spans="1:30" s="420" customFormat="1" x14ac:dyDescent="0.2">
      <c r="A38" s="162"/>
      <c r="B38" s="162"/>
      <c r="C38" s="162"/>
      <c r="D38" s="162"/>
      <c r="E38" s="162"/>
      <c r="F38" s="657"/>
      <c r="G38" s="657"/>
      <c r="H38" s="657"/>
      <c r="I38" s="657"/>
      <c r="J38" s="657"/>
      <c r="K38" s="657"/>
      <c r="L38" s="657"/>
      <c r="M38" s="657"/>
      <c r="N38" s="657"/>
      <c r="O38" s="657"/>
      <c r="P38" s="162"/>
      <c r="Q38" s="162"/>
      <c r="R38" s="162"/>
      <c r="S38" s="162"/>
      <c r="T38" s="162"/>
      <c r="U38" s="641"/>
      <c r="V38" s="641"/>
      <c r="W38" s="641"/>
      <c r="X38" s="641"/>
      <c r="Y38" s="641"/>
      <c r="Z38" s="641"/>
      <c r="AA38" s="641"/>
    </row>
    <row r="39" spans="1:30" s="420" customFormat="1" x14ac:dyDescent="0.2">
      <c r="A39" s="162"/>
      <c r="B39" s="162"/>
      <c r="C39" s="467"/>
      <c r="D39" s="458">
        <f>FirstYear</f>
        <v>2021</v>
      </c>
      <c r="E39" s="458">
        <f>D39+1</f>
        <v>2022</v>
      </c>
      <c r="F39" s="458">
        <f>E39+1</f>
        <v>2023</v>
      </c>
      <c r="G39" s="458">
        <f>F39+1</f>
        <v>2024</v>
      </c>
      <c r="H39" s="458">
        <f>G39+1</f>
        <v>2025</v>
      </c>
      <c r="I39" s="458">
        <f>H39+1</f>
        <v>2026</v>
      </c>
      <c r="J39" s="162"/>
      <c r="K39" s="162"/>
      <c r="L39" s="162"/>
      <c r="M39" s="162"/>
      <c r="N39" s="162"/>
      <c r="O39" s="162"/>
      <c r="P39" s="162"/>
      <c r="Q39" s="162"/>
      <c r="R39" s="162"/>
      <c r="S39" s="162"/>
      <c r="T39" s="162"/>
      <c r="U39" s="641"/>
      <c r="V39" s="641"/>
      <c r="W39" s="641"/>
      <c r="X39" s="641"/>
      <c r="Y39" s="641"/>
      <c r="Z39" s="641"/>
      <c r="AA39" s="641"/>
    </row>
    <row r="40" spans="1:30" s="420" customFormat="1" x14ac:dyDescent="0.2">
      <c r="A40" s="162"/>
      <c r="B40" s="162"/>
      <c r="C40" s="59" t="str">
        <f>TxPhase1RxTotal</f>
        <v/>
      </c>
      <c r="D40" s="40">
        <f t="shared" ref="D40:I41" si="45">D36+K36</f>
        <v>0</v>
      </c>
      <c r="E40" s="40">
        <f t="shared" si="45"/>
        <v>0</v>
      </c>
      <c r="F40" s="40">
        <f t="shared" si="45"/>
        <v>0</v>
      </c>
      <c r="G40" s="40">
        <f t="shared" si="45"/>
        <v>0</v>
      </c>
      <c r="H40" s="40">
        <f t="shared" si="45"/>
        <v>0</v>
      </c>
      <c r="I40" s="40">
        <f t="shared" si="45"/>
        <v>0</v>
      </c>
      <c r="J40" s="162"/>
      <c r="K40" s="162"/>
      <c r="L40" s="162"/>
      <c r="M40" s="162"/>
      <c r="N40" s="162"/>
      <c r="O40" s="162"/>
      <c r="P40" s="162"/>
      <c r="Q40" s="162"/>
      <c r="R40" s="162"/>
      <c r="S40" s="162"/>
      <c r="T40" s="162"/>
      <c r="U40" s="641"/>
      <c r="V40" s="641"/>
      <c r="W40" s="641"/>
      <c r="X40" s="641"/>
      <c r="Y40" s="641"/>
      <c r="Z40" s="641"/>
      <c r="AA40" s="641"/>
    </row>
    <row r="41" spans="1:30" s="420" customFormat="1" x14ac:dyDescent="0.2">
      <c r="A41" s="162"/>
      <c r="B41" s="162"/>
      <c r="C41" s="59" t="str">
        <f>TxPhase2RxTotal</f>
        <v/>
      </c>
      <c r="D41" s="40">
        <f t="shared" si="45"/>
        <v>0</v>
      </c>
      <c r="E41" s="40">
        <f t="shared" si="45"/>
        <v>0</v>
      </c>
      <c r="F41" s="40">
        <f t="shared" si="45"/>
        <v>0</v>
      </c>
      <c r="G41" s="40">
        <f t="shared" si="45"/>
        <v>0</v>
      </c>
      <c r="H41" s="40">
        <f t="shared" si="45"/>
        <v>0</v>
      </c>
      <c r="I41" s="40">
        <f t="shared" si="45"/>
        <v>0</v>
      </c>
      <c r="J41" s="162"/>
      <c r="K41" s="162"/>
      <c r="L41" s="162"/>
      <c r="M41" s="162"/>
      <c r="N41" s="162"/>
      <c r="O41" s="162"/>
      <c r="P41" s="162"/>
      <c r="Q41" s="162"/>
      <c r="R41" s="162"/>
      <c r="S41" s="162"/>
      <c r="T41" s="162"/>
      <c r="U41" s="641"/>
      <c r="V41" s="641"/>
      <c r="W41" s="641"/>
      <c r="X41" s="641"/>
      <c r="Y41" s="641"/>
      <c r="Z41" s="641"/>
      <c r="AA41" s="641"/>
    </row>
    <row r="42" spans="1:30" s="420" customFormat="1" x14ac:dyDescent="0.2">
      <c r="A42" s="162"/>
      <c r="B42" s="162"/>
      <c r="C42" s="162"/>
      <c r="D42" s="715"/>
      <c r="E42" s="715"/>
      <c r="F42" s="715"/>
      <c r="G42" s="715"/>
      <c r="H42" s="715"/>
      <c r="I42" s="715"/>
      <c r="J42" s="162"/>
      <c r="K42" s="162"/>
      <c r="L42" s="162"/>
      <c r="M42" s="162"/>
      <c r="N42" s="162"/>
      <c r="O42" s="162"/>
      <c r="P42" s="162"/>
      <c r="Q42" s="162"/>
      <c r="R42" s="162"/>
      <c r="S42" s="162"/>
      <c r="T42" s="162"/>
      <c r="U42" s="641"/>
      <c r="V42" s="641"/>
      <c r="W42" s="641"/>
      <c r="X42" s="641"/>
      <c r="Y42" s="641"/>
      <c r="Z42" s="641"/>
      <c r="AA42" s="641"/>
    </row>
    <row r="43" spans="1:30" s="420" customFormat="1" x14ac:dyDescent="0.2">
      <c r="A43" s="162"/>
      <c r="B43" s="162"/>
      <c r="C43" s="162"/>
      <c r="D43" s="716"/>
      <c r="E43" s="716"/>
      <c r="F43" s="716"/>
      <c r="G43" s="716"/>
      <c r="H43" s="716"/>
      <c r="I43" s="716"/>
      <c r="J43" s="162"/>
      <c r="K43" s="162"/>
      <c r="L43" s="162"/>
      <c r="M43" s="162"/>
      <c r="N43" s="162"/>
      <c r="O43" s="162"/>
      <c r="P43" s="162"/>
      <c r="Q43" s="162"/>
      <c r="R43" s="162"/>
      <c r="S43" s="162"/>
      <c r="T43" s="162"/>
      <c r="U43" s="641"/>
      <c r="V43" s="641"/>
      <c r="W43" s="641"/>
      <c r="X43" s="641"/>
      <c r="Y43" s="641"/>
      <c r="Z43" s="641"/>
      <c r="AA43" s="641"/>
    </row>
    <row r="44" spans="1:30" ht="15.75" x14ac:dyDescent="0.2">
      <c r="A44" s="125"/>
      <c r="B44" s="125"/>
      <c r="C44" s="79" t="str">
        <f>"2. Identify the " &amp; IF(AND(ScriptSourceCode&lt;&gt;2,ScriptSourceCode&lt;&gt;3),"PBS / RPBS split and co-payments",IF(MarketImpact=0,"expected substitutable medicines in the current PBS market","existing medicine that will be the basis for the proposed medicine"))</f>
        <v>2. Identify the PBS / RPBS split and co-payments</v>
      </c>
      <c r="D44" s="142"/>
      <c r="E44" s="127"/>
      <c r="F44" s="127"/>
      <c r="G44" s="127"/>
      <c r="H44" s="127"/>
      <c r="I44" s="127"/>
      <c r="J44" s="127"/>
      <c r="K44" s="127"/>
      <c r="L44" s="127"/>
      <c r="M44" s="127"/>
      <c r="N44" s="124"/>
      <c r="O44" s="124"/>
      <c r="P44" s="124"/>
      <c r="Q44" s="124"/>
      <c r="R44" s="124"/>
      <c r="S44" s="124"/>
      <c r="T44" s="124"/>
      <c r="U44" s="25"/>
      <c r="V44" s="25"/>
      <c r="W44" s="25"/>
      <c r="X44" s="25"/>
      <c r="Y44" s="25"/>
      <c r="Z44" s="25"/>
      <c r="AA44" s="25"/>
    </row>
    <row r="45" spans="1:30" ht="15.75" x14ac:dyDescent="0.2">
      <c r="A45" s="125"/>
      <c r="B45" s="125"/>
      <c r="C45" s="655"/>
      <c r="D45" s="656"/>
      <c r="E45" s="125"/>
      <c r="F45" s="125"/>
      <c r="G45" s="125"/>
      <c r="H45" s="125"/>
      <c r="I45" s="125"/>
      <c r="J45" s="125"/>
      <c r="K45" s="125"/>
      <c r="L45" s="125"/>
      <c r="M45" s="125"/>
      <c r="N45" s="125"/>
      <c r="O45" s="125"/>
      <c r="P45" s="125"/>
      <c r="Q45" s="125"/>
      <c r="R45" s="125"/>
      <c r="S45" s="125"/>
      <c r="T45" s="125"/>
      <c r="U45" s="125"/>
      <c r="V45" s="615"/>
      <c r="W45" s="615"/>
      <c r="X45" s="615"/>
      <c r="Y45" s="615"/>
      <c r="Z45" s="615"/>
      <c r="AA45" s="615"/>
      <c r="AB45" s="615"/>
      <c r="AC45" s="615"/>
    </row>
    <row r="46" spans="1:30" ht="14.25" customHeight="1" x14ac:dyDescent="0.2">
      <c r="A46" s="125"/>
      <c r="B46" s="125"/>
      <c r="C46" s="243" t="str">
        <f>IF(AND(ScriptSourceCode&lt;&gt;2,ScriptSourceCode&lt;&gt;3),"Please list the comparator(s) that will be used to derive the PBS / RPBS split and co-payments for this listing.","Please list the details of currently available medicines.") &amp; " The service volumes should be for the last full calendar year."</f>
        <v>Please list the comparator(s) that will be used to derive the PBS / RPBS split and co-payments for this listing. The service volumes should be for the last full calendar year.</v>
      </c>
      <c r="D46" s="162"/>
      <c r="E46" s="162"/>
      <c r="F46" s="162"/>
      <c r="G46" s="162"/>
      <c r="H46" s="162"/>
      <c r="I46" s="162"/>
      <c r="J46" s="162"/>
      <c r="K46" s="125"/>
      <c r="L46" s="125"/>
      <c r="M46" s="125"/>
      <c r="N46" s="125"/>
      <c r="O46" s="125"/>
      <c r="P46" s="125"/>
      <c r="Q46" s="125"/>
      <c r="R46" s="125"/>
      <c r="S46" s="125"/>
      <c r="T46" s="125"/>
      <c r="U46" s="125"/>
      <c r="V46" s="615"/>
      <c r="W46" s="615"/>
      <c r="X46" s="615"/>
      <c r="Y46" s="615"/>
      <c r="Z46" s="615"/>
      <c r="AA46" s="615"/>
      <c r="AB46" s="615"/>
      <c r="AC46" s="615"/>
    </row>
    <row r="47" spans="1:30" x14ac:dyDescent="0.2">
      <c r="A47" s="125"/>
      <c r="B47" s="125"/>
      <c r="C47" s="162"/>
      <c r="D47" s="162"/>
      <c r="E47" s="162"/>
      <c r="F47" s="162"/>
      <c r="G47" s="162"/>
      <c r="H47" s="162"/>
      <c r="I47" s="162"/>
      <c r="J47" s="162"/>
      <c r="K47" s="162"/>
      <c r="L47" s="125"/>
      <c r="M47" s="125"/>
      <c r="N47" s="125"/>
      <c r="O47" s="125"/>
      <c r="P47" s="125"/>
      <c r="Q47" s="125"/>
      <c r="R47" s="125"/>
      <c r="S47" s="125"/>
      <c r="T47" s="125"/>
      <c r="U47" s="125"/>
      <c r="V47" s="615"/>
      <c r="W47" s="615"/>
      <c r="X47" s="615"/>
      <c r="Y47" s="615"/>
      <c r="Z47" s="615"/>
      <c r="AA47" s="615"/>
      <c r="AB47" s="615"/>
      <c r="AC47" s="615"/>
    </row>
    <row r="48" spans="1:30" ht="14.25" customHeight="1" x14ac:dyDescent="0.2">
      <c r="A48" s="125"/>
      <c r="B48" s="125"/>
      <c r="C48" s="677" t="str">
        <f>"Service volumes for calendar year " &amp; FirstYear-1</f>
        <v>Service volumes for calendar year 2020</v>
      </c>
      <c r="D48" s="656"/>
      <c r="E48" s="125"/>
      <c r="F48" s="125"/>
      <c r="G48" s="125"/>
      <c r="H48" s="125"/>
      <c r="I48" s="836" t="s">
        <v>104</v>
      </c>
      <c r="J48" s="809"/>
      <c r="K48" s="809"/>
      <c r="L48" s="809"/>
      <c r="M48" s="836" t="s">
        <v>103</v>
      </c>
      <c r="N48" s="809"/>
      <c r="O48" s="473"/>
      <c r="P48" s="824" t="s">
        <v>298</v>
      </c>
      <c r="Q48" s="825"/>
      <c r="R48" s="125"/>
      <c r="S48" s="125"/>
      <c r="T48" s="125"/>
      <c r="U48" s="615"/>
      <c r="V48" s="615"/>
      <c r="W48" s="615"/>
      <c r="X48" s="615"/>
      <c r="Y48" s="615"/>
      <c r="Z48" s="615"/>
      <c r="AA48" s="615"/>
      <c r="AB48" s="615"/>
      <c r="AC48" s="615"/>
      <c r="AD48" s="615"/>
    </row>
    <row r="49" spans="1:30" ht="38.25" x14ac:dyDescent="0.2">
      <c r="A49" s="125"/>
      <c r="B49" s="125"/>
      <c r="C49" s="82" t="s">
        <v>813</v>
      </c>
      <c r="D49" s="830" t="s">
        <v>110</v>
      </c>
      <c r="E49" s="831"/>
      <c r="F49" s="832"/>
      <c r="G49" s="83" t="s">
        <v>109</v>
      </c>
      <c r="H49" s="327" t="s">
        <v>262</v>
      </c>
      <c r="I49" s="82" t="s">
        <v>94</v>
      </c>
      <c r="J49" s="82" t="s">
        <v>95</v>
      </c>
      <c r="K49" s="82" t="s">
        <v>96</v>
      </c>
      <c r="L49" s="82" t="s">
        <v>97</v>
      </c>
      <c r="M49" s="82" t="s">
        <v>98</v>
      </c>
      <c r="N49" s="82" t="s">
        <v>99</v>
      </c>
      <c r="O49" s="446" t="s">
        <v>756</v>
      </c>
      <c r="P49" s="82" t="s">
        <v>296</v>
      </c>
      <c r="Q49" s="82" t="s">
        <v>297</v>
      </c>
      <c r="R49" s="82" t="s">
        <v>100</v>
      </c>
      <c r="S49" s="82" t="s">
        <v>105</v>
      </c>
      <c r="T49" s="82" t="s">
        <v>106</v>
      </c>
      <c r="U49" s="48" t="s">
        <v>296</v>
      </c>
      <c r="V49" s="48" t="s">
        <v>297</v>
      </c>
      <c r="W49" s="8" t="s">
        <v>101</v>
      </c>
      <c r="X49" s="8" t="s">
        <v>102</v>
      </c>
      <c r="Y49" s="8" t="s">
        <v>764</v>
      </c>
      <c r="Z49" s="451" t="s">
        <v>763</v>
      </c>
      <c r="AA49" s="8" t="s">
        <v>279</v>
      </c>
      <c r="AB49" s="615"/>
      <c r="AC49" s="615"/>
      <c r="AD49" s="615"/>
    </row>
    <row r="50" spans="1:30" x14ac:dyDescent="0.2">
      <c r="A50" s="125"/>
      <c r="B50" s="141">
        <v>1</v>
      </c>
      <c r="C50" s="376"/>
      <c r="D50" s="833"/>
      <c r="E50" s="834"/>
      <c r="F50" s="835"/>
      <c r="G50" s="329"/>
      <c r="H50" s="266"/>
      <c r="I50" s="430"/>
      <c r="J50" s="430"/>
      <c r="K50" s="430"/>
      <c r="L50" s="430"/>
      <c r="M50" s="427"/>
      <c r="N50" s="427"/>
      <c r="O50" s="455"/>
      <c r="P50" s="268"/>
      <c r="Q50" s="268"/>
      <c r="R50" s="63">
        <f t="shared" ref="R50:R69" si="46">X50+W50</f>
        <v>0</v>
      </c>
      <c r="S50" s="51">
        <f t="shared" ref="S50:S69" si="47">IF(AND(W50&lt;&gt;0,R50&lt;&gt;0),W50/R50,0)</f>
        <v>0</v>
      </c>
      <c r="T50" s="51">
        <f t="shared" ref="T50:T69" si="48">IF(AND(X50&lt;&gt;0,R50&lt;&gt;0),X50/R50,0)</f>
        <v>0</v>
      </c>
      <c r="U50" s="537">
        <f t="shared" ref="U50:U69" si="49">IF(P50="Yes",R50,0)</f>
        <v>0</v>
      </c>
      <c r="V50" s="537">
        <f t="shared" ref="V50:V69" si="50">IF(Q50="Yes",R50,0)</f>
        <v>0</v>
      </c>
      <c r="W50" s="562">
        <f t="shared" ref="W50:W69" si="51">SUM($I50:$L50)</f>
        <v>0</v>
      </c>
      <c r="X50" s="562">
        <f t="shared" ref="X50:X69" si="52">SUM($M50:$N50)</f>
        <v>0</v>
      </c>
      <c r="Y50" s="563" t="str">
        <f t="shared" ref="Y50:Y69" si="53">IFERROR(VLOOKUP(H50,TPShortCode,3,FALSE),"")</f>
        <v/>
      </c>
      <c r="Z50" s="563" t="str">
        <f t="shared" ref="Z50:Z69" si="54">IFERROR(VLOOKUP(H50,TPShortCode,2,FALSE),"")</f>
        <v/>
      </c>
      <c r="AA50" s="564" t="str">
        <f t="shared" ref="AA50:AA69" si="55">IF(AND(C50&lt;&gt;"",OR(ScriptSourceCode=2,ScriptSourceCode=3)),CONCATENATE(G50," - ",C50," ",D50," - ",H50),MsgNotUsed)</f>
        <v>** NOT USED **</v>
      </c>
    </row>
    <row r="51" spans="1:30" x14ac:dyDescent="0.2">
      <c r="A51" s="125"/>
      <c r="B51" s="141">
        <v>2</v>
      </c>
      <c r="C51" s="481"/>
      <c r="D51" s="833"/>
      <c r="E51" s="834"/>
      <c r="F51" s="835"/>
      <c r="G51" s="329"/>
      <c r="H51" s="266"/>
      <c r="I51" s="430"/>
      <c r="J51" s="430"/>
      <c r="K51" s="430"/>
      <c r="L51" s="430"/>
      <c r="M51" s="427"/>
      <c r="N51" s="427"/>
      <c r="O51" s="455"/>
      <c r="P51" s="268"/>
      <c r="Q51" s="268"/>
      <c r="R51" s="63">
        <f t="shared" si="46"/>
        <v>0</v>
      </c>
      <c r="S51" s="51">
        <f t="shared" si="47"/>
        <v>0</v>
      </c>
      <c r="T51" s="51">
        <f t="shared" si="48"/>
        <v>0</v>
      </c>
      <c r="U51" s="537">
        <f t="shared" si="49"/>
        <v>0</v>
      </c>
      <c r="V51" s="537">
        <f t="shared" si="50"/>
        <v>0</v>
      </c>
      <c r="W51" s="562">
        <f t="shared" si="51"/>
        <v>0</v>
      </c>
      <c r="X51" s="562">
        <f t="shared" si="52"/>
        <v>0</v>
      </c>
      <c r="Y51" s="563" t="str">
        <f t="shared" si="53"/>
        <v/>
      </c>
      <c r="Z51" s="563" t="str">
        <f t="shared" si="54"/>
        <v/>
      </c>
      <c r="AA51" s="564" t="str">
        <f t="shared" si="55"/>
        <v>** NOT USED **</v>
      </c>
    </row>
    <row r="52" spans="1:30" x14ac:dyDescent="0.2">
      <c r="A52" s="125"/>
      <c r="B52" s="141">
        <v>3</v>
      </c>
      <c r="C52" s="481"/>
      <c r="D52" s="833"/>
      <c r="E52" s="834"/>
      <c r="F52" s="835"/>
      <c r="G52" s="329"/>
      <c r="H52" s="266"/>
      <c r="I52" s="430"/>
      <c r="J52" s="430"/>
      <c r="K52" s="430"/>
      <c r="L52" s="430"/>
      <c r="M52" s="427"/>
      <c r="N52" s="427"/>
      <c r="O52" s="455"/>
      <c r="P52" s="268"/>
      <c r="Q52" s="268"/>
      <c r="R52" s="63">
        <f t="shared" si="46"/>
        <v>0</v>
      </c>
      <c r="S52" s="51">
        <f t="shared" si="47"/>
        <v>0</v>
      </c>
      <c r="T52" s="51">
        <f t="shared" si="48"/>
        <v>0</v>
      </c>
      <c r="U52" s="537">
        <f t="shared" si="49"/>
        <v>0</v>
      </c>
      <c r="V52" s="537">
        <f t="shared" si="50"/>
        <v>0</v>
      </c>
      <c r="W52" s="562">
        <f t="shared" si="51"/>
        <v>0</v>
      </c>
      <c r="X52" s="562">
        <f t="shared" si="52"/>
        <v>0</v>
      </c>
      <c r="Y52" s="563" t="str">
        <f t="shared" si="53"/>
        <v/>
      </c>
      <c r="Z52" s="563" t="str">
        <f t="shared" si="54"/>
        <v/>
      </c>
      <c r="AA52" s="564" t="str">
        <f t="shared" si="55"/>
        <v>** NOT USED **</v>
      </c>
    </row>
    <row r="53" spans="1:30" x14ac:dyDescent="0.2">
      <c r="A53" s="125"/>
      <c r="B53" s="141">
        <v>4</v>
      </c>
      <c r="C53" s="481"/>
      <c r="D53" s="833"/>
      <c r="E53" s="834"/>
      <c r="F53" s="835"/>
      <c r="G53" s="329"/>
      <c r="H53" s="266"/>
      <c r="I53" s="430"/>
      <c r="J53" s="430"/>
      <c r="K53" s="430"/>
      <c r="L53" s="430"/>
      <c r="M53" s="427"/>
      <c r="N53" s="427"/>
      <c r="O53" s="455"/>
      <c r="P53" s="268"/>
      <c r="Q53" s="268"/>
      <c r="R53" s="63">
        <f t="shared" si="46"/>
        <v>0</v>
      </c>
      <c r="S53" s="51">
        <f t="shared" si="47"/>
        <v>0</v>
      </c>
      <c r="T53" s="51">
        <f t="shared" si="48"/>
        <v>0</v>
      </c>
      <c r="U53" s="537">
        <f t="shared" si="49"/>
        <v>0</v>
      </c>
      <c r="V53" s="537">
        <f t="shared" si="50"/>
        <v>0</v>
      </c>
      <c r="W53" s="562">
        <f t="shared" si="51"/>
        <v>0</v>
      </c>
      <c r="X53" s="562">
        <f t="shared" si="52"/>
        <v>0</v>
      </c>
      <c r="Y53" s="563" t="str">
        <f t="shared" si="53"/>
        <v/>
      </c>
      <c r="Z53" s="563" t="str">
        <f t="shared" si="54"/>
        <v/>
      </c>
      <c r="AA53" s="564" t="str">
        <f t="shared" si="55"/>
        <v>** NOT USED **</v>
      </c>
    </row>
    <row r="54" spans="1:30" x14ac:dyDescent="0.2">
      <c r="A54" s="125"/>
      <c r="B54" s="141">
        <v>5</v>
      </c>
      <c r="C54" s="481"/>
      <c r="D54" s="833"/>
      <c r="E54" s="834"/>
      <c r="F54" s="835"/>
      <c r="G54" s="329"/>
      <c r="H54" s="266"/>
      <c r="I54" s="430"/>
      <c r="J54" s="430"/>
      <c r="K54" s="430"/>
      <c r="L54" s="430"/>
      <c r="M54" s="427"/>
      <c r="N54" s="427"/>
      <c r="O54" s="455"/>
      <c r="P54" s="268"/>
      <c r="Q54" s="268"/>
      <c r="R54" s="63">
        <f t="shared" si="46"/>
        <v>0</v>
      </c>
      <c r="S54" s="51">
        <f t="shared" si="47"/>
        <v>0</v>
      </c>
      <c r="T54" s="51">
        <f t="shared" si="48"/>
        <v>0</v>
      </c>
      <c r="U54" s="537">
        <f t="shared" si="49"/>
        <v>0</v>
      </c>
      <c r="V54" s="537">
        <f t="shared" si="50"/>
        <v>0</v>
      </c>
      <c r="W54" s="562">
        <f t="shared" si="51"/>
        <v>0</v>
      </c>
      <c r="X54" s="562">
        <f t="shared" si="52"/>
        <v>0</v>
      </c>
      <c r="Y54" s="563" t="str">
        <f t="shared" si="53"/>
        <v/>
      </c>
      <c r="Z54" s="563" t="str">
        <f t="shared" si="54"/>
        <v/>
      </c>
      <c r="AA54" s="564" t="str">
        <f t="shared" si="55"/>
        <v>** NOT USED **</v>
      </c>
    </row>
    <row r="55" spans="1:30" x14ac:dyDescent="0.2">
      <c r="A55" s="125"/>
      <c r="B55" s="141">
        <v>6</v>
      </c>
      <c r="C55" s="481"/>
      <c r="D55" s="833"/>
      <c r="E55" s="834"/>
      <c r="F55" s="835"/>
      <c r="G55" s="329"/>
      <c r="H55" s="266"/>
      <c r="I55" s="430"/>
      <c r="J55" s="430"/>
      <c r="K55" s="430"/>
      <c r="L55" s="430"/>
      <c r="M55" s="427"/>
      <c r="N55" s="427"/>
      <c r="O55" s="455"/>
      <c r="P55" s="268"/>
      <c r="Q55" s="268"/>
      <c r="R55" s="63">
        <f t="shared" si="46"/>
        <v>0</v>
      </c>
      <c r="S55" s="51">
        <f t="shared" si="47"/>
        <v>0</v>
      </c>
      <c r="T55" s="51">
        <f t="shared" si="48"/>
        <v>0</v>
      </c>
      <c r="U55" s="537">
        <f t="shared" si="49"/>
        <v>0</v>
      </c>
      <c r="V55" s="537">
        <f t="shared" si="50"/>
        <v>0</v>
      </c>
      <c r="W55" s="562">
        <f t="shared" si="51"/>
        <v>0</v>
      </c>
      <c r="X55" s="562">
        <f t="shared" si="52"/>
        <v>0</v>
      </c>
      <c r="Y55" s="563" t="str">
        <f t="shared" si="53"/>
        <v/>
      </c>
      <c r="Z55" s="563" t="str">
        <f t="shared" si="54"/>
        <v/>
      </c>
      <c r="AA55" s="564" t="str">
        <f t="shared" si="55"/>
        <v>** NOT USED **</v>
      </c>
    </row>
    <row r="56" spans="1:30" x14ac:dyDescent="0.2">
      <c r="A56" s="125"/>
      <c r="B56" s="141">
        <v>7</v>
      </c>
      <c r="C56" s="481"/>
      <c r="D56" s="833"/>
      <c r="E56" s="834"/>
      <c r="F56" s="835"/>
      <c r="G56" s="329"/>
      <c r="H56" s="266"/>
      <c r="I56" s="427"/>
      <c r="J56" s="427"/>
      <c r="K56" s="427"/>
      <c r="L56" s="427"/>
      <c r="M56" s="427"/>
      <c r="N56" s="427"/>
      <c r="O56" s="455"/>
      <c r="P56" s="268"/>
      <c r="Q56" s="268"/>
      <c r="R56" s="63">
        <f t="shared" si="46"/>
        <v>0</v>
      </c>
      <c r="S56" s="51">
        <f t="shared" si="47"/>
        <v>0</v>
      </c>
      <c r="T56" s="51">
        <f t="shared" si="48"/>
        <v>0</v>
      </c>
      <c r="U56" s="537">
        <f t="shared" si="49"/>
        <v>0</v>
      </c>
      <c r="V56" s="537">
        <f t="shared" si="50"/>
        <v>0</v>
      </c>
      <c r="W56" s="562">
        <f t="shared" si="51"/>
        <v>0</v>
      </c>
      <c r="X56" s="562">
        <f t="shared" si="52"/>
        <v>0</v>
      </c>
      <c r="Y56" s="563" t="str">
        <f t="shared" si="53"/>
        <v/>
      </c>
      <c r="Z56" s="563" t="str">
        <f t="shared" si="54"/>
        <v/>
      </c>
      <c r="AA56" s="564" t="str">
        <f t="shared" si="55"/>
        <v>** NOT USED **</v>
      </c>
    </row>
    <row r="57" spans="1:30" x14ac:dyDescent="0.2">
      <c r="A57" s="125"/>
      <c r="B57" s="141">
        <v>8</v>
      </c>
      <c r="C57" s="481"/>
      <c r="D57" s="833"/>
      <c r="E57" s="834"/>
      <c r="F57" s="835"/>
      <c r="G57" s="329"/>
      <c r="H57" s="266"/>
      <c r="I57" s="427"/>
      <c r="J57" s="427"/>
      <c r="K57" s="427"/>
      <c r="L57" s="427"/>
      <c r="M57" s="427"/>
      <c r="N57" s="427"/>
      <c r="O57" s="455"/>
      <c r="P57" s="268"/>
      <c r="Q57" s="268"/>
      <c r="R57" s="63">
        <f t="shared" si="46"/>
        <v>0</v>
      </c>
      <c r="S57" s="51">
        <f t="shared" si="47"/>
        <v>0</v>
      </c>
      <c r="T57" s="51">
        <f t="shared" si="48"/>
        <v>0</v>
      </c>
      <c r="U57" s="537">
        <f t="shared" si="49"/>
        <v>0</v>
      </c>
      <c r="V57" s="537">
        <f t="shared" si="50"/>
        <v>0</v>
      </c>
      <c r="W57" s="562">
        <f t="shared" si="51"/>
        <v>0</v>
      </c>
      <c r="X57" s="562">
        <f t="shared" si="52"/>
        <v>0</v>
      </c>
      <c r="Y57" s="563" t="str">
        <f t="shared" si="53"/>
        <v/>
      </c>
      <c r="Z57" s="563" t="str">
        <f t="shared" si="54"/>
        <v/>
      </c>
      <c r="AA57" s="564" t="str">
        <f t="shared" si="55"/>
        <v>** NOT USED **</v>
      </c>
    </row>
    <row r="58" spans="1:30" x14ac:dyDescent="0.2">
      <c r="A58" s="125"/>
      <c r="B58" s="141">
        <v>9</v>
      </c>
      <c r="C58" s="481"/>
      <c r="D58" s="833"/>
      <c r="E58" s="834"/>
      <c r="F58" s="835"/>
      <c r="G58" s="329"/>
      <c r="H58" s="266"/>
      <c r="I58" s="427"/>
      <c r="J58" s="427"/>
      <c r="K58" s="427"/>
      <c r="L58" s="427"/>
      <c r="M58" s="427"/>
      <c r="N58" s="427"/>
      <c r="O58" s="455"/>
      <c r="P58" s="268"/>
      <c r="Q58" s="268"/>
      <c r="R58" s="63">
        <f t="shared" si="46"/>
        <v>0</v>
      </c>
      <c r="S58" s="51">
        <f t="shared" si="47"/>
        <v>0</v>
      </c>
      <c r="T58" s="51">
        <f t="shared" si="48"/>
        <v>0</v>
      </c>
      <c r="U58" s="537">
        <f t="shared" si="49"/>
        <v>0</v>
      </c>
      <c r="V58" s="537">
        <f t="shared" si="50"/>
        <v>0</v>
      </c>
      <c r="W58" s="562">
        <f t="shared" si="51"/>
        <v>0</v>
      </c>
      <c r="X58" s="562">
        <f t="shared" si="52"/>
        <v>0</v>
      </c>
      <c r="Y58" s="563" t="str">
        <f t="shared" si="53"/>
        <v/>
      </c>
      <c r="Z58" s="563" t="str">
        <f t="shared" si="54"/>
        <v/>
      </c>
      <c r="AA58" s="564" t="str">
        <f t="shared" si="55"/>
        <v>** NOT USED **</v>
      </c>
    </row>
    <row r="59" spans="1:30" x14ac:dyDescent="0.2">
      <c r="A59" s="125"/>
      <c r="B59" s="141">
        <v>10</v>
      </c>
      <c r="C59" s="481"/>
      <c r="D59" s="833"/>
      <c r="E59" s="834"/>
      <c r="F59" s="835"/>
      <c r="G59" s="329"/>
      <c r="H59" s="266"/>
      <c r="I59" s="427"/>
      <c r="J59" s="427"/>
      <c r="K59" s="427"/>
      <c r="L59" s="427"/>
      <c r="M59" s="427"/>
      <c r="N59" s="427"/>
      <c r="O59" s="455"/>
      <c r="P59" s="268"/>
      <c r="Q59" s="268"/>
      <c r="R59" s="63">
        <f t="shared" si="46"/>
        <v>0</v>
      </c>
      <c r="S59" s="51">
        <f t="shared" si="47"/>
        <v>0</v>
      </c>
      <c r="T59" s="51">
        <f t="shared" si="48"/>
        <v>0</v>
      </c>
      <c r="U59" s="537">
        <f t="shared" si="49"/>
        <v>0</v>
      </c>
      <c r="V59" s="537">
        <f t="shared" si="50"/>
        <v>0</v>
      </c>
      <c r="W59" s="562">
        <f t="shared" si="51"/>
        <v>0</v>
      </c>
      <c r="X59" s="562">
        <f t="shared" si="52"/>
        <v>0</v>
      </c>
      <c r="Y59" s="563" t="str">
        <f t="shared" si="53"/>
        <v/>
      </c>
      <c r="Z59" s="563" t="str">
        <f t="shared" si="54"/>
        <v/>
      </c>
      <c r="AA59" s="564" t="str">
        <f t="shared" si="55"/>
        <v>** NOT USED **</v>
      </c>
    </row>
    <row r="60" spans="1:30" x14ac:dyDescent="0.2">
      <c r="A60" s="125"/>
      <c r="B60" s="141">
        <v>11</v>
      </c>
      <c r="C60" s="481"/>
      <c r="D60" s="833"/>
      <c r="E60" s="834"/>
      <c r="F60" s="835"/>
      <c r="G60" s="329"/>
      <c r="H60" s="266"/>
      <c r="I60" s="427"/>
      <c r="J60" s="427"/>
      <c r="K60" s="427"/>
      <c r="L60" s="427"/>
      <c r="M60" s="427"/>
      <c r="N60" s="427"/>
      <c r="O60" s="455"/>
      <c r="P60" s="268"/>
      <c r="Q60" s="268"/>
      <c r="R60" s="63">
        <f t="shared" si="46"/>
        <v>0</v>
      </c>
      <c r="S60" s="51">
        <f t="shared" si="47"/>
        <v>0</v>
      </c>
      <c r="T60" s="51">
        <f t="shared" si="48"/>
        <v>0</v>
      </c>
      <c r="U60" s="537">
        <f t="shared" si="49"/>
        <v>0</v>
      </c>
      <c r="V60" s="537">
        <f t="shared" si="50"/>
        <v>0</v>
      </c>
      <c r="W60" s="562">
        <f t="shared" si="51"/>
        <v>0</v>
      </c>
      <c r="X60" s="562">
        <f t="shared" si="52"/>
        <v>0</v>
      </c>
      <c r="Y60" s="563" t="str">
        <f t="shared" si="53"/>
        <v/>
      </c>
      <c r="Z60" s="563" t="str">
        <f t="shared" si="54"/>
        <v/>
      </c>
      <c r="AA60" s="564" t="str">
        <f t="shared" si="55"/>
        <v>** NOT USED **</v>
      </c>
    </row>
    <row r="61" spans="1:30" x14ac:dyDescent="0.2">
      <c r="A61" s="125"/>
      <c r="B61" s="141">
        <v>12</v>
      </c>
      <c r="C61" s="481"/>
      <c r="D61" s="833"/>
      <c r="E61" s="834"/>
      <c r="F61" s="835"/>
      <c r="G61" s="329"/>
      <c r="H61" s="266"/>
      <c r="I61" s="427"/>
      <c r="J61" s="427"/>
      <c r="K61" s="427"/>
      <c r="L61" s="427"/>
      <c r="M61" s="427"/>
      <c r="N61" s="427"/>
      <c r="O61" s="455"/>
      <c r="P61" s="268"/>
      <c r="Q61" s="268"/>
      <c r="R61" s="63">
        <f t="shared" si="46"/>
        <v>0</v>
      </c>
      <c r="S61" s="51">
        <f t="shared" si="47"/>
        <v>0</v>
      </c>
      <c r="T61" s="51">
        <f t="shared" si="48"/>
        <v>0</v>
      </c>
      <c r="U61" s="537">
        <f t="shared" si="49"/>
        <v>0</v>
      </c>
      <c r="V61" s="537">
        <f t="shared" si="50"/>
        <v>0</v>
      </c>
      <c r="W61" s="562">
        <f t="shared" si="51"/>
        <v>0</v>
      </c>
      <c r="X61" s="562">
        <f t="shared" si="52"/>
        <v>0</v>
      </c>
      <c r="Y61" s="563" t="str">
        <f t="shared" si="53"/>
        <v/>
      </c>
      <c r="Z61" s="563" t="str">
        <f t="shared" si="54"/>
        <v/>
      </c>
      <c r="AA61" s="564" t="str">
        <f t="shared" si="55"/>
        <v>** NOT USED **</v>
      </c>
    </row>
    <row r="62" spans="1:30" x14ac:dyDescent="0.2">
      <c r="A62" s="125"/>
      <c r="B62" s="141">
        <v>13</v>
      </c>
      <c r="C62" s="481"/>
      <c r="D62" s="833"/>
      <c r="E62" s="834"/>
      <c r="F62" s="835"/>
      <c r="G62" s="329"/>
      <c r="H62" s="266"/>
      <c r="I62" s="427"/>
      <c r="J62" s="427"/>
      <c r="K62" s="427"/>
      <c r="L62" s="427"/>
      <c r="M62" s="427"/>
      <c r="N62" s="427"/>
      <c r="O62" s="455"/>
      <c r="P62" s="268"/>
      <c r="Q62" s="268"/>
      <c r="R62" s="63">
        <f t="shared" si="46"/>
        <v>0</v>
      </c>
      <c r="S62" s="51">
        <f t="shared" si="47"/>
        <v>0</v>
      </c>
      <c r="T62" s="51">
        <f t="shared" si="48"/>
        <v>0</v>
      </c>
      <c r="U62" s="537">
        <f t="shared" si="49"/>
        <v>0</v>
      </c>
      <c r="V62" s="537">
        <f t="shared" si="50"/>
        <v>0</v>
      </c>
      <c r="W62" s="562">
        <f t="shared" si="51"/>
        <v>0</v>
      </c>
      <c r="X62" s="562">
        <f t="shared" si="52"/>
        <v>0</v>
      </c>
      <c r="Y62" s="563" t="str">
        <f t="shared" si="53"/>
        <v/>
      </c>
      <c r="Z62" s="563" t="str">
        <f t="shared" si="54"/>
        <v/>
      </c>
      <c r="AA62" s="564" t="str">
        <f t="shared" si="55"/>
        <v>** NOT USED **</v>
      </c>
    </row>
    <row r="63" spans="1:30" x14ac:dyDescent="0.2">
      <c r="A63" s="125"/>
      <c r="B63" s="141">
        <v>14</v>
      </c>
      <c r="C63" s="481"/>
      <c r="D63" s="833"/>
      <c r="E63" s="834"/>
      <c r="F63" s="835"/>
      <c r="G63" s="329"/>
      <c r="H63" s="266"/>
      <c r="I63" s="427"/>
      <c r="J63" s="427"/>
      <c r="K63" s="427"/>
      <c r="L63" s="427"/>
      <c r="M63" s="427"/>
      <c r="N63" s="427"/>
      <c r="O63" s="455"/>
      <c r="P63" s="268"/>
      <c r="Q63" s="268"/>
      <c r="R63" s="63">
        <f t="shared" si="46"/>
        <v>0</v>
      </c>
      <c r="S63" s="51">
        <f t="shared" si="47"/>
        <v>0</v>
      </c>
      <c r="T63" s="51">
        <f t="shared" si="48"/>
        <v>0</v>
      </c>
      <c r="U63" s="537">
        <f t="shared" si="49"/>
        <v>0</v>
      </c>
      <c r="V63" s="537">
        <f t="shared" si="50"/>
        <v>0</v>
      </c>
      <c r="W63" s="562">
        <f t="shared" si="51"/>
        <v>0</v>
      </c>
      <c r="X63" s="562">
        <f t="shared" si="52"/>
        <v>0</v>
      </c>
      <c r="Y63" s="563" t="str">
        <f t="shared" si="53"/>
        <v/>
      </c>
      <c r="Z63" s="563" t="str">
        <f t="shared" si="54"/>
        <v/>
      </c>
      <c r="AA63" s="564" t="str">
        <f t="shared" si="55"/>
        <v>** NOT USED **</v>
      </c>
    </row>
    <row r="64" spans="1:30" x14ac:dyDescent="0.2">
      <c r="A64" s="125"/>
      <c r="B64" s="141">
        <v>15</v>
      </c>
      <c r="C64" s="481"/>
      <c r="D64" s="833"/>
      <c r="E64" s="834"/>
      <c r="F64" s="835"/>
      <c r="G64" s="329"/>
      <c r="H64" s="266"/>
      <c r="I64" s="427"/>
      <c r="J64" s="427"/>
      <c r="K64" s="427"/>
      <c r="L64" s="427"/>
      <c r="M64" s="427"/>
      <c r="N64" s="427"/>
      <c r="O64" s="455"/>
      <c r="P64" s="268"/>
      <c r="Q64" s="268"/>
      <c r="R64" s="63">
        <f t="shared" si="46"/>
        <v>0</v>
      </c>
      <c r="S64" s="51">
        <f t="shared" si="47"/>
        <v>0</v>
      </c>
      <c r="T64" s="51">
        <f t="shared" si="48"/>
        <v>0</v>
      </c>
      <c r="U64" s="537">
        <f t="shared" si="49"/>
        <v>0</v>
      </c>
      <c r="V64" s="537">
        <f t="shared" si="50"/>
        <v>0</v>
      </c>
      <c r="W64" s="562">
        <f t="shared" si="51"/>
        <v>0</v>
      </c>
      <c r="X64" s="562">
        <f t="shared" si="52"/>
        <v>0</v>
      </c>
      <c r="Y64" s="563" t="str">
        <f t="shared" si="53"/>
        <v/>
      </c>
      <c r="Z64" s="563" t="str">
        <f t="shared" si="54"/>
        <v/>
      </c>
      <c r="AA64" s="564" t="str">
        <f t="shared" si="55"/>
        <v>** NOT USED **</v>
      </c>
    </row>
    <row r="65" spans="1:29" x14ac:dyDescent="0.2">
      <c r="A65" s="125"/>
      <c r="B65" s="141">
        <v>16</v>
      </c>
      <c r="C65" s="481"/>
      <c r="D65" s="833"/>
      <c r="E65" s="834"/>
      <c r="F65" s="835"/>
      <c r="G65" s="329"/>
      <c r="H65" s="266"/>
      <c r="I65" s="427"/>
      <c r="J65" s="427"/>
      <c r="K65" s="427"/>
      <c r="L65" s="427"/>
      <c r="M65" s="427"/>
      <c r="N65" s="427"/>
      <c r="O65" s="455"/>
      <c r="P65" s="268"/>
      <c r="Q65" s="268"/>
      <c r="R65" s="63">
        <f t="shared" si="46"/>
        <v>0</v>
      </c>
      <c r="S65" s="51">
        <f t="shared" si="47"/>
        <v>0</v>
      </c>
      <c r="T65" s="51">
        <f t="shared" si="48"/>
        <v>0</v>
      </c>
      <c r="U65" s="537">
        <f t="shared" si="49"/>
        <v>0</v>
      </c>
      <c r="V65" s="537">
        <f t="shared" si="50"/>
        <v>0</v>
      </c>
      <c r="W65" s="562">
        <f t="shared" si="51"/>
        <v>0</v>
      </c>
      <c r="X65" s="562">
        <f t="shared" si="52"/>
        <v>0</v>
      </c>
      <c r="Y65" s="563" t="str">
        <f t="shared" si="53"/>
        <v/>
      </c>
      <c r="Z65" s="563" t="str">
        <f t="shared" si="54"/>
        <v/>
      </c>
      <c r="AA65" s="564" t="str">
        <f t="shared" si="55"/>
        <v>** NOT USED **</v>
      </c>
    </row>
    <row r="66" spans="1:29" x14ac:dyDescent="0.2">
      <c r="A66" s="125"/>
      <c r="B66" s="141">
        <v>17</v>
      </c>
      <c r="C66" s="374"/>
      <c r="D66" s="837"/>
      <c r="E66" s="837"/>
      <c r="F66" s="837"/>
      <c r="G66" s="329"/>
      <c r="H66" s="266"/>
      <c r="I66" s="366"/>
      <c r="J66" s="366"/>
      <c r="K66" s="366"/>
      <c r="L66" s="366"/>
      <c r="M66" s="366"/>
      <c r="N66" s="366"/>
      <c r="O66" s="455"/>
      <c r="P66" s="268"/>
      <c r="Q66" s="268"/>
      <c r="R66" s="63">
        <f t="shared" si="46"/>
        <v>0</v>
      </c>
      <c r="S66" s="51">
        <f t="shared" si="47"/>
        <v>0</v>
      </c>
      <c r="T66" s="51">
        <f t="shared" si="48"/>
        <v>0</v>
      </c>
      <c r="U66" s="537">
        <f t="shared" si="49"/>
        <v>0</v>
      </c>
      <c r="V66" s="537">
        <f t="shared" si="50"/>
        <v>0</v>
      </c>
      <c r="W66" s="562">
        <f t="shared" si="51"/>
        <v>0</v>
      </c>
      <c r="X66" s="562">
        <f t="shared" si="52"/>
        <v>0</v>
      </c>
      <c r="Y66" s="563" t="str">
        <f t="shared" si="53"/>
        <v/>
      </c>
      <c r="Z66" s="563" t="str">
        <f t="shared" si="54"/>
        <v/>
      </c>
      <c r="AA66" s="564" t="str">
        <f t="shared" si="55"/>
        <v>** NOT USED **</v>
      </c>
    </row>
    <row r="67" spans="1:29" x14ac:dyDescent="0.2">
      <c r="A67" s="125"/>
      <c r="B67" s="141">
        <v>18</v>
      </c>
      <c r="C67" s="374"/>
      <c r="D67" s="837"/>
      <c r="E67" s="837"/>
      <c r="F67" s="837"/>
      <c r="G67" s="329"/>
      <c r="H67" s="266"/>
      <c r="I67" s="366"/>
      <c r="J67" s="366"/>
      <c r="K67" s="366"/>
      <c r="L67" s="366"/>
      <c r="M67" s="366"/>
      <c r="N67" s="366"/>
      <c r="O67" s="455"/>
      <c r="P67" s="268"/>
      <c r="Q67" s="268"/>
      <c r="R67" s="63">
        <f t="shared" si="46"/>
        <v>0</v>
      </c>
      <c r="S67" s="51">
        <f t="shared" si="47"/>
        <v>0</v>
      </c>
      <c r="T67" s="51">
        <f t="shared" si="48"/>
        <v>0</v>
      </c>
      <c r="U67" s="537">
        <f t="shared" si="49"/>
        <v>0</v>
      </c>
      <c r="V67" s="537">
        <f t="shared" si="50"/>
        <v>0</v>
      </c>
      <c r="W67" s="562">
        <f t="shared" si="51"/>
        <v>0</v>
      </c>
      <c r="X67" s="562">
        <f t="shared" si="52"/>
        <v>0</v>
      </c>
      <c r="Y67" s="563" t="str">
        <f t="shared" si="53"/>
        <v/>
      </c>
      <c r="Z67" s="563" t="str">
        <f t="shared" si="54"/>
        <v/>
      </c>
      <c r="AA67" s="564" t="str">
        <f t="shared" si="55"/>
        <v>** NOT USED **</v>
      </c>
    </row>
    <row r="68" spans="1:29" x14ac:dyDescent="0.2">
      <c r="A68" s="125"/>
      <c r="B68" s="141">
        <v>19</v>
      </c>
      <c r="C68" s="374"/>
      <c r="D68" s="837"/>
      <c r="E68" s="837"/>
      <c r="F68" s="837"/>
      <c r="G68" s="329"/>
      <c r="H68" s="266"/>
      <c r="I68" s="366"/>
      <c r="J68" s="366"/>
      <c r="K68" s="366"/>
      <c r="L68" s="366"/>
      <c r="M68" s="366"/>
      <c r="N68" s="366"/>
      <c r="O68" s="455"/>
      <c r="P68" s="268"/>
      <c r="Q68" s="268"/>
      <c r="R68" s="63">
        <f t="shared" si="46"/>
        <v>0</v>
      </c>
      <c r="S68" s="51">
        <f t="shared" si="47"/>
        <v>0</v>
      </c>
      <c r="T68" s="51">
        <f t="shared" si="48"/>
        <v>0</v>
      </c>
      <c r="U68" s="537">
        <f t="shared" si="49"/>
        <v>0</v>
      </c>
      <c r="V68" s="537">
        <f t="shared" si="50"/>
        <v>0</v>
      </c>
      <c r="W68" s="562">
        <f t="shared" si="51"/>
        <v>0</v>
      </c>
      <c r="X68" s="562">
        <f t="shared" si="52"/>
        <v>0</v>
      </c>
      <c r="Y68" s="563" t="str">
        <f t="shared" si="53"/>
        <v/>
      </c>
      <c r="Z68" s="563" t="str">
        <f t="shared" si="54"/>
        <v/>
      </c>
      <c r="AA68" s="564" t="str">
        <f t="shared" si="55"/>
        <v>** NOT USED **</v>
      </c>
    </row>
    <row r="69" spans="1:29" x14ac:dyDescent="0.2">
      <c r="A69" s="125"/>
      <c r="B69" s="141">
        <v>20</v>
      </c>
      <c r="C69" s="374"/>
      <c r="D69" s="837"/>
      <c r="E69" s="837"/>
      <c r="F69" s="837"/>
      <c r="G69" s="329"/>
      <c r="H69" s="266"/>
      <c r="I69" s="366"/>
      <c r="J69" s="366"/>
      <c r="K69" s="366"/>
      <c r="L69" s="366"/>
      <c r="M69" s="366"/>
      <c r="N69" s="366"/>
      <c r="O69" s="455"/>
      <c r="P69" s="268"/>
      <c r="Q69" s="268"/>
      <c r="R69" s="63">
        <f t="shared" si="46"/>
        <v>0</v>
      </c>
      <c r="S69" s="51">
        <f t="shared" si="47"/>
        <v>0</v>
      </c>
      <c r="T69" s="51">
        <f t="shared" si="48"/>
        <v>0</v>
      </c>
      <c r="U69" s="537">
        <f t="shared" si="49"/>
        <v>0</v>
      </c>
      <c r="V69" s="537">
        <f t="shared" si="50"/>
        <v>0</v>
      </c>
      <c r="W69" s="562">
        <f t="shared" si="51"/>
        <v>0</v>
      </c>
      <c r="X69" s="562">
        <f t="shared" si="52"/>
        <v>0</v>
      </c>
      <c r="Y69" s="563" t="str">
        <f t="shared" si="53"/>
        <v/>
      </c>
      <c r="Z69" s="563" t="str">
        <f t="shared" si="54"/>
        <v/>
      </c>
      <c r="AA69" s="564" t="str">
        <f t="shared" si="55"/>
        <v>** NOT USED **</v>
      </c>
    </row>
    <row r="70" spans="1:29" x14ac:dyDescent="0.2">
      <c r="A70" s="125"/>
      <c r="B70" s="125"/>
      <c r="C70" s="125"/>
      <c r="D70" s="125"/>
      <c r="E70" s="125"/>
      <c r="F70" s="125"/>
      <c r="G70" s="125"/>
      <c r="H70" s="49" t="s">
        <v>73</v>
      </c>
      <c r="I70" s="63">
        <f t="shared" ref="I70:N70" si="56">SUM(I50:I69)</f>
        <v>0</v>
      </c>
      <c r="J70" s="63">
        <f t="shared" si="56"/>
        <v>0</v>
      </c>
      <c r="K70" s="63">
        <f t="shared" si="56"/>
        <v>0</v>
      </c>
      <c r="L70" s="63">
        <f t="shared" si="56"/>
        <v>0</v>
      </c>
      <c r="M70" s="63">
        <f t="shared" si="56"/>
        <v>0</v>
      </c>
      <c r="N70" s="63">
        <f t="shared" si="56"/>
        <v>0</v>
      </c>
      <c r="Q70" s="416"/>
      <c r="R70"/>
      <c r="S70" s="120"/>
      <c r="T70" s="120"/>
      <c r="U70" s="565">
        <f>SUM(U50:U69)</f>
        <v>0</v>
      </c>
      <c r="V70" s="565">
        <f>SUM(V50:V69)</f>
        <v>0</v>
      </c>
      <c r="W70" s="565">
        <f>SUM(W50:W69)</f>
        <v>0</v>
      </c>
      <c r="X70" s="565">
        <f>SUM(X50:X69)</f>
        <v>0</v>
      </c>
      <c r="Y70" s="615"/>
      <c r="Z70" s="615"/>
      <c r="AA70" s="615"/>
      <c r="AB70" s="2"/>
      <c r="AC70" s="2"/>
    </row>
    <row r="71" spans="1:29" s="416" customFormat="1" hidden="1" x14ac:dyDescent="0.2">
      <c r="A71" s="125"/>
      <c r="B71" s="125"/>
      <c r="C71" s="125"/>
      <c r="D71" s="125"/>
      <c r="E71" s="125"/>
      <c r="F71" s="125"/>
      <c r="G71" s="125"/>
      <c r="H71"/>
      <c r="I71"/>
      <c r="J71"/>
      <c r="K71"/>
      <c r="L71"/>
      <c r="M71"/>
      <c r="N71"/>
      <c r="O71"/>
      <c r="R71"/>
      <c r="S71" s="434"/>
      <c r="T71" s="434"/>
      <c r="U71" s="434"/>
      <c r="V71" s="434"/>
      <c r="W71"/>
      <c r="X71"/>
      <c r="Y71" s="615"/>
      <c r="Z71" s="615"/>
      <c r="AA71" s="615"/>
      <c r="AC71" s="2"/>
    </row>
    <row r="72" spans="1:29" s="416" customFormat="1" hidden="1" x14ac:dyDescent="0.2">
      <c r="A72" s="125"/>
      <c r="B72" s="125"/>
      <c r="C72" s="125"/>
      <c r="D72" s="615"/>
      <c r="E72" s="615"/>
      <c r="F72" s="125"/>
      <c r="G72" s="125"/>
      <c r="H72" s="49" t="s">
        <v>753</v>
      </c>
      <c r="I72"/>
      <c r="J72"/>
      <c r="K72"/>
      <c r="L72"/>
      <c r="M72"/>
      <c r="N72"/>
      <c r="O72"/>
      <c r="P72" s="448" t="s">
        <v>101</v>
      </c>
      <c r="Q72" s="448" t="s">
        <v>102</v>
      </c>
      <c r="R72" s="448" t="s">
        <v>100</v>
      </c>
      <c r="S72" s="447" t="s">
        <v>105</v>
      </c>
      <c r="T72" s="447" t="s">
        <v>106</v>
      </c>
      <c r="U72" s="447" t="s">
        <v>754</v>
      </c>
      <c r="V72" s="447" t="s">
        <v>755</v>
      </c>
      <c r="W72" s="451" t="s">
        <v>296</v>
      </c>
      <c r="X72" s="451" t="s">
        <v>297</v>
      </c>
      <c r="Y72" s="465" t="s">
        <v>142</v>
      </c>
      <c r="Z72" s="465" t="s">
        <v>290</v>
      </c>
      <c r="AA72" s="615"/>
      <c r="AC72" s="2"/>
    </row>
    <row r="73" spans="1:29" hidden="1" x14ac:dyDescent="0.2">
      <c r="A73" s="125"/>
      <c r="B73" s="125"/>
      <c r="C73" s="125"/>
      <c r="D73" s="615"/>
      <c r="E73" s="615"/>
      <c r="F73" s="125"/>
      <c r="G73" s="125"/>
      <c r="H73" s="456">
        <v>1</v>
      </c>
      <c r="I73" s="536">
        <f t="shared" ref="I73:L77" si="57">IF($P73&lt;&gt;0,SUMIF($O$50:$O$69,$H73,I$50:I$69)/$P73,0)</f>
        <v>0</v>
      </c>
      <c r="J73" s="536">
        <f t="shared" si="57"/>
        <v>0</v>
      </c>
      <c r="K73" s="536">
        <f t="shared" si="57"/>
        <v>0</v>
      </c>
      <c r="L73" s="536">
        <f t="shared" si="57"/>
        <v>0</v>
      </c>
      <c r="M73" s="536">
        <f t="shared" ref="M73:N77" si="58">IF($Q73&lt;&gt;0,SUMIF($O$50:$O$69,$H73,M$50:M$69)/$Q73,0)</f>
        <v>0</v>
      </c>
      <c r="N73" s="536">
        <f t="shared" si="58"/>
        <v>0</v>
      </c>
      <c r="P73" s="368">
        <f t="shared" ref="P73:Q77" si="59">SUMIF($O$50:$O$69,$H73,W$50:W$69)</f>
        <v>0</v>
      </c>
      <c r="Q73" s="368">
        <f t="shared" si="59"/>
        <v>0</v>
      </c>
      <c r="R73" s="368">
        <f>P73+Q73</f>
        <v>0</v>
      </c>
      <c r="S73" s="462">
        <f>IF(R73&lt;&gt;0,P73/R73,0)</f>
        <v>0</v>
      </c>
      <c r="T73" s="462">
        <f>IF(R73&lt;&gt;0,Q73/R73,0)</f>
        <v>0</v>
      </c>
      <c r="U73" s="463">
        <f>SUMPRODUCT(I73:L73,$I$78:$L$78)</f>
        <v>0</v>
      </c>
      <c r="V73" s="463">
        <f>SUMPRODUCT(M73:N73,$M$78:$N$78)</f>
        <v>0</v>
      </c>
      <c r="W73" s="368">
        <f t="shared" ref="W73:X77" si="60">SUMIF($O$50:$O$69,$H73,U$50:U$69)</f>
        <v>0</v>
      </c>
      <c r="X73" s="368">
        <f t="shared" si="60"/>
        <v>0</v>
      </c>
      <c r="Y73" s="466">
        <f t="shared" ref="Y73:Z77" si="61">SUMIFS($R$50:$R$69,$Y$50:$Y$69,Y$72,$O$50:$O$69,$H73)</f>
        <v>0</v>
      </c>
      <c r="Z73" s="466">
        <f t="shared" si="61"/>
        <v>0</v>
      </c>
      <c r="AA73" s="615"/>
    </row>
    <row r="74" spans="1:29" s="416" customFormat="1" hidden="1" x14ac:dyDescent="0.2">
      <c r="A74" s="125"/>
      <c r="B74" s="125"/>
      <c r="C74" s="125"/>
      <c r="D74" s="125"/>
      <c r="E74" s="125"/>
      <c r="F74" s="125"/>
      <c r="G74" s="125"/>
      <c r="H74" s="456">
        <v>2</v>
      </c>
      <c r="I74" s="536">
        <f t="shared" si="57"/>
        <v>0</v>
      </c>
      <c r="J74" s="536">
        <f t="shared" si="57"/>
        <v>0</v>
      </c>
      <c r="K74" s="536">
        <f t="shared" si="57"/>
        <v>0</v>
      </c>
      <c r="L74" s="536">
        <f t="shared" si="57"/>
        <v>0</v>
      </c>
      <c r="M74" s="536">
        <f t="shared" si="58"/>
        <v>0</v>
      </c>
      <c r="N74" s="536">
        <f t="shared" si="58"/>
        <v>0</v>
      </c>
      <c r="O74"/>
      <c r="P74" s="368">
        <f t="shared" si="59"/>
        <v>0</v>
      </c>
      <c r="Q74" s="368">
        <f t="shared" si="59"/>
        <v>0</v>
      </c>
      <c r="R74" s="368">
        <f>P74+Q74</f>
        <v>0</v>
      </c>
      <c r="S74" s="462">
        <f>IF(R74&lt;&gt;0,P74/R74,0)</f>
        <v>0</v>
      </c>
      <c r="T74" s="462">
        <f>IF(R74&lt;&gt;0,Q74/R74,0)</f>
        <v>0</v>
      </c>
      <c r="U74" s="463">
        <f>SUMPRODUCT(I74:L74,$I$78:$L$78)</f>
        <v>0</v>
      </c>
      <c r="V74" s="463">
        <f>SUMPRODUCT(M74:N74,$M$78:$N$78)</f>
        <v>0</v>
      </c>
      <c r="W74" s="368">
        <f t="shared" si="60"/>
        <v>0</v>
      </c>
      <c r="X74" s="368">
        <f t="shared" si="60"/>
        <v>0</v>
      </c>
      <c r="Y74" s="466">
        <f t="shared" si="61"/>
        <v>0</v>
      </c>
      <c r="Z74" s="466">
        <f t="shared" si="61"/>
        <v>0</v>
      </c>
      <c r="AA74" s="615"/>
    </row>
    <row r="75" spans="1:29" s="416" customFormat="1" hidden="1" x14ac:dyDescent="0.2">
      <c r="A75" s="125"/>
      <c r="B75" s="125"/>
      <c r="C75" s="125"/>
      <c r="D75" s="125"/>
      <c r="E75" s="125"/>
      <c r="F75" s="125"/>
      <c r="G75" s="125"/>
      <c r="H75" s="456">
        <v>3</v>
      </c>
      <c r="I75" s="536">
        <f t="shared" si="57"/>
        <v>0</v>
      </c>
      <c r="J75" s="536">
        <f t="shared" si="57"/>
        <v>0</v>
      </c>
      <c r="K75" s="536">
        <f t="shared" si="57"/>
        <v>0</v>
      </c>
      <c r="L75" s="536">
        <f t="shared" si="57"/>
        <v>0</v>
      </c>
      <c r="M75" s="536">
        <f t="shared" si="58"/>
        <v>0</v>
      </c>
      <c r="N75" s="536">
        <f t="shared" si="58"/>
        <v>0</v>
      </c>
      <c r="O75"/>
      <c r="P75" s="368">
        <f t="shared" si="59"/>
        <v>0</v>
      </c>
      <c r="Q75" s="368">
        <f t="shared" si="59"/>
        <v>0</v>
      </c>
      <c r="R75" s="368">
        <f>P75+Q75</f>
        <v>0</v>
      </c>
      <c r="S75" s="462">
        <f>IF(R75&lt;&gt;0,P75/R75,0)</f>
        <v>0</v>
      </c>
      <c r="T75" s="462">
        <f>IF(R75&lt;&gt;0,Q75/R75,0)</f>
        <v>0</v>
      </c>
      <c r="U75" s="463">
        <f>SUMPRODUCT(I75:L75,$I$78:$L$78)</f>
        <v>0</v>
      </c>
      <c r="V75" s="463">
        <f>SUMPRODUCT(M75:N75,$M$78:$N$78)</f>
        <v>0</v>
      </c>
      <c r="W75" s="368">
        <f t="shared" si="60"/>
        <v>0</v>
      </c>
      <c r="X75" s="368">
        <f t="shared" si="60"/>
        <v>0</v>
      </c>
      <c r="Y75" s="466">
        <f t="shared" si="61"/>
        <v>0</v>
      </c>
      <c r="Z75" s="466">
        <f t="shared" si="61"/>
        <v>0</v>
      </c>
      <c r="AA75" s="615"/>
    </row>
    <row r="76" spans="1:29" s="416" customFormat="1" hidden="1" x14ac:dyDescent="0.2">
      <c r="A76" s="125"/>
      <c r="B76" s="125"/>
      <c r="C76" s="125"/>
      <c r="D76" s="125"/>
      <c r="E76" s="125"/>
      <c r="F76" s="125"/>
      <c r="G76" s="125"/>
      <c r="H76" s="456">
        <v>4</v>
      </c>
      <c r="I76" s="536">
        <f t="shared" si="57"/>
        <v>0</v>
      </c>
      <c r="J76" s="536">
        <f t="shared" si="57"/>
        <v>0</v>
      </c>
      <c r="K76" s="536">
        <f t="shared" si="57"/>
        <v>0</v>
      </c>
      <c r="L76" s="536">
        <f t="shared" si="57"/>
        <v>0</v>
      </c>
      <c r="M76" s="536">
        <f t="shared" si="58"/>
        <v>0</v>
      </c>
      <c r="N76" s="536">
        <f t="shared" si="58"/>
        <v>0</v>
      </c>
      <c r="O76"/>
      <c r="P76" s="368">
        <f t="shared" si="59"/>
        <v>0</v>
      </c>
      <c r="Q76" s="368">
        <f t="shared" si="59"/>
        <v>0</v>
      </c>
      <c r="R76" s="368">
        <f>P76+Q76</f>
        <v>0</v>
      </c>
      <c r="S76" s="462">
        <f>IF(R76&lt;&gt;0,P76/R76,0)</f>
        <v>0</v>
      </c>
      <c r="T76" s="462">
        <f>IF(R76&lt;&gt;0,Q76/R76,0)</f>
        <v>0</v>
      </c>
      <c r="U76" s="463">
        <f>SUMPRODUCT(I76:L76,$I$78:$L$78)</f>
        <v>0</v>
      </c>
      <c r="V76" s="463">
        <f>SUMPRODUCT(M76:N76,$M$78:$N$78)</f>
        <v>0</v>
      </c>
      <c r="W76" s="368">
        <f t="shared" si="60"/>
        <v>0</v>
      </c>
      <c r="X76" s="368">
        <f t="shared" si="60"/>
        <v>0</v>
      </c>
      <c r="Y76" s="466">
        <f t="shared" si="61"/>
        <v>0</v>
      </c>
      <c r="Z76" s="466">
        <f t="shared" si="61"/>
        <v>0</v>
      </c>
      <c r="AA76" s="615"/>
    </row>
    <row r="77" spans="1:29" s="416" customFormat="1" hidden="1" x14ac:dyDescent="0.2">
      <c r="A77" s="125"/>
      <c r="B77" s="125"/>
      <c r="C77" s="125"/>
      <c r="D77" s="125"/>
      <c r="E77" s="125"/>
      <c r="F77" s="125"/>
      <c r="G77" s="125"/>
      <c r="H77" s="456">
        <v>5</v>
      </c>
      <c r="I77" s="536">
        <f t="shared" si="57"/>
        <v>0</v>
      </c>
      <c r="J77" s="536">
        <f t="shared" si="57"/>
        <v>0</v>
      </c>
      <c r="K77" s="536">
        <f t="shared" si="57"/>
        <v>0</v>
      </c>
      <c r="L77" s="536">
        <f t="shared" si="57"/>
        <v>0</v>
      </c>
      <c r="M77" s="536">
        <f t="shared" si="58"/>
        <v>0</v>
      </c>
      <c r="N77" s="536">
        <f t="shared" si="58"/>
        <v>0</v>
      </c>
      <c r="O77"/>
      <c r="P77" s="368">
        <f t="shared" si="59"/>
        <v>0</v>
      </c>
      <c r="Q77" s="368">
        <f t="shared" si="59"/>
        <v>0</v>
      </c>
      <c r="R77" s="368">
        <f>P77+Q77</f>
        <v>0</v>
      </c>
      <c r="S77" s="462">
        <f>IF(R77&lt;&gt;0,P77/R77,0)</f>
        <v>0</v>
      </c>
      <c r="T77" s="462">
        <f>IF(R77&lt;&gt;0,Q77/R77,0)</f>
        <v>0</v>
      </c>
      <c r="U77" s="463">
        <f>SUMPRODUCT(I77:L77,$I$78:$L$78)</f>
        <v>0</v>
      </c>
      <c r="V77" s="463">
        <f>SUMPRODUCT(M77:N77,$M$78:$N$78)</f>
        <v>0</v>
      </c>
      <c r="W77" s="368">
        <f t="shared" si="60"/>
        <v>0</v>
      </c>
      <c r="X77" s="368">
        <f t="shared" si="60"/>
        <v>0</v>
      </c>
      <c r="Y77" s="466">
        <f t="shared" si="61"/>
        <v>0</v>
      </c>
      <c r="Z77" s="466">
        <f t="shared" si="61"/>
        <v>0</v>
      </c>
      <c r="AA77" s="615"/>
    </row>
    <row r="78" spans="1:29" x14ac:dyDescent="0.2">
      <c r="A78" s="125"/>
      <c r="B78" s="125"/>
      <c r="C78" s="125"/>
      <c r="D78" s="125"/>
      <c r="E78" s="615"/>
      <c r="F78" s="125"/>
      <c r="G78" s="125"/>
      <c r="H78" s="49" t="s">
        <v>74</v>
      </c>
      <c r="I78" s="372">
        <f>CoPayG2</f>
        <v>41.3</v>
      </c>
      <c r="J78" s="372">
        <f>CoPayG1</f>
        <v>6.6</v>
      </c>
      <c r="K78" s="372">
        <f>CoPayC1</f>
        <v>6.6</v>
      </c>
      <c r="L78" s="372">
        <f>CoPayC0</f>
        <v>0</v>
      </c>
      <c r="M78" s="372">
        <f>CoPayR1</f>
        <v>6.6</v>
      </c>
      <c r="N78" s="372">
        <f>CoPayR0</f>
        <v>0</v>
      </c>
      <c r="P78" s="143"/>
      <c r="Q78" s="144"/>
      <c r="R78"/>
      <c r="V78" s="615"/>
      <c r="W78" s="615"/>
      <c r="X78" s="615"/>
      <c r="Y78" s="641"/>
      <c r="Z78" s="641"/>
      <c r="AA78" s="641"/>
    </row>
    <row r="79" spans="1:29" x14ac:dyDescent="0.2">
      <c r="A79" s="125"/>
      <c r="B79" s="125"/>
      <c r="C79" s="125"/>
      <c r="D79" s="125"/>
      <c r="E79" s="615"/>
      <c r="F79" s="125"/>
      <c r="G79" s="125"/>
      <c r="H79" s="121"/>
      <c r="I79" s="121"/>
      <c r="J79" s="121"/>
      <c r="K79" s="121"/>
      <c r="L79" s="121"/>
      <c r="M79" s="121"/>
      <c r="N79" s="121"/>
      <c r="P79" s="121"/>
      <c r="Q79" s="144"/>
      <c r="R79" s="121"/>
      <c r="S79" s="361"/>
      <c r="T79" s="121"/>
      <c r="U79" s="121"/>
      <c r="V79" s="615"/>
      <c r="W79" s="615"/>
      <c r="X79" s="615"/>
      <c r="Y79" s="641"/>
      <c r="Z79" s="641"/>
      <c r="AA79" s="641"/>
    </row>
    <row r="80" spans="1:29" s="416" customFormat="1" x14ac:dyDescent="0.2">
      <c r="A80" s="125"/>
      <c r="B80" s="125"/>
      <c r="C80" s="125"/>
      <c r="D80" s="125"/>
      <c r="E80" s="615"/>
      <c r="F80" s="125"/>
      <c r="G80" s="125"/>
      <c r="H80" s="361"/>
      <c r="I80" s="361"/>
      <c r="J80" s="361"/>
      <c r="K80" s="361"/>
      <c r="L80" s="361"/>
      <c r="M80" s="361"/>
      <c r="N80" s="361"/>
      <c r="P80" s="361"/>
      <c r="Q80" s="145"/>
      <c r="R80" s="361"/>
      <c r="S80" s="361"/>
      <c r="T80" s="125"/>
      <c r="U80" s="125"/>
      <c r="V80" s="615"/>
      <c r="W80" s="615"/>
      <c r="X80" s="615"/>
      <c r="Y80" s="641"/>
      <c r="Z80" s="641"/>
      <c r="AA80" s="641"/>
    </row>
    <row r="81" spans="1:27" s="416" customFormat="1" x14ac:dyDescent="0.2">
      <c r="A81" s="125"/>
      <c r="B81" s="125"/>
      <c r="C81" s="125"/>
      <c r="D81" s="615"/>
      <c r="E81" s="615"/>
      <c r="F81" s="615"/>
      <c r="G81" s="615"/>
      <c r="H81" s="474" t="s">
        <v>599</v>
      </c>
      <c r="I81" s="451" t="s">
        <v>0</v>
      </c>
      <c r="J81" s="451" t="s">
        <v>1</v>
      </c>
      <c r="K81" s="451" t="s">
        <v>0</v>
      </c>
      <c r="L81" s="451" t="s">
        <v>1</v>
      </c>
      <c r="M81" s="361"/>
      <c r="T81" s="125"/>
      <c r="U81" s="641"/>
      <c r="V81" s="594" t="s">
        <v>289</v>
      </c>
      <c r="W81" s="594" t="s">
        <v>142</v>
      </c>
      <c r="X81" s="594" t="s">
        <v>290</v>
      </c>
      <c r="AA81" s="641"/>
    </row>
    <row r="82" spans="1:27" s="416" customFormat="1" x14ac:dyDescent="0.2">
      <c r="A82" s="125"/>
      <c r="B82" s="361"/>
      <c r="C82" s="361"/>
      <c r="H82" s="89" t="s">
        <v>757</v>
      </c>
      <c r="I82" s="50">
        <f t="shared" ref="I82:L86" si="62">S73</f>
        <v>0</v>
      </c>
      <c r="J82" s="50">
        <f t="shared" si="62"/>
        <v>0</v>
      </c>
      <c r="K82" s="457">
        <f t="shared" si="62"/>
        <v>0</v>
      </c>
      <c r="L82" s="457">
        <f t="shared" si="62"/>
        <v>0</v>
      </c>
      <c r="M82" s="361"/>
      <c r="T82" s="361"/>
      <c r="U82" s="558" t="s">
        <v>1048</v>
      </c>
      <c r="V82" s="538">
        <f>IF(COUNTIF($Y$50:$Y$69,V81)&gt;=1,1,0)</f>
        <v>0</v>
      </c>
      <c r="W82" s="538">
        <f>IF(COUNTIF($Y$50:$Y$69,W81)&gt;=1,1,0)</f>
        <v>0</v>
      </c>
      <c r="X82" s="538">
        <f>IF(COUNTIF($Y$50:$Y$69,X81)&gt;=1,1,0)</f>
        <v>0</v>
      </c>
      <c r="Y82" s="615"/>
      <c r="Z82" s="615"/>
      <c r="AA82" s="615"/>
    </row>
    <row r="83" spans="1:27" s="416" customFormat="1" x14ac:dyDescent="0.2">
      <c r="A83" s="125"/>
      <c r="B83" s="361"/>
      <c r="C83" s="361"/>
      <c r="H83" s="89" t="s">
        <v>758</v>
      </c>
      <c r="I83" s="50">
        <f t="shared" si="62"/>
        <v>0</v>
      </c>
      <c r="J83" s="50">
        <f t="shared" si="62"/>
        <v>0</v>
      </c>
      <c r="K83" s="457">
        <f t="shared" si="62"/>
        <v>0</v>
      </c>
      <c r="L83" s="457">
        <f t="shared" si="62"/>
        <v>0</v>
      </c>
      <c r="M83" s="361"/>
      <c r="T83" s="361"/>
      <c r="U83" s="558" t="s">
        <v>855</v>
      </c>
      <c r="V83" s="538">
        <f>'3a. Scripts - proposed'!AH141</f>
        <v>0</v>
      </c>
      <c r="W83" s="538">
        <f>'3a. Scripts - proposed'!AI141</f>
        <v>0</v>
      </c>
      <c r="X83" s="538">
        <f>'3a. Scripts - proposed'!AJ141</f>
        <v>0</v>
      </c>
      <c r="Y83" s="615"/>
      <c r="Z83" s="615"/>
      <c r="AA83" s="464"/>
    </row>
    <row r="84" spans="1:27" s="416" customFormat="1" x14ac:dyDescent="0.2">
      <c r="A84" s="125"/>
      <c r="B84" s="361"/>
      <c r="C84" s="361"/>
      <c r="H84" s="89" t="s">
        <v>759</v>
      </c>
      <c r="I84" s="50">
        <f t="shared" si="62"/>
        <v>0</v>
      </c>
      <c r="J84" s="50">
        <f t="shared" si="62"/>
        <v>0</v>
      </c>
      <c r="K84" s="457">
        <f t="shared" si="62"/>
        <v>0</v>
      </c>
      <c r="L84" s="457">
        <f t="shared" si="62"/>
        <v>0</v>
      </c>
      <c r="M84" s="361"/>
      <c r="T84" s="361"/>
      <c r="U84" s="535" t="s">
        <v>1047</v>
      </c>
      <c r="V84" s="538">
        <f>IF(ScriptSplit&lt;&gt;"",IF(ScriptSplit=1,V82,V83),0)</f>
        <v>0</v>
      </c>
      <c r="W84" s="538">
        <f>IF(ScriptSplit&lt;&gt;"",IF(ScriptSplit=1,W82,W83),0)</f>
        <v>0</v>
      </c>
      <c r="X84" s="538">
        <f>IF(ScriptSplit&lt;&gt;"",IF(ScriptSplit=1,X82,X83),0)</f>
        <v>0</v>
      </c>
      <c r="Y84" s="641"/>
      <c r="Z84" s="641"/>
      <c r="AA84" s="615"/>
    </row>
    <row r="85" spans="1:27" s="416" customFormat="1" x14ac:dyDescent="0.2">
      <c r="A85" s="125"/>
      <c r="B85" s="361"/>
      <c r="C85" s="361"/>
      <c r="H85" s="89" t="s">
        <v>760</v>
      </c>
      <c r="I85" s="50">
        <f t="shared" si="62"/>
        <v>0</v>
      </c>
      <c r="J85" s="50">
        <f t="shared" si="62"/>
        <v>0</v>
      </c>
      <c r="K85" s="457">
        <f t="shared" si="62"/>
        <v>0</v>
      </c>
      <c r="L85" s="457">
        <f t="shared" si="62"/>
        <v>0</v>
      </c>
      <c r="M85" s="361"/>
      <c r="T85" s="361"/>
      <c r="W85" s="615"/>
      <c r="X85" s="615"/>
      <c r="Y85" s="641"/>
      <c r="Z85" s="641"/>
      <c r="AA85" s="615"/>
    </row>
    <row r="86" spans="1:27" s="416" customFormat="1" x14ac:dyDescent="0.2">
      <c r="A86" s="125"/>
      <c r="B86" s="361"/>
      <c r="C86" s="361"/>
      <c r="H86" s="89" t="s">
        <v>761</v>
      </c>
      <c r="I86" s="50">
        <f t="shared" si="62"/>
        <v>0</v>
      </c>
      <c r="J86" s="50">
        <f t="shared" si="62"/>
        <v>0</v>
      </c>
      <c r="K86" s="457">
        <f t="shared" si="62"/>
        <v>0</v>
      </c>
      <c r="L86" s="457">
        <f t="shared" si="62"/>
        <v>0</v>
      </c>
      <c r="M86" s="361"/>
      <c r="T86" s="361"/>
      <c r="W86" s="615"/>
      <c r="X86" s="615"/>
      <c r="Y86" s="641"/>
      <c r="Z86" s="641"/>
      <c r="AA86" s="615"/>
    </row>
    <row r="87" spans="1:27" s="416" customFormat="1" x14ac:dyDescent="0.2">
      <c r="A87" s="125"/>
      <c r="B87" s="361"/>
      <c r="C87" s="361"/>
      <c r="D87" s="361"/>
      <c r="F87" s="361"/>
      <c r="G87" s="361"/>
      <c r="H87" s="361"/>
      <c r="I87" s="361"/>
      <c r="J87" s="361"/>
      <c r="K87" s="361"/>
      <c r="L87" s="361"/>
      <c r="M87" s="361"/>
      <c r="N87" s="361"/>
      <c r="T87" s="361"/>
      <c r="V87" s="615"/>
      <c r="W87" s="615"/>
      <c r="X87" s="615"/>
      <c r="Y87" s="641"/>
      <c r="Z87" s="641"/>
      <c r="AA87" s="615"/>
    </row>
    <row r="88" spans="1:27" s="416" customFormat="1" x14ac:dyDescent="0.2">
      <c r="A88" s="125"/>
      <c r="B88" s="125"/>
      <c r="C88" s="125"/>
      <c r="D88" s="125"/>
      <c r="E88" s="615"/>
      <c r="F88" s="125"/>
      <c r="G88" s="125"/>
      <c r="H88" s="125"/>
      <c r="I88" s="361"/>
      <c r="J88" s="361"/>
      <c r="K88" s="125"/>
      <c r="L88" s="125"/>
      <c r="M88" s="361"/>
      <c r="N88" s="361"/>
      <c r="P88" s="615"/>
      <c r="Q88" s="615"/>
      <c r="R88" s="615"/>
      <c r="S88" s="615"/>
      <c r="T88" s="125"/>
      <c r="U88" s="615"/>
      <c r="V88" s="615"/>
      <c r="W88" s="615"/>
      <c r="X88" s="615"/>
      <c r="Y88" s="641"/>
      <c r="Z88" s="641"/>
      <c r="AA88" s="615"/>
    </row>
    <row r="89" spans="1:27" x14ac:dyDescent="0.2">
      <c r="A89" s="125"/>
      <c r="B89" s="125"/>
      <c r="C89" s="717"/>
      <c r="D89" s="615"/>
      <c r="E89" s="615"/>
      <c r="F89" s="615"/>
      <c r="G89" s="162"/>
      <c r="H89" s="616" t="s">
        <v>303</v>
      </c>
      <c r="I89" s="452" t="s">
        <v>296</v>
      </c>
      <c r="J89" s="452" t="s">
        <v>297</v>
      </c>
      <c r="K89" s="615"/>
      <c r="L89" s="616" t="s">
        <v>762</v>
      </c>
      <c r="M89" s="452" t="s">
        <v>296</v>
      </c>
      <c r="N89" s="452" t="s">
        <v>297</v>
      </c>
      <c r="P89" s="616" t="s">
        <v>258</v>
      </c>
      <c r="Q89" s="162"/>
      <c r="R89" s="162"/>
      <c r="S89" s="162"/>
      <c r="T89" s="162"/>
      <c r="U89" s="641"/>
      <c r="V89" s="641"/>
      <c r="W89" s="641"/>
      <c r="X89" s="615"/>
      <c r="Y89" s="615"/>
      <c r="Z89" s="615"/>
      <c r="AA89" s="641"/>
    </row>
    <row r="90" spans="1:27" x14ac:dyDescent="0.2">
      <c r="A90" s="162"/>
      <c r="B90" s="162"/>
      <c r="C90" s="615"/>
      <c r="D90" s="615"/>
      <c r="E90" s="615"/>
      <c r="F90" s="615"/>
      <c r="G90" s="162"/>
      <c r="H90" s="89" t="s">
        <v>757</v>
      </c>
      <c r="I90" s="50" t="str">
        <f>IF(M90&lt;&gt;0,M90,IF(OR(W73&lt;&gt;0,X73&lt;&gt;0),W73/(W73+X73),""))</f>
        <v/>
      </c>
      <c r="J90" s="50" t="str">
        <f>IF(N90&lt;&gt;0,N90,IF(OR(W73&lt;&gt;0,X73&lt;&gt;0),X73/(W73+X73),""))</f>
        <v/>
      </c>
      <c r="L90" s="89" t="s">
        <v>757</v>
      </c>
      <c r="M90" s="461"/>
      <c r="N90" s="53"/>
      <c r="P90" s="826"/>
      <c r="Q90" s="826"/>
      <c r="R90" s="826"/>
      <c r="S90" s="826"/>
      <c r="T90" s="826"/>
      <c r="U90" s="238">
        <f>IF(M90+N90&lt;&gt;100%,IF(M90+N90&lt;&gt;0,1,0),0)</f>
        <v>0</v>
      </c>
      <c r="V90" s="641"/>
      <c r="W90" s="641"/>
      <c r="X90" s="615"/>
      <c r="Y90" s="615"/>
      <c r="Z90" s="615"/>
      <c r="AA90" s="641"/>
    </row>
    <row r="91" spans="1:27" x14ac:dyDescent="0.2">
      <c r="A91" s="162"/>
      <c r="B91" s="162"/>
      <c r="C91" s="615"/>
      <c r="D91" s="615"/>
      <c r="E91" s="615"/>
      <c r="F91" s="615"/>
      <c r="G91" s="162"/>
      <c r="H91" s="89" t="s">
        <v>758</v>
      </c>
      <c r="I91" s="50" t="str">
        <f>IF(M91&lt;&gt;0,M91,IF(OR(W74&lt;&gt;0,X74&lt;&gt;0),W74/(W74+X74),""))</f>
        <v/>
      </c>
      <c r="J91" s="50" t="str">
        <f>IF(N91&lt;&gt;0,N91,IF(OR(W74&lt;&gt;0,X74&lt;&gt;0),X74/(W74+X74),""))</f>
        <v/>
      </c>
      <c r="L91" s="89" t="s">
        <v>758</v>
      </c>
      <c r="M91" s="461"/>
      <c r="N91" s="53"/>
      <c r="P91" s="826"/>
      <c r="Q91" s="826"/>
      <c r="R91" s="826"/>
      <c r="S91" s="826"/>
      <c r="T91" s="826"/>
      <c r="U91" s="238">
        <f>IF(M91+N91&lt;&gt;100%,IF(M91+N91&lt;&gt;0,1,0),0)</f>
        <v>0</v>
      </c>
      <c r="V91" s="641"/>
      <c r="W91" s="641"/>
      <c r="X91" s="615"/>
      <c r="Y91" s="615"/>
      <c r="Z91" s="615"/>
      <c r="AA91" s="641"/>
    </row>
    <row r="92" spans="1:27" x14ac:dyDescent="0.2">
      <c r="A92" s="162"/>
      <c r="B92" s="162"/>
      <c r="C92" s="125"/>
      <c r="D92" s="615"/>
      <c r="E92" s="615"/>
      <c r="F92" s="615"/>
      <c r="G92" s="129"/>
      <c r="H92" s="89" t="s">
        <v>759</v>
      </c>
      <c r="I92" s="50" t="str">
        <f>IF(M92&lt;&gt;0,M92,IF(OR(W75&lt;&gt;0,X75&lt;&gt;0),W75/(W75+X75),""))</f>
        <v/>
      </c>
      <c r="J92" s="50" t="str">
        <f>IF(N92&lt;&gt;0,N92,IF(OR(W75&lt;&gt;0,X75&lt;&gt;0),X75/(W75+X75),""))</f>
        <v/>
      </c>
      <c r="L92" s="89" t="s">
        <v>759</v>
      </c>
      <c r="M92" s="461"/>
      <c r="N92" s="53"/>
      <c r="P92" s="826"/>
      <c r="Q92" s="826"/>
      <c r="R92" s="826"/>
      <c r="S92" s="826"/>
      <c r="T92" s="826"/>
      <c r="U92" s="238">
        <f>IF(M92+N92&lt;&gt;100%,IF(M92+N92&lt;&gt;0,1,0),0)</f>
        <v>0</v>
      </c>
      <c r="V92" s="641"/>
      <c r="W92" s="641"/>
      <c r="X92" s="641"/>
      <c r="Y92" s="641"/>
      <c r="Z92" s="641"/>
      <c r="AA92" s="641"/>
    </row>
    <row r="93" spans="1:27" x14ac:dyDescent="0.2">
      <c r="A93" s="162"/>
      <c r="B93" s="162"/>
      <c r="C93" s="615"/>
      <c r="D93" s="615"/>
      <c r="E93" s="615"/>
      <c r="F93" s="615"/>
      <c r="G93" s="162"/>
      <c r="H93" s="89" t="s">
        <v>760</v>
      </c>
      <c r="I93" s="50" t="str">
        <f>IF(M93&lt;&gt;0,M93,IF(OR(W76&lt;&gt;0,X76&lt;&gt;0),W76/(W76+X76),""))</f>
        <v/>
      </c>
      <c r="J93" s="50" t="str">
        <f>IF(N93&lt;&gt;0,N93,IF(OR(W76&lt;&gt;0,X76&lt;&gt;0),X76/(W76+X76),""))</f>
        <v/>
      </c>
      <c r="L93" s="89" t="s">
        <v>760</v>
      </c>
      <c r="M93" s="461"/>
      <c r="N93" s="53"/>
      <c r="P93" s="826"/>
      <c r="Q93" s="826"/>
      <c r="R93" s="826"/>
      <c r="S93" s="826"/>
      <c r="T93" s="826"/>
      <c r="U93" s="238">
        <f>IF(M93+N93&lt;&gt;100%,IF(M93+N93&lt;&gt;0,1,0),0)</f>
        <v>0</v>
      </c>
      <c r="V93" s="641"/>
      <c r="W93" s="641"/>
      <c r="X93" s="641"/>
      <c r="Y93" s="641"/>
      <c r="Z93" s="641"/>
      <c r="AA93" s="641"/>
    </row>
    <row r="94" spans="1:27" x14ac:dyDescent="0.2">
      <c r="A94" s="162"/>
      <c r="B94" s="162"/>
      <c r="C94" s="615"/>
      <c r="D94" s="615"/>
      <c r="E94" s="615"/>
      <c r="F94" s="615"/>
      <c r="G94" s="162"/>
      <c r="H94" s="89" t="s">
        <v>761</v>
      </c>
      <c r="I94" s="50" t="str">
        <f>IF(M94&lt;&gt;0,M94,IF(OR(W77&lt;&gt;0,X77&lt;&gt;0),W77/(W77+X77),""))</f>
        <v/>
      </c>
      <c r="J94" s="50" t="str">
        <f>IF(N94&lt;&gt;0,N94,IF(OR(W77&lt;&gt;0,X77&lt;&gt;0),X77/(W77+X77),""))</f>
        <v/>
      </c>
      <c r="L94" s="89" t="s">
        <v>761</v>
      </c>
      <c r="M94" s="461"/>
      <c r="N94" s="53"/>
      <c r="P94" s="826"/>
      <c r="Q94" s="826"/>
      <c r="R94" s="826"/>
      <c r="S94" s="826"/>
      <c r="T94" s="826"/>
      <c r="U94" s="238">
        <f>IF(M94+N94&lt;&gt;100%,IF(M94+N94&lt;&gt;0,1,0),0)</f>
        <v>0</v>
      </c>
      <c r="V94" s="641"/>
      <c r="W94" s="641"/>
      <c r="X94" s="641"/>
      <c r="Y94" s="641"/>
      <c r="Z94" s="641"/>
      <c r="AA94" s="641"/>
    </row>
    <row r="95" spans="1:27" x14ac:dyDescent="0.2">
      <c r="A95" s="162"/>
      <c r="B95" s="615"/>
      <c r="C95" s="615"/>
      <c r="D95" s="615"/>
      <c r="E95" s="125"/>
      <c r="F95" s="162"/>
      <c r="G95" s="162"/>
      <c r="H95" s="615"/>
      <c r="I95" s="615"/>
      <c r="J95" s="615"/>
      <c r="K95" s="129"/>
      <c r="L95" s="129"/>
      <c r="M95" s="162"/>
      <c r="N95" s="162"/>
      <c r="O95" s="162"/>
      <c r="P95" s="162"/>
      <c r="Q95" s="162"/>
      <c r="R95" s="162"/>
      <c r="S95" s="162"/>
      <c r="T95" s="162"/>
      <c r="U95" s="641"/>
      <c r="V95" s="641"/>
      <c r="W95" s="641"/>
      <c r="X95" s="641"/>
      <c r="Y95" s="641"/>
      <c r="Z95" s="641"/>
      <c r="AA95" s="641"/>
    </row>
    <row r="96" spans="1:27" x14ac:dyDescent="0.2">
      <c r="A96" s="162"/>
      <c r="B96" s="162"/>
      <c r="C96" s="125"/>
      <c r="D96" s="656"/>
      <c r="E96" s="125"/>
      <c r="F96" s="162"/>
      <c r="G96" s="129"/>
      <c r="H96" s="129"/>
      <c r="I96" s="129"/>
      <c r="J96" s="129"/>
      <c r="K96" s="129"/>
      <c r="L96" s="129"/>
      <c r="M96" s="162"/>
      <c r="N96" s="162"/>
      <c r="O96" s="162"/>
      <c r="P96" s="162"/>
      <c r="Q96" s="162"/>
      <c r="R96" s="162"/>
      <c r="S96" s="162"/>
      <c r="T96" s="162"/>
      <c r="U96" s="641"/>
      <c r="V96" s="641"/>
      <c r="W96" s="641"/>
      <c r="X96" s="641"/>
      <c r="Y96" s="641"/>
      <c r="Z96" s="641"/>
      <c r="AA96" s="641"/>
    </row>
    <row r="97" spans="1:27" ht="15.75" x14ac:dyDescent="0.2">
      <c r="A97" s="122"/>
      <c r="B97" s="122"/>
      <c r="C97" s="123" t="s">
        <v>863</v>
      </c>
      <c r="D97" s="132"/>
      <c r="E97" s="132"/>
      <c r="F97" s="132"/>
      <c r="G97" s="132"/>
      <c r="H97" s="132"/>
      <c r="I97" s="839" t="str">
        <f>IF(AND(ScriptSourceCode&lt;&gt;2,ScriptSourceCode&lt;&gt;3),MsgNotRequired,"")</f>
        <v>** NOT REQUIRED **</v>
      </c>
      <c r="J97" s="840"/>
      <c r="K97" s="124"/>
      <c r="L97" s="124"/>
      <c r="M97" s="124"/>
      <c r="N97" s="124"/>
      <c r="O97" s="124"/>
      <c r="P97" s="124"/>
      <c r="Q97" s="124"/>
      <c r="R97" s="124"/>
      <c r="S97" s="124"/>
      <c r="T97" s="124"/>
      <c r="U97" s="25"/>
      <c r="V97" s="25"/>
      <c r="W97" s="25"/>
      <c r="X97" s="25"/>
      <c r="Y97" s="25"/>
      <c r="Z97" s="25"/>
      <c r="AA97" s="25"/>
    </row>
    <row r="98" spans="1:27" s="420" customFormat="1" x14ac:dyDescent="0.2">
      <c r="A98" s="162"/>
      <c r="B98" s="162"/>
      <c r="C98" s="616"/>
      <c r="D98" s="162"/>
      <c r="E98" s="162"/>
      <c r="F98" s="162"/>
      <c r="G98" s="162"/>
      <c r="H98" s="162"/>
      <c r="I98" s="162"/>
      <c r="J98" s="162"/>
      <c r="K98" s="162"/>
      <c r="L98" s="162"/>
      <c r="M98" s="162"/>
      <c r="N98" s="162"/>
      <c r="O98" s="162"/>
      <c r="P98" s="162"/>
      <c r="Q98" s="162"/>
      <c r="R98" s="162"/>
      <c r="S98" s="162"/>
      <c r="T98" s="162"/>
      <c r="U98" s="641"/>
      <c r="V98" s="641"/>
      <c r="W98" s="641"/>
      <c r="X98" s="641"/>
      <c r="Y98" s="641"/>
      <c r="Z98" s="641"/>
      <c r="AA98" s="641"/>
    </row>
    <row r="99" spans="1:27" s="420" customFormat="1" ht="15" customHeight="1" x14ac:dyDescent="0.2">
      <c r="A99" s="162"/>
      <c r="B99" s="162"/>
      <c r="C99" s="162" t="s">
        <v>220</v>
      </c>
      <c r="D99" s="162"/>
      <c r="E99" s="162"/>
      <c r="F99" s="162"/>
      <c r="G99" s="162"/>
      <c r="H99" s="162"/>
      <c r="I99" s="162"/>
      <c r="J99" s="162"/>
      <c r="K99" s="162"/>
      <c r="L99" s="615"/>
      <c r="M99" s="615"/>
      <c r="N99" s="615"/>
      <c r="O99" s="615"/>
      <c r="P99" s="162"/>
      <c r="Q99" s="162"/>
      <c r="R99" s="162"/>
      <c r="S99" s="162"/>
      <c r="T99" s="162"/>
      <c r="U99" s="641"/>
      <c r="V99" s="641"/>
      <c r="W99" s="641"/>
      <c r="X99" s="641"/>
      <c r="Y99" s="641"/>
      <c r="Z99" s="641"/>
      <c r="AA99" s="641"/>
    </row>
    <row r="100" spans="1:27" s="420" customFormat="1" ht="15.75" customHeight="1" x14ac:dyDescent="0.2">
      <c r="A100" s="162"/>
      <c r="B100" s="162"/>
      <c r="C100" s="162"/>
      <c r="D100" s="162"/>
      <c r="E100" s="162"/>
      <c r="F100" s="162"/>
      <c r="G100" s="162"/>
      <c r="H100" s="162"/>
      <c r="I100" s="162"/>
      <c r="J100" s="162"/>
      <c r="K100" s="162"/>
      <c r="L100" s="162"/>
      <c r="M100" s="162"/>
      <c r="N100" s="162"/>
      <c r="O100" s="162"/>
      <c r="P100" s="162"/>
      <c r="Q100" s="162"/>
      <c r="R100" s="162"/>
      <c r="S100" s="162"/>
      <c r="T100" s="162"/>
      <c r="U100" s="641"/>
      <c r="V100" s="641"/>
      <c r="W100" s="641"/>
      <c r="X100" s="641"/>
      <c r="Y100" s="641"/>
      <c r="Z100" s="641"/>
      <c r="AA100" s="641"/>
    </row>
    <row r="101" spans="1:27" ht="15" x14ac:dyDescent="0.2">
      <c r="A101" s="131"/>
      <c r="B101" s="298">
        <v>1</v>
      </c>
      <c r="C101" s="147" t="str">
        <f>IF($I$97&lt;&gt;"",MsgNotUsed,INDEX(NamesOverallChanged,B101))</f>
        <v>** NOT USED **</v>
      </c>
      <c r="D101" s="139"/>
      <c r="E101" s="139"/>
      <c r="F101" s="139"/>
      <c r="G101" s="139"/>
      <c r="H101" s="133"/>
      <c r="I101" s="821" t="str">
        <f>IF(C101&lt;&gt;MsgNotUsed,"Co-payment group " &amp; INDEX(CoPayBandMS,B101),"")</f>
        <v/>
      </c>
      <c r="J101" s="821"/>
      <c r="K101" s="139"/>
      <c r="L101" s="139"/>
      <c r="M101" s="139"/>
      <c r="N101" s="139"/>
      <c r="O101" s="139"/>
      <c r="P101" s="139"/>
      <c r="Q101" s="139"/>
      <c r="R101" s="139"/>
      <c r="S101" s="139"/>
      <c r="T101" s="139"/>
      <c r="U101" s="26"/>
      <c r="V101" s="26"/>
      <c r="W101" s="26"/>
      <c r="X101" s="26"/>
      <c r="Y101" s="26"/>
      <c r="Z101" s="26"/>
      <c r="AA101" s="26"/>
    </row>
    <row r="102" spans="1:27" ht="15.75" hidden="1" outlineLevel="1" x14ac:dyDescent="0.2">
      <c r="A102" s="131"/>
      <c r="B102" s="71">
        <f>INDEX(CoPayBandMS,B101)</f>
        <v>0</v>
      </c>
      <c r="C102" s="655"/>
      <c r="D102" s="131"/>
      <c r="E102" s="131"/>
      <c r="F102" s="131"/>
      <c r="G102" s="131"/>
      <c r="H102" s="131"/>
      <c r="I102" s="131"/>
      <c r="J102" s="131"/>
      <c r="K102" s="131"/>
      <c r="L102" s="131"/>
      <c r="M102" s="131"/>
      <c r="N102" s="131"/>
      <c r="O102" s="131"/>
      <c r="P102" s="131"/>
      <c r="Q102" s="131"/>
      <c r="R102" s="131"/>
      <c r="S102" s="131"/>
      <c r="T102" s="131"/>
      <c r="U102" s="26"/>
      <c r="V102" s="26"/>
      <c r="W102" s="26"/>
      <c r="X102" s="26"/>
      <c r="Y102" s="26"/>
      <c r="Z102" s="26"/>
      <c r="AA102" s="26"/>
    </row>
    <row r="103" spans="1:27" ht="14.25" hidden="1" customHeight="1" outlineLevel="1" x14ac:dyDescent="0.2">
      <c r="A103" s="162"/>
      <c r="B103" s="642"/>
      <c r="C103" s="708"/>
      <c r="D103" s="64">
        <f>E103-1</f>
        <v>2020</v>
      </c>
      <c r="E103" s="64">
        <f>FirstYear</f>
        <v>2021</v>
      </c>
      <c r="F103" s="64">
        <f>E103+1</f>
        <v>2022</v>
      </c>
      <c r="G103" s="64">
        <f>F103+1</f>
        <v>2023</v>
      </c>
      <c r="H103" s="64">
        <f>G103+1</f>
        <v>2024</v>
      </c>
      <c r="I103" s="64">
        <f>H103+1</f>
        <v>2025</v>
      </c>
      <c r="J103" s="64">
        <f>I103+1</f>
        <v>2026</v>
      </c>
      <c r="K103" s="162"/>
      <c r="L103" s="616"/>
      <c r="M103" s="162"/>
      <c r="N103" s="162"/>
      <c r="O103" s="162"/>
      <c r="P103" s="162"/>
      <c r="Q103" s="162"/>
      <c r="R103" s="162"/>
      <c r="S103" s="162"/>
      <c r="T103" s="162"/>
      <c r="U103" s="641"/>
      <c r="V103" s="641"/>
      <c r="W103" s="641"/>
      <c r="X103" s="641"/>
      <c r="Y103" s="641"/>
      <c r="Z103" s="641"/>
      <c r="AA103" s="641"/>
    </row>
    <row r="104" spans="1:27" hidden="1" outlineLevel="1" x14ac:dyDescent="0.2">
      <c r="A104" s="162"/>
      <c r="B104" s="642"/>
      <c r="C104" s="4" t="s">
        <v>114</v>
      </c>
      <c r="D104" s="38">
        <f>IF($I$97="",-R50,0)</f>
        <v>0</v>
      </c>
      <c r="E104" s="38">
        <f t="shared" ref="E104:J104" si="63">IF(D104="","",D104*(1+D105))</f>
        <v>0</v>
      </c>
      <c r="F104" s="38">
        <f t="shared" si="63"/>
        <v>0</v>
      </c>
      <c r="G104" s="38">
        <f t="shared" si="63"/>
        <v>0</v>
      </c>
      <c r="H104" s="38">
        <f t="shared" si="63"/>
        <v>0</v>
      </c>
      <c r="I104" s="38">
        <f t="shared" si="63"/>
        <v>0</v>
      </c>
      <c r="J104" s="38">
        <f t="shared" si="63"/>
        <v>0</v>
      </c>
      <c r="K104" s="162"/>
      <c r="L104" s="36" t="s">
        <v>258</v>
      </c>
      <c r="M104" s="162"/>
      <c r="N104" s="616"/>
      <c r="O104" s="162"/>
      <c r="P104" s="162"/>
      <c r="Q104" s="162"/>
      <c r="R104" s="162"/>
      <c r="S104" s="162"/>
      <c r="T104" s="162"/>
      <c r="U104" s="641"/>
      <c r="V104" s="641"/>
      <c r="W104" s="641"/>
      <c r="X104" s="641"/>
      <c r="Y104" s="641"/>
      <c r="Z104" s="641"/>
      <c r="AA104" s="641"/>
    </row>
    <row r="105" spans="1:27" ht="12.75" hidden="1" customHeight="1" outlineLevel="1" x14ac:dyDescent="0.2">
      <c r="A105" s="162"/>
      <c r="B105" s="642"/>
      <c r="C105" s="11" t="s">
        <v>26</v>
      </c>
      <c r="D105" s="55"/>
      <c r="E105" s="55"/>
      <c r="F105" s="55"/>
      <c r="G105" s="55"/>
      <c r="H105" s="55"/>
      <c r="I105" s="55"/>
      <c r="J105" s="33"/>
      <c r="K105" s="162"/>
      <c r="L105" s="822"/>
      <c r="M105" s="823"/>
      <c r="N105" s="823"/>
      <c r="O105" s="823"/>
      <c r="P105" s="823"/>
      <c r="Q105" s="823"/>
      <c r="R105" s="823"/>
      <c r="S105" s="823"/>
      <c r="T105" s="823"/>
      <c r="U105" s="641"/>
      <c r="V105" s="641"/>
      <c r="W105" s="641"/>
      <c r="X105" s="641"/>
      <c r="Y105" s="641"/>
      <c r="Z105" s="641"/>
      <c r="AA105" s="641"/>
    </row>
    <row r="106" spans="1:27" ht="12.75" hidden="1" customHeight="1" outlineLevel="1" x14ac:dyDescent="0.2">
      <c r="A106" s="162"/>
      <c r="B106" s="642"/>
      <c r="C106" s="11" t="s">
        <v>33</v>
      </c>
      <c r="D106" s="55"/>
      <c r="E106" s="55"/>
      <c r="F106" s="55"/>
      <c r="G106" s="55"/>
      <c r="H106" s="55"/>
      <c r="I106" s="55"/>
      <c r="J106" s="55"/>
      <c r="K106" s="162"/>
      <c r="L106" s="822"/>
      <c r="M106" s="823"/>
      <c r="N106" s="823"/>
      <c r="O106" s="823"/>
      <c r="P106" s="823"/>
      <c r="Q106" s="823"/>
      <c r="R106" s="823"/>
      <c r="S106" s="823"/>
      <c r="T106" s="823"/>
      <c r="U106" s="641"/>
      <c r="V106" s="641"/>
      <c r="W106" s="641"/>
      <c r="X106" s="641"/>
      <c r="Y106" s="641"/>
      <c r="Z106" s="641"/>
      <c r="AA106" s="641"/>
    </row>
    <row r="107" spans="1:27" ht="12.75" hidden="1" customHeight="1" outlineLevel="1" x14ac:dyDescent="0.2">
      <c r="A107" s="162"/>
      <c r="B107" s="642"/>
      <c r="C107" s="65" t="str">
        <f>"Proportion " &amp; IF(MarketImpact=0,"affected by","affected") &amp; " the proposed medicine"</f>
        <v>Proportion affected the proposed medicine</v>
      </c>
      <c r="D107" s="55"/>
      <c r="E107" s="55"/>
      <c r="F107" s="55"/>
      <c r="G107" s="55"/>
      <c r="H107" s="55"/>
      <c r="I107" s="55"/>
      <c r="J107" s="55"/>
      <c r="K107" s="162"/>
      <c r="L107" s="822"/>
      <c r="M107" s="823"/>
      <c r="N107" s="823"/>
      <c r="O107" s="823"/>
      <c r="P107" s="823"/>
      <c r="Q107" s="823"/>
      <c r="R107" s="823"/>
      <c r="S107" s="823"/>
      <c r="T107" s="823"/>
      <c r="U107" s="641"/>
      <c r="V107" s="641"/>
      <c r="W107" s="641"/>
      <c r="X107" s="641"/>
      <c r="Y107" s="641"/>
      <c r="Z107" s="641"/>
      <c r="AA107" s="641"/>
    </row>
    <row r="108" spans="1:27" hidden="1" outlineLevel="1" x14ac:dyDescent="0.2">
      <c r="A108" s="638"/>
      <c r="B108" s="640"/>
      <c r="C108" s="13" t="s">
        <v>107</v>
      </c>
      <c r="D108" s="32">
        <f t="shared" ref="D108:J108" si="64">D110-D109</f>
        <v>0</v>
      </c>
      <c r="E108" s="32">
        <f t="shared" si="64"/>
        <v>0</v>
      </c>
      <c r="F108" s="32">
        <f t="shared" si="64"/>
        <v>0</v>
      </c>
      <c r="G108" s="32">
        <f t="shared" si="64"/>
        <v>0</v>
      </c>
      <c r="H108" s="32">
        <f t="shared" si="64"/>
        <v>0</v>
      </c>
      <c r="I108" s="32">
        <f t="shared" si="64"/>
        <v>0</v>
      </c>
      <c r="J108" s="32">
        <f t="shared" si="64"/>
        <v>0</v>
      </c>
      <c r="K108" s="638"/>
      <c r="L108" s="638"/>
      <c r="M108" s="638"/>
      <c r="N108" s="638"/>
      <c r="O108" s="638"/>
      <c r="P108" s="638"/>
      <c r="Q108" s="638"/>
      <c r="R108" s="638"/>
      <c r="S108" s="638"/>
      <c r="T108" s="638"/>
      <c r="U108" s="9"/>
      <c r="V108" s="9"/>
      <c r="W108" s="9"/>
      <c r="X108" s="9"/>
      <c r="Y108" s="9"/>
      <c r="Z108" s="9"/>
      <c r="AA108" s="9"/>
    </row>
    <row r="109" spans="1:27" hidden="1" outlineLevel="1" x14ac:dyDescent="0.2">
      <c r="A109" s="638"/>
      <c r="B109" s="640"/>
      <c r="C109" s="13" t="s">
        <v>108</v>
      </c>
      <c r="D109" s="32">
        <f t="shared" ref="D109:J109" si="65">IF($B102&lt;&gt;0,ROUND(D110*INDEX(ServiceSplitRPBS,$B102),0),0)</f>
        <v>0</v>
      </c>
      <c r="E109" s="32">
        <f t="shared" si="65"/>
        <v>0</v>
      </c>
      <c r="F109" s="32">
        <f t="shared" si="65"/>
        <v>0</v>
      </c>
      <c r="G109" s="32">
        <f t="shared" si="65"/>
        <v>0</v>
      </c>
      <c r="H109" s="32">
        <f t="shared" si="65"/>
        <v>0</v>
      </c>
      <c r="I109" s="32">
        <f t="shared" si="65"/>
        <v>0</v>
      </c>
      <c r="J109" s="32">
        <f t="shared" si="65"/>
        <v>0</v>
      </c>
      <c r="K109" s="638"/>
      <c r="L109" s="638"/>
      <c r="M109" s="638"/>
      <c r="N109" s="638"/>
      <c r="O109" s="638"/>
      <c r="P109" s="638"/>
      <c r="Q109" s="638"/>
      <c r="R109" s="638"/>
      <c r="S109" s="638"/>
      <c r="T109" s="638"/>
      <c r="U109" s="9"/>
      <c r="V109" s="9"/>
      <c r="W109" s="9"/>
      <c r="X109" s="9"/>
      <c r="Y109" s="9"/>
      <c r="Z109" s="9"/>
      <c r="AA109" s="9"/>
    </row>
    <row r="110" spans="1:27" hidden="1" outlineLevel="1" x14ac:dyDescent="0.2">
      <c r="A110" s="638"/>
      <c r="B110" s="640"/>
      <c r="C110" s="86" t="s">
        <v>844</v>
      </c>
      <c r="D110" s="35">
        <f t="shared" ref="D110:J110" si="66">IF(D104="","",D107*D106*D104)</f>
        <v>0</v>
      </c>
      <c r="E110" s="35">
        <f t="shared" si="66"/>
        <v>0</v>
      </c>
      <c r="F110" s="35">
        <f t="shared" si="66"/>
        <v>0</v>
      </c>
      <c r="G110" s="35">
        <f t="shared" si="66"/>
        <v>0</v>
      </c>
      <c r="H110" s="35">
        <f t="shared" si="66"/>
        <v>0</v>
      </c>
      <c r="I110" s="35">
        <f t="shared" si="66"/>
        <v>0</v>
      </c>
      <c r="J110" s="35">
        <f t="shared" si="66"/>
        <v>0</v>
      </c>
      <c r="K110" s="638"/>
      <c r="L110" s="638"/>
      <c r="M110" s="638"/>
      <c r="N110" s="638"/>
      <c r="O110" s="638"/>
      <c r="P110" s="638"/>
      <c r="Q110" s="638"/>
      <c r="R110" s="638"/>
      <c r="S110" s="638"/>
      <c r="T110" s="638"/>
      <c r="U110" s="9"/>
      <c r="V110" s="9"/>
      <c r="W110" s="9"/>
      <c r="X110" s="9"/>
      <c r="Y110" s="9"/>
      <c r="Z110" s="9"/>
      <c r="AA110" s="9"/>
    </row>
    <row r="111" spans="1:27" hidden="1" outlineLevel="1" x14ac:dyDescent="0.2">
      <c r="A111" s="162"/>
      <c r="B111" s="642"/>
      <c r="C111" s="162"/>
      <c r="D111" s="162"/>
      <c r="E111" s="162"/>
      <c r="F111" s="162"/>
      <c r="G111" s="162"/>
      <c r="H111" s="162"/>
      <c r="I111" s="162"/>
      <c r="J111" s="162"/>
      <c r="K111" s="162"/>
      <c r="L111" s="162"/>
      <c r="M111" s="162"/>
      <c r="N111" s="162"/>
      <c r="O111" s="162"/>
      <c r="P111" s="162"/>
      <c r="Q111" s="162"/>
      <c r="R111" s="162"/>
      <c r="S111" s="162"/>
      <c r="T111" s="162"/>
      <c r="U111" s="641"/>
      <c r="V111" s="641"/>
      <c r="W111" s="641"/>
      <c r="X111" s="641"/>
      <c r="Y111" s="641"/>
      <c r="Z111" s="641"/>
      <c r="AA111" s="641"/>
    </row>
    <row r="112" spans="1:27" collapsed="1" x14ac:dyDescent="0.2">
      <c r="A112" s="162"/>
      <c r="B112" s="642"/>
      <c r="C112" s="162"/>
      <c r="D112" s="162"/>
      <c r="E112" s="162"/>
      <c r="F112" s="162"/>
      <c r="G112" s="162"/>
      <c r="H112" s="162"/>
      <c r="I112" s="162"/>
      <c r="J112" s="162"/>
      <c r="K112" s="162"/>
      <c r="L112" s="162"/>
      <c r="M112" s="162"/>
      <c r="N112" s="162"/>
      <c r="O112" s="162"/>
      <c r="P112" s="162"/>
      <c r="Q112" s="162"/>
      <c r="R112" s="162"/>
      <c r="S112" s="162"/>
      <c r="T112" s="162"/>
      <c r="U112" s="641"/>
      <c r="V112" s="641"/>
      <c r="W112" s="641"/>
      <c r="X112" s="641"/>
      <c r="Y112" s="641"/>
      <c r="Z112" s="641"/>
      <c r="AA112" s="641"/>
    </row>
    <row r="113" spans="1:27" ht="15" x14ac:dyDescent="0.2">
      <c r="A113" s="131"/>
      <c r="B113" s="298">
        <v>2</v>
      </c>
      <c r="C113" s="147" t="str">
        <f>IF($I$97&lt;&gt;"",MsgNotUsed,INDEX(NamesOverallChanged,B113))</f>
        <v>** NOT USED **</v>
      </c>
      <c r="D113" s="139"/>
      <c r="E113" s="139"/>
      <c r="F113" s="139"/>
      <c r="G113" s="139"/>
      <c r="H113" s="133"/>
      <c r="I113" s="821" t="str">
        <f>IF(C113&lt;&gt;MsgNotUsed,"Co-payment group " &amp; INDEX(CoPayBandMS,B113),"")</f>
        <v/>
      </c>
      <c r="J113" s="821"/>
      <c r="K113" s="139"/>
      <c r="L113" s="139"/>
      <c r="M113" s="139"/>
      <c r="N113" s="139"/>
      <c r="O113" s="139"/>
      <c r="P113" s="139"/>
      <c r="Q113" s="139"/>
      <c r="R113" s="139"/>
      <c r="S113" s="139"/>
      <c r="T113" s="139"/>
      <c r="U113" s="26"/>
      <c r="V113" s="26"/>
      <c r="W113" s="26"/>
      <c r="X113" s="26"/>
      <c r="Y113" s="26"/>
      <c r="Z113" s="26"/>
      <c r="AA113" s="26"/>
    </row>
    <row r="114" spans="1:27" ht="15.75" hidden="1" outlineLevel="1" x14ac:dyDescent="0.2">
      <c r="A114" s="131"/>
      <c r="B114" s="71">
        <f>INDEX(CoPayBandMS,B113)</f>
        <v>0</v>
      </c>
      <c r="C114" s="655"/>
      <c r="D114" s="131"/>
      <c r="E114" s="131"/>
      <c r="F114" s="131"/>
      <c r="G114" s="131"/>
      <c r="H114" s="131"/>
      <c r="I114" s="131"/>
      <c r="J114" s="131"/>
      <c r="K114" s="131"/>
      <c r="L114" s="131"/>
      <c r="M114" s="131"/>
      <c r="N114" s="131"/>
      <c r="O114" s="131"/>
      <c r="P114" s="131"/>
      <c r="Q114" s="131"/>
      <c r="R114" s="131"/>
      <c r="S114" s="131"/>
      <c r="T114" s="131"/>
      <c r="U114" s="26"/>
      <c r="V114" s="26"/>
      <c r="W114" s="26"/>
      <c r="X114" s="26"/>
      <c r="Y114" s="26"/>
      <c r="Z114" s="26"/>
      <c r="AA114" s="26"/>
    </row>
    <row r="115" spans="1:27" ht="14.25" hidden="1" customHeight="1" outlineLevel="1" x14ac:dyDescent="0.2">
      <c r="A115" s="162"/>
      <c r="B115" s="642"/>
      <c r="C115" s="708"/>
      <c r="D115" s="64">
        <f>E115-1</f>
        <v>2020</v>
      </c>
      <c r="E115" s="64">
        <f>FirstYear</f>
        <v>2021</v>
      </c>
      <c r="F115" s="64">
        <f>E115+1</f>
        <v>2022</v>
      </c>
      <c r="G115" s="64">
        <f>F115+1</f>
        <v>2023</v>
      </c>
      <c r="H115" s="64">
        <f>G115+1</f>
        <v>2024</v>
      </c>
      <c r="I115" s="64">
        <f>H115+1</f>
        <v>2025</v>
      </c>
      <c r="J115" s="64">
        <f>I115+1</f>
        <v>2026</v>
      </c>
      <c r="K115" s="162"/>
      <c r="L115" s="616"/>
      <c r="M115" s="162"/>
      <c r="N115" s="162"/>
      <c r="O115" s="162"/>
      <c r="P115" s="162"/>
      <c r="Q115" s="162"/>
      <c r="R115" s="162"/>
      <c r="S115" s="162"/>
      <c r="T115" s="162"/>
      <c r="U115" s="641"/>
      <c r="V115" s="641"/>
      <c r="W115" s="641"/>
      <c r="X115" s="641"/>
      <c r="Y115" s="641"/>
      <c r="Z115" s="641"/>
      <c r="AA115" s="641"/>
    </row>
    <row r="116" spans="1:27" hidden="1" outlineLevel="1" x14ac:dyDescent="0.2">
      <c r="A116" s="162"/>
      <c r="B116" s="642"/>
      <c r="C116" s="4" t="s">
        <v>114</v>
      </c>
      <c r="D116" s="38">
        <f>IF($I$97="",-R51,0)</f>
        <v>0</v>
      </c>
      <c r="E116" s="38">
        <f t="shared" ref="E116:J116" si="67">IF(D116="","",D116*(1+D117))</f>
        <v>0</v>
      </c>
      <c r="F116" s="38">
        <f t="shared" si="67"/>
        <v>0</v>
      </c>
      <c r="G116" s="38">
        <f t="shared" si="67"/>
        <v>0</v>
      </c>
      <c r="H116" s="38">
        <f t="shared" si="67"/>
        <v>0</v>
      </c>
      <c r="I116" s="38">
        <f t="shared" si="67"/>
        <v>0</v>
      </c>
      <c r="J116" s="38">
        <f t="shared" si="67"/>
        <v>0</v>
      </c>
      <c r="K116" s="162"/>
      <c r="L116" s="36" t="s">
        <v>258</v>
      </c>
      <c r="M116" s="162"/>
      <c r="N116" s="616"/>
      <c r="O116" s="162"/>
      <c r="P116" s="162"/>
      <c r="Q116" s="162"/>
      <c r="R116" s="162"/>
      <c r="S116" s="162"/>
      <c r="T116" s="162"/>
      <c r="U116" s="641"/>
      <c r="V116" s="641"/>
      <c r="W116" s="641"/>
      <c r="X116" s="641"/>
      <c r="Y116" s="641"/>
      <c r="Z116" s="641"/>
      <c r="AA116" s="641"/>
    </row>
    <row r="117" spans="1:27" hidden="1" outlineLevel="1" x14ac:dyDescent="0.2">
      <c r="A117" s="162"/>
      <c r="B117" s="642"/>
      <c r="C117" s="11" t="s">
        <v>26</v>
      </c>
      <c r="D117" s="55"/>
      <c r="E117" s="55"/>
      <c r="F117" s="55"/>
      <c r="G117" s="55"/>
      <c r="H117" s="55"/>
      <c r="I117" s="55"/>
      <c r="J117" s="33"/>
      <c r="K117" s="162"/>
      <c r="L117" s="822"/>
      <c r="M117" s="823"/>
      <c r="N117" s="823"/>
      <c r="O117" s="823"/>
      <c r="P117" s="823"/>
      <c r="Q117" s="823"/>
      <c r="R117" s="823"/>
      <c r="S117" s="823"/>
      <c r="T117" s="823"/>
      <c r="U117" s="641"/>
      <c r="V117" s="641"/>
      <c r="W117" s="641"/>
      <c r="X117" s="641"/>
      <c r="Y117" s="641"/>
      <c r="Z117" s="641"/>
      <c r="AA117" s="641"/>
    </row>
    <row r="118" spans="1:27" hidden="1" outlineLevel="1" x14ac:dyDescent="0.2">
      <c r="A118" s="162"/>
      <c r="B118" s="642"/>
      <c r="C118" s="11" t="s">
        <v>33</v>
      </c>
      <c r="D118" s="55"/>
      <c r="E118" s="55"/>
      <c r="F118" s="55"/>
      <c r="G118" s="55"/>
      <c r="H118" s="55"/>
      <c r="I118" s="55"/>
      <c r="J118" s="55"/>
      <c r="K118" s="162"/>
      <c r="L118" s="822"/>
      <c r="M118" s="823"/>
      <c r="N118" s="823"/>
      <c r="O118" s="823"/>
      <c r="P118" s="823"/>
      <c r="Q118" s="823"/>
      <c r="R118" s="823"/>
      <c r="S118" s="823"/>
      <c r="T118" s="823"/>
      <c r="U118" s="641"/>
      <c r="V118" s="641"/>
      <c r="W118" s="641"/>
      <c r="X118" s="641"/>
      <c r="Y118" s="641"/>
      <c r="Z118" s="641"/>
      <c r="AA118" s="641"/>
    </row>
    <row r="119" spans="1:27" hidden="1" outlineLevel="1" x14ac:dyDescent="0.2">
      <c r="A119" s="162"/>
      <c r="B119" s="642"/>
      <c r="C119" s="65" t="str">
        <f>"Proportion " &amp; IF(MarketImpact=0,"affected by","affected") &amp; " the proposed medicine"</f>
        <v>Proportion affected the proposed medicine</v>
      </c>
      <c r="D119" s="55"/>
      <c r="E119" s="55"/>
      <c r="F119" s="55"/>
      <c r="G119" s="55"/>
      <c r="H119" s="55"/>
      <c r="I119" s="55"/>
      <c r="J119" s="55"/>
      <c r="K119" s="162"/>
      <c r="L119" s="822"/>
      <c r="M119" s="823"/>
      <c r="N119" s="823"/>
      <c r="O119" s="823"/>
      <c r="P119" s="823"/>
      <c r="Q119" s="823"/>
      <c r="R119" s="823"/>
      <c r="S119" s="823"/>
      <c r="T119" s="823"/>
      <c r="U119" s="641"/>
      <c r="V119" s="641"/>
      <c r="W119" s="641"/>
      <c r="X119" s="641"/>
      <c r="Y119" s="641"/>
      <c r="Z119" s="641"/>
      <c r="AA119" s="641"/>
    </row>
    <row r="120" spans="1:27" hidden="1" outlineLevel="1" x14ac:dyDescent="0.2">
      <c r="A120" s="638"/>
      <c r="B120" s="640"/>
      <c r="C120" s="13" t="s">
        <v>107</v>
      </c>
      <c r="D120" s="32">
        <f t="shared" ref="D120:J120" si="68">D122-D121</f>
        <v>0</v>
      </c>
      <c r="E120" s="32">
        <f t="shared" si="68"/>
        <v>0</v>
      </c>
      <c r="F120" s="32">
        <f t="shared" si="68"/>
        <v>0</v>
      </c>
      <c r="G120" s="32">
        <f t="shared" si="68"/>
        <v>0</v>
      </c>
      <c r="H120" s="32">
        <f t="shared" si="68"/>
        <v>0</v>
      </c>
      <c r="I120" s="32">
        <f t="shared" si="68"/>
        <v>0</v>
      </c>
      <c r="J120" s="32">
        <f t="shared" si="68"/>
        <v>0</v>
      </c>
      <c r="K120" s="638"/>
      <c r="L120" s="638"/>
      <c r="M120" s="638"/>
      <c r="N120" s="638"/>
      <c r="O120" s="638"/>
      <c r="P120" s="638"/>
      <c r="Q120" s="638"/>
      <c r="R120" s="638"/>
      <c r="S120" s="638"/>
      <c r="T120" s="638"/>
      <c r="U120" s="9"/>
      <c r="V120" s="9"/>
      <c r="W120" s="9"/>
      <c r="X120" s="9"/>
      <c r="Y120" s="9"/>
      <c r="Z120" s="9"/>
      <c r="AA120" s="9"/>
    </row>
    <row r="121" spans="1:27" hidden="1" outlineLevel="1" x14ac:dyDescent="0.2">
      <c r="A121" s="638"/>
      <c r="B121" s="640"/>
      <c r="C121" s="13" t="s">
        <v>108</v>
      </c>
      <c r="D121" s="32">
        <f t="shared" ref="D121:J121" si="69">IF($B114&lt;&gt;0,ROUND(D122*INDEX(ServiceSplitRPBS,$B114),0),0)</f>
        <v>0</v>
      </c>
      <c r="E121" s="32">
        <f t="shared" si="69"/>
        <v>0</v>
      </c>
      <c r="F121" s="32">
        <f t="shared" si="69"/>
        <v>0</v>
      </c>
      <c r="G121" s="32">
        <f t="shared" si="69"/>
        <v>0</v>
      </c>
      <c r="H121" s="32">
        <f t="shared" si="69"/>
        <v>0</v>
      </c>
      <c r="I121" s="32">
        <f t="shared" si="69"/>
        <v>0</v>
      </c>
      <c r="J121" s="32">
        <f t="shared" si="69"/>
        <v>0</v>
      </c>
      <c r="K121" s="638"/>
      <c r="L121" s="638"/>
      <c r="M121" s="638"/>
      <c r="N121" s="638"/>
      <c r="O121" s="638"/>
      <c r="P121" s="638"/>
      <c r="Q121" s="638"/>
      <c r="R121" s="638"/>
      <c r="S121" s="638"/>
      <c r="T121" s="638"/>
      <c r="U121" s="9"/>
      <c r="V121" s="9"/>
      <c r="W121" s="9"/>
      <c r="X121" s="9"/>
      <c r="Y121" s="9"/>
      <c r="Z121" s="9"/>
      <c r="AA121" s="9"/>
    </row>
    <row r="122" spans="1:27" hidden="1" outlineLevel="1" x14ac:dyDescent="0.2">
      <c r="A122" s="638"/>
      <c r="B122" s="640"/>
      <c r="C122" s="635" t="s">
        <v>844</v>
      </c>
      <c r="D122" s="35">
        <f t="shared" ref="D122:J122" si="70">IF(D116="","",D119*D118*D116)</f>
        <v>0</v>
      </c>
      <c r="E122" s="35">
        <f t="shared" si="70"/>
        <v>0</v>
      </c>
      <c r="F122" s="35">
        <f t="shared" si="70"/>
        <v>0</v>
      </c>
      <c r="G122" s="35">
        <f t="shared" si="70"/>
        <v>0</v>
      </c>
      <c r="H122" s="35">
        <f t="shared" si="70"/>
        <v>0</v>
      </c>
      <c r="I122" s="35">
        <f t="shared" si="70"/>
        <v>0</v>
      </c>
      <c r="J122" s="35">
        <f t="shared" si="70"/>
        <v>0</v>
      </c>
      <c r="K122" s="638"/>
      <c r="L122" s="638"/>
      <c r="M122" s="638"/>
      <c r="N122" s="638"/>
      <c r="O122" s="638"/>
      <c r="P122" s="638"/>
      <c r="Q122" s="638"/>
      <c r="R122" s="638"/>
      <c r="S122" s="638"/>
      <c r="T122" s="638"/>
      <c r="U122" s="9"/>
      <c r="V122" s="9"/>
      <c r="W122" s="9"/>
      <c r="X122" s="9"/>
      <c r="Y122" s="9"/>
      <c r="Z122" s="9"/>
      <c r="AA122" s="9"/>
    </row>
    <row r="123" spans="1:27" hidden="1" outlineLevel="1" x14ac:dyDescent="0.2">
      <c r="A123" s="162"/>
      <c r="B123" s="642"/>
      <c r="C123" s="162"/>
      <c r="D123" s="162"/>
      <c r="E123" s="162"/>
      <c r="F123" s="162"/>
      <c r="G123" s="162"/>
      <c r="H123" s="162"/>
      <c r="I123" s="162"/>
      <c r="J123" s="162"/>
      <c r="K123" s="162"/>
      <c r="L123" s="162"/>
      <c r="M123" s="162"/>
      <c r="N123" s="162"/>
      <c r="O123" s="162"/>
      <c r="P123" s="162"/>
      <c r="Q123" s="162"/>
      <c r="R123" s="162"/>
      <c r="S123" s="162"/>
      <c r="T123" s="162"/>
      <c r="U123" s="641"/>
      <c r="V123" s="641"/>
      <c r="W123" s="641"/>
      <c r="X123" s="641"/>
      <c r="Y123" s="641"/>
      <c r="Z123" s="641"/>
      <c r="AA123" s="641"/>
    </row>
    <row r="124" spans="1:27" collapsed="1" x14ac:dyDescent="0.2">
      <c r="A124" s="162"/>
      <c r="B124" s="642"/>
      <c r="C124" s="162"/>
      <c r="D124" s="162"/>
      <c r="E124" s="162"/>
      <c r="F124" s="162"/>
      <c r="G124" s="162"/>
      <c r="H124" s="162"/>
      <c r="I124" s="162"/>
      <c r="J124" s="162"/>
      <c r="K124" s="162"/>
      <c r="L124" s="162"/>
      <c r="M124" s="162"/>
      <c r="N124" s="162"/>
      <c r="O124" s="162"/>
      <c r="P124" s="162"/>
      <c r="Q124" s="162"/>
      <c r="R124" s="162"/>
      <c r="S124" s="162"/>
      <c r="T124" s="162"/>
      <c r="U124" s="641"/>
      <c r="V124" s="641"/>
      <c r="W124" s="641"/>
      <c r="X124" s="641"/>
      <c r="Y124" s="641"/>
      <c r="Z124" s="641"/>
      <c r="AA124" s="641"/>
    </row>
    <row r="125" spans="1:27" ht="15" x14ac:dyDescent="0.2">
      <c r="A125" s="131"/>
      <c r="B125" s="298">
        <v>3</v>
      </c>
      <c r="C125" s="147" t="str">
        <f>IF($I$97&lt;&gt;"",MsgNotUsed,INDEX(NamesOverallChanged,B125))</f>
        <v>** NOT USED **</v>
      </c>
      <c r="D125" s="139"/>
      <c r="E125" s="139"/>
      <c r="F125" s="139"/>
      <c r="G125" s="139"/>
      <c r="H125" s="133"/>
      <c r="I125" s="821" t="str">
        <f>IF(C125&lt;&gt;MsgNotUsed,"Co-payment group " &amp; INDEX(CoPayBandMS,B125),"")</f>
        <v/>
      </c>
      <c r="J125" s="821"/>
      <c r="K125" s="139"/>
      <c r="L125" s="139"/>
      <c r="M125" s="139"/>
      <c r="N125" s="139"/>
      <c r="O125" s="139"/>
      <c r="P125" s="139"/>
      <c r="Q125" s="139"/>
      <c r="R125" s="139"/>
      <c r="S125" s="139"/>
      <c r="T125" s="139"/>
      <c r="U125" s="26"/>
      <c r="V125" s="26"/>
      <c r="W125" s="26"/>
      <c r="X125" s="26"/>
      <c r="Y125" s="26"/>
      <c r="Z125" s="26"/>
      <c r="AA125" s="26"/>
    </row>
    <row r="126" spans="1:27" ht="15.75" hidden="1" outlineLevel="1" x14ac:dyDescent="0.2">
      <c r="A126" s="131"/>
      <c r="B126" s="71">
        <f>INDEX(CoPayBandMS,B125)</f>
        <v>0</v>
      </c>
      <c r="C126" s="655"/>
      <c r="D126" s="131"/>
      <c r="E126" s="131"/>
      <c r="F126" s="131"/>
      <c r="G126" s="131"/>
      <c r="H126" s="131"/>
      <c r="I126" s="131"/>
      <c r="J126" s="131"/>
      <c r="K126" s="131"/>
      <c r="L126" s="131"/>
      <c r="M126" s="131"/>
      <c r="N126" s="131"/>
      <c r="O126" s="131"/>
      <c r="P126" s="131"/>
      <c r="Q126" s="131"/>
      <c r="R126" s="131"/>
      <c r="S126" s="131"/>
      <c r="T126" s="131"/>
      <c r="U126" s="26"/>
      <c r="V126" s="26"/>
      <c r="W126" s="26"/>
      <c r="X126" s="26"/>
      <c r="Y126" s="26"/>
      <c r="Z126" s="26"/>
      <c r="AA126" s="26"/>
    </row>
    <row r="127" spans="1:27" ht="14.25" hidden="1" customHeight="1" outlineLevel="1" x14ac:dyDescent="0.2">
      <c r="A127" s="162"/>
      <c r="B127" s="642"/>
      <c r="C127" s="708"/>
      <c r="D127" s="64">
        <f>E127-1</f>
        <v>2020</v>
      </c>
      <c r="E127" s="64">
        <f>FirstYear</f>
        <v>2021</v>
      </c>
      <c r="F127" s="64">
        <f>E127+1</f>
        <v>2022</v>
      </c>
      <c r="G127" s="64">
        <f>F127+1</f>
        <v>2023</v>
      </c>
      <c r="H127" s="64">
        <f>G127+1</f>
        <v>2024</v>
      </c>
      <c r="I127" s="64">
        <f>H127+1</f>
        <v>2025</v>
      </c>
      <c r="J127" s="64">
        <f>I127+1</f>
        <v>2026</v>
      </c>
      <c r="K127" s="162"/>
      <c r="L127" s="616"/>
      <c r="M127" s="162"/>
      <c r="N127" s="162"/>
      <c r="O127" s="162"/>
      <c r="P127" s="162"/>
      <c r="Q127" s="162"/>
      <c r="R127" s="162"/>
      <c r="S127" s="162"/>
      <c r="T127" s="162"/>
      <c r="U127" s="641"/>
      <c r="V127" s="641"/>
      <c r="W127" s="641"/>
      <c r="X127" s="641"/>
      <c r="Y127" s="641"/>
      <c r="Z127" s="641"/>
      <c r="AA127" s="641"/>
    </row>
    <row r="128" spans="1:27" hidden="1" outlineLevel="1" x14ac:dyDescent="0.2">
      <c r="A128" s="162"/>
      <c r="B128" s="642"/>
      <c r="C128" s="4" t="s">
        <v>114</v>
      </c>
      <c r="D128" s="38">
        <f>IF($I$97="",-R52,0)</f>
        <v>0</v>
      </c>
      <c r="E128" s="38">
        <f t="shared" ref="E128:J128" si="71">IF(D128="","",D128*(1+D129))</f>
        <v>0</v>
      </c>
      <c r="F128" s="38">
        <f t="shared" si="71"/>
        <v>0</v>
      </c>
      <c r="G128" s="38">
        <f t="shared" si="71"/>
        <v>0</v>
      </c>
      <c r="H128" s="38">
        <f t="shared" si="71"/>
        <v>0</v>
      </c>
      <c r="I128" s="38">
        <f t="shared" si="71"/>
        <v>0</v>
      </c>
      <c r="J128" s="38">
        <f t="shared" si="71"/>
        <v>0</v>
      </c>
      <c r="K128" s="162"/>
      <c r="L128" s="36" t="s">
        <v>258</v>
      </c>
      <c r="M128" s="162"/>
      <c r="N128" s="616"/>
      <c r="O128" s="162"/>
      <c r="P128" s="162"/>
      <c r="Q128" s="162"/>
      <c r="R128" s="162"/>
      <c r="S128" s="162"/>
      <c r="T128" s="162"/>
      <c r="U128" s="641"/>
      <c r="V128" s="641"/>
      <c r="W128" s="641"/>
      <c r="X128" s="641"/>
      <c r="Y128" s="641"/>
      <c r="Z128" s="641"/>
      <c r="AA128" s="641"/>
    </row>
    <row r="129" spans="1:27" hidden="1" outlineLevel="1" x14ac:dyDescent="0.2">
      <c r="A129" s="162"/>
      <c r="B129" s="642"/>
      <c r="C129" s="11" t="s">
        <v>26</v>
      </c>
      <c r="D129" s="55"/>
      <c r="E129" s="55"/>
      <c r="F129" s="55"/>
      <c r="G129" s="55"/>
      <c r="H129" s="55"/>
      <c r="I129" s="55"/>
      <c r="J129" s="33"/>
      <c r="K129" s="162"/>
      <c r="L129" s="822"/>
      <c r="M129" s="823"/>
      <c r="N129" s="823"/>
      <c r="O129" s="823"/>
      <c r="P129" s="823"/>
      <c r="Q129" s="823"/>
      <c r="R129" s="823"/>
      <c r="S129" s="823"/>
      <c r="T129" s="823"/>
      <c r="U129" s="641"/>
      <c r="V129" s="641"/>
      <c r="W129" s="641"/>
      <c r="X129" s="641"/>
      <c r="Y129" s="641"/>
      <c r="Z129" s="641"/>
      <c r="AA129" s="641"/>
    </row>
    <row r="130" spans="1:27" hidden="1" outlineLevel="1" x14ac:dyDescent="0.2">
      <c r="A130" s="162"/>
      <c r="B130" s="642"/>
      <c r="C130" s="11" t="s">
        <v>33</v>
      </c>
      <c r="D130" s="55"/>
      <c r="E130" s="55"/>
      <c r="F130" s="55"/>
      <c r="G130" s="55"/>
      <c r="H130" s="55"/>
      <c r="I130" s="55"/>
      <c r="J130" s="55"/>
      <c r="K130" s="162"/>
      <c r="L130" s="822"/>
      <c r="M130" s="823"/>
      <c r="N130" s="823"/>
      <c r="O130" s="823"/>
      <c r="P130" s="823"/>
      <c r="Q130" s="823"/>
      <c r="R130" s="823"/>
      <c r="S130" s="823"/>
      <c r="T130" s="823"/>
      <c r="U130" s="641"/>
      <c r="V130" s="641"/>
      <c r="W130" s="641"/>
      <c r="X130" s="641"/>
      <c r="Y130" s="641"/>
      <c r="Z130" s="641"/>
      <c r="AA130" s="641"/>
    </row>
    <row r="131" spans="1:27" hidden="1" outlineLevel="1" x14ac:dyDescent="0.2">
      <c r="A131" s="162"/>
      <c r="B131" s="642"/>
      <c r="C131" s="65" t="str">
        <f>"Proportion " &amp; IF(MarketImpact=0,"affected by","affected") &amp; " the proposed medicine"</f>
        <v>Proportion affected the proposed medicine</v>
      </c>
      <c r="D131" s="55"/>
      <c r="E131" s="55"/>
      <c r="F131" s="55"/>
      <c r="G131" s="55"/>
      <c r="H131" s="55"/>
      <c r="I131" s="55"/>
      <c r="J131" s="55"/>
      <c r="K131" s="162"/>
      <c r="L131" s="822"/>
      <c r="M131" s="823"/>
      <c r="N131" s="823"/>
      <c r="O131" s="823"/>
      <c r="P131" s="823"/>
      <c r="Q131" s="823"/>
      <c r="R131" s="823"/>
      <c r="S131" s="823"/>
      <c r="T131" s="823"/>
      <c r="U131" s="641"/>
      <c r="V131" s="641"/>
      <c r="W131" s="641"/>
      <c r="X131" s="641"/>
      <c r="Y131" s="641"/>
      <c r="Z131" s="641"/>
      <c r="AA131" s="641"/>
    </row>
    <row r="132" spans="1:27" hidden="1" outlineLevel="1" x14ac:dyDescent="0.2">
      <c r="A132" s="638"/>
      <c r="B132" s="640"/>
      <c r="C132" s="13" t="s">
        <v>107</v>
      </c>
      <c r="D132" s="32">
        <f t="shared" ref="D132:J132" si="72">D134-D133</f>
        <v>0</v>
      </c>
      <c r="E132" s="32">
        <f t="shared" si="72"/>
        <v>0</v>
      </c>
      <c r="F132" s="32">
        <f t="shared" si="72"/>
        <v>0</v>
      </c>
      <c r="G132" s="32">
        <f t="shared" si="72"/>
        <v>0</v>
      </c>
      <c r="H132" s="32">
        <f t="shared" si="72"/>
        <v>0</v>
      </c>
      <c r="I132" s="32">
        <f t="shared" si="72"/>
        <v>0</v>
      </c>
      <c r="J132" s="32">
        <f t="shared" si="72"/>
        <v>0</v>
      </c>
      <c r="K132" s="638"/>
      <c r="L132" s="638"/>
      <c r="M132" s="638"/>
      <c r="N132" s="638"/>
      <c r="O132" s="638"/>
      <c r="P132" s="638"/>
      <c r="Q132" s="638"/>
      <c r="R132" s="638"/>
      <c r="S132" s="638"/>
      <c r="T132" s="638"/>
      <c r="U132" s="9"/>
      <c r="V132" s="9"/>
      <c r="W132" s="9"/>
      <c r="X132" s="9"/>
      <c r="Y132" s="9"/>
      <c r="Z132" s="9"/>
      <c r="AA132" s="9"/>
    </row>
    <row r="133" spans="1:27" hidden="1" outlineLevel="1" x14ac:dyDescent="0.2">
      <c r="A133" s="638"/>
      <c r="B133" s="640"/>
      <c r="C133" s="13" t="s">
        <v>108</v>
      </c>
      <c r="D133" s="32">
        <f t="shared" ref="D133:J133" si="73">IF($B126&lt;&gt;0,ROUND(D134*INDEX(ServiceSplitRPBS,$B126),0),0)</f>
        <v>0</v>
      </c>
      <c r="E133" s="32">
        <f t="shared" si="73"/>
        <v>0</v>
      </c>
      <c r="F133" s="32">
        <f t="shared" si="73"/>
        <v>0</v>
      </c>
      <c r="G133" s="32">
        <f t="shared" si="73"/>
        <v>0</v>
      </c>
      <c r="H133" s="32">
        <f t="shared" si="73"/>
        <v>0</v>
      </c>
      <c r="I133" s="32">
        <f t="shared" si="73"/>
        <v>0</v>
      </c>
      <c r="J133" s="32">
        <f t="shared" si="73"/>
        <v>0</v>
      </c>
      <c r="K133" s="638"/>
      <c r="L133" s="638"/>
      <c r="M133" s="638"/>
      <c r="N133" s="638"/>
      <c r="O133" s="638"/>
      <c r="P133" s="638"/>
      <c r="Q133" s="638"/>
      <c r="R133" s="638"/>
      <c r="S133" s="638"/>
      <c r="T133" s="638"/>
      <c r="U133" s="9"/>
      <c r="V133" s="9"/>
      <c r="W133" s="9"/>
      <c r="X133" s="9"/>
      <c r="Y133" s="9"/>
      <c r="Z133" s="9"/>
      <c r="AA133" s="9"/>
    </row>
    <row r="134" spans="1:27" hidden="1" outlineLevel="1" x14ac:dyDescent="0.2">
      <c r="A134" s="638"/>
      <c r="B134" s="640"/>
      <c r="C134" s="635" t="s">
        <v>844</v>
      </c>
      <c r="D134" s="35">
        <f t="shared" ref="D134:J134" si="74">IF(D128="","",D131*D130*D128)</f>
        <v>0</v>
      </c>
      <c r="E134" s="35">
        <f t="shared" si="74"/>
        <v>0</v>
      </c>
      <c r="F134" s="35">
        <f t="shared" si="74"/>
        <v>0</v>
      </c>
      <c r="G134" s="35">
        <f t="shared" si="74"/>
        <v>0</v>
      </c>
      <c r="H134" s="35">
        <f t="shared" si="74"/>
        <v>0</v>
      </c>
      <c r="I134" s="35">
        <f t="shared" si="74"/>
        <v>0</v>
      </c>
      <c r="J134" s="35">
        <f t="shared" si="74"/>
        <v>0</v>
      </c>
      <c r="K134" s="638"/>
      <c r="L134" s="638"/>
      <c r="M134" s="638"/>
      <c r="N134" s="638"/>
      <c r="O134" s="638"/>
      <c r="P134" s="638"/>
      <c r="Q134" s="638"/>
      <c r="R134" s="638"/>
      <c r="S134" s="638"/>
      <c r="T134" s="638"/>
      <c r="U134" s="9"/>
      <c r="V134" s="9"/>
      <c r="W134" s="9"/>
      <c r="X134" s="9"/>
      <c r="Y134" s="9"/>
      <c r="Z134" s="9"/>
      <c r="AA134" s="9"/>
    </row>
    <row r="135" spans="1:27" hidden="1" outlineLevel="1" x14ac:dyDescent="0.2">
      <c r="A135" s="162"/>
      <c r="B135" s="642"/>
      <c r="C135" s="162"/>
      <c r="D135" s="162"/>
      <c r="E135" s="162"/>
      <c r="F135" s="162"/>
      <c r="G135" s="162"/>
      <c r="H135" s="162"/>
      <c r="I135" s="162"/>
      <c r="J135" s="162"/>
      <c r="K135" s="162"/>
      <c r="L135" s="162"/>
      <c r="M135" s="162"/>
      <c r="N135" s="162"/>
      <c r="O135" s="162"/>
      <c r="P135" s="162"/>
      <c r="Q135" s="162"/>
      <c r="R135" s="162"/>
      <c r="S135" s="162"/>
      <c r="T135" s="162"/>
      <c r="U135" s="641"/>
      <c r="V135" s="641"/>
      <c r="W135" s="641"/>
      <c r="X135" s="641"/>
      <c r="Y135" s="641"/>
      <c r="Z135" s="641"/>
      <c r="AA135" s="641"/>
    </row>
    <row r="136" spans="1:27" collapsed="1" x14ac:dyDescent="0.2">
      <c r="A136" s="162"/>
      <c r="B136" s="642"/>
      <c r="C136" s="162"/>
      <c r="D136" s="162"/>
      <c r="E136" s="162"/>
      <c r="F136" s="162"/>
      <c r="G136" s="162"/>
      <c r="H136" s="162"/>
      <c r="I136" s="162"/>
      <c r="J136" s="162"/>
      <c r="K136" s="162"/>
      <c r="L136" s="162"/>
      <c r="M136" s="162"/>
      <c r="N136" s="162"/>
      <c r="O136" s="162"/>
      <c r="P136" s="162"/>
      <c r="Q136" s="162"/>
      <c r="R136" s="162"/>
      <c r="S136" s="162"/>
      <c r="T136" s="162"/>
      <c r="U136" s="641"/>
      <c r="V136" s="641"/>
      <c r="W136" s="641"/>
      <c r="X136" s="641"/>
      <c r="Y136" s="641"/>
      <c r="Z136" s="641"/>
      <c r="AA136" s="641"/>
    </row>
    <row r="137" spans="1:27" ht="15" x14ac:dyDescent="0.2">
      <c r="A137" s="131"/>
      <c r="B137" s="298">
        <v>4</v>
      </c>
      <c r="C137" s="147" t="str">
        <f>IF($I$97&lt;&gt;"",MsgNotUsed,INDEX(NamesOverallChanged,B137))</f>
        <v>** NOT USED **</v>
      </c>
      <c r="D137" s="139"/>
      <c r="E137" s="139"/>
      <c r="F137" s="139"/>
      <c r="G137" s="139"/>
      <c r="H137" s="133"/>
      <c r="I137" s="821" t="str">
        <f>IF(C137&lt;&gt;MsgNotUsed,"Co-payment group " &amp; INDEX(CoPayBandMS,B137),"")</f>
        <v/>
      </c>
      <c r="J137" s="821"/>
      <c r="K137" s="139"/>
      <c r="L137" s="139"/>
      <c r="M137" s="139"/>
      <c r="N137" s="139"/>
      <c r="O137" s="139"/>
      <c r="P137" s="139"/>
      <c r="Q137" s="139"/>
      <c r="R137" s="139"/>
      <c r="S137" s="139"/>
      <c r="T137" s="139"/>
      <c r="U137" s="26"/>
      <c r="V137" s="26"/>
      <c r="W137" s="26"/>
      <c r="X137" s="26"/>
      <c r="Y137" s="26"/>
      <c r="Z137" s="26"/>
      <c r="AA137" s="26"/>
    </row>
    <row r="138" spans="1:27" ht="15.75" hidden="1" outlineLevel="1" x14ac:dyDescent="0.2">
      <c r="A138" s="131"/>
      <c r="B138" s="71">
        <f>INDEX(CoPayBandMS,B137)</f>
        <v>0</v>
      </c>
      <c r="C138" s="655"/>
      <c r="D138" s="131"/>
      <c r="E138" s="131"/>
      <c r="F138" s="131"/>
      <c r="G138" s="131"/>
      <c r="H138" s="131"/>
      <c r="I138" s="131"/>
      <c r="J138" s="131"/>
      <c r="K138" s="131"/>
      <c r="L138" s="131"/>
      <c r="M138" s="131"/>
      <c r="N138" s="131"/>
      <c r="O138" s="131"/>
      <c r="P138" s="131"/>
      <c r="Q138" s="131"/>
      <c r="R138" s="131"/>
      <c r="S138" s="131"/>
      <c r="T138" s="131"/>
      <c r="U138" s="26"/>
      <c r="V138" s="26"/>
      <c r="W138" s="26"/>
      <c r="X138" s="26"/>
      <c r="Y138" s="26"/>
      <c r="Z138" s="26"/>
      <c r="AA138" s="26"/>
    </row>
    <row r="139" spans="1:27" ht="14.25" hidden="1" customHeight="1" outlineLevel="1" x14ac:dyDescent="0.2">
      <c r="A139" s="162"/>
      <c r="B139" s="642"/>
      <c r="C139" s="708"/>
      <c r="D139" s="64">
        <f>E139-1</f>
        <v>2020</v>
      </c>
      <c r="E139" s="64">
        <f>FirstYear</f>
        <v>2021</v>
      </c>
      <c r="F139" s="64">
        <f>E139+1</f>
        <v>2022</v>
      </c>
      <c r="G139" s="64">
        <f>F139+1</f>
        <v>2023</v>
      </c>
      <c r="H139" s="64">
        <f>G139+1</f>
        <v>2024</v>
      </c>
      <c r="I139" s="64">
        <f>H139+1</f>
        <v>2025</v>
      </c>
      <c r="J139" s="64">
        <f>I139+1</f>
        <v>2026</v>
      </c>
      <c r="K139" s="162"/>
      <c r="L139" s="616"/>
      <c r="M139" s="162"/>
      <c r="N139" s="162"/>
      <c r="O139" s="162"/>
      <c r="P139" s="162"/>
      <c r="Q139" s="162"/>
      <c r="R139" s="162"/>
      <c r="S139" s="162"/>
      <c r="T139" s="162"/>
      <c r="U139" s="641"/>
      <c r="V139" s="641"/>
      <c r="W139" s="641"/>
      <c r="X139" s="641"/>
      <c r="Y139" s="641"/>
      <c r="Z139" s="641"/>
      <c r="AA139" s="641"/>
    </row>
    <row r="140" spans="1:27" hidden="1" outlineLevel="1" x14ac:dyDescent="0.2">
      <c r="A140" s="162"/>
      <c r="B140" s="642"/>
      <c r="C140" s="4" t="s">
        <v>114</v>
      </c>
      <c r="D140" s="38">
        <f>IF($I$97="",-R53,0)</f>
        <v>0</v>
      </c>
      <c r="E140" s="38">
        <f t="shared" ref="E140:J140" si="75">IF(D140="","",D140*(1+D141))</f>
        <v>0</v>
      </c>
      <c r="F140" s="38">
        <f t="shared" si="75"/>
        <v>0</v>
      </c>
      <c r="G140" s="38">
        <f t="shared" si="75"/>
        <v>0</v>
      </c>
      <c r="H140" s="38">
        <f t="shared" si="75"/>
        <v>0</v>
      </c>
      <c r="I140" s="38">
        <f t="shared" si="75"/>
        <v>0</v>
      </c>
      <c r="J140" s="38">
        <f t="shared" si="75"/>
        <v>0</v>
      </c>
      <c r="K140" s="162"/>
      <c r="L140" s="36" t="s">
        <v>258</v>
      </c>
      <c r="M140" s="162"/>
      <c r="N140" s="616"/>
      <c r="O140" s="162"/>
      <c r="P140" s="162"/>
      <c r="Q140" s="162"/>
      <c r="R140" s="162"/>
      <c r="S140" s="162"/>
      <c r="T140" s="162"/>
      <c r="U140" s="641"/>
      <c r="V140" s="641"/>
      <c r="W140" s="641"/>
      <c r="X140" s="641"/>
      <c r="Y140" s="641"/>
      <c r="Z140" s="641"/>
      <c r="AA140" s="641"/>
    </row>
    <row r="141" spans="1:27" hidden="1" outlineLevel="1" x14ac:dyDescent="0.2">
      <c r="A141" s="162"/>
      <c r="B141" s="642"/>
      <c r="C141" s="11" t="s">
        <v>26</v>
      </c>
      <c r="D141" s="55"/>
      <c r="E141" s="55"/>
      <c r="F141" s="55"/>
      <c r="G141" s="55"/>
      <c r="H141" s="55"/>
      <c r="I141" s="55"/>
      <c r="J141" s="33"/>
      <c r="K141" s="162"/>
      <c r="L141" s="822"/>
      <c r="M141" s="823"/>
      <c r="N141" s="823"/>
      <c r="O141" s="823"/>
      <c r="P141" s="823"/>
      <c r="Q141" s="823"/>
      <c r="R141" s="823"/>
      <c r="S141" s="823"/>
      <c r="T141" s="823"/>
      <c r="U141" s="641"/>
      <c r="V141" s="641"/>
      <c r="W141" s="641"/>
      <c r="X141" s="641"/>
      <c r="Y141" s="641"/>
      <c r="Z141" s="641"/>
      <c r="AA141" s="641"/>
    </row>
    <row r="142" spans="1:27" hidden="1" outlineLevel="1" x14ac:dyDescent="0.2">
      <c r="A142" s="162"/>
      <c r="B142" s="642"/>
      <c r="C142" s="11" t="s">
        <v>33</v>
      </c>
      <c r="D142" s="55"/>
      <c r="E142" s="55"/>
      <c r="F142" s="55"/>
      <c r="G142" s="55"/>
      <c r="H142" s="55"/>
      <c r="I142" s="55"/>
      <c r="J142" s="55"/>
      <c r="K142" s="162"/>
      <c r="L142" s="822"/>
      <c r="M142" s="823"/>
      <c r="N142" s="823"/>
      <c r="O142" s="823"/>
      <c r="P142" s="823"/>
      <c r="Q142" s="823"/>
      <c r="R142" s="823"/>
      <c r="S142" s="823"/>
      <c r="T142" s="823"/>
      <c r="U142" s="641"/>
      <c r="V142" s="641"/>
      <c r="W142" s="641"/>
      <c r="X142" s="641"/>
      <c r="Y142" s="641"/>
      <c r="Z142" s="641"/>
      <c r="AA142" s="641"/>
    </row>
    <row r="143" spans="1:27" hidden="1" outlineLevel="1" x14ac:dyDescent="0.2">
      <c r="A143" s="162"/>
      <c r="B143" s="642"/>
      <c r="C143" s="65" t="str">
        <f>"Proportion " &amp; IF(MarketImpact=0,"affected by","affected") &amp; " the proposed medicine"</f>
        <v>Proportion affected the proposed medicine</v>
      </c>
      <c r="D143" s="55"/>
      <c r="E143" s="55"/>
      <c r="F143" s="55"/>
      <c r="G143" s="55"/>
      <c r="H143" s="55"/>
      <c r="I143" s="55"/>
      <c r="J143" s="55"/>
      <c r="K143" s="162"/>
      <c r="L143" s="822"/>
      <c r="M143" s="823"/>
      <c r="N143" s="823"/>
      <c r="O143" s="823"/>
      <c r="P143" s="823"/>
      <c r="Q143" s="823"/>
      <c r="R143" s="823"/>
      <c r="S143" s="823"/>
      <c r="T143" s="823"/>
      <c r="U143" s="641"/>
      <c r="V143" s="641"/>
      <c r="W143" s="641"/>
      <c r="X143" s="641"/>
      <c r="Y143" s="641"/>
      <c r="Z143" s="641"/>
      <c r="AA143" s="641"/>
    </row>
    <row r="144" spans="1:27" hidden="1" outlineLevel="1" x14ac:dyDescent="0.2">
      <c r="A144" s="638"/>
      <c r="B144" s="640"/>
      <c r="C144" s="13" t="s">
        <v>107</v>
      </c>
      <c r="D144" s="32">
        <f t="shared" ref="D144:J144" si="76">D146-D145</f>
        <v>0</v>
      </c>
      <c r="E144" s="32">
        <f t="shared" si="76"/>
        <v>0</v>
      </c>
      <c r="F144" s="32">
        <f t="shared" si="76"/>
        <v>0</v>
      </c>
      <c r="G144" s="32">
        <f t="shared" si="76"/>
        <v>0</v>
      </c>
      <c r="H144" s="32">
        <f t="shared" si="76"/>
        <v>0</v>
      </c>
      <c r="I144" s="32">
        <f t="shared" si="76"/>
        <v>0</v>
      </c>
      <c r="J144" s="32">
        <f t="shared" si="76"/>
        <v>0</v>
      </c>
      <c r="K144" s="638"/>
      <c r="L144" s="638"/>
      <c r="M144" s="638"/>
      <c r="N144" s="638"/>
      <c r="O144" s="638"/>
      <c r="P144" s="638"/>
      <c r="Q144" s="638"/>
      <c r="R144" s="638"/>
      <c r="S144" s="638"/>
      <c r="T144" s="638"/>
      <c r="U144" s="9"/>
      <c r="V144" s="9"/>
      <c r="W144" s="9"/>
      <c r="X144" s="9"/>
      <c r="Y144" s="9"/>
      <c r="Z144" s="9"/>
      <c r="AA144" s="9"/>
    </row>
    <row r="145" spans="1:27" hidden="1" outlineLevel="1" x14ac:dyDescent="0.2">
      <c r="A145" s="638"/>
      <c r="B145" s="640"/>
      <c r="C145" s="13" t="s">
        <v>108</v>
      </c>
      <c r="D145" s="32">
        <f t="shared" ref="D145:J145" si="77">IF($B138&lt;&gt;0,ROUND(D146*INDEX(ServiceSplitRPBS,$B138),0),0)</f>
        <v>0</v>
      </c>
      <c r="E145" s="32">
        <f t="shared" si="77"/>
        <v>0</v>
      </c>
      <c r="F145" s="32">
        <f t="shared" si="77"/>
        <v>0</v>
      </c>
      <c r="G145" s="32">
        <f t="shared" si="77"/>
        <v>0</v>
      </c>
      <c r="H145" s="32">
        <f t="shared" si="77"/>
        <v>0</v>
      </c>
      <c r="I145" s="32">
        <f t="shared" si="77"/>
        <v>0</v>
      </c>
      <c r="J145" s="32">
        <f t="shared" si="77"/>
        <v>0</v>
      </c>
      <c r="K145" s="638"/>
      <c r="L145" s="638"/>
      <c r="M145" s="638"/>
      <c r="N145" s="638"/>
      <c r="O145" s="638"/>
      <c r="P145" s="638"/>
      <c r="Q145" s="638"/>
      <c r="R145" s="638"/>
      <c r="S145" s="638"/>
      <c r="T145" s="638"/>
      <c r="U145" s="9"/>
      <c r="V145" s="9"/>
      <c r="W145" s="9"/>
      <c r="X145" s="9"/>
      <c r="Y145" s="9"/>
      <c r="Z145" s="9"/>
      <c r="AA145" s="9"/>
    </row>
    <row r="146" spans="1:27" hidden="1" outlineLevel="1" x14ac:dyDescent="0.2">
      <c r="A146" s="638"/>
      <c r="B146" s="640"/>
      <c r="C146" s="635" t="s">
        <v>844</v>
      </c>
      <c r="D146" s="35">
        <f t="shared" ref="D146:J146" si="78">IF(D140="","",D143*D142*D140)</f>
        <v>0</v>
      </c>
      <c r="E146" s="35">
        <f t="shared" si="78"/>
        <v>0</v>
      </c>
      <c r="F146" s="35">
        <f t="shared" si="78"/>
        <v>0</v>
      </c>
      <c r="G146" s="35">
        <f t="shared" si="78"/>
        <v>0</v>
      </c>
      <c r="H146" s="35">
        <f t="shared" si="78"/>
        <v>0</v>
      </c>
      <c r="I146" s="35">
        <f t="shared" si="78"/>
        <v>0</v>
      </c>
      <c r="J146" s="35">
        <f t="shared" si="78"/>
        <v>0</v>
      </c>
      <c r="K146" s="638"/>
      <c r="L146" s="638"/>
      <c r="M146" s="638"/>
      <c r="N146" s="638"/>
      <c r="O146" s="638"/>
      <c r="P146" s="638"/>
      <c r="Q146" s="638"/>
      <c r="R146" s="638"/>
      <c r="S146" s="638"/>
      <c r="T146" s="638"/>
      <c r="U146" s="9"/>
      <c r="V146" s="9"/>
      <c r="W146" s="9"/>
      <c r="X146" s="9"/>
      <c r="Y146" s="9"/>
      <c r="Z146" s="9"/>
      <c r="AA146" s="9"/>
    </row>
    <row r="147" spans="1:27" hidden="1" outlineLevel="1" x14ac:dyDescent="0.2">
      <c r="A147" s="162"/>
      <c r="B147" s="642"/>
      <c r="C147" s="162"/>
      <c r="D147" s="162"/>
      <c r="E147" s="162"/>
      <c r="F147" s="162"/>
      <c r="G147" s="162"/>
      <c r="H147" s="162"/>
      <c r="I147" s="162"/>
      <c r="J147" s="162"/>
      <c r="K147" s="162"/>
      <c r="L147" s="162"/>
      <c r="M147" s="162"/>
      <c r="N147" s="162"/>
      <c r="O147" s="162"/>
      <c r="P147" s="162"/>
      <c r="Q147" s="162"/>
      <c r="R147" s="162"/>
      <c r="S147" s="162"/>
      <c r="T147" s="162"/>
      <c r="U147" s="641"/>
      <c r="V147" s="641"/>
      <c r="W147" s="641"/>
      <c r="X147" s="641"/>
      <c r="Y147" s="641"/>
      <c r="Z147" s="641"/>
      <c r="AA147" s="641"/>
    </row>
    <row r="148" spans="1:27" collapsed="1" x14ac:dyDescent="0.2">
      <c r="A148" s="162"/>
      <c r="B148" s="642"/>
      <c r="C148" s="162"/>
      <c r="D148" s="162"/>
      <c r="E148" s="162"/>
      <c r="F148" s="162"/>
      <c r="G148" s="162"/>
      <c r="H148" s="162"/>
      <c r="I148" s="162"/>
      <c r="J148" s="162"/>
      <c r="K148" s="162"/>
      <c r="L148" s="162"/>
      <c r="M148" s="162"/>
      <c r="N148" s="162"/>
      <c r="O148" s="162"/>
      <c r="P148" s="162"/>
      <c r="Q148" s="162"/>
      <c r="R148" s="162"/>
      <c r="S148" s="162"/>
      <c r="T148" s="162"/>
      <c r="U148" s="641"/>
      <c r="V148" s="641"/>
      <c r="W148" s="641"/>
      <c r="X148" s="641"/>
      <c r="Y148" s="641"/>
      <c r="Z148" s="641"/>
      <c r="AA148" s="641"/>
    </row>
    <row r="149" spans="1:27" ht="15" x14ac:dyDescent="0.2">
      <c r="A149" s="131"/>
      <c r="B149" s="298">
        <v>5</v>
      </c>
      <c r="C149" s="147" t="str">
        <f>IF($I$97&lt;&gt;"",MsgNotUsed,INDEX(NamesOverallChanged,B149))</f>
        <v>** NOT USED **</v>
      </c>
      <c r="D149" s="139"/>
      <c r="E149" s="139"/>
      <c r="F149" s="139"/>
      <c r="G149" s="139"/>
      <c r="H149" s="133"/>
      <c r="I149" s="821" t="str">
        <f>IF(C149&lt;&gt;MsgNotUsed,"Co-payment group " &amp; INDEX(CoPayBandMS,B149),"")</f>
        <v/>
      </c>
      <c r="J149" s="821"/>
      <c r="K149" s="139"/>
      <c r="L149" s="139"/>
      <c r="M149" s="139"/>
      <c r="N149" s="139"/>
      <c r="O149" s="139"/>
      <c r="P149" s="139"/>
      <c r="Q149" s="139"/>
      <c r="R149" s="139"/>
      <c r="S149" s="139"/>
      <c r="T149" s="139"/>
      <c r="U149" s="26"/>
      <c r="V149" s="26"/>
      <c r="W149" s="26"/>
      <c r="X149" s="26"/>
      <c r="Y149" s="26"/>
      <c r="Z149" s="26"/>
      <c r="AA149" s="26"/>
    </row>
    <row r="150" spans="1:27" ht="15.75" hidden="1" outlineLevel="1" x14ac:dyDescent="0.2">
      <c r="A150" s="131"/>
      <c r="B150" s="71">
        <f>INDEX(CoPayBandMS,B149)</f>
        <v>0</v>
      </c>
      <c r="C150" s="655"/>
      <c r="D150" s="131"/>
      <c r="E150" s="131"/>
      <c r="F150" s="131"/>
      <c r="G150" s="131"/>
      <c r="H150" s="131"/>
      <c r="I150" s="131"/>
      <c r="J150" s="131"/>
      <c r="K150" s="131"/>
      <c r="L150" s="131"/>
      <c r="M150" s="131"/>
      <c r="N150" s="131"/>
      <c r="O150" s="131"/>
      <c r="P150" s="131"/>
      <c r="Q150" s="131"/>
      <c r="R150" s="131"/>
      <c r="S150" s="131"/>
      <c r="T150" s="131"/>
      <c r="U150" s="26"/>
      <c r="V150" s="26"/>
      <c r="W150" s="26"/>
      <c r="X150" s="26"/>
      <c r="Y150" s="26"/>
      <c r="Z150" s="26"/>
      <c r="AA150" s="26"/>
    </row>
    <row r="151" spans="1:27" ht="14.25" hidden="1" customHeight="1" outlineLevel="1" x14ac:dyDescent="0.2">
      <c r="A151" s="162"/>
      <c r="B151" s="642"/>
      <c r="C151" s="708"/>
      <c r="D151" s="64">
        <f>E151-1</f>
        <v>2020</v>
      </c>
      <c r="E151" s="64">
        <f>FirstYear</f>
        <v>2021</v>
      </c>
      <c r="F151" s="64">
        <f>E151+1</f>
        <v>2022</v>
      </c>
      <c r="G151" s="64">
        <f>F151+1</f>
        <v>2023</v>
      </c>
      <c r="H151" s="64">
        <f>G151+1</f>
        <v>2024</v>
      </c>
      <c r="I151" s="64">
        <f>H151+1</f>
        <v>2025</v>
      </c>
      <c r="J151" s="64">
        <f>I151+1</f>
        <v>2026</v>
      </c>
      <c r="K151" s="162"/>
      <c r="L151" s="616"/>
      <c r="M151" s="162"/>
      <c r="N151" s="162"/>
      <c r="O151" s="162"/>
      <c r="P151" s="162"/>
      <c r="Q151" s="162"/>
      <c r="R151" s="162"/>
      <c r="S151" s="162"/>
      <c r="T151" s="162"/>
      <c r="U151" s="641"/>
      <c r="V151" s="641"/>
      <c r="W151" s="641"/>
      <c r="X151" s="641"/>
      <c r="Y151" s="641"/>
      <c r="Z151" s="641"/>
      <c r="AA151" s="641"/>
    </row>
    <row r="152" spans="1:27" hidden="1" outlineLevel="1" x14ac:dyDescent="0.2">
      <c r="A152" s="162"/>
      <c r="B152" s="642"/>
      <c r="C152" s="4" t="s">
        <v>114</v>
      </c>
      <c r="D152" s="38">
        <f>IF($I$97="",-R54,0)</f>
        <v>0</v>
      </c>
      <c r="E152" s="38">
        <f t="shared" ref="E152:J152" si="79">IF(D152="","",D152*(1+D153))</f>
        <v>0</v>
      </c>
      <c r="F152" s="38">
        <f t="shared" si="79"/>
        <v>0</v>
      </c>
      <c r="G152" s="38">
        <f t="shared" si="79"/>
        <v>0</v>
      </c>
      <c r="H152" s="38">
        <f t="shared" si="79"/>
        <v>0</v>
      </c>
      <c r="I152" s="38">
        <f t="shared" si="79"/>
        <v>0</v>
      </c>
      <c r="J152" s="38">
        <f t="shared" si="79"/>
        <v>0</v>
      </c>
      <c r="K152" s="162"/>
      <c r="L152" s="36" t="s">
        <v>258</v>
      </c>
      <c r="M152" s="162"/>
      <c r="N152" s="616"/>
      <c r="O152" s="162"/>
      <c r="P152" s="162"/>
      <c r="Q152" s="162"/>
      <c r="R152" s="162"/>
      <c r="S152" s="162"/>
      <c r="T152" s="162"/>
      <c r="U152" s="641"/>
      <c r="V152" s="641"/>
      <c r="W152" s="641"/>
      <c r="X152" s="641"/>
      <c r="Y152" s="641"/>
      <c r="Z152" s="641"/>
      <c r="AA152" s="641"/>
    </row>
    <row r="153" spans="1:27" hidden="1" outlineLevel="1" x14ac:dyDescent="0.2">
      <c r="A153" s="162"/>
      <c r="B153" s="642"/>
      <c r="C153" s="11" t="s">
        <v>26</v>
      </c>
      <c r="D153" s="55"/>
      <c r="E153" s="55"/>
      <c r="F153" s="55"/>
      <c r="G153" s="55"/>
      <c r="H153" s="55"/>
      <c r="I153" s="55"/>
      <c r="J153" s="33"/>
      <c r="K153" s="162"/>
      <c r="L153" s="822"/>
      <c r="M153" s="823"/>
      <c r="N153" s="823"/>
      <c r="O153" s="823"/>
      <c r="P153" s="823"/>
      <c r="Q153" s="823"/>
      <c r="R153" s="823"/>
      <c r="S153" s="823"/>
      <c r="T153" s="823"/>
      <c r="U153" s="641"/>
      <c r="V153" s="641"/>
      <c r="W153" s="641"/>
      <c r="X153" s="641"/>
      <c r="Y153" s="641"/>
      <c r="Z153" s="641"/>
      <c r="AA153" s="641"/>
    </row>
    <row r="154" spans="1:27" hidden="1" outlineLevel="1" x14ac:dyDescent="0.2">
      <c r="A154" s="162"/>
      <c r="B154" s="642"/>
      <c r="C154" s="11" t="s">
        <v>33</v>
      </c>
      <c r="D154" s="55"/>
      <c r="E154" s="55"/>
      <c r="F154" s="55"/>
      <c r="G154" s="55"/>
      <c r="H154" s="55"/>
      <c r="I154" s="55"/>
      <c r="J154" s="55"/>
      <c r="K154" s="162"/>
      <c r="L154" s="822"/>
      <c r="M154" s="823"/>
      <c r="N154" s="823"/>
      <c r="O154" s="823"/>
      <c r="P154" s="823"/>
      <c r="Q154" s="823"/>
      <c r="R154" s="823"/>
      <c r="S154" s="823"/>
      <c r="T154" s="823"/>
      <c r="U154" s="641"/>
      <c r="V154" s="641"/>
      <c r="W154" s="641"/>
      <c r="X154" s="641"/>
      <c r="Y154" s="641"/>
      <c r="Z154" s="641"/>
      <c r="AA154" s="641"/>
    </row>
    <row r="155" spans="1:27" hidden="1" outlineLevel="1" x14ac:dyDescent="0.2">
      <c r="A155" s="162"/>
      <c r="B155" s="642"/>
      <c r="C155" s="65" t="str">
        <f>"Proportion " &amp; IF(MarketImpact=0,"affected by","affected") &amp; " the proposed medicine"</f>
        <v>Proportion affected the proposed medicine</v>
      </c>
      <c r="D155" s="55"/>
      <c r="E155" s="55"/>
      <c r="F155" s="55"/>
      <c r="G155" s="55"/>
      <c r="H155" s="55"/>
      <c r="I155" s="55"/>
      <c r="J155" s="55"/>
      <c r="K155" s="162"/>
      <c r="L155" s="822"/>
      <c r="M155" s="823"/>
      <c r="N155" s="823"/>
      <c r="O155" s="823"/>
      <c r="P155" s="823"/>
      <c r="Q155" s="823"/>
      <c r="R155" s="823"/>
      <c r="S155" s="823"/>
      <c r="T155" s="823"/>
      <c r="U155" s="641"/>
      <c r="V155" s="641"/>
      <c r="W155" s="641"/>
      <c r="X155" s="641"/>
      <c r="Y155" s="641"/>
      <c r="Z155" s="641"/>
      <c r="AA155" s="641"/>
    </row>
    <row r="156" spans="1:27" hidden="1" outlineLevel="1" x14ac:dyDescent="0.2">
      <c r="A156" s="638"/>
      <c r="B156" s="640"/>
      <c r="C156" s="13" t="s">
        <v>107</v>
      </c>
      <c r="D156" s="32">
        <f t="shared" ref="D156:J156" si="80">D158-D157</f>
        <v>0</v>
      </c>
      <c r="E156" s="32">
        <f t="shared" si="80"/>
        <v>0</v>
      </c>
      <c r="F156" s="32">
        <f t="shared" si="80"/>
        <v>0</v>
      </c>
      <c r="G156" s="32">
        <f t="shared" si="80"/>
        <v>0</v>
      </c>
      <c r="H156" s="32">
        <f t="shared" si="80"/>
        <v>0</v>
      </c>
      <c r="I156" s="32">
        <f t="shared" si="80"/>
        <v>0</v>
      </c>
      <c r="J156" s="32">
        <f t="shared" si="80"/>
        <v>0</v>
      </c>
      <c r="K156" s="638"/>
      <c r="L156" s="638"/>
      <c r="M156" s="638"/>
      <c r="N156" s="638"/>
      <c r="O156" s="638"/>
      <c r="P156" s="638"/>
      <c r="Q156" s="638"/>
      <c r="R156" s="638"/>
      <c r="S156" s="638"/>
      <c r="T156" s="638"/>
      <c r="U156" s="9"/>
      <c r="V156" s="9"/>
      <c r="W156" s="9"/>
      <c r="X156" s="9"/>
      <c r="Y156" s="9"/>
      <c r="Z156" s="9"/>
      <c r="AA156" s="9"/>
    </row>
    <row r="157" spans="1:27" hidden="1" outlineLevel="1" x14ac:dyDescent="0.2">
      <c r="A157" s="638"/>
      <c r="B157" s="640"/>
      <c r="C157" s="13" t="s">
        <v>108</v>
      </c>
      <c r="D157" s="32">
        <f t="shared" ref="D157:J157" si="81">IF($B150&lt;&gt;0,ROUND(D158*INDEX(ServiceSplitRPBS,$B150),0),0)</f>
        <v>0</v>
      </c>
      <c r="E157" s="32">
        <f t="shared" si="81"/>
        <v>0</v>
      </c>
      <c r="F157" s="32">
        <f t="shared" si="81"/>
        <v>0</v>
      </c>
      <c r="G157" s="32">
        <f t="shared" si="81"/>
        <v>0</v>
      </c>
      <c r="H157" s="32">
        <f t="shared" si="81"/>
        <v>0</v>
      </c>
      <c r="I157" s="32">
        <f t="shared" si="81"/>
        <v>0</v>
      </c>
      <c r="J157" s="32">
        <f t="shared" si="81"/>
        <v>0</v>
      </c>
      <c r="K157" s="638"/>
      <c r="L157" s="638"/>
      <c r="M157" s="638"/>
      <c r="N157" s="638"/>
      <c r="O157" s="638"/>
      <c r="P157" s="638"/>
      <c r="Q157" s="638"/>
      <c r="R157" s="638"/>
      <c r="S157" s="638"/>
      <c r="T157" s="638"/>
      <c r="U157" s="9"/>
      <c r="V157" s="9"/>
      <c r="W157" s="9"/>
      <c r="X157" s="9"/>
      <c r="Y157" s="9"/>
      <c r="Z157" s="9"/>
      <c r="AA157" s="9"/>
    </row>
    <row r="158" spans="1:27" hidden="1" outlineLevel="1" x14ac:dyDescent="0.2">
      <c r="A158" s="638"/>
      <c r="B158" s="640"/>
      <c r="C158" s="635" t="s">
        <v>844</v>
      </c>
      <c r="D158" s="35">
        <f t="shared" ref="D158:J158" si="82">IF(D152="","",D155*D154*D152)</f>
        <v>0</v>
      </c>
      <c r="E158" s="35">
        <f t="shared" si="82"/>
        <v>0</v>
      </c>
      <c r="F158" s="35">
        <f t="shared" si="82"/>
        <v>0</v>
      </c>
      <c r="G158" s="35">
        <f t="shared" si="82"/>
        <v>0</v>
      </c>
      <c r="H158" s="35">
        <f t="shared" si="82"/>
        <v>0</v>
      </c>
      <c r="I158" s="35">
        <f t="shared" si="82"/>
        <v>0</v>
      </c>
      <c r="J158" s="35">
        <f t="shared" si="82"/>
        <v>0</v>
      </c>
      <c r="K158" s="638"/>
      <c r="L158" s="638"/>
      <c r="M158" s="638"/>
      <c r="N158" s="638"/>
      <c r="O158" s="638"/>
      <c r="P158" s="638"/>
      <c r="Q158" s="638"/>
      <c r="R158" s="638"/>
      <c r="S158" s="638"/>
      <c r="T158" s="638"/>
      <c r="U158" s="9"/>
      <c r="V158" s="9"/>
      <c r="W158" s="9"/>
      <c r="X158" s="9"/>
      <c r="Y158" s="9"/>
      <c r="Z158" s="9"/>
      <c r="AA158" s="9"/>
    </row>
    <row r="159" spans="1:27" hidden="1" outlineLevel="1" x14ac:dyDescent="0.2">
      <c r="A159" s="162"/>
      <c r="B159" s="642"/>
      <c r="C159" s="162"/>
      <c r="D159" s="162"/>
      <c r="E159" s="162"/>
      <c r="F159" s="162"/>
      <c r="G159" s="162"/>
      <c r="H159" s="162"/>
      <c r="I159" s="162"/>
      <c r="J159" s="162"/>
      <c r="K159" s="162"/>
      <c r="L159" s="162"/>
      <c r="M159" s="162"/>
      <c r="N159" s="162"/>
      <c r="O159" s="162"/>
      <c r="P159" s="162"/>
      <c r="Q159" s="162"/>
      <c r="R159" s="162"/>
      <c r="S159" s="162"/>
      <c r="T159" s="162"/>
      <c r="U159" s="641"/>
      <c r="V159" s="641"/>
      <c r="W159" s="641"/>
      <c r="X159" s="641"/>
      <c r="Y159" s="641"/>
      <c r="Z159" s="641"/>
      <c r="AA159" s="641"/>
    </row>
    <row r="160" spans="1:27" collapsed="1" x14ac:dyDescent="0.2">
      <c r="A160" s="162"/>
      <c r="B160" s="642"/>
      <c r="C160" s="162"/>
      <c r="D160" s="162"/>
      <c r="E160" s="162"/>
      <c r="F160" s="162"/>
      <c r="G160" s="162"/>
      <c r="H160" s="162"/>
      <c r="I160" s="162"/>
      <c r="J160" s="162"/>
      <c r="K160" s="162"/>
      <c r="L160" s="162"/>
      <c r="M160" s="162"/>
      <c r="N160" s="162"/>
      <c r="O160" s="162"/>
      <c r="P160" s="162"/>
      <c r="Q160" s="162"/>
      <c r="R160" s="162"/>
      <c r="S160" s="162"/>
      <c r="T160" s="162"/>
      <c r="U160" s="641"/>
      <c r="V160" s="641"/>
      <c r="W160" s="641"/>
      <c r="X160" s="641"/>
      <c r="Y160" s="641"/>
      <c r="Z160" s="641"/>
      <c r="AA160" s="641"/>
    </row>
    <row r="161" spans="1:27" ht="15" x14ac:dyDescent="0.2">
      <c r="A161" s="131"/>
      <c r="B161" s="298">
        <v>6</v>
      </c>
      <c r="C161" s="147" t="str">
        <f>IF($I$97&lt;&gt;"",MsgNotUsed,INDEX(NamesOverallChanged,B161))</f>
        <v>** NOT USED **</v>
      </c>
      <c r="D161" s="139"/>
      <c r="E161" s="139"/>
      <c r="F161" s="139"/>
      <c r="G161" s="139"/>
      <c r="H161" s="133"/>
      <c r="I161" s="821" t="str">
        <f>IF(C161&lt;&gt;MsgNotUsed,"Co-payment group " &amp; INDEX(CoPayBandMS,B161),"")</f>
        <v/>
      </c>
      <c r="J161" s="821"/>
      <c r="K161" s="139"/>
      <c r="L161" s="139"/>
      <c r="M161" s="139"/>
      <c r="N161" s="139"/>
      <c r="O161" s="139"/>
      <c r="P161" s="139"/>
      <c r="Q161" s="139"/>
      <c r="R161" s="139"/>
      <c r="S161" s="139"/>
      <c r="T161" s="139"/>
      <c r="U161" s="26"/>
      <c r="V161" s="26"/>
      <c r="W161" s="26"/>
      <c r="X161" s="26"/>
      <c r="Y161" s="26"/>
      <c r="Z161" s="26"/>
      <c r="AA161" s="26"/>
    </row>
    <row r="162" spans="1:27" ht="15.75" hidden="1" outlineLevel="1" x14ac:dyDescent="0.2">
      <c r="A162" s="131"/>
      <c r="B162" s="71">
        <f>INDEX(CoPayBandMS,B161)</f>
        <v>0</v>
      </c>
      <c r="C162" s="655"/>
      <c r="D162" s="131"/>
      <c r="E162" s="131"/>
      <c r="F162" s="131"/>
      <c r="G162" s="131"/>
      <c r="H162" s="131"/>
      <c r="I162" s="131"/>
      <c r="J162" s="131"/>
      <c r="K162" s="131"/>
      <c r="L162" s="131"/>
      <c r="M162" s="131"/>
      <c r="N162" s="131"/>
      <c r="O162" s="131"/>
      <c r="P162" s="131"/>
      <c r="Q162" s="131"/>
      <c r="R162" s="131"/>
      <c r="S162" s="131"/>
      <c r="T162" s="131"/>
      <c r="U162" s="26"/>
      <c r="V162" s="26"/>
      <c r="W162" s="26"/>
      <c r="X162" s="26"/>
      <c r="Y162" s="26"/>
      <c r="Z162" s="26"/>
      <c r="AA162" s="26"/>
    </row>
    <row r="163" spans="1:27" ht="14.25" hidden="1" customHeight="1" outlineLevel="1" x14ac:dyDescent="0.2">
      <c r="A163" s="162"/>
      <c r="B163" s="642"/>
      <c r="C163" s="708"/>
      <c r="D163" s="64">
        <f>E163-1</f>
        <v>2020</v>
      </c>
      <c r="E163" s="64">
        <f>FirstYear</f>
        <v>2021</v>
      </c>
      <c r="F163" s="64">
        <f>E163+1</f>
        <v>2022</v>
      </c>
      <c r="G163" s="64">
        <f>F163+1</f>
        <v>2023</v>
      </c>
      <c r="H163" s="64">
        <f>G163+1</f>
        <v>2024</v>
      </c>
      <c r="I163" s="64">
        <f>H163+1</f>
        <v>2025</v>
      </c>
      <c r="J163" s="64">
        <f>I163+1</f>
        <v>2026</v>
      </c>
      <c r="K163" s="162"/>
      <c r="L163" s="616"/>
      <c r="M163" s="162"/>
      <c r="N163" s="162"/>
      <c r="O163" s="162"/>
      <c r="P163" s="162"/>
      <c r="Q163" s="162"/>
      <c r="R163" s="162"/>
      <c r="S163" s="162"/>
      <c r="T163" s="162"/>
      <c r="U163" s="641"/>
      <c r="V163" s="641"/>
      <c r="W163" s="641"/>
      <c r="X163" s="641"/>
      <c r="Y163" s="641"/>
      <c r="Z163" s="641"/>
      <c r="AA163" s="641"/>
    </row>
    <row r="164" spans="1:27" hidden="1" outlineLevel="1" x14ac:dyDescent="0.2">
      <c r="A164" s="162"/>
      <c r="B164" s="642"/>
      <c r="C164" s="4" t="s">
        <v>114</v>
      </c>
      <c r="D164" s="38">
        <f>IF($I$97="",-R55,0)</f>
        <v>0</v>
      </c>
      <c r="E164" s="38">
        <f t="shared" ref="E164:J164" si="83">IF(D164="","",D164*(1+D165))</f>
        <v>0</v>
      </c>
      <c r="F164" s="38">
        <f t="shared" si="83"/>
        <v>0</v>
      </c>
      <c r="G164" s="38">
        <f t="shared" si="83"/>
        <v>0</v>
      </c>
      <c r="H164" s="38">
        <f t="shared" si="83"/>
        <v>0</v>
      </c>
      <c r="I164" s="38">
        <f t="shared" si="83"/>
        <v>0</v>
      </c>
      <c r="J164" s="38">
        <f t="shared" si="83"/>
        <v>0</v>
      </c>
      <c r="K164" s="162"/>
      <c r="L164" s="36" t="s">
        <v>258</v>
      </c>
      <c r="M164" s="162"/>
      <c r="N164" s="616"/>
      <c r="O164" s="162"/>
      <c r="P164" s="162"/>
      <c r="Q164" s="162"/>
      <c r="R164" s="162"/>
      <c r="S164" s="162"/>
      <c r="T164" s="162"/>
      <c r="U164" s="641"/>
      <c r="V164" s="641"/>
      <c r="W164" s="641"/>
      <c r="X164" s="641"/>
      <c r="Y164" s="641"/>
      <c r="Z164" s="641"/>
      <c r="AA164" s="641"/>
    </row>
    <row r="165" spans="1:27" hidden="1" outlineLevel="1" x14ac:dyDescent="0.2">
      <c r="A165" s="162"/>
      <c r="B165" s="642"/>
      <c r="C165" s="11" t="s">
        <v>26</v>
      </c>
      <c r="D165" s="55"/>
      <c r="E165" s="55"/>
      <c r="F165" s="55"/>
      <c r="G165" s="55"/>
      <c r="H165" s="55"/>
      <c r="I165" s="55"/>
      <c r="J165" s="33"/>
      <c r="K165" s="162"/>
      <c r="L165" s="822"/>
      <c r="M165" s="823"/>
      <c r="N165" s="823"/>
      <c r="O165" s="823"/>
      <c r="P165" s="823"/>
      <c r="Q165" s="823"/>
      <c r="R165" s="823"/>
      <c r="S165" s="823"/>
      <c r="T165" s="823"/>
      <c r="U165" s="641"/>
      <c r="V165" s="641"/>
      <c r="W165" s="641"/>
      <c r="X165" s="641"/>
      <c r="Y165" s="641"/>
      <c r="Z165" s="641"/>
      <c r="AA165" s="641"/>
    </row>
    <row r="166" spans="1:27" hidden="1" outlineLevel="1" x14ac:dyDescent="0.2">
      <c r="A166" s="162"/>
      <c r="B166" s="642"/>
      <c r="C166" s="11" t="s">
        <v>33</v>
      </c>
      <c r="D166" s="55"/>
      <c r="E166" s="55"/>
      <c r="F166" s="55"/>
      <c r="G166" s="55"/>
      <c r="H166" s="55"/>
      <c r="I166" s="55"/>
      <c r="J166" s="55"/>
      <c r="K166" s="162"/>
      <c r="L166" s="822"/>
      <c r="M166" s="823"/>
      <c r="N166" s="823"/>
      <c r="O166" s="823"/>
      <c r="P166" s="823"/>
      <c r="Q166" s="823"/>
      <c r="R166" s="823"/>
      <c r="S166" s="823"/>
      <c r="T166" s="823"/>
      <c r="U166" s="641"/>
      <c r="V166" s="641"/>
      <c r="W166" s="641"/>
      <c r="X166" s="641"/>
      <c r="Y166" s="641"/>
      <c r="Z166" s="641"/>
      <c r="AA166" s="641"/>
    </row>
    <row r="167" spans="1:27" hidden="1" outlineLevel="1" x14ac:dyDescent="0.2">
      <c r="A167" s="162"/>
      <c r="B167" s="642"/>
      <c r="C167" s="65" t="str">
        <f>"Proportion " &amp; IF(MarketImpact=0,"affected by","affected") &amp; " the proposed medicine"</f>
        <v>Proportion affected the proposed medicine</v>
      </c>
      <c r="D167" s="55"/>
      <c r="E167" s="55"/>
      <c r="F167" s="55"/>
      <c r="G167" s="55"/>
      <c r="H167" s="55"/>
      <c r="I167" s="55"/>
      <c r="J167" s="55"/>
      <c r="K167" s="162"/>
      <c r="L167" s="822"/>
      <c r="M167" s="823"/>
      <c r="N167" s="823"/>
      <c r="O167" s="823"/>
      <c r="P167" s="823"/>
      <c r="Q167" s="823"/>
      <c r="R167" s="823"/>
      <c r="S167" s="823"/>
      <c r="T167" s="823"/>
      <c r="U167" s="641"/>
      <c r="V167" s="641"/>
      <c r="W167" s="641"/>
      <c r="X167" s="641"/>
      <c r="Y167" s="641"/>
      <c r="Z167" s="641"/>
      <c r="AA167" s="641"/>
    </row>
    <row r="168" spans="1:27" hidden="1" outlineLevel="1" x14ac:dyDescent="0.2">
      <c r="A168" s="638"/>
      <c r="B168" s="640"/>
      <c r="C168" s="13" t="s">
        <v>107</v>
      </c>
      <c r="D168" s="32">
        <f t="shared" ref="D168:J168" si="84">D170-D169</f>
        <v>0</v>
      </c>
      <c r="E168" s="32">
        <f t="shared" si="84"/>
        <v>0</v>
      </c>
      <c r="F168" s="32">
        <f t="shared" si="84"/>
        <v>0</v>
      </c>
      <c r="G168" s="32">
        <f t="shared" si="84"/>
        <v>0</v>
      </c>
      <c r="H168" s="32">
        <f t="shared" si="84"/>
        <v>0</v>
      </c>
      <c r="I168" s="32">
        <f t="shared" si="84"/>
        <v>0</v>
      </c>
      <c r="J168" s="32">
        <f t="shared" si="84"/>
        <v>0</v>
      </c>
      <c r="K168" s="638"/>
      <c r="L168" s="638"/>
      <c r="M168" s="638"/>
      <c r="N168" s="638"/>
      <c r="O168" s="638"/>
      <c r="P168" s="638"/>
      <c r="Q168" s="638"/>
      <c r="R168" s="638"/>
      <c r="S168" s="638"/>
      <c r="T168" s="638"/>
      <c r="U168" s="9"/>
      <c r="V168" s="9"/>
      <c r="W168" s="9"/>
      <c r="X168" s="9"/>
      <c r="Y168" s="9"/>
      <c r="Z168" s="9"/>
      <c r="AA168" s="9"/>
    </row>
    <row r="169" spans="1:27" hidden="1" outlineLevel="1" x14ac:dyDescent="0.2">
      <c r="A169" s="638"/>
      <c r="B169" s="640"/>
      <c r="C169" s="13" t="s">
        <v>108</v>
      </c>
      <c r="D169" s="32">
        <f t="shared" ref="D169:J169" si="85">IF($B162&lt;&gt;0,ROUND(D170*INDEX(ServiceSplitRPBS,$B162),0),0)</f>
        <v>0</v>
      </c>
      <c r="E169" s="32">
        <f t="shared" si="85"/>
        <v>0</v>
      </c>
      <c r="F169" s="32">
        <f t="shared" si="85"/>
        <v>0</v>
      </c>
      <c r="G169" s="32">
        <f t="shared" si="85"/>
        <v>0</v>
      </c>
      <c r="H169" s="32">
        <f t="shared" si="85"/>
        <v>0</v>
      </c>
      <c r="I169" s="32">
        <f t="shared" si="85"/>
        <v>0</v>
      </c>
      <c r="J169" s="32">
        <f t="shared" si="85"/>
        <v>0</v>
      </c>
      <c r="K169" s="638"/>
      <c r="L169" s="638"/>
      <c r="M169" s="638"/>
      <c r="N169" s="638"/>
      <c r="O169" s="638"/>
      <c r="P169" s="638"/>
      <c r="Q169" s="638"/>
      <c r="R169" s="638"/>
      <c r="S169" s="638"/>
      <c r="T169" s="638"/>
      <c r="U169" s="9"/>
      <c r="V169" s="9"/>
      <c r="W169" s="9"/>
      <c r="X169" s="9"/>
      <c r="Y169" s="9"/>
      <c r="Z169" s="9"/>
      <c r="AA169" s="9"/>
    </row>
    <row r="170" spans="1:27" hidden="1" outlineLevel="1" x14ac:dyDescent="0.2">
      <c r="A170" s="638"/>
      <c r="B170" s="640"/>
      <c r="C170" s="635" t="s">
        <v>844</v>
      </c>
      <c r="D170" s="35">
        <f t="shared" ref="D170:J170" si="86">IF(D164="","",D167*D166*D164)</f>
        <v>0</v>
      </c>
      <c r="E170" s="35">
        <f t="shared" si="86"/>
        <v>0</v>
      </c>
      <c r="F170" s="35">
        <f t="shared" si="86"/>
        <v>0</v>
      </c>
      <c r="G170" s="35">
        <f t="shared" si="86"/>
        <v>0</v>
      </c>
      <c r="H170" s="35">
        <f t="shared" si="86"/>
        <v>0</v>
      </c>
      <c r="I170" s="35">
        <f t="shared" si="86"/>
        <v>0</v>
      </c>
      <c r="J170" s="35">
        <f t="shared" si="86"/>
        <v>0</v>
      </c>
      <c r="K170" s="638"/>
      <c r="L170" s="638"/>
      <c r="M170" s="638"/>
      <c r="N170" s="638"/>
      <c r="O170" s="638"/>
      <c r="P170" s="638"/>
      <c r="Q170" s="638"/>
      <c r="R170" s="638"/>
      <c r="S170" s="638"/>
      <c r="T170" s="638"/>
      <c r="U170" s="9"/>
      <c r="V170" s="9"/>
      <c r="W170" s="9"/>
      <c r="X170" s="9"/>
      <c r="Y170" s="9"/>
      <c r="Z170" s="9"/>
      <c r="AA170" s="9"/>
    </row>
    <row r="171" spans="1:27" hidden="1" outlineLevel="1" x14ac:dyDescent="0.2">
      <c r="A171" s="162"/>
      <c r="B171" s="642"/>
      <c r="C171" s="162"/>
      <c r="D171" s="162"/>
      <c r="E171" s="162"/>
      <c r="F171" s="162"/>
      <c r="G171" s="162"/>
      <c r="H171" s="162"/>
      <c r="I171" s="162"/>
      <c r="J171" s="162"/>
      <c r="K171" s="162"/>
      <c r="L171" s="162"/>
      <c r="M171" s="162"/>
      <c r="N171" s="162"/>
      <c r="O171" s="162"/>
      <c r="P171" s="162"/>
      <c r="Q171" s="162"/>
      <c r="R171" s="162"/>
      <c r="S171" s="162"/>
      <c r="T171" s="162"/>
      <c r="U171" s="641"/>
      <c r="V171" s="641"/>
      <c r="W171" s="641"/>
      <c r="X171" s="641"/>
      <c r="Y171" s="641"/>
      <c r="Z171" s="641"/>
      <c r="AA171" s="641"/>
    </row>
    <row r="172" spans="1:27" collapsed="1" x14ac:dyDescent="0.2">
      <c r="A172" s="162"/>
      <c r="B172" s="642"/>
      <c r="C172" s="162"/>
      <c r="D172" s="162"/>
      <c r="E172" s="162"/>
      <c r="F172" s="162"/>
      <c r="G172" s="162"/>
      <c r="H172" s="162"/>
      <c r="I172" s="162"/>
      <c r="J172" s="162"/>
      <c r="K172" s="162"/>
      <c r="L172" s="162"/>
      <c r="M172" s="162"/>
      <c r="N172" s="162"/>
      <c r="O172" s="162"/>
      <c r="P172" s="162"/>
      <c r="Q172" s="162"/>
      <c r="R172" s="162"/>
      <c r="S172" s="162"/>
      <c r="T172" s="162"/>
      <c r="U172" s="641"/>
      <c r="V172" s="641"/>
      <c r="W172" s="641"/>
      <c r="X172" s="641"/>
      <c r="Y172" s="641"/>
      <c r="Z172" s="641"/>
      <c r="AA172" s="641"/>
    </row>
    <row r="173" spans="1:27" ht="15" x14ac:dyDescent="0.2">
      <c r="A173" s="131"/>
      <c r="B173" s="298">
        <v>7</v>
      </c>
      <c r="C173" s="147" t="str">
        <f>IF($I$97&lt;&gt;"",MsgNotUsed,INDEX(NamesOverallChanged,B173))</f>
        <v>** NOT USED **</v>
      </c>
      <c r="D173" s="139"/>
      <c r="E173" s="139"/>
      <c r="F173" s="139"/>
      <c r="G173" s="139"/>
      <c r="H173" s="133"/>
      <c r="I173" s="821" t="str">
        <f>IF(C173&lt;&gt;MsgNotUsed,"Co-payment group " &amp; INDEX(CoPayBandMS,B173),"")</f>
        <v/>
      </c>
      <c r="J173" s="821"/>
      <c r="K173" s="139"/>
      <c r="L173" s="139"/>
      <c r="M173" s="139"/>
      <c r="N173" s="139"/>
      <c r="O173" s="139"/>
      <c r="P173" s="139"/>
      <c r="Q173" s="139"/>
      <c r="R173" s="139"/>
      <c r="S173" s="139"/>
      <c r="T173" s="139"/>
      <c r="U173" s="26"/>
      <c r="V173" s="26"/>
      <c r="W173" s="26"/>
      <c r="X173" s="26"/>
      <c r="Y173" s="26"/>
      <c r="Z173" s="26"/>
      <c r="AA173" s="26"/>
    </row>
    <row r="174" spans="1:27" ht="15.75" hidden="1" outlineLevel="1" x14ac:dyDescent="0.2">
      <c r="A174" s="131"/>
      <c r="B174" s="71">
        <f>INDEX(CoPayBandMS,B173)</f>
        <v>0</v>
      </c>
      <c r="C174" s="655"/>
      <c r="D174" s="131"/>
      <c r="E174" s="131"/>
      <c r="F174" s="131"/>
      <c r="G174" s="131"/>
      <c r="H174" s="131"/>
      <c r="I174" s="131"/>
      <c r="J174" s="131"/>
      <c r="K174" s="131"/>
      <c r="L174" s="131"/>
      <c r="M174" s="131"/>
      <c r="N174" s="131"/>
      <c r="O174" s="131"/>
      <c r="P174" s="131"/>
      <c r="Q174" s="131"/>
      <c r="R174" s="131"/>
      <c r="S174" s="131"/>
      <c r="T174" s="131"/>
      <c r="U174" s="26"/>
      <c r="V174" s="26"/>
      <c r="W174" s="26"/>
      <c r="X174" s="26"/>
      <c r="Y174" s="26"/>
      <c r="Z174" s="26"/>
      <c r="AA174" s="26"/>
    </row>
    <row r="175" spans="1:27" ht="14.25" hidden="1" customHeight="1" outlineLevel="1" x14ac:dyDescent="0.2">
      <c r="A175" s="162"/>
      <c r="B175" s="642"/>
      <c r="C175" s="708"/>
      <c r="D175" s="64">
        <f>E175-1</f>
        <v>2020</v>
      </c>
      <c r="E175" s="64">
        <f>FirstYear</f>
        <v>2021</v>
      </c>
      <c r="F175" s="64">
        <f>E175+1</f>
        <v>2022</v>
      </c>
      <c r="G175" s="64">
        <f>F175+1</f>
        <v>2023</v>
      </c>
      <c r="H175" s="64">
        <f>G175+1</f>
        <v>2024</v>
      </c>
      <c r="I175" s="64">
        <f>H175+1</f>
        <v>2025</v>
      </c>
      <c r="J175" s="64">
        <f>I175+1</f>
        <v>2026</v>
      </c>
      <c r="K175" s="162"/>
      <c r="L175" s="616"/>
      <c r="M175" s="162"/>
      <c r="N175" s="162"/>
      <c r="O175" s="162"/>
      <c r="P175" s="162"/>
      <c r="Q175" s="162"/>
      <c r="R175" s="162"/>
      <c r="S175" s="162"/>
      <c r="T175" s="162"/>
      <c r="U175" s="641"/>
      <c r="V175" s="641"/>
      <c r="W175" s="641"/>
      <c r="X175" s="641"/>
      <c r="Y175" s="641"/>
      <c r="Z175" s="641"/>
      <c r="AA175" s="641"/>
    </row>
    <row r="176" spans="1:27" hidden="1" outlineLevel="1" x14ac:dyDescent="0.2">
      <c r="A176" s="162"/>
      <c r="B176" s="642"/>
      <c r="C176" s="4" t="s">
        <v>114</v>
      </c>
      <c r="D176" s="38">
        <f>IF($I$97="",-R56,0)</f>
        <v>0</v>
      </c>
      <c r="E176" s="38">
        <f t="shared" ref="E176:J176" si="87">IF(D176="","",D176*(1+D177))</f>
        <v>0</v>
      </c>
      <c r="F176" s="38">
        <f t="shared" si="87"/>
        <v>0</v>
      </c>
      <c r="G176" s="38">
        <f t="shared" si="87"/>
        <v>0</v>
      </c>
      <c r="H176" s="38">
        <f t="shared" si="87"/>
        <v>0</v>
      </c>
      <c r="I176" s="38">
        <f t="shared" si="87"/>
        <v>0</v>
      </c>
      <c r="J176" s="38">
        <f t="shared" si="87"/>
        <v>0</v>
      </c>
      <c r="K176" s="162"/>
      <c r="L176" s="36" t="s">
        <v>258</v>
      </c>
      <c r="M176" s="162"/>
      <c r="N176" s="616"/>
      <c r="O176" s="162"/>
      <c r="P176" s="162"/>
      <c r="Q176" s="162"/>
      <c r="R176" s="162"/>
      <c r="S176" s="162"/>
      <c r="T176" s="162"/>
      <c r="U176" s="641"/>
      <c r="V176" s="641"/>
      <c r="W176" s="641"/>
      <c r="X176" s="641"/>
      <c r="Y176" s="641"/>
      <c r="Z176" s="641"/>
      <c r="AA176" s="641"/>
    </row>
    <row r="177" spans="1:27" hidden="1" outlineLevel="1" x14ac:dyDescent="0.2">
      <c r="A177" s="162"/>
      <c r="B177" s="642"/>
      <c r="C177" s="11" t="s">
        <v>26</v>
      </c>
      <c r="D177" s="55"/>
      <c r="E177" s="55"/>
      <c r="F177" s="55"/>
      <c r="G177" s="55"/>
      <c r="H177" s="55"/>
      <c r="I177" s="55"/>
      <c r="J177" s="33"/>
      <c r="K177" s="162"/>
      <c r="L177" s="822"/>
      <c r="M177" s="823"/>
      <c r="N177" s="823"/>
      <c r="O177" s="823"/>
      <c r="P177" s="823"/>
      <c r="Q177" s="823"/>
      <c r="R177" s="823"/>
      <c r="S177" s="823"/>
      <c r="T177" s="823"/>
      <c r="U177" s="641"/>
      <c r="V177" s="641"/>
      <c r="W177" s="641"/>
      <c r="X177" s="641"/>
      <c r="Y177" s="641"/>
      <c r="Z177" s="641"/>
      <c r="AA177" s="641"/>
    </row>
    <row r="178" spans="1:27" hidden="1" outlineLevel="1" x14ac:dyDescent="0.2">
      <c r="A178" s="162"/>
      <c r="B178" s="642"/>
      <c r="C178" s="11" t="s">
        <v>33</v>
      </c>
      <c r="D178" s="55"/>
      <c r="E178" s="55"/>
      <c r="F178" s="55"/>
      <c r="G178" s="55"/>
      <c r="H178" s="55"/>
      <c r="I178" s="55"/>
      <c r="J178" s="55"/>
      <c r="K178" s="162"/>
      <c r="L178" s="822"/>
      <c r="M178" s="823"/>
      <c r="N178" s="823"/>
      <c r="O178" s="823"/>
      <c r="P178" s="823"/>
      <c r="Q178" s="823"/>
      <c r="R178" s="823"/>
      <c r="S178" s="823"/>
      <c r="T178" s="823"/>
      <c r="U178" s="641"/>
      <c r="V178" s="641"/>
      <c r="W178" s="641"/>
      <c r="X178" s="641"/>
      <c r="Y178" s="641"/>
      <c r="Z178" s="641"/>
      <c r="AA178" s="641"/>
    </row>
    <row r="179" spans="1:27" hidden="1" outlineLevel="1" x14ac:dyDescent="0.2">
      <c r="A179" s="162"/>
      <c r="B179" s="642"/>
      <c r="C179" s="65" t="str">
        <f>"Proportion " &amp; IF(MarketImpact=0,"affected by","affected") &amp; " the proposed medicine"</f>
        <v>Proportion affected the proposed medicine</v>
      </c>
      <c r="D179" s="55"/>
      <c r="E179" s="55"/>
      <c r="F179" s="55"/>
      <c r="G179" s="55"/>
      <c r="H179" s="55"/>
      <c r="I179" s="55"/>
      <c r="J179" s="55"/>
      <c r="K179" s="162"/>
      <c r="L179" s="822"/>
      <c r="M179" s="823"/>
      <c r="N179" s="823"/>
      <c r="O179" s="823"/>
      <c r="P179" s="823"/>
      <c r="Q179" s="823"/>
      <c r="R179" s="823"/>
      <c r="S179" s="823"/>
      <c r="T179" s="823"/>
      <c r="U179" s="641"/>
      <c r="V179" s="641"/>
      <c r="W179" s="641"/>
      <c r="X179" s="641"/>
      <c r="Y179" s="641"/>
      <c r="Z179" s="641"/>
      <c r="AA179" s="641"/>
    </row>
    <row r="180" spans="1:27" hidden="1" outlineLevel="1" x14ac:dyDescent="0.2">
      <c r="A180" s="638"/>
      <c r="B180" s="640"/>
      <c r="C180" s="13" t="s">
        <v>107</v>
      </c>
      <c r="D180" s="32">
        <f t="shared" ref="D180:J180" si="88">D182-D181</f>
        <v>0</v>
      </c>
      <c r="E180" s="32">
        <f t="shared" si="88"/>
        <v>0</v>
      </c>
      <c r="F180" s="32">
        <f t="shared" si="88"/>
        <v>0</v>
      </c>
      <c r="G180" s="32">
        <f t="shared" si="88"/>
        <v>0</v>
      </c>
      <c r="H180" s="32">
        <f t="shared" si="88"/>
        <v>0</v>
      </c>
      <c r="I180" s="32">
        <f t="shared" si="88"/>
        <v>0</v>
      </c>
      <c r="J180" s="32">
        <f t="shared" si="88"/>
        <v>0</v>
      </c>
      <c r="K180" s="638"/>
      <c r="L180" s="638"/>
      <c r="M180" s="638"/>
      <c r="N180" s="638"/>
      <c r="O180" s="638"/>
      <c r="P180" s="638"/>
      <c r="Q180" s="638"/>
      <c r="R180" s="638"/>
      <c r="S180" s="638"/>
      <c r="T180" s="638"/>
      <c r="U180" s="9"/>
      <c r="V180" s="9"/>
      <c r="W180" s="9"/>
      <c r="X180" s="9"/>
      <c r="Y180" s="9"/>
      <c r="Z180" s="9"/>
      <c r="AA180" s="9"/>
    </row>
    <row r="181" spans="1:27" hidden="1" outlineLevel="1" x14ac:dyDescent="0.2">
      <c r="A181" s="638"/>
      <c r="B181" s="640"/>
      <c r="C181" s="13" t="s">
        <v>108</v>
      </c>
      <c r="D181" s="32">
        <f t="shared" ref="D181:J181" si="89">IF($B174&lt;&gt;0,ROUND(D182*INDEX(ServiceSplitRPBS,$B174),0),0)</f>
        <v>0</v>
      </c>
      <c r="E181" s="32">
        <f t="shared" si="89"/>
        <v>0</v>
      </c>
      <c r="F181" s="32">
        <f t="shared" si="89"/>
        <v>0</v>
      </c>
      <c r="G181" s="32">
        <f t="shared" si="89"/>
        <v>0</v>
      </c>
      <c r="H181" s="32">
        <f t="shared" si="89"/>
        <v>0</v>
      </c>
      <c r="I181" s="32">
        <f t="shared" si="89"/>
        <v>0</v>
      </c>
      <c r="J181" s="32">
        <f t="shared" si="89"/>
        <v>0</v>
      </c>
      <c r="K181" s="638"/>
      <c r="L181" s="638"/>
      <c r="M181" s="638"/>
      <c r="N181" s="638"/>
      <c r="O181" s="638"/>
      <c r="P181" s="638"/>
      <c r="Q181" s="638"/>
      <c r="R181" s="638"/>
      <c r="S181" s="638"/>
      <c r="T181" s="638"/>
      <c r="U181" s="9"/>
      <c r="V181" s="9"/>
      <c r="W181" s="9"/>
      <c r="X181" s="9"/>
      <c r="Y181" s="9"/>
      <c r="Z181" s="9"/>
      <c r="AA181" s="9"/>
    </row>
    <row r="182" spans="1:27" hidden="1" outlineLevel="1" x14ac:dyDescent="0.2">
      <c r="A182" s="638"/>
      <c r="B182" s="640"/>
      <c r="C182" s="635" t="s">
        <v>844</v>
      </c>
      <c r="D182" s="35">
        <f t="shared" ref="D182:J182" si="90">IF(D176="","",D179*D178*D176)</f>
        <v>0</v>
      </c>
      <c r="E182" s="35">
        <f t="shared" si="90"/>
        <v>0</v>
      </c>
      <c r="F182" s="35">
        <f t="shared" si="90"/>
        <v>0</v>
      </c>
      <c r="G182" s="35">
        <f t="shared" si="90"/>
        <v>0</v>
      </c>
      <c r="H182" s="35">
        <f t="shared" si="90"/>
        <v>0</v>
      </c>
      <c r="I182" s="35">
        <f t="shared" si="90"/>
        <v>0</v>
      </c>
      <c r="J182" s="35">
        <f t="shared" si="90"/>
        <v>0</v>
      </c>
      <c r="K182" s="638"/>
      <c r="L182" s="638"/>
      <c r="M182" s="638"/>
      <c r="N182" s="638"/>
      <c r="O182" s="638"/>
      <c r="P182" s="638"/>
      <c r="Q182" s="638"/>
      <c r="R182" s="638"/>
      <c r="S182" s="638"/>
      <c r="T182" s="638"/>
      <c r="U182" s="9"/>
      <c r="V182" s="9"/>
      <c r="W182" s="9"/>
      <c r="X182" s="9"/>
      <c r="Y182" s="9"/>
      <c r="Z182" s="9"/>
      <c r="AA182" s="9"/>
    </row>
    <row r="183" spans="1:27" hidden="1" outlineLevel="1" x14ac:dyDescent="0.2">
      <c r="A183" s="162"/>
      <c r="B183" s="642"/>
      <c r="C183" s="162"/>
      <c r="D183" s="162"/>
      <c r="E183" s="162"/>
      <c r="F183" s="162"/>
      <c r="G183" s="162"/>
      <c r="H183" s="162"/>
      <c r="I183" s="162"/>
      <c r="J183" s="162"/>
      <c r="K183" s="162"/>
      <c r="L183" s="162"/>
      <c r="M183" s="162"/>
      <c r="N183" s="162"/>
      <c r="O183" s="162"/>
      <c r="P183" s="162"/>
      <c r="Q183" s="162"/>
      <c r="R183" s="162"/>
      <c r="S183" s="162"/>
      <c r="T183" s="162"/>
      <c r="U183" s="641"/>
      <c r="V183" s="641"/>
      <c r="W183" s="641"/>
      <c r="X183" s="641"/>
      <c r="Y183" s="641"/>
      <c r="Z183" s="641"/>
      <c r="AA183" s="641"/>
    </row>
    <row r="184" spans="1:27" collapsed="1" x14ac:dyDescent="0.2">
      <c r="A184" s="162"/>
      <c r="B184" s="642"/>
      <c r="C184" s="162"/>
      <c r="D184" s="162"/>
      <c r="E184" s="162"/>
      <c r="F184" s="162"/>
      <c r="G184" s="162"/>
      <c r="H184" s="162"/>
      <c r="I184" s="162"/>
      <c r="J184" s="162"/>
      <c r="K184" s="162"/>
      <c r="L184" s="162"/>
      <c r="M184" s="162"/>
      <c r="N184" s="162"/>
      <c r="O184" s="162"/>
      <c r="P184" s="162"/>
      <c r="Q184" s="162"/>
      <c r="R184" s="162"/>
      <c r="S184" s="162"/>
      <c r="T184" s="162"/>
      <c r="U184" s="641"/>
      <c r="V184" s="641"/>
      <c r="W184" s="641"/>
      <c r="X184" s="641"/>
      <c r="Y184" s="641"/>
      <c r="Z184" s="641"/>
      <c r="AA184" s="641"/>
    </row>
    <row r="185" spans="1:27" ht="15" x14ac:dyDescent="0.2">
      <c r="A185" s="131"/>
      <c r="B185" s="298">
        <v>8</v>
      </c>
      <c r="C185" s="147" t="str">
        <f>IF($I$97&lt;&gt;"",MsgNotUsed,INDEX(NamesOverallChanged,B185))</f>
        <v>** NOT USED **</v>
      </c>
      <c r="D185" s="139"/>
      <c r="E185" s="139"/>
      <c r="F185" s="139"/>
      <c r="G185" s="139"/>
      <c r="H185" s="133"/>
      <c r="I185" s="821" t="str">
        <f>IF(C185&lt;&gt;MsgNotUsed,"Co-payment group " &amp; INDEX(CoPayBandMS,B185),"")</f>
        <v/>
      </c>
      <c r="J185" s="821"/>
      <c r="K185" s="139"/>
      <c r="L185" s="139"/>
      <c r="M185" s="139"/>
      <c r="N185" s="139"/>
      <c r="O185" s="139"/>
      <c r="P185" s="139"/>
      <c r="Q185" s="139"/>
      <c r="R185" s="139"/>
      <c r="S185" s="139"/>
      <c r="T185" s="139"/>
      <c r="U185" s="26"/>
      <c r="V185" s="26"/>
      <c r="W185" s="26"/>
      <c r="X185" s="26"/>
      <c r="Y185" s="26"/>
      <c r="Z185" s="26"/>
      <c r="AA185" s="26"/>
    </row>
    <row r="186" spans="1:27" ht="15.75" hidden="1" outlineLevel="1" x14ac:dyDescent="0.2">
      <c r="A186" s="131"/>
      <c r="B186" s="71">
        <f>INDEX(CoPayBandMS,B185)</f>
        <v>0</v>
      </c>
      <c r="C186" s="655"/>
      <c r="D186" s="131"/>
      <c r="E186" s="131"/>
      <c r="F186" s="131"/>
      <c r="G186" s="131"/>
      <c r="H186" s="131"/>
      <c r="I186" s="131"/>
      <c r="J186" s="131"/>
      <c r="K186" s="131"/>
      <c r="L186" s="131"/>
      <c r="M186" s="131"/>
      <c r="N186" s="131"/>
      <c r="O186" s="131"/>
      <c r="P186" s="131"/>
      <c r="Q186" s="131"/>
      <c r="R186" s="131"/>
      <c r="S186" s="131"/>
      <c r="T186" s="131"/>
      <c r="U186" s="26"/>
      <c r="V186" s="26"/>
      <c r="W186" s="26"/>
      <c r="X186" s="26"/>
      <c r="Y186" s="26"/>
      <c r="Z186" s="26"/>
      <c r="AA186" s="26"/>
    </row>
    <row r="187" spans="1:27" ht="14.25" hidden="1" customHeight="1" outlineLevel="1" x14ac:dyDescent="0.2">
      <c r="A187" s="162"/>
      <c r="B187" s="642"/>
      <c r="C187" s="708"/>
      <c r="D187" s="64">
        <f>E187-1</f>
        <v>2020</v>
      </c>
      <c r="E187" s="64">
        <f>FirstYear</f>
        <v>2021</v>
      </c>
      <c r="F187" s="64">
        <f>E187+1</f>
        <v>2022</v>
      </c>
      <c r="G187" s="64">
        <f>F187+1</f>
        <v>2023</v>
      </c>
      <c r="H187" s="64">
        <f>G187+1</f>
        <v>2024</v>
      </c>
      <c r="I187" s="64">
        <f>H187+1</f>
        <v>2025</v>
      </c>
      <c r="J187" s="64">
        <f>I187+1</f>
        <v>2026</v>
      </c>
      <c r="K187" s="162"/>
      <c r="L187" s="616"/>
      <c r="M187" s="162"/>
      <c r="N187" s="162"/>
      <c r="O187" s="162"/>
      <c r="P187" s="162"/>
      <c r="Q187" s="162"/>
      <c r="R187" s="162"/>
      <c r="S187" s="162"/>
      <c r="T187" s="162"/>
      <c r="U187" s="641"/>
      <c r="V187" s="641"/>
      <c r="W187" s="641"/>
      <c r="X187" s="641"/>
      <c r="Y187" s="641"/>
      <c r="Z187" s="641"/>
      <c r="AA187" s="641"/>
    </row>
    <row r="188" spans="1:27" hidden="1" outlineLevel="1" x14ac:dyDescent="0.2">
      <c r="A188" s="162"/>
      <c r="B188" s="642"/>
      <c r="C188" s="4" t="s">
        <v>114</v>
      </c>
      <c r="D188" s="38">
        <f>IF($I$97="",-R57,0)</f>
        <v>0</v>
      </c>
      <c r="E188" s="38">
        <f t="shared" ref="E188:J188" si="91">IF(D188="","",D188*(1+D189))</f>
        <v>0</v>
      </c>
      <c r="F188" s="38">
        <f t="shared" si="91"/>
        <v>0</v>
      </c>
      <c r="G188" s="38">
        <f t="shared" si="91"/>
        <v>0</v>
      </c>
      <c r="H188" s="38">
        <f t="shared" si="91"/>
        <v>0</v>
      </c>
      <c r="I188" s="38">
        <f t="shared" si="91"/>
        <v>0</v>
      </c>
      <c r="J188" s="38">
        <f t="shared" si="91"/>
        <v>0</v>
      </c>
      <c r="K188" s="162"/>
      <c r="L188" s="36" t="s">
        <v>258</v>
      </c>
      <c r="M188" s="162"/>
      <c r="N188" s="616"/>
      <c r="O188" s="162"/>
      <c r="P188" s="162"/>
      <c r="Q188" s="162"/>
      <c r="R188" s="162"/>
      <c r="S188" s="162"/>
      <c r="T188" s="162"/>
      <c r="U188" s="641"/>
      <c r="V188" s="641"/>
      <c r="W188" s="641"/>
      <c r="X188" s="641"/>
      <c r="Y188" s="641"/>
      <c r="Z188" s="641"/>
      <c r="AA188" s="641"/>
    </row>
    <row r="189" spans="1:27" hidden="1" outlineLevel="1" x14ac:dyDescent="0.2">
      <c r="A189" s="162"/>
      <c r="B189" s="642"/>
      <c r="C189" s="11" t="s">
        <v>26</v>
      </c>
      <c r="D189" s="55"/>
      <c r="E189" s="55"/>
      <c r="F189" s="55"/>
      <c r="G189" s="55"/>
      <c r="H189" s="55"/>
      <c r="I189" s="55"/>
      <c r="J189" s="33"/>
      <c r="K189" s="162"/>
      <c r="L189" s="822"/>
      <c r="M189" s="823"/>
      <c r="N189" s="823"/>
      <c r="O189" s="823"/>
      <c r="P189" s="823"/>
      <c r="Q189" s="823"/>
      <c r="R189" s="823"/>
      <c r="S189" s="823"/>
      <c r="T189" s="823"/>
      <c r="U189" s="641"/>
      <c r="V189" s="641"/>
      <c r="W189" s="641"/>
      <c r="X189" s="641"/>
      <c r="Y189" s="641"/>
      <c r="Z189" s="641"/>
      <c r="AA189" s="641"/>
    </row>
    <row r="190" spans="1:27" hidden="1" outlineLevel="1" x14ac:dyDescent="0.2">
      <c r="A190" s="162"/>
      <c r="B190" s="642"/>
      <c r="C190" s="11" t="s">
        <v>33</v>
      </c>
      <c r="D190" s="55"/>
      <c r="E190" s="55"/>
      <c r="F190" s="55"/>
      <c r="G190" s="55"/>
      <c r="H190" s="55"/>
      <c r="I190" s="55"/>
      <c r="J190" s="55"/>
      <c r="K190" s="162"/>
      <c r="L190" s="822"/>
      <c r="M190" s="823"/>
      <c r="N190" s="823"/>
      <c r="O190" s="823"/>
      <c r="P190" s="823"/>
      <c r="Q190" s="823"/>
      <c r="R190" s="823"/>
      <c r="S190" s="823"/>
      <c r="T190" s="823"/>
      <c r="U190" s="641"/>
      <c r="V190" s="641"/>
      <c r="W190" s="641"/>
      <c r="X190" s="641"/>
      <c r="Y190" s="641"/>
      <c r="Z190" s="641"/>
      <c r="AA190" s="641"/>
    </row>
    <row r="191" spans="1:27" hidden="1" outlineLevel="1" x14ac:dyDescent="0.2">
      <c r="A191" s="162"/>
      <c r="B191" s="642"/>
      <c r="C191" s="65" t="str">
        <f>"Proportion " &amp; IF(MarketImpact=0,"affected by","affected") &amp; " the proposed medicine"</f>
        <v>Proportion affected the proposed medicine</v>
      </c>
      <c r="D191" s="55"/>
      <c r="E191" s="55"/>
      <c r="F191" s="55"/>
      <c r="G191" s="55"/>
      <c r="H191" s="55"/>
      <c r="I191" s="55"/>
      <c r="J191" s="55"/>
      <c r="K191" s="162"/>
      <c r="L191" s="822"/>
      <c r="M191" s="823"/>
      <c r="N191" s="823"/>
      <c r="O191" s="823"/>
      <c r="P191" s="823"/>
      <c r="Q191" s="823"/>
      <c r="R191" s="823"/>
      <c r="S191" s="823"/>
      <c r="T191" s="823"/>
      <c r="U191" s="641"/>
      <c r="V191" s="641"/>
      <c r="W191" s="641"/>
      <c r="X191" s="641"/>
      <c r="Y191" s="641"/>
      <c r="Z191" s="641"/>
      <c r="AA191" s="641"/>
    </row>
    <row r="192" spans="1:27" hidden="1" outlineLevel="1" x14ac:dyDescent="0.2">
      <c r="A192" s="638"/>
      <c r="B192" s="640"/>
      <c r="C192" s="13" t="s">
        <v>107</v>
      </c>
      <c r="D192" s="32">
        <f t="shared" ref="D192:J192" si="92">D194-D193</f>
        <v>0</v>
      </c>
      <c r="E192" s="32">
        <f t="shared" si="92"/>
        <v>0</v>
      </c>
      <c r="F192" s="32">
        <f t="shared" si="92"/>
        <v>0</v>
      </c>
      <c r="G192" s="32">
        <f t="shared" si="92"/>
        <v>0</v>
      </c>
      <c r="H192" s="32">
        <f t="shared" si="92"/>
        <v>0</v>
      </c>
      <c r="I192" s="32">
        <f t="shared" si="92"/>
        <v>0</v>
      </c>
      <c r="J192" s="32">
        <f t="shared" si="92"/>
        <v>0</v>
      </c>
      <c r="K192" s="638"/>
      <c r="L192" s="638"/>
      <c r="M192" s="638"/>
      <c r="N192" s="638"/>
      <c r="O192" s="638"/>
      <c r="P192" s="638"/>
      <c r="Q192" s="638"/>
      <c r="R192" s="638"/>
      <c r="S192" s="638"/>
      <c r="T192" s="638"/>
      <c r="U192" s="9"/>
      <c r="V192" s="9"/>
      <c r="W192" s="9"/>
      <c r="X192" s="9"/>
      <c r="Y192" s="9"/>
      <c r="Z192" s="9"/>
      <c r="AA192" s="9"/>
    </row>
    <row r="193" spans="1:27" hidden="1" outlineLevel="1" x14ac:dyDescent="0.2">
      <c r="A193" s="638"/>
      <c r="B193" s="640"/>
      <c r="C193" s="13" t="s">
        <v>108</v>
      </c>
      <c r="D193" s="32">
        <f t="shared" ref="D193:J193" si="93">IF($B186&lt;&gt;0,ROUND(D194*INDEX(ServiceSplitRPBS,$B186),0),0)</f>
        <v>0</v>
      </c>
      <c r="E193" s="32">
        <f t="shared" si="93"/>
        <v>0</v>
      </c>
      <c r="F193" s="32">
        <f t="shared" si="93"/>
        <v>0</v>
      </c>
      <c r="G193" s="32">
        <f t="shared" si="93"/>
        <v>0</v>
      </c>
      <c r="H193" s="32">
        <f t="shared" si="93"/>
        <v>0</v>
      </c>
      <c r="I193" s="32">
        <f t="shared" si="93"/>
        <v>0</v>
      </c>
      <c r="J193" s="32">
        <f t="shared" si="93"/>
        <v>0</v>
      </c>
      <c r="K193" s="638"/>
      <c r="L193" s="638"/>
      <c r="M193" s="638"/>
      <c r="N193" s="638"/>
      <c r="O193" s="638"/>
      <c r="P193" s="638"/>
      <c r="Q193" s="638"/>
      <c r="R193" s="638"/>
      <c r="S193" s="638"/>
      <c r="T193" s="638"/>
      <c r="U193" s="9"/>
      <c r="V193" s="9"/>
      <c r="W193" s="9"/>
      <c r="X193" s="9"/>
      <c r="Y193" s="9"/>
      <c r="Z193" s="9"/>
      <c r="AA193" s="9"/>
    </row>
    <row r="194" spans="1:27" hidden="1" outlineLevel="1" x14ac:dyDescent="0.2">
      <c r="A194" s="638"/>
      <c r="B194" s="640"/>
      <c r="C194" s="635" t="s">
        <v>844</v>
      </c>
      <c r="D194" s="35">
        <f t="shared" ref="D194:J194" si="94">IF(D188="","",D191*D190*D188)</f>
        <v>0</v>
      </c>
      <c r="E194" s="35">
        <f t="shared" si="94"/>
        <v>0</v>
      </c>
      <c r="F194" s="35">
        <f t="shared" si="94"/>
        <v>0</v>
      </c>
      <c r="G194" s="35">
        <f t="shared" si="94"/>
        <v>0</v>
      </c>
      <c r="H194" s="35">
        <f t="shared" si="94"/>
        <v>0</v>
      </c>
      <c r="I194" s="35">
        <f t="shared" si="94"/>
        <v>0</v>
      </c>
      <c r="J194" s="35">
        <f t="shared" si="94"/>
        <v>0</v>
      </c>
      <c r="K194" s="638"/>
      <c r="L194" s="638"/>
      <c r="M194" s="638"/>
      <c r="N194" s="638"/>
      <c r="O194" s="638"/>
      <c r="P194" s="638"/>
      <c r="Q194" s="638"/>
      <c r="R194" s="638"/>
      <c r="S194" s="638"/>
      <c r="T194" s="638"/>
      <c r="U194" s="9"/>
      <c r="V194" s="9"/>
      <c r="W194" s="9"/>
      <c r="X194" s="9"/>
      <c r="Y194" s="9"/>
      <c r="Z194" s="9"/>
      <c r="AA194" s="9"/>
    </row>
    <row r="195" spans="1:27" hidden="1" outlineLevel="1" x14ac:dyDescent="0.2">
      <c r="A195" s="162"/>
      <c r="B195" s="642"/>
      <c r="C195" s="162"/>
      <c r="D195" s="162"/>
      <c r="E195" s="162"/>
      <c r="F195" s="162"/>
      <c r="G195" s="162"/>
      <c r="H195" s="162"/>
      <c r="I195" s="162"/>
      <c r="J195" s="162"/>
      <c r="K195" s="162"/>
      <c r="L195" s="162"/>
      <c r="M195" s="162"/>
      <c r="N195" s="162"/>
      <c r="O195" s="162"/>
      <c r="P195" s="162"/>
      <c r="Q195" s="162"/>
      <c r="R195" s="162"/>
      <c r="S195" s="162"/>
      <c r="T195" s="162"/>
      <c r="U195" s="641"/>
      <c r="V195" s="641"/>
      <c r="W195" s="641"/>
      <c r="X195" s="641"/>
      <c r="Y195" s="641"/>
      <c r="Z195" s="641"/>
      <c r="AA195" s="641"/>
    </row>
    <row r="196" spans="1:27" collapsed="1" x14ac:dyDescent="0.2">
      <c r="A196" s="162"/>
      <c r="B196" s="642"/>
      <c r="C196" s="162"/>
      <c r="D196" s="162"/>
      <c r="E196" s="162"/>
      <c r="F196" s="162"/>
      <c r="G196" s="162"/>
      <c r="H196" s="162"/>
      <c r="I196" s="162"/>
      <c r="J196" s="162"/>
      <c r="K196" s="162"/>
      <c r="L196" s="162"/>
      <c r="M196" s="162"/>
      <c r="N196" s="162"/>
      <c r="O196" s="162"/>
      <c r="P196" s="162"/>
      <c r="Q196" s="162"/>
      <c r="R196" s="162"/>
      <c r="S196" s="162"/>
      <c r="T196" s="162"/>
      <c r="U196" s="641"/>
      <c r="V196" s="641"/>
      <c r="W196" s="641"/>
      <c r="X196" s="641"/>
      <c r="Y196" s="641"/>
      <c r="Z196" s="641"/>
      <c r="AA196" s="641"/>
    </row>
    <row r="197" spans="1:27" ht="15" x14ac:dyDescent="0.2">
      <c r="A197" s="131"/>
      <c r="B197" s="298">
        <v>9</v>
      </c>
      <c r="C197" s="147" t="str">
        <f>IF($I$97&lt;&gt;"",MsgNotUsed,INDEX(NamesOverallChanged,B197))</f>
        <v>** NOT USED **</v>
      </c>
      <c r="D197" s="139"/>
      <c r="E197" s="139"/>
      <c r="F197" s="139"/>
      <c r="G197" s="139"/>
      <c r="H197" s="133"/>
      <c r="I197" s="821" t="str">
        <f>IF(C197&lt;&gt;MsgNotUsed,"Co-payment group " &amp; INDEX(CoPayBandMS,B197),"")</f>
        <v/>
      </c>
      <c r="J197" s="821"/>
      <c r="K197" s="139"/>
      <c r="L197" s="139"/>
      <c r="M197" s="139"/>
      <c r="N197" s="139"/>
      <c r="O197" s="139"/>
      <c r="P197" s="139"/>
      <c r="Q197" s="139"/>
      <c r="R197" s="139"/>
      <c r="S197" s="139"/>
      <c r="T197" s="139"/>
      <c r="U197" s="26"/>
      <c r="V197" s="26"/>
      <c r="W197" s="26"/>
      <c r="X197" s="26"/>
      <c r="Y197" s="26"/>
      <c r="Z197" s="26"/>
      <c r="AA197" s="26"/>
    </row>
    <row r="198" spans="1:27" ht="15.75" hidden="1" outlineLevel="1" x14ac:dyDescent="0.2">
      <c r="A198" s="131"/>
      <c r="B198" s="71">
        <f>INDEX(CoPayBandMS,B197)</f>
        <v>0</v>
      </c>
      <c r="C198" s="655"/>
      <c r="D198" s="131"/>
      <c r="E198" s="131"/>
      <c r="F198" s="131"/>
      <c r="G198" s="131"/>
      <c r="H198" s="131"/>
      <c r="I198" s="131"/>
      <c r="J198" s="131"/>
      <c r="K198" s="131"/>
      <c r="L198" s="131"/>
      <c r="M198" s="131"/>
      <c r="N198" s="131"/>
      <c r="O198" s="131"/>
      <c r="P198" s="131"/>
      <c r="Q198" s="131"/>
      <c r="R198" s="131"/>
      <c r="S198" s="131"/>
      <c r="T198" s="131"/>
      <c r="U198" s="26"/>
      <c r="V198" s="26"/>
      <c r="W198" s="26"/>
      <c r="X198" s="26"/>
      <c r="Y198" s="26"/>
      <c r="Z198" s="26"/>
      <c r="AA198" s="26"/>
    </row>
    <row r="199" spans="1:27" ht="14.25" hidden="1" customHeight="1" outlineLevel="1" x14ac:dyDescent="0.2">
      <c r="A199" s="162"/>
      <c r="B199" s="642"/>
      <c r="C199" s="708"/>
      <c r="D199" s="64">
        <f>E199-1</f>
        <v>2020</v>
      </c>
      <c r="E199" s="64">
        <f>FirstYear</f>
        <v>2021</v>
      </c>
      <c r="F199" s="64">
        <f>E199+1</f>
        <v>2022</v>
      </c>
      <c r="G199" s="64">
        <f>F199+1</f>
        <v>2023</v>
      </c>
      <c r="H199" s="64">
        <f>G199+1</f>
        <v>2024</v>
      </c>
      <c r="I199" s="64">
        <f>H199+1</f>
        <v>2025</v>
      </c>
      <c r="J199" s="64">
        <f>I199+1</f>
        <v>2026</v>
      </c>
      <c r="K199" s="162"/>
      <c r="L199" s="616"/>
      <c r="M199" s="162"/>
      <c r="N199" s="162"/>
      <c r="O199" s="162"/>
      <c r="P199" s="162"/>
      <c r="Q199" s="162"/>
      <c r="R199" s="162"/>
      <c r="S199" s="162"/>
      <c r="T199" s="162"/>
      <c r="U199" s="641"/>
      <c r="V199" s="641"/>
      <c r="W199" s="641"/>
      <c r="X199" s="641"/>
      <c r="Y199" s="641"/>
      <c r="Z199" s="641"/>
      <c r="AA199" s="641"/>
    </row>
    <row r="200" spans="1:27" hidden="1" outlineLevel="1" x14ac:dyDescent="0.2">
      <c r="A200" s="162"/>
      <c r="B200" s="642"/>
      <c r="C200" s="4" t="s">
        <v>114</v>
      </c>
      <c r="D200" s="38">
        <f>IF($I$97="",-R58,0)</f>
        <v>0</v>
      </c>
      <c r="E200" s="38">
        <f t="shared" ref="E200:J200" si="95">IF(D200="","",D200*(1+D201))</f>
        <v>0</v>
      </c>
      <c r="F200" s="38">
        <f t="shared" si="95"/>
        <v>0</v>
      </c>
      <c r="G200" s="38">
        <f t="shared" si="95"/>
        <v>0</v>
      </c>
      <c r="H200" s="38">
        <f t="shared" si="95"/>
        <v>0</v>
      </c>
      <c r="I200" s="38">
        <f t="shared" si="95"/>
        <v>0</v>
      </c>
      <c r="J200" s="38">
        <f t="shared" si="95"/>
        <v>0</v>
      </c>
      <c r="K200" s="162"/>
      <c r="L200" s="36" t="s">
        <v>258</v>
      </c>
      <c r="M200" s="162"/>
      <c r="N200" s="616"/>
      <c r="O200" s="162"/>
      <c r="P200" s="162"/>
      <c r="Q200" s="162"/>
      <c r="R200" s="162"/>
      <c r="S200" s="162"/>
      <c r="T200" s="162"/>
      <c r="U200" s="641"/>
      <c r="V200" s="641"/>
      <c r="W200" s="641"/>
      <c r="X200" s="641"/>
      <c r="Y200" s="641"/>
      <c r="Z200" s="641"/>
      <c r="AA200" s="641"/>
    </row>
    <row r="201" spans="1:27" hidden="1" outlineLevel="1" x14ac:dyDescent="0.2">
      <c r="A201" s="162"/>
      <c r="B201" s="642"/>
      <c r="C201" s="11" t="s">
        <v>26</v>
      </c>
      <c r="D201" s="55"/>
      <c r="E201" s="55"/>
      <c r="F201" s="55"/>
      <c r="G201" s="55"/>
      <c r="H201" s="55"/>
      <c r="I201" s="55"/>
      <c r="J201" s="33"/>
      <c r="K201" s="162"/>
      <c r="L201" s="822"/>
      <c r="M201" s="823"/>
      <c r="N201" s="823"/>
      <c r="O201" s="823"/>
      <c r="P201" s="823"/>
      <c r="Q201" s="823"/>
      <c r="R201" s="823"/>
      <c r="S201" s="823"/>
      <c r="T201" s="823"/>
      <c r="U201" s="641"/>
      <c r="V201" s="641"/>
      <c r="W201" s="641"/>
      <c r="X201" s="641"/>
      <c r="Y201" s="641"/>
      <c r="Z201" s="641"/>
      <c r="AA201" s="641"/>
    </row>
    <row r="202" spans="1:27" hidden="1" outlineLevel="1" x14ac:dyDescent="0.2">
      <c r="A202" s="162"/>
      <c r="B202" s="642"/>
      <c r="C202" s="11" t="s">
        <v>33</v>
      </c>
      <c r="D202" s="55"/>
      <c r="E202" s="55"/>
      <c r="F202" s="55"/>
      <c r="G202" s="55"/>
      <c r="H202" s="55"/>
      <c r="I202" s="55"/>
      <c r="J202" s="55"/>
      <c r="K202" s="162"/>
      <c r="L202" s="822"/>
      <c r="M202" s="823"/>
      <c r="N202" s="823"/>
      <c r="O202" s="823"/>
      <c r="P202" s="823"/>
      <c r="Q202" s="823"/>
      <c r="R202" s="823"/>
      <c r="S202" s="823"/>
      <c r="T202" s="823"/>
      <c r="U202" s="641"/>
      <c r="V202" s="641"/>
      <c r="W202" s="641"/>
      <c r="X202" s="641"/>
      <c r="Y202" s="641"/>
      <c r="Z202" s="641"/>
      <c r="AA202" s="641"/>
    </row>
    <row r="203" spans="1:27" hidden="1" outlineLevel="1" x14ac:dyDescent="0.2">
      <c r="A203" s="162"/>
      <c r="B203" s="642"/>
      <c r="C203" s="65" t="str">
        <f>"Proportion " &amp; IF(MarketImpact=0,"affected by","affected") &amp; " the proposed medicine"</f>
        <v>Proportion affected the proposed medicine</v>
      </c>
      <c r="D203" s="55"/>
      <c r="E203" s="55"/>
      <c r="F203" s="55"/>
      <c r="G203" s="55"/>
      <c r="H203" s="55"/>
      <c r="I203" s="55"/>
      <c r="J203" s="55"/>
      <c r="K203" s="162"/>
      <c r="L203" s="822"/>
      <c r="M203" s="823"/>
      <c r="N203" s="823"/>
      <c r="O203" s="823"/>
      <c r="P203" s="823"/>
      <c r="Q203" s="823"/>
      <c r="R203" s="823"/>
      <c r="S203" s="823"/>
      <c r="T203" s="823"/>
      <c r="U203" s="641"/>
      <c r="V203" s="641"/>
      <c r="W203" s="641"/>
      <c r="X203" s="641"/>
      <c r="Y203" s="641"/>
      <c r="Z203" s="641"/>
      <c r="AA203" s="641"/>
    </row>
    <row r="204" spans="1:27" hidden="1" outlineLevel="1" x14ac:dyDescent="0.2">
      <c r="A204" s="638"/>
      <c r="B204" s="640"/>
      <c r="C204" s="13" t="s">
        <v>107</v>
      </c>
      <c r="D204" s="32">
        <f t="shared" ref="D204:J204" si="96">D206-D205</f>
        <v>0</v>
      </c>
      <c r="E204" s="32">
        <f t="shared" si="96"/>
        <v>0</v>
      </c>
      <c r="F204" s="32">
        <f t="shared" si="96"/>
        <v>0</v>
      </c>
      <c r="G204" s="32">
        <f t="shared" si="96"/>
        <v>0</v>
      </c>
      <c r="H204" s="32">
        <f t="shared" si="96"/>
        <v>0</v>
      </c>
      <c r="I204" s="32">
        <f t="shared" si="96"/>
        <v>0</v>
      </c>
      <c r="J204" s="32">
        <f t="shared" si="96"/>
        <v>0</v>
      </c>
      <c r="K204" s="638"/>
      <c r="L204" s="638"/>
      <c r="M204" s="638"/>
      <c r="N204" s="638"/>
      <c r="O204" s="638"/>
      <c r="P204" s="638"/>
      <c r="Q204" s="638"/>
      <c r="R204" s="638"/>
      <c r="S204" s="638"/>
      <c r="T204" s="638"/>
      <c r="U204" s="9"/>
      <c r="V204" s="9"/>
      <c r="W204" s="9"/>
      <c r="X204" s="9"/>
      <c r="Y204" s="9"/>
      <c r="Z204" s="9"/>
      <c r="AA204" s="9"/>
    </row>
    <row r="205" spans="1:27" hidden="1" outlineLevel="1" x14ac:dyDescent="0.2">
      <c r="A205" s="638"/>
      <c r="B205" s="640"/>
      <c r="C205" s="13" t="s">
        <v>108</v>
      </c>
      <c r="D205" s="32">
        <f t="shared" ref="D205:J205" si="97">IF($B198&lt;&gt;0,ROUND(D206*INDEX(ServiceSplitRPBS,$B198),0),0)</f>
        <v>0</v>
      </c>
      <c r="E205" s="32">
        <f t="shared" si="97"/>
        <v>0</v>
      </c>
      <c r="F205" s="32">
        <f t="shared" si="97"/>
        <v>0</v>
      </c>
      <c r="G205" s="32">
        <f t="shared" si="97"/>
        <v>0</v>
      </c>
      <c r="H205" s="32">
        <f t="shared" si="97"/>
        <v>0</v>
      </c>
      <c r="I205" s="32">
        <f t="shared" si="97"/>
        <v>0</v>
      </c>
      <c r="J205" s="32">
        <f t="shared" si="97"/>
        <v>0</v>
      </c>
      <c r="K205" s="638"/>
      <c r="L205" s="638"/>
      <c r="M205" s="638"/>
      <c r="N205" s="638"/>
      <c r="O205" s="638"/>
      <c r="P205" s="638"/>
      <c r="Q205" s="638"/>
      <c r="R205" s="638"/>
      <c r="S205" s="638"/>
      <c r="T205" s="638"/>
      <c r="U205" s="9"/>
      <c r="V205" s="9"/>
      <c r="W205" s="9"/>
      <c r="X205" s="9"/>
      <c r="Y205" s="9"/>
      <c r="Z205" s="9"/>
      <c r="AA205" s="9"/>
    </row>
    <row r="206" spans="1:27" hidden="1" outlineLevel="1" x14ac:dyDescent="0.2">
      <c r="A206" s="638"/>
      <c r="B206" s="640"/>
      <c r="C206" s="635" t="s">
        <v>844</v>
      </c>
      <c r="D206" s="35">
        <f t="shared" ref="D206:J206" si="98">IF(D200="","",D203*D202*D200)</f>
        <v>0</v>
      </c>
      <c r="E206" s="35">
        <f t="shared" si="98"/>
        <v>0</v>
      </c>
      <c r="F206" s="35">
        <f t="shared" si="98"/>
        <v>0</v>
      </c>
      <c r="G206" s="35">
        <f t="shared" si="98"/>
        <v>0</v>
      </c>
      <c r="H206" s="35">
        <f t="shared" si="98"/>
        <v>0</v>
      </c>
      <c r="I206" s="35">
        <f t="shared" si="98"/>
        <v>0</v>
      </c>
      <c r="J206" s="35">
        <f t="shared" si="98"/>
        <v>0</v>
      </c>
      <c r="K206" s="638"/>
      <c r="L206" s="638"/>
      <c r="M206" s="638"/>
      <c r="N206" s="638"/>
      <c r="O206" s="638"/>
      <c r="P206" s="638"/>
      <c r="Q206" s="638"/>
      <c r="R206" s="638"/>
      <c r="S206" s="638"/>
      <c r="T206" s="638"/>
      <c r="U206" s="9"/>
      <c r="V206" s="9"/>
      <c r="W206" s="9"/>
      <c r="X206" s="9"/>
      <c r="Y206" s="9"/>
      <c r="Z206" s="9"/>
      <c r="AA206" s="9"/>
    </row>
    <row r="207" spans="1:27" hidden="1" outlineLevel="1" x14ac:dyDescent="0.2">
      <c r="A207" s="162"/>
      <c r="B207" s="642"/>
      <c r="C207" s="162"/>
      <c r="D207" s="162"/>
      <c r="E207" s="162"/>
      <c r="F207" s="162"/>
      <c r="G207" s="162"/>
      <c r="H207" s="162"/>
      <c r="I207" s="162"/>
      <c r="J207" s="162"/>
      <c r="K207" s="162"/>
      <c r="L207" s="162"/>
      <c r="M207" s="162"/>
      <c r="N207" s="162"/>
      <c r="O207" s="162"/>
      <c r="P207" s="162"/>
      <c r="Q207" s="162"/>
      <c r="R207" s="162"/>
      <c r="S207" s="162"/>
      <c r="T207" s="162"/>
      <c r="U207" s="641"/>
      <c r="V207" s="641"/>
      <c r="W207" s="641"/>
      <c r="X207" s="641"/>
      <c r="Y207" s="641"/>
      <c r="Z207" s="641"/>
      <c r="AA207" s="641"/>
    </row>
    <row r="208" spans="1:27" collapsed="1" x14ac:dyDescent="0.2">
      <c r="A208" s="162"/>
      <c r="B208" s="642"/>
      <c r="C208" s="162"/>
      <c r="D208" s="162"/>
      <c r="E208" s="162"/>
      <c r="F208" s="162"/>
      <c r="G208" s="162"/>
      <c r="H208" s="162"/>
      <c r="I208" s="162"/>
      <c r="J208" s="162"/>
      <c r="K208" s="162"/>
      <c r="L208" s="162"/>
      <c r="M208" s="162"/>
      <c r="N208" s="162"/>
      <c r="O208" s="162"/>
      <c r="P208" s="162"/>
      <c r="Q208" s="162"/>
      <c r="R208" s="162"/>
      <c r="S208" s="162"/>
      <c r="T208" s="162"/>
      <c r="U208" s="641"/>
      <c r="V208" s="641"/>
      <c r="W208" s="641"/>
      <c r="X208" s="641"/>
      <c r="Y208" s="641"/>
      <c r="Z208" s="641"/>
      <c r="AA208" s="641"/>
    </row>
    <row r="209" spans="1:27" ht="15" x14ac:dyDescent="0.2">
      <c r="A209" s="131"/>
      <c r="B209" s="298">
        <v>10</v>
      </c>
      <c r="C209" s="147" t="str">
        <f>IF($I$97&lt;&gt;"",MsgNotUsed,INDEX(NamesOverallChanged,B209))</f>
        <v>** NOT USED **</v>
      </c>
      <c r="D209" s="139"/>
      <c r="E209" s="139"/>
      <c r="F209" s="139"/>
      <c r="G209" s="139"/>
      <c r="H209" s="133"/>
      <c r="I209" s="821" t="str">
        <f>IF(C209&lt;&gt;MsgNotUsed,"Co-payment group " &amp; INDEX(CoPayBandMS,B209),"")</f>
        <v/>
      </c>
      <c r="J209" s="821"/>
      <c r="K209" s="139"/>
      <c r="L209" s="139"/>
      <c r="M209" s="139"/>
      <c r="N209" s="139"/>
      <c r="O209" s="139"/>
      <c r="P209" s="139"/>
      <c r="Q209" s="139"/>
      <c r="R209" s="139"/>
      <c r="S209" s="139"/>
      <c r="T209" s="139"/>
      <c r="U209" s="26"/>
      <c r="V209" s="26"/>
      <c r="W209" s="26"/>
      <c r="X209" s="26"/>
      <c r="Y209" s="26"/>
      <c r="Z209" s="26"/>
      <c r="AA209" s="26"/>
    </row>
    <row r="210" spans="1:27" ht="15.75" hidden="1" outlineLevel="1" x14ac:dyDescent="0.2">
      <c r="A210" s="131"/>
      <c r="B210" s="71">
        <f>INDEX(CoPayBandMS,B209)</f>
        <v>0</v>
      </c>
      <c r="C210" s="655"/>
      <c r="D210" s="131"/>
      <c r="E210" s="131"/>
      <c r="F210" s="131"/>
      <c r="G210" s="131"/>
      <c r="H210" s="131"/>
      <c r="I210" s="131"/>
      <c r="J210" s="131"/>
      <c r="K210" s="131"/>
      <c r="L210" s="131"/>
      <c r="M210" s="131"/>
      <c r="N210" s="131"/>
      <c r="O210" s="131"/>
      <c r="P210" s="131"/>
      <c r="Q210" s="131"/>
      <c r="R210" s="131"/>
      <c r="S210" s="131"/>
      <c r="T210" s="131"/>
      <c r="U210" s="26"/>
      <c r="V210" s="26"/>
      <c r="W210" s="26"/>
      <c r="X210" s="26"/>
      <c r="Y210" s="26"/>
      <c r="Z210" s="26"/>
      <c r="AA210" s="26"/>
    </row>
    <row r="211" spans="1:27" ht="14.25" hidden="1" customHeight="1" outlineLevel="1" x14ac:dyDescent="0.2">
      <c r="A211" s="162"/>
      <c r="B211" s="642"/>
      <c r="C211" s="708"/>
      <c r="D211" s="64">
        <f>E211-1</f>
        <v>2020</v>
      </c>
      <c r="E211" s="64">
        <f>FirstYear</f>
        <v>2021</v>
      </c>
      <c r="F211" s="64">
        <f>E211+1</f>
        <v>2022</v>
      </c>
      <c r="G211" s="64">
        <f>F211+1</f>
        <v>2023</v>
      </c>
      <c r="H211" s="64">
        <f>G211+1</f>
        <v>2024</v>
      </c>
      <c r="I211" s="64">
        <f>H211+1</f>
        <v>2025</v>
      </c>
      <c r="J211" s="64">
        <f>I211+1</f>
        <v>2026</v>
      </c>
      <c r="K211" s="162"/>
      <c r="L211" s="616"/>
      <c r="M211" s="162"/>
      <c r="N211" s="162"/>
      <c r="O211" s="162"/>
      <c r="P211" s="162"/>
      <c r="Q211" s="162"/>
      <c r="R211" s="162"/>
      <c r="S211" s="162"/>
      <c r="T211" s="162"/>
      <c r="U211" s="641"/>
      <c r="V211" s="641"/>
      <c r="W211" s="641"/>
      <c r="X211" s="641"/>
      <c r="Y211" s="641"/>
      <c r="Z211" s="641"/>
      <c r="AA211" s="641"/>
    </row>
    <row r="212" spans="1:27" hidden="1" outlineLevel="1" x14ac:dyDescent="0.2">
      <c r="A212" s="162"/>
      <c r="B212" s="642"/>
      <c r="C212" s="4" t="s">
        <v>114</v>
      </c>
      <c r="D212" s="38">
        <f>IF($I$97="",-R59,0)</f>
        <v>0</v>
      </c>
      <c r="E212" s="38">
        <f t="shared" ref="E212:J212" si="99">IF(D212="","",D212*(1+D213))</f>
        <v>0</v>
      </c>
      <c r="F212" s="38">
        <f t="shared" si="99"/>
        <v>0</v>
      </c>
      <c r="G212" s="38">
        <f t="shared" si="99"/>
        <v>0</v>
      </c>
      <c r="H212" s="38">
        <f t="shared" si="99"/>
        <v>0</v>
      </c>
      <c r="I212" s="38">
        <f t="shared" si="99"/>
        <v>0</v>
      </c>
      <c r="J212" s="38">
        <f t="shared" si="99"/>
        <v>0</v>
      </c>
      <c r="K212" s="162"/>
      <c r="L212" s="36" t="s">
        <v>258</v>
      </c>
      <c r="M212" s="162"/>
      <c r="N212" s="616"/>
      <c r="O212" s="162"/>
      <c r="P212" s="162"/>
      <c r="Q212" s="162"/>
      <c r="R212" s="162"/>
      <c r="S212" s="162"/>
      <c r="T212" s="162"/>
      <c r="U212" s="641"/>
      <c r="V212" s="641"/>
      <c r="W212" s="641"/>
      <c r="X212" s="641"/>
      <c r="Y212" s="641"/>
      <c r="Z212" s="641"/>
      <c r="AA212" s="641"/>
    </row>
    <row r="213" spans="1:27" hidden="1" outlineLevel="1" x14ac:dyDescent="0.2">
      <c r="A213" s="162"/>
      <c r="B213" s="642"/>
      <c r="C213" s="11" t="s">
        <v>26</v>
      </c>
      <c r="D213" s="55"/>
      <c r="E213" s="55"/>
      <c r="F213" s="55"/>
      <c r="G213" s="55"/>
      <c r="H213" s="55"/>
      <c r="I213" s="55"/>
      <c r="J213" s="33"/>
      <c r="K213" s="162"/>
      <c r="L213" s="822"/>
      <c r="M213" s="823"/>
      <c r="N213" s="823"/>
      <c r="O213" s="823"/>
      <c r="P213" s="823"/>
      <c r="Q213" s="823"/>
      <c r="R213" s="823"/>
      <c r="S213" s="823"/>
      <c r="T213" s="823"/>
      <c r="U213" s="641"/>
      <c r="V213" s="641"/>
      <c r="W213" s="641"/>
      <c r="X213" s="641"/>
      <c r="Y213" s="641"/>
      <c r="Z213" s="641"/>
      <c r="AA213" s="641"/>
    </row>
    <row r="214" spans="1:27" hidden="1" outlineLevel="1" x14ac:dyDescent="0.2">
      <c r="A214" s="162"/>
      <c r="B214" s="642"/>
      <c r="C214" s="11" t="s">
        <v>33</v>
      </c>
      <c r="D214" s="55"/>
      <c r="E214" s="55"/>
      <c r="F214" s="55"/>
      <c r="G214" s="55"/>
      <c r="H214" s="55"/>
      <c r="I214" s="55"/>
      <c r="J214" s="55"/>
      <c r="K214" s="162"/>
      <c r="L214" s="822"/>
      <c r="M214" s="823"/>
      <c r="N214" s="823"/>
      <c r="O214" s="823"/>
      <c r="P214" s="823"/>
      <c r="Q214" s="823"/>
      <c r="R214" s="823"/>
      <c r="S214" s="823"/>
      <c r="T214" s="823"/>
      <c r="U214" s="641"/>
      <c r="V214" s="641"/>
      <c r="W214" s="641"/>
      <c r="X214" s="641"/>
      <c r="Y214" s="641"/>
      <c r="Z214" s="641"/>
      <c r="AA214" s="641"/>
    </row>
    <row r="215" spans="1:27" hidden="1" outlineLevel="1" x14ac:dyDescent="0.2">
      <c r="A215" s="162"/>
      <c r="B215" s="642"/>
      <c r="C215" s="65" t="str">
        <f>"Proportion " &amp; IF(MarketImpact=0,"affected by","affected") &amp; " the proposed medicine"</f>
        <v>Proportion affected the proposed medicine</v>
      </c>
      <c r="D215" s="55"/>
      <c r="E215" s="55"/>
      <c r="F215" s="55"/>
      <c r="G215" s="55"/>
      <c r="H215" s="55"/>
      <c r="I215" s="55"/>
      <c r="J215" s="55"/>
      <c r="K215" s="162"/>
      <c r="L215" s="822"/>
      <c r="M215" s="823"/>
      <c r="N215" s="823"/>
      <c r="O215" s="823"/>
      <c r="P215" s="823"/>
      <c r="Q215" s="823"/>
      <c r="R215" s="823"/>
      <c r="S215" s="823"/>
      <c r="T215" s="823"/>
      <c r="U215" s="641"/>
      <c r="V215" s="641"/>
      <c r="W215" s="641"/>
      <c r="X215" s="641"/>
      <c r="Y215" s="641"/>
      <c r="Z215" s="641"/>
      <c r="AA215" s="641"/>
    </row>
    <row r="216" spans="1:27" hidden="1" outlineLevel="1" x14ac:dyDescent="0.2">
      <c r="A216" s="638"/>
      <c r="B216" s="640"/>
      <c r="C216" s="13" t="s">
        <v>107</v>
      </c>
      <c r="D216" s="32">
        <f t="shared" ref="D216:J216" si="100">D218-D217</f>
        <v>0</v>
      </c>
      <c r="E216" s="32">
        <f t="shared" si="100"/>
        <v>0</v>
      </c>
      <c r="F216" s="32">
        <f t="shared" si="100"/>
        <v>0</v>
      </c>
      <c r="G216" s="32">
        <f t="shared" si="100"/>
        <v>0</v>
      </c>
      <c r="H216" s="32">
        <f t="shared" si="100"/>
        <v>0</v>
      </c>
      <c r="I216" s="32">
        <f t="shared" si="100"/>
        <v>0</v>
      </c>
      <c r="J216" s="32">
        <f t="shared" si="100"/>
        <v>0</v>
      </c>
      <c r="K216" s="638"/>
      <c r="L216" s="638"/>
      <c r="M216" s="638"/>
      <c r="N216" s="638"/>
      <c r="O216" s="638"/>
      <c r="P216" s="638"/>
      <c r="Q216" s="638"/>
      <c r="R216" s="638"/>
      <c r="S216" s="638"/>
      <c r="T216" s="638"/>
      <c r="U216" s="9"/>
      <c r="V216" s="9"/>
      <c r="W216" s="9"/>
      <c r="X216" s="9"/>
      <c r="Y216" s="9"/>
      <c r="Z216" s="9"/>
      <c r="AA216" s="9"/>
    </row>
    <row r="217" spans="1:27" hidden="1" outlineLevel="1" x14ac:dyDescent="0.2">
      <c r="A217" s="638"/>
      <c r="B217" s="640"/>
      <c r="C217" s="13" t="s">
        <v>108</v>
      </c>
      <c r="D217" s="32">
        <f t="shared" ref="D217:J217" si="101">IF($B210&lt;&gt;0,ROUND(D218*INDEX(ServiceSplitRPBS,$B210),0),0)</f>
        <v>0</v>
      </c>
      <c r="E217" s="32">
        <f t="shared" si="101"/>
        <v>0</v>
      </c>
      <c r="F217" s="32">
        <f t="shared" si="101"/>
        <v>0</v>
      </c>
      <c r="G217" s="32">
        <f t="shared" si="101"/>
        <v>0</v>
      </c>
      <c r="H217" s="32">
        <f t="shared" si="101"/>
        <v>0</v>
      </c>
      <c r="I217" s="32">
        <f t="shared" si="101"/>
        <v>0</v>
      </c>
      <c r="J217" s="32">
        <f t="shared" si="101"/>
        <v>0</v>
      </c>
      <c r="K217" s="638"/>
      <c r="L217" s="638"/>
      <c r="M217" s="638"/>
      <c r="N217" s="638"/>
      <c r="O217" s="638"/>
      <c r="P217" s="638"/>
      <c r="Q217" s="638"/>
      <c r="R217" s="638"/>
      <c r="S217" s="638"/>
      <c r="T217" s="638"/>
      <c r="U217" s="9"/>
      <c r="V217" s="9"/>
      <c r="W217" s="9"/>
      <c r="X217" s="9"/>
      <c r="Y217" s="9"/>
      <c r="Z217" s="9"/>
      <c r="AA217" s="9"/>
    </row>
    <row r="218" spans="1:27" hidden="1" outlineLevel="1" x14ac:dyDescent="0.2">
      <c r="A218" s="638"/>
      <c r="B218" s="640"/>
      <c r="C218" s="635" t="s">
        <v>844</v>
      </c>
      <c r="D218" s="35">
        <f t="shared" ref="D218:J218" si="102">IF(D212="","",D215*D214*D212)</f>
        <v>0</v>
      </c>
      <c r="E218" s="35">
        <f t="shared" si="102"/>
        <v>0</v>
      </c>
      <c r="F218" s="35">
        <f t="shared" si="102"/>
        <v>0</v>
      </c>
      <c r="G218" s="35">
        <f t="shared" si="102"/>
        <v>0</v>
      </c>
      <c r="H218" s="35">
        <f t="shared" si="102"/>
        <v>0</v>
      </c>
      <c r="I218" s="35">
        <f t="shared" si="102"/>
        <v>0</v>
      </c>
      <c r="J218" s="35">
        <f t="shared" si="102"/>
        <v>0</v>
      </c>
      <c r="K218" s="638"/>
      <c r="L218" s="638"/>
      <c r="M218" s="638"/>
      <c r="N218" s="638"/>
      <c r="O218" s="638"/>
      <c r="P218" s="638"/>
      <c r="Q218" s="638"/>
      <c r="R218" s="638"/>
      <c r="S218" s="638"/>
      <c r="T218" s="638"/>
      <c r="U218" s="9"/>
      <c r="V218" s="9"/>
      <c r="W218" s="9"/>
      <c r="X218" s="9"/>
      <c r="Y218" s="9"/>
      <c r="Z218" s="9"/>
      <c r="AA218" s="9"/>
    </row>
    <row r="219" spans="1:27" hidden="1" outlineLevel="1" x14ac:dyDescent="0.2">
      <c r="A219" s="162"/>
      <c r="B219" s="642"/>
      <c r="C219" s="162"/>
      <c r="D219" s="162"/>
      <c r="E219" s="162"/>
      <c r="F219" s="162"/>
      <c r="G219" s="162"/>
      <c r="H219" s="162"/>
      <c r="I219" s="162"/>
      <c r="J219" s="162"/>
      <c r="K219" s="162"/>
      <c r="L219" s="162"/>
      <c r="M219" s="162"/>
      <c r="N219" s="162"/>
      <c r="O219" s="162"/>
      <c r="P219" s="162"/>
      <c r="Q219" s="162"/>
      <c r="R219" s="162"/>
      <c r="S219" s="162"/>
      <c r="T219" s="162"/>
      <c r="U219" s="641"/>
      <c r="V219" s="641"/>
      <c r="W219" s="641"/>
      <c r="X219" s="641"/>
      <c r="Y219" s="641"/>
      <c r="Z219" s="641"/>
      <c r="AA219" s="641"/>
    </row>
    <row r="220" spans="1:27" collapsed="1" x14ac:dyDescent="0.2">
      <c r="A220" s="162"/>
      <c r="B220" s="642"/>
      <c r="C220" s="162"/>
      <c r="D220" s="162"/>
      <c r="E220" s="162"/>
      <c r="F220" s="162"/>
      <c r="G220" s="162"/>
      <c r="H220" s="162"/>
      <c r="I220" s="162"/>
      <c r="J220" s="162"/>
      <c r="K220" s="162"/>
      <c r="L220" s="162"/>
      <c r="M220" s="162"/>
      <c r="N220" s="162"/>
      <c r="O220" s="162"/>
      <c r="P220" s="162"/>
      <c r="Q220" s="162"/>
      <c r="R220" s="162"/>
      <c r="S220" s="162"/>
      <c r="T220" s="162"/>
      <c r="U220" s="641"/>
      <c r="V220" s="641"/>
      <c r="W220" s="641"/>
      <c r="X220" s="641"/>
      <c r="Y220" s="641"/>
      <c r="Z220" s="641"/>
      <c r="AA220" s="641"/>
    </row>
    <row r="221" spans="1:27" ht="15" x14ac:dyDescent="0.2">
      <c r="A221" s="131"/>
      <c r="B221" s="298">
        <v>11</v>
      </c>
      <c r="C221" s="147" t="str">
        <f>IF($I$97&lt;&gt;"",MsgNotUsed,INDEX(NamesOverallChanged,B221))</f>
        <v>** NOT USED **</v>
      </c>
      <c r="D221" s="139"/>
      <c r="E221" s="139"/>
      <c r="F221" s="139"/>
      <c r="G221" s="139"/>
      <c r="H221" s="133"/>
      <c r="I221" s="821" t="str">
        <f>IF(C221&lt;&gt;MsgNotUsed,"Co-payment group " &amp; INDEX(CoPayBandMS,B221),"")</f>
        <v/>
      </c>
      <c r="J221" s="821"/>
      <c r="K221" s="139"/>
      <c r="L221" s="139"/>
      <c r="M221" s="139"/>
      <c r="N221" s="139"/>
      <c r="O221" s="139"/>
      <c r="P221" s="139"/>
      <c r="Q221" s="139"/>
      <c r="R221" s="139"/>
      <c r="S221" s="139"/>
      <c r="T221" s="139"/>
      <c r="U221" s="26"/>
      <c r="V221" s="26"/>
      <c r="W221" s="26"/>
      <c r="X221" s="26"/>
      <c r="Y221" s="26"/>
      <c r="Z221" s="26"/>
      <c r="AA221" s="26"/>
    </row>
    <row r="222" spans="1:27" ht="15.75" hidden="1" outlineLevel="1" x14ac:dyDescent="0.2">
      <c r="A222" s="131"/>
      <c r="B222" s="71">
        <f>INDEX(CoPayBandMS,B221)</f>
        <v>0</v>
      </c>
      <c r="C222" s="655"/>
      <c r="D222" s="131"/>
      <c r="E222" s="131"/>
      <c r="F222" s="131"/>
      <c r="G222" s="131"/>
      <c r="H222" s="131"/>
      <c r="I222" s="131"/>
      <c r="J222" s="131"/>
      <c r="K222" s="131"/>
      <c r="L222" s="131"/>
      <c r="M222" s="131"/>
      <c r="N222" s="131"/>
      <c r="O222" s="131"/>
      <c r="P222" s="131"/>
      <c r="Q222" s="131"/>
      <c r="R222" s="131"/>
      <c r="S222" s="131"/>
      <c r="T222" s="131"/>
      <c r="U222" s="26"/>
      <c r="V222" s="26"/>
      <c r="W222" s="26"/>
      <c r="X222" s="26"/>
      <c r="Y222" s="26"/>
      <c r="Z222" s="26"/>
      <c r="AA222" s="26"/>
    </row>
    <row r="223" spans="1:27" ht="14.25" hidden="1" customHeight="1" outlineLevel="1" x14ac:dyDescent="0.2">
      <c r="A223" s="162"/>
      <c r="B223" s="642"/>
      <c r="C223" s="708"/>
      <c r="D223" s="64">
        <f>E223-1</f>
        <v>2020</v>
      </c>
      <c r="E223" s="64">
        <f>FirstYear</f>
        <v>2021</v>
      </c>
      <c r="F223" s="64">
        <f>E223+1</f>
        <v>2022</v>
      </c>
      <c r="G223" s="64">
        <f>F223+1</f>
        <v>2023</v>
      </c>
      <c r="H223" s="64">
        <f>G223+1</f>
        <v>2024</v>
      </c>
      <c r="I223" s="64">
        <f>H223+1</f>
        <v>2025</v>
      </c>
      <c r="J223" s="64">
        <f>I223+1</f>
        <v>2026</v>
      </c>
      <c r="K223" s="162"/>
      <c r="L223" s="616"/>
      <c r="M223" s="162"/>
      <c r="N223" s="162"/>
      <c r="O223" s="162"/>
      <c r="P223" s="162"/>
      <c r="Q223" s="162"/>
      <c r="R223" s="162"/>
      <c r="S223" s="162"/>
      <c r="T223" s="162"/>
      <c r="U223" s="641"/>
      <c r="V223" s="641"/>
      <c r="W223" s="641"/>
      <c r="X223" s="641"/>
      <c r="Y223" s="641"/>
      <c r="Z223" s="641"/>
      <c r="AA223" s="641"/>
    </row>
    <row r="224" spans="1:27" hidden="1" outlineLevel="1" x14ac:dyDescent="0.2">
      <c r="A224" s="162"/>
      <c r="B224" s="642"/>
      <c r="C224" s="4" t="s">
        <v>114</v>
      </c>
      <c r="D224" s="38">
        <f>IF($I$97="",-R60,0)</f>
        <v>0</v>
      </c>
      <c r="E224" s="38">
        <f t="shared" ref="E224:J224" si="103">IF(D224="","",D224*(1+D225))</f>
        <v>0</v>
      </c>
      <c r="F224" s="38">
        <f t="shared" si="103"/>
        <v>0</v>
      </c>
      <c r="G224" s="38">
        <f t="shared" si="103"/>
        <v>0</v>
      </c>
      <c r="H224" s="38">
        <f t="shared" si="103"/>
        <v>0</v>
      </c>
      <c r="I224" s="38">
        <f t="shared" si="103"/>
        <v>0</v>
      </c>
      <c r="J224" s="38">
        <f t="shared" si="103"/>
        <v>0</v>
      </c>
      <c r="K224" s="162"/>
      <c r="L224" s="36" t="s">
        <v>258</v>
      </c>
      <c r="M224" s="162"/>
      <c r="N224" s="616"/>
      <c r="O224" s="162"/>
      <c r="P224" s="162"/>
      <c r="Q224" s="162"/>
      <c r="R224" s="162"/>
      <c r="S224" s="162"/>
      <c r="T224" s="162"/>
      <c r="U224" s="641"/>
      <c r="V224" s="641"/>
      <c r="W224" s="641"/>
      <c r="X224" s="641"/>
      <c r="Y224" s="641"/>
      <c r="Z224" s="641"/>
      <c r="AA224" s="641"/>
    </row>
    <row r="225" spans="1:27" hidden="1" outlineLevel="1" x14ac:dyDescent="0.2">
      <c r="A225" s="162"/>
      <c r="B225" s="642"/>
      <c r="C225" s="11" t="s">
        <v>26</v>
      </c>
      <c r="D225" s="55"/>
      <c r="E225" s="55"/>
      <c r="F225" s="55"/>
      <c r="G225" s="55"/>
      <c r="H225" s="55"/>
      <c r="I225" s="55"/>
      <c r="J225" s="33"/>
      <c r="K225" s="162"/>
      <c r="L225" s="822"/>
      <c r="M225" s="823"/>
      <c r="N225" s="823"/>
      <c r="O225" s="823"/>
      <c r="P225" s="823"/>
      <c r="Q225" s="823"/>
      <c r="R225" s="823"/>
      <c r="S225" s="823"/>
      <c r="T225" s="823"/>
      <c r="U225" s="641"/>
      <c r="V225" s="641"/>
      <c r="W225" s="641"/>
      <c r="X225" s="641"/>
      <c r="Y225" s="641"/>
      <c r="Z225" s="641"/>
      <c r="AA225" s="641"/>
    </row>
    <row r="226" spans="1:27" hidden="1" outlineLevel="1" x14ac:dyDescent="0.2">
      <c r="A226" s="162"/>
      <c r="B226" s="642"/>
      <c r="C226" s="11" t="s">
        <v>33</v>
      </c>
      <c r="D226" s="55"/>
      <c r="E226" s="55"/>
      <c r="F226" s="55"/>
      <c r="G226" s="55"/>
      <c r="H226" s="55"/>
      <c r="I226" s="55"/>
      <c r="J226" s="55"/>
      <c r="K226" s="162"/>
      <c r="L226" s="822"/>
      <c r="M226" s="823"/>
      <c r="N226" s="823"/>
      <c r="O226" s="823"/>
      <c r="P226" s="823"/>
      <c r="Q226" s="823"/>
      <c r="R226" s="823"/>
      <c r="S226" s="823"/>
      <c r="T226" s="823"/>
      <c r="U226" s="641"/>
      <c r="V226" s="641"/>
      <c r="W226" s="641"/>
      <c r="X226" s="641"/>
      <c r="Y226" s="641"/>
      <c r="Z226" s="641"/>
      <c r="AA226" s="641"/>
    </row>
    <row r="227" spans="1:27" hidden="1" outlineLevel="1" x14ac:dyDescent="0.2">
      <c r="A227" s="162"/>
      <c r="B227" s="642"/>
      <c r="C227" s="65" t="str">
        <f>"Proportion " &amp; IF(MarketImpact=0,"affected by","affected") &amp; " the proposed medicine"</f>
        <v>Proportion affected the proposed medicine</v>
      </c>
      <c r="D227" s="55"/>
      <c r="E227" s="55"/>
      <c r="F227" s="55"/>
      <c r="G227" s="55"/>
      <c r="H227" s="55"/>
      <c r="I227" s="55"/>
      <c r="J227" s="55"/>
      <c r="K227" s="162"/>
      <c r="L227" s="822"/>
      <c r="M227" s="823"/>
      <c r="N227" s="823"/>
      <c r="O227" s="823"/>
      <c r="P227" s="823"/>
      <c r="Q227" s="823"/>
      <c r="R227" s="823"/>
      <c r="S227" s="823"/>
      <c r="T227" s="823"/>
      <c r="U227" s="641"/>
      <c r="V227" s="641"/>
      <c r="W227" s="641"/>
      <c r="X227" s="641"/>
      <c r="Y227" s="641"/>
      <c r="Z227" s="641"/>
      <c r="AA227" s="641"/>
    </row>
    <row r="228" spans="1:27" hidden="1" outlineLevel="1" x14ac:dyDescent="0.2">
      <c r="A228" s="638"/>
      <c r="B228" s="640"/>
      <c r="C228" s="13" t="s">
        <v>107</v>
      </c>
      <c r="D228" s="32">
        <f t="shared" ref="D228:J228" si="104">D230-D229</f>
        <v>0</v>
      </c>
      <c r="E228" s="32">
        <f t="shared" si="104"/>
        <v>0</v>
      </c>
      <c r="F228" s="32">
        <f t="shared" si="104"/>
        <v>0</v>
      </c>
      <c r="G228" s="32">
        <f t="shared" si="104"/>
        <v>0</v>
      </c>
      <c r="H228" s="32">
        <f t="shared" si="104"/>
        <v>0</v>
      </c>
      <c r="I228" s="32">
        <f t="shared" si="104"/>
        <v>0</v>
      </c>
      <c r="J228" s="32">
        <f t="shared" si="104"/>
        <v>0</v>
      </c>
      <c r="K228" s="638"/>
      <c r="L228" s="638"/>
      <c r="M228" s="638"/>
      <c r="N228" s="638"/>
      <c r="O228" s="638"/>
      <c r="P228" s="638"/>
      <c r="Q228" s="638"/>
      <c r="R228" s="638"/>
      <c r="S228" s="638"/>
      <c r="T228" s="638"/>
      <c r="U228" s="9"/>
      <c r="V228" s="9"/>
      <c r="W228" s="9"/>
      <c r="X228" s="9"/>
      <c r="Y228" s="9"/>
      <c r="Z228" s="9"/>
      <c r="AA228" s="9"/>
    </row>
    <row r="229" spans="1:27" hidden="1" outlineLevel="1" x14ac:dyDescent="0.2">
      <c r="A229" s="638"/>
      <c r="B229" s="640"/>
      <c r="C229" s="13" t="s">
        <v>108</v>
      </c>
      <c r="D229" s="32">
        <f t="shared" ref="D229:J229" si="105">IF($B222&lt;&gt;0,ROUND(D230*INDEX(ServiceSplitRPBS,$B222),0),0)</f>
        <v>0</v>
      </c>
      <c r="E229" s="32">
        <f t="shared" si="105"/>
        <v>0</v>
      </c>
      <c r="F229" s="32">
        <f t="shared" si="105"/>
        <v>0</v>
      </c>
      <c r="G229" s="32">
        <f t="shared" si="105"/>
        <v>0</v>
      </c>
      <c r="H229" s="32">
        <f t="shared" si="105"/>
        <v>0</v>
      </c>
      <c r="I229" s="32">
        <f t="shared" si="105"/>
        <v>0</v>
      </c>
      <c r="J229" s="32">
        <f t="shared" si="105"/>
        <v>0</v>
      </c>
      <c r="K229" s="638"/>
      <c r="L229" s="638"/>
      <c r="M229" s="638"/>
      <c r="N229" s="638"/>
      <c r="O229" s="638"/>
      <c r="P229" s="638"/>
      <c r="Q229" s="638"/>
      <c r="R229" s="638"/>
      <c r="S229" s="638"/>
      <c r="T229" s="638"/>
      <c r="U229" s="9"/>
      <c r="V229" s="9"/>
      <c r="W229" s="9"/>
      <c r="X229" s="9"/>
      <c r="Y229" s="9"/>
      <c r="Z229" s="9"/>
      <c r="AA229" s="9"/>
    </row>
    <row r="230" spans="1:27" hidden="1" outlineLevel="1" x14ac:dyDescent="0.2">
      <c r="A230" s="638"/>
      <c r="B230" s="640"/>
      <c r="C230" s="635" t="s">
        <v>844</v>
      </c>
      <c r="D230" s="35">
        <f t="shared" ref="D230:J230" si="106">IF(D224="","",D227*D226*D224)</f>
        <v>0</v>
      </c>
      <c r="E230" s="35">
        <f t="shared" si="106"/>
        <v>0</v>
      </c>
      <c r="F230" s="35">
        <f t="shared" si="106"/>
        <v>0</v>
      </c>
      <c r="G230" s="35">
        <f t="shared" si="106"/>
        <v>0</v>
      </c>
      <c r="H230" s="35">
        <f t="shared" si="106"/>
        <v>0</v>
      </c>
      <c r="I230" s="35">
        <f t="shared" si="106"/>
        <v>0</v>
      </c>
      <c r="J230" s="35">
        <f t="shared" si="106"/>
        <v>0</v>
      </c>
      <c r="K230" s="638"/>
      <c r="L230" s="638"/>
      <c r="M230" s="638"/>
      <c r="N230" s="638"/>
      <c r="O230" s="638"/>
      <c r="P230" s="638"/>
      <c r="Q230" s="638"/>
      <c r="R230" s="638"/>
      <c r="S230" s="638"/>
      <c r="T230" s="638"/>
      <c r="U230" s="9"/>
      <c r="V230" s="9"/>
      <c r="W230" s="9"/>
      <c r="X230" s="9"/>
      <c r="Y230" s="9"/>
      <c r="Z230" s="9"/>
      <c r="AA230" s="9"/>
    </row>
    <row r="231" spans="1:27" hidden="1" outlineLevel="1" x14ac:dyDescent="0.2">
      <c r="A231" s="162"/>
      <c r="B231" s="642"/>
      <c r="C231" s="162"/>
      <c r="D231" s="162"/>
      <c r="E231" s="162"/>
      <c r="F231" s="162"/>
      <c r="G231" s="162"/>
      <c r="H231" s="162"/>
      <c r="I231" s="162"/>
      <c r="J231" s="162"/>
      <c r="K231" s="162"/>
      <c r="L231" s="162"/>
      <c r="M231" s="162"/>
      <c r="N231" s="162"/>
      <c r="O231" s="162"/>
      <c r="P231" s="162"/>
      <c r="Q231" s="162"/>
      <c r="R231" s="162"/>
      <c r="S231" s="162"/>
      <c r="T231" s="162"/>
      <c r="U231" s="641"/>
      <c r="V231" s="641"/>
      <c r="W231" s="641"/>
      <c r="X231" s="641"/>
      <c r="Y231" s="641"/>
      <c r="Z231" s="641"/>
      <c r="AA231" s="641"/>
    </row>
    <row r="232" spans="1:27" collapsed="1" x14ac:dyDescent="0.2">
      <c r="A232" s="162"/>
      <c r="B232" s="642"/>
      <c r="C232" s="162"/>
      <c r="D232" s="162"/>
      <c r="E232" s="162"/>
      <c r="F232" s="162"/>
      <c r="G232" s="162"/>
      <c r="H232" s="162"/>
      <c r="I232" s="162"/>
      <c r="J232" s="162"/>
      <c r="K232" s="162"/>
      <c r="L232" s="162"/>
      <c r="M232" s="162"/>
      <c r="N232" s="162"/>
      <c r="O232" s="162"/>
      <c r="P232" s="162"/>
      <c r="Q232" s="162"/>
      <c r="R232" s="162"/>
      <c r="S232" s="162"/>
      <c r="T232" s="162"/>
      <c r="U232" s="641"/>
      <c r="V232" s="641"/>
      <c r="W232" s="641"/>
      <c r="X232" s="641"/>
      <c r="Y232" s="641"/>
      <c r="Z232" s="641"/>
      <c r="AA232" s="641"/>
    </row>
    <row r="233" spans="1:27" ht="15" x14ac:dyDescent="0.2">
      <c r="A233" s="131"/>
      <c r="B233" s="298">
        <v>12</v>
      </c>
      <c r="C233" s="147" t="str">
        <f>IF($I$97&lt;&gt;"",MsgNotUsed,INDEX(NamesOverallChanged,B233))</f>
        <v>** NOT USED **</v>
      </c>
      <c r="D233" s="139"/>
      <c r="E233" s="139"/>
      <c r="F233" s="139"/>
      <c r="G233" s="139"/>
      <c r="H233" s="133"/>
      <c r="I233" s="821" t="str">
        <f>IF(C233&lt;&gt;MsgNotUsed,"Co-payment group " &amp; INDEX(CoPayBandMS,B233),"")</f>
        <v/>
      </c>
      <c r="J233" s="821"/>
      <c r="K233" s="139"/>
      <c r="L233" s="139"/>
      <c r="M233" s="139"/>
      <c r="N233" s="139"/>
      <c r="O233" s="139"/>
      <c r="P233" s="139"/>
      <c r="Q233" s="139"/>
      <c r="R233" s="139"/>
      <c r="S233" s="139"/>
      <c r="T233" s="139"/>
      <c r="U233" s="26"/>
      <c r="V233" s="26"/>
      <c r="W233" s="26"/>
      <c r="X233" s="26"/>
      <c r="Y233" s="26"/>
      <c r="Z233" s="26"/>
      <c r="AA233" s="26"/>
    </row>
    <row r="234" spans="1:27" ht="15.75" hidden="1" outlineLevel="1" x14ac:dyDescent="0.2">
      <c r="A234" s="131"/>
      <c r="B234" s="71">
        <f>INDEX(CoPayBandMS,B233)</f>
        <v>0</v>
      </c>
      <c r="C234" s="655"/>
      <c r="D234" s="131"/>
      <c r="E234" s="131"/>
      <c r="F234" s="131"/>
      <c r="G234" s="131"/>
      <c r="H234" s="131"/>
      <c r="I234" s="131"/>
      <c r="J234" s="131"/>
      <c r="K234" s="131"/>
      <c r="L234" s="131"/>
      <c r="M234" s="131"/>
      <c r="N234" s="131"/>
      <c r="O234" s="131"/>
      <c r="P234" s="131"/>
      <c r="Q234" s="131"/>
      <c r="R234" s="131"/>
      <c r="S234" s="131"/>
      <c r="T234" s="131"/>
      <c r="U234" s="26"/>
      <c r="V234" s="26"/>
      <c r="W234" s="26"/>
      <c r="X234" s="26"/>
      <c r="Y234" s="26"/>
      <c r="Z234" s="26"/>
      <c r="AA234" s="26"/>
    </row>
    <row r="235" spans="1:27" ht="14.25" hidden="1" customHeight="1" outlineLevel="1" x14ac:dyDescent="0.2">
      <c r="A235" s="162"/>
      <c r="B235" s="642"/>
      <c r="C235" s="708"/>
      <c r="D235" s="64">
        <f>E235-1</f>
        <v>2020</v>
      </c>
      <c r="E235" s="64">
        <f>FirstYear</f>
        <v>2021</v>
      </c>
      <c r="F235" s="64">
        <f>E235+1</f>
        <v>2022</v>
      </c>
      <c r="G235" s="64">
        <f>F235+1</f>
        <v>2023</v>
      </c>
      <c r="H235" s="64">
        <f>G235+1</f>
        <v>2024</v>
      </c>
      <c r="I235" s="64">
        <f>H235+1</f>
        <v>2025</v>
      </c>
      <c r="J235" s="64">
        <f>I235+1</f>
        <v>2026</v>
      </c>
      <c r="K235" s="162"/>
      <c r="L235" s="616"/>
      <c r="M235" s="162"/>
      <c r="N235" s="162"/>
      <c r="O235" s="162"/>
      <c r="P235" s="162"/>
      <c r="Q235" s="162"/>
      <c r="R235" s="162"/>
      <c r="S235" s="162"/>
      <c r="T235" s="162"/>
      <c r="U235" s="641"/>
      <c r="V235" s="641"/>
      <c r="W235" s="641"/>
      <c r="X235" s="641"/>
      <c r="Y235" s="641"/>
      <c r="Z235" s="641"/>
      <c r="AA235" s="641"/>
    </row>
    <row r="236" spans="1:27" hidden="1" outlineLevel="1" x14ac:dyDescent="0.2">
      <c r="A236" s="162"/>
      <c r="B236" s="642"/>
      <c r="C236" s="4" t="s">
        <v>114</v>
      </c>
      <c r="D236" s="38">
        <f>IF($I$97="",-R61,0)</f>
        <v>0</v>
      </c>
      <c r="E236" s="38">
        <f t="shared" ref="E236:J236" si="107">IF(D236="","",D236*(1+D237))</f>
        <v>0</v>
      </c>
      <c r="F236" s="38">
        <f t="shared" si="107"/>
        <v>0</v>
      </c>
      <c r="G236" s="38">
        <f t="shared" si="107"/>
        <v>0</v>
      </c>
      <c r="H236" s="38">
        <f t="shared" si="107"/>
        <v>0</v>
      </c>
      <c r="I236" s="38">
        <f t="shared" si="107"/>
        <v>0</v>
      </c>
      <c r="J236" s="38">
        <f t="shared" si="107"/>
        <v>0</v>
      </c>
      <c r="K236" s="162"/>
      <c r="L236" s="36" t="s">
        <v>258</v>
      </c>
      <c r="M236" s="162"/>
      <c r="N236" s="616"/>
      <c r="O236" s="162"/>
      <c r="P236" s="162"/>
      <c r="Q236" s="162"/>
      <c r="R236" s="162"/>
      <c r="S236" s="162"/>
      <c r="T236" s="162"/>
      <c r="U236" s="641"/>
      <c r="V236" s="641"/>
      <c r="W236" s="641"/>
      <c r="X236" s="641"/>
      <c r="Y236" s="641"/>
      <c r="Z236" s="641"/>
      <c r="AA236" s="641"/>
    </row>
    <row r="237" spans="1:27" hidden="1" outlineLevel="1" x14ac:dyDescent="0.2">
      <c r="A237" s="162"/>
      <c r="B237" s="642"/>
      <c r="C237" s="11" t="s">
        <v>26</v>
      </c>
      <c r="D237" s="55"/>
      <c r="E237" s="55"/>
      <c r="F237" s="55"/>
      <c r="G237" s="55"/>
      <c r="H237" s="55"/>
      <c r="I237" s="55"/>
      <c r="J237" s="33"/>
      <c r="K237" s="162"/>
      <c r="L237" s="822"/>
      <c r="M237" s="823"/>
      <c r="N237" s="823"/>
      <c r="O237" s="823"/>
      <c r="P237" s="823"/>
      <c r="Q237" s="823"/>
      <c r="R237" s="823"/>
      <c r="S237" s="823"/>
      <c r="T237" s="823"/>
      <c r="U237" s="641"/>
      <c r="V237" s="641"/>
      <c r="W237" s="641"/>
      <c r="X237" s="641"/>
      <c r="Y237" s="641"/>
      <c r="Z237" s="641"/>
      <c r="AA237" s="641"/>
    </row>
    <row r="238" spans="1:27" hidden="1" outlineLevel="1" x14ac:dyDescent="0.2">
      <c r="A238" s="162"/>
      <c r="B238" s="642"/>
      <c r="C238" s="11" t="s">
        <v>33</v>
      </c>
      <c r="D238" s="55"/>
      <c r="E238" s="55"/>
      <c r="F238" s="55"/>
      <c r="G238" s="55"/>
      <c r="H238" s="55"/>
      <c r="I238" s="55"/>
      <c r="J238" s="55"/>
      <c r="K238" s="162"/>
      <c r="L238" s="822"/>
      <c r="M238" s="823"/>
      <c r="N238" s="823"/>
      <c r="O238" s="823"/>
      <c r="P238" s="823"/>
      <c r="Q238" s="823"/>
      <c r="R238" s="823"/>
      <c r="S238" s="823"/>
      <c r="T238" s="823"/>
      <c r="U238" s="641"/>
      <c r="V238" s="641"/>
      <c r="W238" s="641"/>
      <c r="X238" s="641"/>
      <c r="Y238" s="641"/>
      <c r="Z238" s="641"/>
      <c r="AA238" s="641"/>
    </row>
    <row r="239" spans="1:27" hidden="1" outlineLevel="1" x14ac:dyDescent="0.2">
      <c r="A239" s="162"/>
      <c r="B239" s="642"/>
      <c r="C239" s="65" t="str">
        <f>"Proportion " &amp; IF(MarketImpact=0,"affected by","affected") &amp; " the proposed medicine"</f>
        <v>Proportion affected the proposed medicine</v>
      </c>
      <c r="D239" s="55"/>
      <c r="E239" s="55"/>
      <c r="F239" s="55"/>
      <c r="G239" s="55"/>
      <c r="H239" s="55"/>
      <c r="I239" s="55"/>
      <c r="J239" s="55"/>
      <c r="K239" s="162"/>
      <c r="L239" s="822"/>
      <c r="M239" s="823"/>
      <c r="N239" s="823"/>
      <c r="O239" s="823"/>
      <c r="P239" s="823"/>
      <c r="Q239" s="823"/>
      <c r="R239" s="823"/>
      <c r="S239" s="823"/>
      <c r="T239" s="823"/>
      <c r="U239" s="641"/>
      <c r="V239" s="641"/>
      <c r="W239" s="641"/>
      <c r="X239" s="641"/>
      <c r="Y239" s="641"/>
      <c r="Z239" s="641"/>
      <c r="AA239" s="641"/>
    </row>
    <row r="240" spans="1:27" hidden="1" outlineLevel="1" x14ac:dyDescent="0.2">
      <c r="A240" s="638"/>
      <c r="B240" s="640"/>
      <c r="C240" s="13" t="s">
        <v>107</v>
      </c>
      <c r="D240" s="32">
        <f t="shared" ref="D240:J240" si="108">D242-D241</f>
        <v>0</v>
      </c>
      <c r="E240" s="32">
        <f t="shared" si="108"/>
        <v>0</v>
      </c>
      <c r="F240" s="32">
        <f t="shared" si="108"/>
        <v>0</v>
      </c>
      <c r="G240" s="32">
        <f t="shared" si="108"/>
        <v>0</v>
      </c>
      <c r="H240" s="32">
        <f t="shared" si="108"/>
        <v>0</v>
      </c>
      <c r="I240" s="32">
        <f t="shared" si="108"/>
        <v>0</v>
      </c>
      <c r="J240" s="32">
        <f t="shared" si="108"/>
        <v>0</v>
      </c>
      <c r="K240" s="638"/>
      <c r="L240" s="638"/>
      <c r="M240" s="638"/>
      <c r="N240" s="638"/>
      <c r="O240" s="638"/>
      <c r="P240" s="638"/>
      <c r="Q240" s="638"/>
      <c r="R240" s="638"/>
      <c r="S240" s="638"/>
      <c r="T240" s="638"/>
      <c r="U240" s="9"/>
      <c r="V240" s="9"/>
      <c r="W240" s="9"/>
      <c r="X240" s="9"/>
      <c r="Y240" s="9"/>
      <c r="Z240" s="9"/>
      <c r="AA240" s="9"/>
    </row>
    <row r="241" spans="1:27" hidden="1" outlineLevel="1" x14ac:dyDescent="0.2">
      <c r="A241" s="638"/>
      <c r="B241" s="640"/>
      <c r="C241" s="13" t="s">
        <v>108</v>
      </c>
      <c r="D241" s="32">
        <f t="shared" ref="D241:J241" si="109">IF($B234&lt;&gt;0,ROUND(D242*INDEX(ServiceSplitRPBS,$B234),0),0)</f>
        <v>0</v>
      </c>
      <c r="E241" s="32">
        <f t="shared" si="109"/>
        <v>0</v>
      </c>
      <c r="F241" s="32">
        <f t="shared" si="109"/>
        <v>0</v>
      </c>
      <c r="G241" s="32">
        <f t="shared" si="109"/>
        <v>0</v>
      </c>
      <c r="H241" s="32">
        <f t="shared" si="109"/>
        <v>0</v>
      </c>
      <c r="I241" s="32">
        <f t="shared" si="109"/>
        <v>0</v>
      </c>
      <c r="J241" s="32">
        <f t="shared" si="109"/>
        <v>0</v>
      </c>
      <c r="K241" s="638"/>
      <c r="L241" s="638"/>
      <c r="M241" s="638"/>
      <c r="N241" s="638"/>
      <c r="O241" s="638"/>
      <c r="P241" s="638"/>
      <c r="Q241" s="638"/>
      <c r="R241" s="638"/>
      <c r="S241" s="638"/>
      <c r="T241" s="638"/>
      <c r="U241" s="9"/>
      <c r="V241" s="9"/>
      <c r="W241" s="9"/>
      <c r="X241" s="9"/>
      <c r="Y241" s="9"/>
      <c r="Z241" s="9"/>
      <c r="AA241" s="9"/>
    </row>
    <row r="242" spans="1:27" hidden="1" outlineLevel="1" x14ac:dyDescent="0.2">
      <c r="A242" s="638"/>
      <c r="B242" s="640"/>
      <c r="C242" s="635" t="s">
        <v>844</v>
      </c>
      <c r="D242" s="35">
        <f t="shared" ref="D242:J242" si="110">IF(D236="","",D239*D238*D236)</f>
        <v>0</v>
      </c>
      <c r="E242" s="35">
        <f t="shared" si="110"/>
        <v>0</v>
      </c>
      <c r="F242" s="35">
        <f t="shared" si="110"/>
        <v>0</v>
      </c>
      <c r="G242" s="35">
        <f t="shared" si="110"/>
        <v>0</v>
      </c>
      <c r="H242" s="35">
        <f t="shared" si="110"/>
        <v>0</v>
      </c>
      <c r="I242" s="35">
        <f t="shared" si="110"/>
        <v>0</v>
      </c>
      <c r="J242" s="35">
        <f t="shared" si="110"/>
        <v>0</v>
      </c>
      <c r="K242" s="638"/>
      <c r="L242" s="638"/>
      <c r="M242" s="638"/>
      <c r="N242" s="638"/>
      <c r="O242" s="638"/>
      <c r="P242" s="638"/>
      <c r="Q242" s="638"/>
      <c r="R242" s="638"/>
      <c r="S242" s="638"/>
      <c r="T242" s="638"/>
      <c r="U242" s="9"/>
      <c r="V242" s="9"/>
      <c r="W242" s="9"/>
      <c r="X242" s="9"/>
      <c r="Y242" s="9"/>
      <c r="Z242" s="9"/>
      <c r="AA242" s="9"/>
    </row>
    <row r="243" spans="1:27" hidden="1" outlineLevel="1" x14ac:dyDescent="0.2">
      <c r="A243" s="162"/>
      <c r="B243" s="642"/>
      <c r="C243" s="162"/>
      <c r="D243" s="162"/>
      <c r="E243" s="162"/>
      <c r="F243" s="162"/>
      <c r="G243" s="162"/>
      <c r="H243" s="162"/>
      <c r="I243" s="162"/>
      <c r="J243" s="162"/>
      <c r="K243" s="162"/>
      <c r="L243" s="162"/>
      <c r="M243" s="162"/>
      <c r="N243" s="162"/>
      <c r="O243" s="162"/>
      <c r="P243" s="162"/>
      <c r="Q243" s="162"/>
      <c r="R243" s="162"/>
      <c r="S243" s="162"/>
      <c r="T243" s="162"/>
      <c r="U243" s="641"/>
      <c r="V243" s="641"/>
      <c r="W243" s="641"/>
      <c r="X243" s="641"/>
      <c r="Y243" s="641"/>
      <c r="Z243" s="641"/>
      <c r="AA243" s="641"/>
    </row>
    <row r="244" spans="1:27" collapsed="1" x14ac:dyDescent="0.2">
      <c r="A244" s="162"/>
      <c r="B244" s="642"/>
      <c r="C244" s="162"/>
      <c r="D244" s="162"/>
      <c r="E244" s="162"/>
      <c r="F244" s="162"/>
      <c r="G244" s="162"/>
      <c r="H244" s="162"/>
      <c r="I244" s="162"/>
      <c r="J244" s="162"/>
      <c r="K244" s="162"/>
      <c r="L244" s="162"/>
      <c r="M244" s="162"/>
      <c r="N244" s="162"/>
      <c r="O244" s="162"/>
      <c r="P244" s="162"/>
      <c r="Q244" s="162"/>
      <c r="R244" s="162"/>
      <c r="S244" s="162"/>
      <c r="T244" s="162"/>
      <c r="U244" s="641"/>
      <c r="V244" s="641"/>
      <c r="W244" s="641"/>
      <c r="X244" s="641"/>
      <c r="Y244" s="641"/>
      <c r="Z244" s="641"/>
      <c r="AA244" s="641"/>
    </row>
    <row r="245" spans="1:27" ht="15" x14ac:dyDescent="0.2">
      <c r="A245" s="131"/>
      <c r="B245" s="298">
        <v>13</v>
      </c>
      <c r="C245" s="147" t="str">
        <f>IF($I$97&lt;&gt;"",MsgNotUsed,INDEX(NamesOverallChanged,B245))</f>
        <v>** NOT USED **</v>
      </c>
      <c r="D245" s="139"/>
      <c r="E245" s="139"/>
      <c r="F245" s="139"/>
      <c r="G245" s="139"/>
      <c r="H245" s="133"/>
      <c r="I245" s="821" t="str">
        <f>IF(C245&lt;&gt;MsgNotUsed,"Co-payment group " &amp; INDEX(CoPayBandMS,B245),"")</f>
        <v/>
      </c>
      <c r="J245" s="821"/>
      <c r="K245" s="139"/>
      <c r="L245" s="139"/>
      <c r="M245" s="139"/>
      <c r="N245" s="139"/>
      <c r="O245" s="139"/>
      <c r="P245" s="139"/>
      <c r="Q245" s="139"/>
      <c r="R245" s="139"/>
      <c r="S245" s="139"/>
      <c r="T245" s="139"/>
      <c r="U245" s="26"/>
      <c r="V245" s="26"/>
      <c r="W245" s="26"/>
      <c r="X245" s="26"/>
      <c r="Y245" s="26"/>
      <c r="Z245" s="26"/>
      <c r="AA245" s="26"/>
    </row>
    <row r="246" spans="1:27" ht="15.75" hidden="1" outlineLevel="1" x14ac:dyDescent="0.2">
      <c r="A246" s="131"/>
      <c r="B246" s="71">
        <f>INDEX(CoPayBandMS,B245)</f>
        <v>0</v>
      </c>
      <c r="C246" s="655"/>
      <c r="D246" s="131"/>
      <c r="E246" s="131"/>
      <c r="F246" s="131"/>
      <c r="G246" s="131"/>
      <c r="H246" s="131"/>
      <c r="I246" s="131"/>
      <c r="J246" s="131"/>
      <c r="K246" s="131"/>
      <c r="L246" s="131"/>
      <c r="M246" s="131"/>
      <c r="N246" s="131"/>
      <c r="O246" s="131"/>
      <c r="P246" s="131"/>
      <c r="Q246" s="131"/>
      <c r="R246" s="131"/>
      <c r="S246" s="131"/>
      <c r="T246" s="131"/>
      <c r="U246" s="26"/>
      <c r="V246" s="26"/>
      <c r="W246" s="26"/>
      <c r="X246" s="26"/>
      <c r="Y246" s="26"/>
      <c r="Z246" s="26"/>
      <c r="AA246" s="26"/>
    </row>
    <row r="247" spans="1:27" ht="14.25" hidden="1" customHeight="1" outlineLevel="1" x14ac:dyDescent="0.2">
      <c r="A247" s="162"/>
      <c r="B247" s="642"/>
      <c r="C247" s="708"/>
      <c r="D247" s="64">
        <f>E247-1</f>
        <v>2020</v>
      </c>
      <c r="E247" s="64">
        <f>FirstYear</f>
        <v>2021</v>
      </c>
      <c r="F247" s="64">
        <f>E247+1</f>
        <v>2022</v>
      </c>
      <c r="G247" s="64">
        <f>F247+1</f>
        <v>2023</v>
      </c>
      <c r="H247" s="64">
        <f>G247+1</f>
        <v>2024</v>
      </c>
      <c r="I247" s="64">
        <f>H247+1</f>
        <v>2025</v>
      </c>
      <c r="J247" s="64">
        <f>I247+1</f>
        <v>2026</v>
      </c>
      <c r="K247" s="162"/>
      <c r="L247" s="616"/>
      <c r="M247" s="162"/>
      <c r="N247" s="162"/>
      <c r="O247" s="162"/>
      <c r="P247" s="162"/>
      <c r="Q247" s="162"/>
      <c r="R247" s="162"/>
      <c r="S247" s="162"/>
      <c r="T247" s="162"/>
      <c r="U247" s="641"/>
      <c r="V247" s="641"/>
      <c r="W247" s="641"/>
      <c r="X247" s="641"/>
      <c r="Y247" s="641"/>
      <c r="Z247" s="641"/>
      <c r="AA247" s="641"/>
    </row>
    <row r="248" spans="1:27" hidden="1" outlineLevel="1" x14ac:dyDescent="0.2">
      <c r="A248" s="162"/>
      <c r="B248" s="642"/>
      <c r="C248" s="4" t="s">
        <v>114</v>
      </c>
      <c r="D248" s="38">
        <f>IF($I$97="",-R62,0)</f>
        <v>0</v>
      </c>
      <c r="E248" s="38">
        <f t="shared" ref="E248:J248" si="111">IF(D248="","",D248*(1+D249))</f>
        <v>0</v>
      </c>
      <c r="F248" s="38">
        <f t="shared" si="111"/>
        <v>0</v>
      </c>
      <c r="G248" s="38">
        <f t="shared" si="111"/>
        <v>0</v>
      </c>
      <c r="H248" s="38">
        <f t="shared" si="111"/>
        <v>0</v>
      </c>
      <c r="I248" s="38">
        <f t="shared" si="111"/>
        <v>0</v>
      </c>
      <c r="J248" s="38">
        <f t="shared" si="111"/>
        <v>0</v>
      </c>
      <c r="K248" s="162"/>
      <c r="L248" s="36" t="s">
        <v>258</v>
      </c>
      <c r="M248" s="162"/>
      <c r="N248" s="616"/>
      <c r="O248" s="162"/>
      <c r="P248" s="162"/>
      <c r="Q248" s="162"/>
      <c r="R248" s="162"/>
      <c r="S248" s="162"/>
      <c r="T248" s="162"/>
      <c r="U248" s="641"/>
      <c r="V248" s="641"/>
      <c r="W248" s="641"/>
      <c r="X248" s="641"/>
      <c r="Y248" s="641"/>
      <c r="Z248" s="641"/>
      <c r="AA248" s="641"/>
    </row>
    <row r="249" spans="1:27" hidden="1" outlineLevel="1" x14ac:dyDescent="0.2">
      <c r="A249" s="162"/>
      <c r="B249" s="642"/>
      <c r="C249" s="11" t="s">
        <v>26</v>
      </c>
      <c r="D249" s="55"/>
      <c r="E249" s="55"/>
      <c r="F249" s="55"/>
      <c r="G249" s="55"/>
      <c r="H249" s="55"/>
      <c r="I249" s="55"/>
      <c r="J249" s="33"/>
      <c r="K249" s="162"/>
      <c r="L249" s="822"/>
      <c r="M249" s="823"/>
      <c r="N249" s="823"/>
      <c r="O249" s="823"/>
      <c r="P249" s="823"/>
      <c r="Q249" s="823"/>
      <c r="R249" s="823"/>
      <c r="S249" s="823"/>
      <c r="T249" s="823"/>
      <c r="U249" s="641"/>
      <c r="V249" s="641"/>
      <c r="W249" s="641"/>
      <c r="X249" s="641"/>
      <c r="Y249" s="641"/>
      <c r="Z249" s="641"/>
      <c r="AA249" s="641"/>
    </row>
    <row r="250" spans="1:27" hidden="1" outlineLevel="1" x14ac:dyDescent="0.2">
      <c r="A250" s="162"/>
      <c r="B250" s="642"/>
      <c r="C250" s="11" t="s">
        <v>33</v>
      </c>
      <c r="D250" s="55"/>
      <c r="E250" s="55"/>
      <c r="F250" s="55"/>
      <c r="G250" s="55"/>
      <c r="H250" s="55"/>
      <c r="I250" s="55"/>
      <c r="J250" s="55"/>
      <c r="K250" s="162"/>
      <c r="L250" s="822"/>
      <c r="M250" s="823"/>
      <c r="N250" s="823"/>
      <c r="O250" s="823"/>
      <c r="P250" s="823"/>
      <c r="Q250" s="823"/>
      <c r="R250" s="823"/>
      <c r="S250" s="823"/>
      <c r="T250" s="823"/>
      <c r="U250" s="641"/>
      <c r="V250" s="641"/>
      <c r="W250" s="641"/>
      <c r="X250" s="641"/>
      <c r="Y250" s="641"/>
      <c r="Z250" s="641"/>
      <c r="AA250" s="641"/>
    </row>
    <row r="251" spans="1:27" hidden="1" outlineLevel="1" x14ac:dyDescent="0.2">
      <c r="A251" s="162"/>
      <c r="B251" s="642"/>
      <c r="C251" s="65" t="str">
        <f>"Proportion " &amp; IF(MarketImpact=0,"affected by","affected") &amp; " the proposed medicine"</f>
        <v>Proportion affected the proposed medicine</v>
      </c>
      <c r="D251" s="55"/>
      <c r="E251" s="55"/>
      <c r="F251" s="55"/>
      <c r="G251" s="55"/>
      <c r="H251" s="55"/>
      <c r="I251" s="55"/>
      <c r="J251" s="55"/>
      <c r="K251" s="162"/>
      <c r="L251" s="822"/>
      <c r="M251" s="823"/>
      <c r="N251" s="823"/>
      <c r="O251" s="823"/>
      <c r="P251" s="823"/>
      <c r="Q251" s="823"/>
      <c r="R251" s="823"/>
      <c r="S251" s="823"/>
      <c r="T251" s="823"/>
      <c r="U251" s="641"/>
      <c r="V251" s="641"/>
      <c r="W251" s="641"/>
      <c r="X251" s="641"/>
      <c r="Y251" s="641"/>
      <c r="Z251" s="641"/>
      <c r="AA251" s="641"/>
    </row>
    <row r="252" spans="1:27" hidden="1" outlineLevel="1" x14ac:dyDescent="0.2">
      <c r="A252" s="638"/>
      <c r="B252" s="640"/>
      <c r="C252" s="13" t="s">
        <v>107</v>
      </c>
      <c r="D252" s="32">
        <f t="shared" ref="D252:J252" si="112">D254-D253</f>
        <v>0</v>
      </c>
      <c r="E252" s="32">
        <f t="shared" si="112"/>
        <v>0</v>
      </c>
      <c r="F252" s="32">
        <f t="shared" si="112"/>
        <v>0</v>
      </c>
      <c r="G252" s="32">
        <f t="shared" si="112"/>
        <v>0</v>
      </c>
      <c r="H252" s="32">
        <f t="shared" si="112"/>
        <v>0</v>
      </c>
      <c r="I252" s="32">
        <f t="shared" si="112"/>
        <v>0</v>
      </c>
      <c r="J252" s="32">
        <f t="shared" si="112"/>
        <v>0</v>
      </c>
      <c r="K252" s="638"/>
      <c r="L252" s="638"/>
      <c r="M252" s="638"/>
      <c r="N252" s="638"/>
      <c r="O252" s="638"/>
      <c r="P252" s="638"/>
      <c r="Q252" s="638"/>
      <c r="R252" s="638"/>
      <c r="S252" s="638"/>
      <c r="T252" s="638"/>
      <c r="U252" s="9"/>
      <c r="V252" s="9"/>
      <c r="W252" s="9"/>
      <c r="X252" s="9"/>
      <c r="Y252" s="9"/>
      <c r="Z252" s="9"/>
      <c r="AA252" s="9"/>
    </row>
    <row r="253" spans="1:27" hidden="1" outlineLevel="1" x14ac:dyDescent="0.2">
      <c r="A253" s="638"/>
      <c r="B253" s="640"/>
      <c r="C253" s="13" t="s">
        <v>108</v>
      </c>
      <c r="D253" s="32">
        <f t="shared" ref="D253:J253" si="113">IF($B246&lt;&gt;0,ROUND(D254*INDEX(ServiceSplitRPBS,$B246),0),0)</f>
        <v>0</v>
      </c>
      <c r="E253" s="32">
        <f t="shared" si="113"/>
        <v>0</v>
      </c>
      <c r="F253" s="32">
        <f t="shared" si="113"/>
        <v>0</v>
      </c>
      <c r="G253" s="32">
        <f t="shared" si="113"/>
        <v>0</v>
      </c>
      <c r="H253" s="32">
        <f t="shared" si="113"/>
        <v>0</v>
      </c>
      <c r="I253" s="32">
        <f t="shared" si="113"/>
        <v>0</v>
      </c>
      <c r="J253" s="32">
        <f t="shared" si="113"/>
        <v>0</v>
      </c>
      <c r="K253" s="638"/>
      <c r="L253" s="638"/>
      <c r="M253" s="638"/>
      <c r="N253" s="638"/>
      <c r="O253" s="638"/>
      <c r="P253" s="638"/>
      <c r="Q253" s="638"/>
      <c r="R253" s="638"/>
      <c r="S253" s="638"/>
      <c r="T253" s="638"/>
      <c r="U253" s="9"/>
      <c r="V253" s="9"/>
      <c r="W253" s="9"/>
      <c r="X253" s="9"/>
      <c r="Y253" s="9"/>
      <c r="Z253" s="9"/>
      <c r="AA253" s="9"/>
    </row>
    <row r="254" spans="1:27" hidden="1" outlineLevel="1" x14ac:dyDescent="0.2">
      <c r="A254" s="638"/>
      <c r="B254" s="640"/>
      <c r="C254" s="635" t="s">
        <v>844</v>
      </c>
      <c r="D254" s="35">
        <f t="shared" ref="D254:J254" si="114">IF(D248="","",D251*D250*D248)</f>
        <v>0</v>
      </c>
      <c r="E254" s="35">
        <f t="shared" si="114"/>
        <v>0</v>
      </c>
      <c r="F254" s="35">
        <f t="shared" si="114"/>
        <v>0</v>
      </c>
      <c r="G254" s="35">
        <f t="shared" si="114"/>
        <v>0</v>
      </c>
      <c r="H254" s="35">
        <f t="shared" si="114"/>
        <v>0</v>
      </c>
      <c r="I254" s="35">
        <f t="shared" si="114"/>
        <v>0</v>
      </c>
      <c r="J254" s="35">
        <f t="shared" si="114"/>
        <v>0</v>
      </c>
      <c r="K254" s="638"/>
      <c r="L254" s="638"/>
      <c r="M254" s="638"/>
      <c r="N254" s="638"/>
      <c r="O254" s="638"/>
      <c r="P254" s="638"/>
      <c r="Q254" s="638"/>
      <c r="R254" s="638"/>
      <c r="S254" s="638"/>
      <c r="T254" s="638"/>
      <c r="U254" s="9"/>
      <c r="V254" s="9"/>
      <c r="W254" s="9"/>
      <c r="X254" s="9"/>
      <c r="Y254" s="9"/>
      <c r="Z254" s="9"/>
      <c r="AA254" s="9"/>
    </row>
    <row r="255" spans="1:27" hidden="1" outlineLevel="1" x14ac:dyDescent="0.2">
      <c r="A255" s="162"/>
      <c r="B255" s="642"/>
      <c r="C255" s="162"/>
      <c r="D255" s="162"/>
      <c r="E255" s="162"/>
      <c r="F255" s="162"/>
      <c r="G255" s="162"/>
      <c r="H255" s="162"/>
      <c r="I255" s="162"/>
      <c r="J255" s="162"/>
      <c r="K255" s="162"/>
      <c r="L255" s="162"/>
      <c r="M255" s="162"/>
      <c r="N255" s="162"/>
      <c r="O255" s="162"/>
      <c r="P255" s="162"/>
      <c r="Q255" s="162"/>
      <c r="R255" s="162"/>
      <c r="S255" s="162"/>
      <c r="T255" s="162"/>
      <c r="U255" s="641"/>
      <c r="V255" s="641"/>
      <c r="W255" s="641"/>
      <c r="X255" s="641"/>
      <c r="Y255" s="641"/>
      <c r="Z255" s="641"/>
      <c r="AA255" s="641"/>
    </row>
    <row r="256" spans="1:27" collapsed="1" x14ac:dyDescent="0.2">
      <c r="A256" s="162"/>
      <c r="B256" s="642"/>
      <c r="C256" s="162"/>
      <c r="D256" s="162"/>
      <c r="E256" s="162"/>
      <c r="F256" s="162"/>
      <c r="G256" s="162"/>
      <c r="H256" s="162"/>
      <c r="I256" s="162"/>
      <c r="J256" s="162"/>
      <c r="K256" s="162"/>
      <c r="L256" s="162"/>
      <c r="M256" s="162"/>
      <c r="N256" s="162"/>
      <c r="O256" s="162"/>
      <c r="P256" s="162"/>
      <c r="Q256" s="162"/>
      <c r="R256" s="162"/>
      <c r="S256" s="162"/>
      <c r="T256" s="162"/>
      <c r="U256" s="641"/>
      <c r="V256" s="641"/>
      <c r="W256" s="641"/>
      <c r="X256" s="641"/>
      <c r="Y256" s="641"/>
      <c r="Z256" s="641"/>
      <c r="AA256" s="641"/>
    </row>
    <row r="257" spans="1:27" ht="15" x14ac:dyDescent="0.2">
      <c r="A257" s="131"/>
      <c r="B257" s="298">
        <v>14</v>
      </c>
      <c r="C257" s="147" t="str">
        <f>IF($I$97&lt;&gt;"",MsgNotUsed,INDEX(NamesOverallChanged,B257))</f>
        <v>** NOT USED **</v>
      </c>
      <c r="D257" s="139"/>
      <c r="E257" s="139"/>
      <c r="F257" s="139"/>
      <c r="G257" s="139"/>
      <c r="H257" s="133"/>
      <c r="I257" s="821" t="str">
        <f>IF(C257&lt;&gt;MsgNotUsed,"Co-payment group " &amp; INDEX(CoPayBandMS,B257),"")</f>
        <v/>
      </c>
      <c r="J257" s="821"/>
      <c r="K257" s="139"/>
      <c r="L257" s="139"/>
      <c r="M257" s="139"/>
      <c r="N257" s="139"/>
      <c r="O257" s="139"/>
      <c r="P257" s="139"/>
      <c r="Q257" s="139"/>
      <c r="R257" s="139"/>
      <c r="S257" s="139"/>
      <c r="T257" s="139"/>
      <c r="U257" s="26"/>
      <c r="V257" s="26"/>
      <c r="W257" s="26"/>
      <c r="X257" s="26"/>
      <c r="Y257" s="26"/>
      <c r="Z257" s="26"/>
      <c r="AA257" s="26"/>
    </row>
    <row r="258" spans="1:27" ht="15.75" hidden="1" outlineLevel="1" x14ac:dyDescent="0.2">
      <c r="A258" s="131"/>
      <c r="B258" s="71">
        <f>INDEX(CoPayBandMS,B257)</f>
        <v>0</v>
      </c>
      <c r="C258" s="655"/>
      <c r="D258" s="131"/>
      <c r="E258" s="131"/>
      <c r="F258" s="131"/>
      <c r="G258" s="131"/>
      <c r="H258" s="131"/>
      <c r="I258" s="131"/>
      <c r="J258" s="131"/>
      <c r="K258" s="131"/>
      <c r="L258" s="131"/>
      <c r="M258" s="131"/>
      <c r="N258" s="131"/>
      <c r="O258" s="131"/>
      <c r="P258" s="131"/>
      <c r="Q258" s="131"/>
      <c r="R258" s="131"/>
      <c r="S258" s="131"/>
      <c r="T258" s="131"/>
      <c r="U258" s="26"/>
      <c r="V258" s="26"/>
      <c r="W258" s="26"/>
      <c r="X258" s="26"/>
      <c r="Y258" s="26"/>
      <c r="Z258" s="26"/>
      <c r="AA258" s="26"/>
    </row>
    <row r="259" spans="1:27" ht="14.25" hidden="1" customHeight="1" outlineLevel="1" x14ac:dyDescent="0.2">
      <c r="A259" s="162"/>
      <c r="B259" s="642"/>
      <c r="C259" s="708"/>
      <c r="D259" s="64">
        <f>E259-1</f>
        <v>2020</v>
      </c>
      <c r="E259" s="64">
        <f>FirstYear</f>
        <v>2021</v>
      </c>
      <c r="F259" s="64">
        <f>E259+1</f>
        <v>2022</v>
      </c>
      <c r="G259" s="64">
        <f>F259+1</f>
        <v>2023</v>
      </c>
      <c r="H259" s="64">
        <f>G259+1</f>
        <v>2024</v>
      </c>
      <c r="I259" s="64">
        <f>H259+1</f>
        <v>2025</v>
      </c>
      <c r="J259" s="64">
        <f>I259+1</f>
        <v>2026</v>
      </c>
      <c r="K259" s="162"/>
      <c r="L259" s="616"/>
      <c r="M259" s="162"/>
      <c r="N259" s="162"/>
      <c r="O259" s="162"/>
      <c r="P259" s="162"/>
      <c r="Q259" s="162"/>
      <c r="R259" s="162"/>
      <c r="S259" s="162"/>
      <c r="T259" s="162"/>
      <c r="U259" s="641"/>
      <c r="V259" s="641"/>
      <c r="W259" s="641"/>
      <c r="X259" s="641"/>
      <c r="Y259" s="641"/>
      <c r="Z259" s="641"/>
      <c r="AA259" s="641"/>
    </row>
    <row r="260" spans="1:27" hidden="1" outlineLevel="1" x14ac:dyDescent="0.2">
      <c r="A260" s="162"/>
      <c r="B260" s="642"/>
      <c r="C260" s="4" t="s">
        <v>114</v>
      </c>
      <c r="D260" s="38">
        <f>IF($I$97="",-R63,0)</f>
        <v>0</v>
      </c>
      <c r="E260" s="38">
        <f t="shared" ref="E260:J260" si="115">IF(D260="","",D260*(1+D261))</f>
        <v>0</v>
      </c>
      <c r="F260" s="38">
        <f t="shared" si="115"/>
        <v>0</v>
      </c>
      <c r="G260" s="38">
        <f t="shared" si="115"/>
        <v>0</v>
      </c>
      <c r="H260" s="38">
        <f t="shared" si="115"/>
        <v>0</v>
      </c>
      <c r="I260" s="38">
        <f t="shared" si="115"/>
        <v>0</v>
      </c>
      <c r="J260" s="38">
        <f t="shared" si="115"/>
        <v>0</v>
      </c>
      <c r="K260" s="162"/>
      <c r="L260" s="36" t="s">
        <v>258</v>
      </c>
      <c r="M260" s="162"/>
      <c r="N260" s="616"/>
      <c r="O260" s="162"/>
      <c r="P260" s="162"/>
      <c r="Q260" s="162"/>
      <c r="R260" s="162"/>
      <c r="S260" s="162"/>
      <c r="T260" s="162"/>
      <c r="U260" s="641"/>
      <c r="V260" s="641"/>
      <c r="W260" s="641"/>
      <c r="X260" s="641"/>
      <c r="Y260" s="641"/>
      <c r="Z260" s="641"/>
      <c r="AA260" s="641"/>
    </row>
    <row r="261" spans="1:27" hidden="1" outlineLevel="1" x14ac:dyDescent="0.2">
      <c r="A261" s="162"/>
      <c r="B261" s="642"/>
      <c r="C261" s="11" t="s">
        <v>26</v>
      </c>
      <c r="D261" s="55"/>
      <c r="E261" s="55"/>
      <c r="F261" s="55"/>
      <c r="G261" s="55"/>
      <c r="H261" s="55"/>
      <c r="I261" s="55"/>
      <c r="J261" s="33"/>
      <c r="K261" s="162"/>
      <c r="L261" s="822"/>
      <c r="M261" s="823"/>
      <c r="N261" s="823"/>
      <c r="O261" s="823"/>
      <c r="P261" s="823"/>
      <c r="Q261" s="823"/>
      <c r="R261" s="823"/>
      <c r="S261" s="823"/>
      <c r="T261" s="823"/>
      <c r="U261" s="641"/>
      <c r="V261" s="641"/>
      <c r="W261" s="641"/>
      <c r="X261" s="641"/>
      <c r="Y261" s="641"/>
      <c r="Z261" s="641"/>
      <c r="AA261" s="641"/>
    </row>
    <row r="262" spans="1:27" hidden="1" outlineLevel="1" x14ac:dyDescent="0.2">
      <c r="A262" s="162"/>
      <c r="B262" s="642"/>
      <c r="C262" s="11" t="s">
        <v>33</v>
      </c>
      <c r="D262" s="55"/>
      <c r="E262" s="55"/>
      <c r="F262" s="55"/>
      <c r="G262" s="55"/>
      <c r="H262" s="55"/>
      <c r="I262" s="55"/>
      <c r="J262" s="55"/>
      <c r="K262" s="162"/>
      <c r="L262" s="822"/>
      <c r="M262" s="823"/>
      <c r="N262" s="823"/>
      <c r="O262" s="823"/>
      <c r="P262" s="823"/>
      <c r="Q262" s="823"/>
      <c r="R262" s="823"/>
      <c r="S262" s="823"/>
      <c r="T262" s="823"/>
      <c r="U262" s="641"/>
      <c r="V262" s="641"/>
      <c r="W262" s="641"/>
      <c r="X262" s="641"/>
      <c r="Y262" s="641"/>
      <c r="Z262" s="641"/>
      <c r="AA262" s="641"/>
    </row>
    <row r="263" spans="1:27" hidden="1" outlineLevel="1" x14ac:dyDescent="0.2">
      <c r="A263" s="162"/>
      <c r="B263" s="642"/>
      <c r="C263" s="65" t="str">
        <f>"Proportion " &amp; IF(MarketImpact=0,"affected by","affected") &amp; " the proposed medicine"</f>
        <v>Proportion affected the proposed medicine</v>
      </c>
      <c r="D263" s="55"/>
      <c r="E263" s="55"/>
      <c r="F263" s="55"/>
      <c r="G263" s="55"/>
      <c r="H263" s="55"/>
      <c r="I263" s="55"/>
      <c r="J263" s="55"/>
      <c r="K263" s="162"/>
      <c r="L263" s="822"/>
      <c r="M263" s="823"/>
      <c r="N263" s="823"/>
      <c r="O263" s="823"/>
      <c r="P263" s="823"/>
      <c r="Q263" s="823"/>
      <c r="R263" s="823"/>
      <c r="S263" s="823"/>
      <c r="T263" s="823"/>
      <c r="U263" s="641"/>
      <c r="V263" s="641"/>
      <c r="W263" s="641"/>
      <c r="X263" s="641"/>
      <c r="Y263" s="641"/>
      <c r="Z263" s="641"/>
      <c r="AA263" s="641"/>
    </row>
    <row r="264" spans="1:27" hidden="1" outlineLevel="1" x14ac:dyDescent="0.2">
      <c r="A264" s="638"/>
      <c r="B264" s="640"/>
      <c r="C264" s="13" t="s">
        <v>107</v>
      </c>
      <c r="D264" s="32">
        <f t="shared" ref="D264:J264" si="116">D266-D265</f>
        <v>0</v>
      </c>
      <c r="E264" s="32">
        <f t="shared" si="116"/>
        <v>0</v>
      </c>
      <c r="F264" s="32">
        <f t="shared" si="116"/>
        <v>0</v>
      </c>
      <c r="G264" s="32">
        <f t="shared" si="116"/>
        <v>0</v>
      </c>
      <c r="H264" s="32">
        <f t="shared" si="116"/>
        <v>0</v>
      </c>
      <c r="I264" s="32">
        <f t="shared" si="116"/>
        <v>0</v>
      </c>
      <c r="J264" s="32">
        <f t="shared" si="116"/>
        <v>0</v>
      </c>
      <c r="K264" s="638"/>
      <c r="L264" s="638"/>
      <c r="M264" s="638"/>
      <c r="N264" s="638"/>
      <c r="O264" s="638"/>
      <c r="P264" s="638"/>
      <c r="Q264" s="638"/>
      <c r="R264" s="638"/>
      <c r="S264" s="638"/>
      <c r="T264" s="638"/>
      <c r="U264" s="9"/>
      <c r="V264" s="9"/>
      <c r="W264" s="9"/>
      <c r="X264" s="9"/>
      <c r="Y264" s="9"/>
      <c r="Z264" s="9"/>
      <c r="AA264" s="9"/>
    </row>
    <row r="265" spans="1:27" hidden="1" outlineLevel="1" x14ac:dyDescent="0.2">
      <c r="A265" s="638"/>
      <c r="B265" s="640"/>
      <c r="C265" s="13" t="s">
        <v>108</v>
      </c>
      <c r="D265" s="32">
        <f t="shared" ref="D265:J265" si="117">IF($B258&lt;&gt;0,ROUND(D266*INDEX(ServiceSplitRPBS,$B258),0),0)</f>
        <v>0</v>
      </c>
      <c r="E265" s="32">
        <f t="shared" si="117"/>
        <v>0</v>
      </c>
      <c r="F265" s="32">
        <f t="shared" si="117"/>
        <v>0</v>
      </c>
      <c r="G265" s="32">
        <f t="shared" si="117"/>
        <v>0</v>
      </c>
      <c r="H265" s="32">
        <f t="shared" si="117"/>
        <v>0</v>
      </c>
      <c r="I265" s="32">
        <f t="shared" si="117"/>
        <v>0</v>
      </c>
      <c r="J265" s="32">
        <f t="shared" si="117"/>
        <v>0</v>
      </c>
      <c r="K265" s="638"/>
      <c r="L265" s="638"/>
      <c r="M265" s="638"/>
      <c r="N265" s="638"/>
      <c r="O265" s="638"/>
      <c r="P265" s="638"/>
      <c r="Q265" s="638"/>
      <c r="R265" s="638"/>
      <c r="S265" s="638"/>
      <c r="T265" s="638"/>
      <c r="U265" s="9"/>
      <c r="V265" s="9"/>
      <c r="W265" s="9"/>
      <c r="X265" s="9"/>
      <c r="Y265" s="9"/>
      <c r="Z265" s="9"/>
      <c r="AA265" s="9"/>
    </row>
    <row r="266" spans="1:27" hidden="1" outlineLevel="1" x14ac:dyDescent="0.2">
      <c r="A266" s="638"/>
      <c r="B266" s="640"/>
      <c r="C266" s="635" t="s">
        <v>844</v>
      </c>
      <c r="D266" s="35">
        <f t="shared" ref="D266:J266" si="118">IF(D260="","",D263*D262*D260)</f>
        <v>0</v>
      </c>
      <c r="E266" s="35">
        <f t="shared" si="118"/>
        <v>0</v>
      </c>
      <c r="F266" s="35">
        <f t="shared" si="118"/>
        <v>0</v>
      </c>
      <c r="G266" s="35">
        <f t="shared" si="118"/>
        <v>0</v>
      </c>
      <c r="H266" s="35">
        <f t="shared" si="118"/>
        <v>0</v>
      </c>
      <c r="I266" s="35">
        <f t="shared" si="118"/>
        <v>0</v>
      </c>
      <c r="J266" s="35">
        <f t="shared" si="118"/>
        <v>0</v>
      </c>
      <c r="K266" s="638"/>
      <c r="L266" s="638"/>
      <c r="M266" s="638"/>
      <c r="N266" s="638"/>
      <c r="O266" s="638"/>
      <c r="P266" s="638"/>
      <c r="Q266" s="638"/>
      <c r="R266" s="638"/>
      <c r="S266" s="638"/>
      <c r="T266" s="638"/>
      <c r="U266" s="9"/>
      <c r="V266" s="9"/>
      <c r="W266" s="9"/>
      <c r="X266" s="9"/>
      <c r="Y266" s="9"/>
      <c r="Z266" s="9"/>
      <c r="AA266" s="9"/>
    </row>
    <row r="267" spans="1:27" hidden="1" outlineLevel="1" x14ac:dyDescent="0.2">
      <c r="A267" s="162"/>
      <c r="B267" s="642"/>
      <c r="C267" s="162"/>
      <c r="D267" s="162"/>
      <c r="E267" s="162"/>
      <c r="F267" s="162"/>
      <c r="G267" s="162"/>
      <c r="H267" s="162"/>
      <c r="I267" s="162"/>
      <c r="J267" s="162"/>
      <c r="K267" s="162"/>
      <c r="L267" s="162"/>
      <c r="M267" s="162"/>
      <c r="N267" s="162"/>
      <c r="O267" s="162"/>
      <c r="P267" s="162"/>
      <c r="Q267" s="162"/>
      <c r="R267" s="162"/>
      <c r="S267" s="162"/>
      <c r="T267" s="162"/>
      <c r="U267" s="641"/>
      <c r="V267" s="641"/>
      <c r="W267" s="641"/>
      <c r="X267" s="641"/>
      <c r="Y267" s="641"/>
      <c r="Z267" s="641"/>
      <c r="AA267" s="641"/>
    </row>
    <row r="268" spans="1:27" collapsed="1" x14ac:dyDescent="0.2">
      <c r="A268" s="162"/>
      <c r="B268" s="642"/>
      <c r="C268" s="162"/>
      <c r="D268" s="162"/>
      <c r="E268" s="162"/>
      <c r="F268" s="162"/>
      <c r="G268" s="162"/>
      <c r="H268" s="162"/>
      <c r="I268" s="162"/>
      <c r="J268" s="162"/>
      <c r="K268" s="162"/>
      <c r="L268" s="162"/>
      <c r="M268" s="162"/>
      <c r="N268" s="162"/>
      <c r="O268" s="162"/>
      <c r="P268" s="162"/>
      <c r="Q268" s="162"/>
      <c r="R268" s="162"/>
      <c r="S268" s="162"/>
      <c r="T268" s="162"/>
      <c r="U268" s="641"/>
      <c r="V268" s="641"/>
      <c r="W268" s="641"/>
      <c r="X268" s="641"/>
      <c r="Y268" s="641"/>
      <c r="Z268" s="641"/>
      <c r="AA268" s="641"/>
    </row>
    <row r="269" spans="1:27" ht="15" x14ac:dyDescent="0.2">
      <c r="A269" s="131"/>
      <c r="B269" s="298">
        <v>15</v>
      </c>
      <c r="C269" s="147" t="str">
        <f>IF($I$97&lt;&gt;"",MsgNotUsed,INDEX(NamesOverallChanged,B269))</f>
        <v>** NOT USED **</v>
      </c>
      <c r="D269" s="139"/>
      <c r="E269" s="139"/>
      <c r="F269" s="139"/>
      <c r="G269" s="139"/>
      <c r="H269" s="133"/>
      <c r="I269" s="821" t="str">
        <f>IF(C269&lt;&gt;MsgNotUsed,"Co-payment group " &amp; INDEX(CoPayBandMS,B269),"")</f>
        <v/>
      </c>
      <c r="J269" s="821"/>
      <c r="K269" s="139"/>
      <c r="L269" s="139"/>
      <c r="M269" s="139"/>
      <c r="N269" s="139"/>
      <c r="O269" s="139"/>
      <c r="P269" s="139"/>
      <c r="Q269" s="139"/>
      <c r="R269" s="139"/>
      <c r="S269" s="139"/>
      <c r="T269" s="139"/>
      <c r="U269" s="26"/>
      <c r="V269" s="26"/>
      <c r="W269" s="26"/>
      <c r="X269" s="26"/>
      <c r="Y269" s="26"/>
      <c r="Z269" s="26"/>
      <c r="AA269" s="26"/>
    </row>
    <row r="270" spans="1:27" ht="15.75" hidden="1" outlineLevel="1" x14ac:dyDescent="0.2">
      <c r="A270" s="131"/>
      <c r="B270" s="71">
        <f>INDEX(CoPayBandMS,B269)</f>
        <v>0</v>
      </c>
      <c r="C270" s="655"/>
      <c r="D270" s="131"/>
      <c r="E270" s="131"/>
      <c r="F270" s="131"/>
      <c r="G270" s="131"/>
      <c r="H270" s="131"/>
      <c r="I270" s="131"/>
      <c r="J270" s="131"/>
      <c r="K270" s="131"/>
      <c r="L270" s="131"/>
      <c r="M270" s="131"/>
      <c r="N270" s="131"/>
      <c r="O270" s="131"/>
      <c r="P270" s="131"/>
      <c r="Q270" s="131"/>
      <c r="R270" s="131"/>
      <c r="S270" s="131"/>
      <c r="T270" s="131"/>
      <c r="U270" s="26"/>
      <c r="V270" s="26"/>
      <c r="W270" s="26"/>
      <c r="X270" s="26"/>
      <c r="Y270" s="26"/>
      <c r="Z270" s="26"/>
      <c r="AA270" s="26"/>
    </row>
    <row r="271" spans="1:27" ht="14.25" hidden="1" customHeight="1" outlineLevel="1" x14ac:dyDescent="0.2">
      <c r="A271" s="162"/>
      <c r="B271" s="642"/>
      <c r="C271" s="708"/>
      <c r="D271" s="64">
        <f>E271-1</f>
        <v>2020</v>
      </c>
      <c r="E271" s="64">
        <f>FirstYear</f>
        <v>2021</v>
      </c>
      <c r="F271" s="64">
        <f>E271+1</f>
        <v>2022</v>
      </c>
      <c r="G271" s="64">
        <f>F271+1</f>
        <v>2023</v>
      </c>
      <c r="H271" s="64">
        <f>G271+1</f>
        <v>2024</v>
      </c>
      <c r="I271" s="64">
        <f>H271+1</f>
        <v>2025</v>
      </c>
      <c r="J271" s="64">
        <f>I271+1</f>
        <v>2026</v>
      </c>
      <c r="K271" s="162"/>
      <c r="L271" s="616"/>
      <c r="M271" s="162"/>
      <c r="N271" s="162"/>
      <c r="O271" s="162"/>
      <c r="P271" s="162"/>
      <c r="Q271" s="162"/>
      <c r="R271" s="162"/>
      <c r="S271" s="162"/>
      <c r="T271" s="162"/>
      <c r="U271" s="641"/>
      <c r="V271" s="641"/>
      <c r="W271" s="641"/>
      <c r="X271" s="641"/>
      <c r="Y271" s="641"/>
      <c r="Z271" s="641"/>
      <c r="AA271" s="641"/>
    </row>
    <row r="272" spans="1:27" hidden="1" outlineLevel="1" x14ac:dyDescent="0.2">
      <c r="A272" s="162"/>
      <c r="B272" s="642"/>
      <c r="C272" s="4" t="s">
        <v>114</v>
      </c>
      <c r="D272" s="38">
        <f>IF($I$97="",-R64,0)</f>
        <v>0</v>
      </c>
      <c r="E272" s="38">
        <f t="shared" ref="E272:J272" si="119">IF(D272="","",D272*(1+D273))</f>
        <v>0</v>
      </c>
      <c r="F272" s="38">
        <f t="shared" si="119"/>
        <v>0</v>
      </c>
      <c r="G272" s="38">
        <f t="shared" si="119"/>
        <v>0</v>
      </c>
      <c r="H272" s="38">
        <f t="shared" si="119"/>
        <v>0</v>
      </c>
      <c r="I272" s="38">
        <f t="shared" si="119"/>
        <v>0</v>
      </c>
      <c r="J272" s="38">
        <f t="shared" si="119"/>
        <v>0</v>
      </c>
      <c r="K272" s="162"/>
      <c r="L272" s="36" t="s">
        <v>258</v>
      </c>
      <c r="M272" s="162"/>
      <c r="N272" s="616"/>
      <c r="O272" s="162"/>
      <c r="P272" s="162"/>
      <c r="Q272" s="162"/>
      <c r="R272" s="162"/>
      <c r="S272" s="162"/>
      <c r="T272" s="162"/>
      <c r="U272" s="641"/>
      <c r="V272" s="641"/>
      <c r="W272" s="641"/>
      <c r="X272" s="641"/>
      <c r="Y272" s="641"/>
      <c r="Z272" s="641"/>
      <c r="AA272" s="641"/>
    </row>
    <row r="273" spans="1:27" hidden="1" outlineLevel="1" x14ac:dyDescent="0.2">
      <c r="A273" s="162"/>
      <c r="B273" s="642"/>
      <c r="C273" s="11" t="s">
        <v>26</v>
      </c>
      <c r="D273" s="55"/>
      <c r="E273" s="55"/>
      <c r="F273" s="55"/>
      <c r="G273" s="55"/>
      <c r="H273" s="55"/>
      <c r="I273" s="55"/>
      <c r="J273" s="33"/>
      <c r="K273" s="162"/>
      <c r="L273" s="822"/>
      <c r="M273" s="823"/>
      <c r="N273" s="823"/>
      <c r="O273" s="823"/>
      <c r="P273" s="823"/>
      <c r="Q273" s="823"/>
      <c r="R273" s="823"/>
      <c r="S273" s="823"/>
      <c r="T273" s="823"/>
      <c r="U273" s="641"/>
      <c r="V273" s="641"/>
      <c r="W273" s="641"/>
      <c r="X273" s="641"/>
      <c r="Y273" s="641"/>
      <c r="Z273" s="641"/>
      <c r="AA273" s="641"/>
    </row>
    <row r="274" spans="1:27" hidden="1" outlineLevel="1" x14ac:dyDescent="0.2">
      <c r="A274" s="162"/>
      <c r="B274" s="642"/>
      <c r="C274" s="11" t="s">
        <v>33</v>
      </c>
      <c r="D274" s="55"/>
      <c r="E274" s="55"/>
      <c r="F274" s="55"/>
      <c r="G274" s="55"/>
      <c r="H274" s="55"/>
      <c r="I274" s="55"/>
      <c r="J274" s="55"/>
      <c r="K274" s="162"/>
      <c r="L274" s="822"/>
      <c r="M274" s="823"/>
      <c r="N274" s="823"/>
      <c r="O274" s="823"/>
      <c r="P274" s="823"/>
      <c r="Q274" s="823"/>
      <c r="R274" s="823"/>
      <c r="S274" s="823"/>
      <c r="T274" s="823"/>
      <c r="U274" s="641"/>
      <c r="V274" s="641"/>
      <c r="W274" s="641"/>
      <c r="X274" s="641"/>
      <c r="Y274" s="641"/>
      <c r="Z274" s="641"/>
      <c r="AA274" s="641"/>
    </row>
    <row r="275" spans="1:27" hidden="1" outlineLevel="1" x14ac:dyDescent="0.2">
      <c r="A275" s="162"/>
      <c r="B275" s="642"/>
      <c r="C275" s="65" t="str">
        <f>"Proportion " &amp; IF(MarketImpact=0,"affected by","affected") &amp; " the proposed medicine"</f>
        <v>Proportion affected the proposed medicine</v>
      </c>
      <c r="D275" s="55"/>
      <c r="E275" s="55"/>
      <c r="F275" s="55"/>
      <c r="G275" s="55"/>
      <c r="H275" s="55"/>
      <c r="I275" s="55"/>
      <c r="J275" s="55"/>
      <c r="K275" s="162"/>
      <c r="L275" s="822"/>
      <c r="M275" s="823"/>
      <c r="N275" s="823"/>
      <c r="O275" s="823"/>
      <c r="P275" s="823"/>
      <c r="Q275" s="823"/>
      <c r="R275" s="823"/>
      <c r="S275" s="823"/>
      <c r="T275" s="823"/>
      <c r="U275" s="641"/>
      <c r="V275" s="641"/>
      <c r="W275" s="641"/>
      <c r="X275" s="641"/>
      <c r="Y275" s="641"/>
      <c r="Z275" s="641"/>
      <c r="AA275" s="641"/>
    </row>
    <row r="276" spans="1:27" hidden="1" outlineLevel="1" x14ac:dyDescent="0.2">
      <c r="A276" s="638"/>
      <c r="B276" s="640"/>
      <c r="C276" s="13" t="s">
        <v>107</v>
      </c>
      <c r="D276" s="32">
        <f t="shared" ref="D276:J276" si="120">D278-D277</f>
        <v>0</v>
      </c>
      <c r="E276" s="32">
        <f t="shared" si="120"/>
        <v>0</v>
      </c>
      <c r="F276" s="32">
        <f t="shared" si="120"/>
        <v>0</v>
      </c>
      <c r="G276" s="32">
        <f t="shared" si="120"/>
        <v>0</v>
      </c>
      <c r="H276" s="32">
        <f t="shared" si="120"/>
        <v>0</v>
      </c>
      <c r="I276" s="32">
        <f t="shared" si="120"/>
        <v>0</v>
      </c>
      <c r="J276" s="32">
        <f t="shared" si="120"/>
        <v>0</v>
      </c>
      <c r="K276" s="638"/>
      <c r="L276" s="638"/>
      <c r="M276" s="638"/>
      <c r="N276" s="638"/>
      <c r="O276" s="638"/>
      <c r="P276" s="638"/>
      <c r="Q276" s="638"/>
      <c r="R276" s="638"/>
      <c r="S276" s="638"/>
      <c r="T276" s="638"/>
      <c r="U276" s="9"/>
      <c r="V276" s="9"/>
      <c r="W276" s="9"/>
      <c r="X276" s="9"/>
      <c r="Y276" s="9"/>
      <c r="Z276" s="9"/>
      <c r="AA276" s="9"/>
    </row>
    <row r="277" spans="1:27" hidden="1" outlineLevel="1" x14ac:dyDescent="0.2">
      <c r="A277" s="638"/>
      <c r="B277" s="640"/>
      <c r="C277" s="13" t="s">
        <v>108</v>
      </c>
      <c r="D277" s="32">
        <f t="shared" ref="D277:J277" si="121">IF($B270&lt;&gt;0,ROUND(D278*INDEX(ServiceSplitRPBS,$B270),0),0)</f>
        <v>0</v>
      </c>
      <c r="E277" s="32">
        <f t="shared" si="121"/>
        <v>0</v>
      </c>
      <c r="F277" s="32">
        <f t="shared" si="121"/>
        <v>0</v>
      </c>
      <c r="G277" s="32">
        <f t="shared" si="121"/>
        <v>0</v>
      </c>
      <c r="H277" s="32">
        <f t="shared" si="121"/>
        <v>0</v>
      </c>
      <c r="I277" s="32">
        <f t="shared" si="121"/>
        <v>0</v>
      </c>
      <c r="J277" s="32">
        <f t="shared" si="121"/>
        <v>0</v>
      </c>
      <c r="K277" s="638"/>
      <c r="L277" s="638"/>
      <c r="M277" s="638"/>
      <c r="N277" s="638"/>
      <c r="O277" s="638"/>
      <c r="P277" s="638"/>
      <c r="Q277" s="638"/>
      <c r="R277" s="638"/>
      <c r="S277" s="638"/>
      <c r="T277" s="638"/>
      <c r="U277" s="9"/>
      <c r="V277" s="9"/>
      <c r="W277" s="9"/>
      <c r="X277" s="9"/>
      <c r="Y277" s="9"/>
      <c r="Z277" s="9"/>
      <c r="AA277" s="9"/>
    </row>
    <row r="278" spans="1:27" hidden="1" outlineLevel="1" x14ac:dyDescent="0.2">
      <c r="A278" s="638"/>
      <c r="B278" s="640"/>
      <c r="C278" s="635" t="s">
        <v>844</v>
      </c>
      <c r="D278" s="35">
        <f t="shared" ref="D278:J278" si="122">IF(D272="","",D275*D274*D272)</f>
        <v>0</v>
      </c>
      <c r="E278" s="35">
        <f t="shared" si="122"/>
        <v>0</v>
      </c>
      <c r="F278" s="35">
        <f t="shared" si="122"/>
        <v>0</v>
      </c>
      <c r="G278" s="35">
        <f t="shared" si="122"/>
        <v>0</v>
      </c>
      <c r="H278" s="35">
        <f t="shared" si="122"/>
        <v>0</v>
      </c>
      <c r="I278" s="35">
        <f t="shared" si="122"/>
        <v>0</v>
      </c>
      <c r="J278" s="35">
        <f t="shared" si="122"/>
        <v>0</v>
      </c>
      <c r="K278" s="638"/>
      <c r="L278" s="638"/>
      <c r="M278" s="638"/>
      <c r="N278" s="638"/>
      <c r="O278" s="638"/>
      <c r="P278" s="638"/>
      <c r="Q278" s="638"/>
      <c r="R278" s="638"/>
      <c r="S278" s="638"/>
      <c r="T278" s="638"/>
      <c r="U278" s="9"/>
      <c r="V278" s="9"/>
      <c r="W278" s="9"/>
      <c r="X278" s="9"/>
      <c r="Y278" s="9"/>
      <c r="Z278" s="9"/>
      <c r="AA278" s="9"/>
    </row>
    <row r="279" spans="1:27" hidden="1" outlineLevel="1" x14ac:dyDescent="0.2">
      <c r="A279" s="162"/>
      <c r="B279" s="642"/>
      <c r="C279" s="162"/>
      <c r="D279" s="162"/>
      <c r="E279" s="162"/>
      <c r="F279" s="162"/>
      <c r="G279" s="162"/>
      <c r="H279" s="162"/>
      <c r="I279" s="162"/>
      <c r="J279" s="162"/>
      <c r="K279" s="162"/>
      <c r="L279" s="162"/>
      <c r="M279" s="162"/>
      <c r="N279" s="162"/>
      <c r="O279" s="162"/>
      <c r="P279" s="162"/>
      <c r="Q279" s="162"/>
      <c r="R279" s="162"/>
      <c r="S279" s="162"/>
      <c r="T279" s="162"/>
      <c r="U279" s="641"/>
      <c r="V279" s="641"/>
      <c r="W279" s="641"/>
      <c r="X279" s="641"/>
      <c r="Y279" s="641"/>
      <c r="Z279" s="641"/>
      <c r="AA279" s="641"/>
    </row>
    <row r="280" spans="1:27" collapsed="1" x14ac:dyDescent="0.2">
      <c r="A280" s="162"/>
      <c r="B280" s="642"/>
      <c r="C280" s="162"/>
      <c r="D280" s="162"/>
      <c r="E280" s="162"/>
      <c r="F280" s="162"/>
      <c r="G280" s="162"/>
      <c r="H280" s="162"/>
      <c r="I280" s="162"/>
      <c r="J280" s="162"/>
      <c r="K280" s="162"/>
      <c r="L280" s="162"/>
      <c r="M280" s="162"/>
      <c r="N280" s="162"/>
      <c r="O280" s="162"/>
      <c r="P280" s="162"/>
      <c r="Q280" s="162"/>
      <c r="R280" s="162"/>
      <c r="S280" s="162"/>
      <c r="T280" s="162"/>
      <c r="U280" s="641"/>
      <c r="V280" s="641"/>
      <c r="W280" s="641"/>
      <c r="X280" s="641"/>
      <c r="Y280" s="641"/>
      <c r="Z280" s="641"/>
      <c r="AA280" s="641"/>
    </row>
    <row r="281" spans="1:27" ht="15" x14ac:dyDescent="0.2">
      <c r="A281" s="131"/>
      <c r="B281" s="298">
        <v>16</v>
      </c>
      <c r="C281" s="147" t="str">
        <f>IF($I$97&lt;&gt;"",MsgNotUsed,INDEX(NamesOverallChanged,B281))</f>
        <v>** NOT USED **</v>
      </c>
      <c r="D281" s="139"/>
      <c r="E281" s="139"/>
      <c r="F281" s="139"/>
      <c r="G281" s="139"/>
      <c r="H281" s="133"/>
      <c r="I281" s="821" t="str">
        <f>IF(C281&lt;&gt;MsgNotUsed,"Co-payment group " &amp; INDEX(CoPayBandMS,B281),"")</f>
        <v/>
      </c>
      <c r="J281" s="821"/>
      <c r="K281" s="139"/>
      <c r="L281" s="139"/>
      <c r="M281" s="139"/>
      <c r="N281" s="139"/>
      <c r="O281" s="139"/>
      <c r="P281" s="139"/>
      <c r="Q281" s="139"/>
      <c r="R281" s="139"/>
      <c r="S281" s="139"/>
      <c r="T281" s="139"/>
      <c r="U281" s="26"/>
      <c r="V281" s="26"/>
      <c r="W281" s="26"/>
      <c r="X281" s="26"/>
      <c r="Y281" s="26"/>
      <c r="Z281" s="26"/>
      <c r="AA281" s="26"/>
    </row>
    <row r="282" spans="1:27" ht="15.75" hidden="1" outlineLevel="1" x14ac:dyDescent="0.2">
      <c r="A282" s="131"/>
      <c r="B282" s="71">
        <f>INDEX(CoPayBandMS,B281)</f>
        <v>0</v>
      </c>
      <c r="C282" s="655"/>
      <c r="D282" s="131"/>
      <c r="E282" s="131"/>
      <c r="F282" s="131"/>
      <c r="G282" s="131"/>
      <c r="H282" s="131"/>
      <c r="I282" s="131"/>
      <c r="J282" s="131"/>
      <c r="K282" s="131"/>
      <c r="L282" s="131"/>
      <c r="M282" s="131"/>
      <c r="N282" s="131"/>
      <c r="O282" s="131"/>
      <c r="P282" s="131"/>
      <c r="Q282" s="131"/>
      <c r="R282" s="131"/>
      <c r="S282" s="131"/>
      <c r="T282" s="131"/>
      <c r="U282" s="26"/>
      <c r="V282" s="26"/>
      <c r="W282" s="26"/>
      <c r="X282" s="26"/>
      <c r="Y282" s="26"/>
      <c r="Z282" s="26"/>
      <c r="AA282" s="26"/>
    </row>
    <row r="283" spans="1:27" ht="14.25" hidden="1" customHeight="1" outlineLevel="1" x14ac:dyDescent="0.2">
      <c r="A283" s="162"/>
      <c r="B283" s="642"/>
      <c r="C283" s="708"/>
      <c r="D283" s="64">
        <f>E283-1</f>
        <v>2020</v>
      </c>
      <c r="E283" s="64">
        <f>FirstYear</f>
        <v>2021</v>
      </c>
      <c r="F283" s="64">
        <f>E283+1</f>
        <v>2022</v>
      </c>
      <c r="G283" s="64">
        <f>F283+1</f>
        <v>2023</v>
      </c>
      <c r="H283" s="64">
        <f>G283+1</f>
        <v>2024</v>
      </c>
      <c r="I283" s="64">
        <f>H283+1</f>
        <v>2025</v>
      </c>
      <c r="J283" s="64">
        <f>I283+1</f>
        <v>2026</v>
      </c>
      <c r="K283" s="162"/>
      <c r="L283" s="616"/>
      <c r="M283" s="162"/>
      <c r="N283" s="162"/>
      <c r="O283" s="162"/>
      <c r="P283" s="162"/>
      <c r="Q283" s="162"/>
      <c r="R283" s="162"/>
      <c r="S283" s="162"/>
      <c r="T283" s="162"/>
      <c r="U283" s="641"/>
      <c r="V283" s="641"/>
      <c r="W283" s="641"/>
      <c r="X283" s="641"/>
      <c r="Y283" s="641"/>
      <c r="Z283" s="641"/>
      <c r="AA283" s="641"/>
    </row>
    <row r="284" spans="1:27" hidden="1" outlineLevel="1" x14ac:dyDescent="0.2">
      <c r="A284" s="162"/>
      <c r="B284" s="642"/>
      <c r="C284" s="4" t="s">
        <v>114</v>
      </c>
      <c r="D284" s="38">
        <f>IF($I$97="",-R65,0)</f>
        <v>0</v>
      </c>
      <c r="E284" s="38">
        <f t="shared" ref="E284:J284" si="123">IF(D284="","",D284*(1+D285))</f>
        <v>0</v>
      </c>
      <c r="F284" s="38">
        <f t="shared" si="123"/>
        <v>0</v>
      </c>
      <c r="G284" s="38">
        <f t="shared" si="123"/>
        <v>0</v>
      </c>
      <c r="H284" s="38">
        <f t="shared" si="123"/>
        <v>0</v>
      </c>
      <c r="I284" s="38">
        <f t="shared" si="123"/>
        <v>0</v>
      </c>
      <c r="J284" s="38">
        <f t="shared" si="123"/>
        <v>0</v>
      </c>
      <c r="K284" s="162"/>
      <c r="L284" s="36" t="s">
        <v>258</v>
      </c>
      <c r="M284" s="162"/>
      <c r="N284" s="616"/>
      <c r="O284" s="162"/>
      <c r="P284" s="162"/>
      <c r="Q284" s="162"/>
      <c r="R284" s="162"/>
      <c r="S284" s="162"/>
      <c r="T284" s="162"/>
      <c r="U284" s="641"/>
      <c r="V284" s="641"/>
      <c r="W284" s="641"/>
      <c r="X284" s="641"/>
      <c r="Y284" s="641"/>
      <c r="Z284" s="641"/>
      <c r="AA284" s="641"/>
    </row>
    <row r="285" spans="1:27" hidden="1" outlineLevel="1" x14ac:dyDescent="0.2">
      <c r="A285" s="162"/>
      <c r="B285" s="642"/>
      <c r="C285" s="11" t="s">
        <v>26</v>
      </c>
      <c r="D285" s="55"/>
      <c r="E285" s="55"/>
      <c r="F285" s="55"/>
      <c r="G285" s="55"/>
      <c r="H285" s="55"/>
      <c r="I285" s="55"/>
      <c r="J285" s="33"/>
      <c r="K285" s="162"/>
      <c r="L285" s="822"/>
      <c r="M285" s="823"/>
      <c r="N285" s="823"/>
      <c r="O285" s="823"/>
      <c r="P285" s="823"/>
      <c r="Q285" s="823"/>
      <c r="R285" s="823"/>
      <c r="S285" s="823"/>
      <c r="T285" s="823"/>
      <c r="U285" s="641"/>
      <c r="V285" s="641"/>
      <c r="W285" s="641"/>
      <c r="X285" s="641"/>
      <c r="Y285" s="641"/>
      <c r="Z285" s="641"/>
      <c r="AA285" s="641"/>
    </row>
    <row r="286" spans="1:27" hidden="1" outlineLevel="1" x14ac:dyDescent="0.2">
      <c r="A286" s="162"/>
      <c r="B286" s="642"/>
      <c r="C286" s="11" t="s">
        <v>33</v>
      </c>
      <c r="D286" s="55"/>
      <c r="E286" s="55"/>
      <c r="F286" s="55"/>
      <c r="G286" s="55"/>
      <c r="H286" s="55"/>
      <c r="I286" s="55"/>
      <c r="J286" s="55"/>
      <c r="K286" s="162"/>
      <c r="L286" s="822"/>
      <c r="M286" s="823"/>
      <c r="N286" s="823"/>
      <c r="O286" s="823"/>
      <c r="P286" s="823"/>
      <c r="Q286" s="823"/>
      <c r="R286" s="823"/>
      <c r="S286" s="823"/>
      <c r="T286" s="823"/>
      <c r="U286" s="641"/>
      <c r="V286" s="641"/>
      <c r="W286" s="641"/>
      <c r="X286" s="641"/>
      <c r="Y286" s="641"/>
      <c r="Z286" s="641"/>
      <c r="AA286" s="641"/>
    </row>
    <row r="287" spans="1:27" hidden="1" outlineLevel="1" x14ac:dyDescent="0.2">
      <c r="A287" s="162"/>
      <c r="B287" s="642"/>
      <c r="C287" s="65" t="str">
        <f>"Proportion " &amp; IF(MarketImpact=0,"affected by","affected") &amp; " the proposed medicine"</f>
        <v>Proportion affected the proposed medicine</v>
      </c>
      <c r="D287" s="55"/>
      <c r="E287" s="55"/>
      <c r="F287" s="55"/>
      <c r="G287" s="55"/>
      <c r="H287" s="55"/>
      <c r="I287" s="55"/>
      <c r="J287" s="55"/>
      <c r="K287" s="162"/>
      <c r="L287" s="822"/>
      <c r="M287" s="823"/>
      <c r="N287" s="823"/>
      <c r="O287" s="823"/>
      <c r="P287" s="823"/>
      <c r="Q287" s="823"/>
      <c r="R287" s="823"/>
      <c r="S287" s="823"/>
      <c r="T287" s="823"/>
      <c r="U287" s="641"/>
      <c r="V287" s="641"/>
      <c r="W287" s="641"/>
      <c r="X287" s="641"/>
      <c r="Y287" s="641"/>
      <c r="Z287" s="641"/>
      <c r="AA287" s="641"/>
    </row>
    <row r="288" spans="1:27" hidden="1" outlineLevel="1" x14ac:dyDescent="0.2">
      <c r="A288" s="638"/>
      <c r="B288" s="640"/>
      <c r="C288" s="13" t="s">
        <v>107</v>
      </c>
      <c r="D288" s="32">
        <f t="shared" ref="D288:J288" si="124">D290-D289</f>
        <v>0</v>
      </c>
      <c r="E288" s="32">
        <f t="shared" si="124"/>
        <v>0</v>
      </c>
      <c r="F288" s="32">
        <f t="shared" si="124"/>
        <v>0</v>
      </c>
      <c r="G288" s="32">
        <f t="shared" si="124"/>
        <v>0</v>
      </c>
      <c r="H288" s="32">
        <f t="shared" si="124"/>
        <v>0</v>
      </c>
      <c r="I288" s="32">
        <f t="shared" si="124"/>
        <v>0</v>
      </c>
      <c r="J288" s="32">
        <f t="shared" si="124"/>
        <v>0</v>
      </c>
      <c r="K288" s="638"/>
      <c r="L288" s="638"/>
      <c r="M288" s="638"/>
      <c r="N288" s="638"/>
      <c r="O288" s="638"/>
      <c r="P288" s="638"/>
      <c r="Q288" s="638"/>
      <c r="R288" s="638"/>
      <c r="S288" s="638"/>
      <c r="T288" s="638"/>
      <c r="U288" s="9"/>
      <c r="V288" s="9"/>
      <c r="W288" s="9"/>
      <c r="X288" s="9"/>
      <c r="Y288" s="9"/>
      <c r="Z288" s="9"/>
      <c r="AA288" s="9"/>
    </row>
    <row r="289" spans="1:27" hidden="1" outlineLevel="1" x14ac:dyDescent="0.2">
      <c r="A289" s="638"/>
      <c r="B289" s="640"/>
      <c r="C289" s="13" t="s">
        <v>108</v>
      </c>
      <c r="D289" s="32">
        <f t="shared" ref="D289:J289" si="125">IF($B282&lt;&gt;0,ROUND(D290*INDEX(ServiceSplitRPBS,$B282),0),0)</f>
        <v>0</v>
      </c>
      <c r="E289" s="32">
        <f t="shared" si="125"/>
        <v>0</v>
      </c>
      <c r="F289" s="32">
        <f t="shared" si="125"/>
        <v>0</v>
      </c>
      <c r="G289" s="32">
        <f t="shared" si="125"/>
        <v>0</v>
      </c>
      <c r="H289" s="32">
        <f t="shared" si="125"/>
        <v>0</v>
      </c>
      <c r="I289" s="32">
        <f t="shared" si="125"/>
        <v>0</v>
      </c>
      <c r="J289" s="32">
        <f t="shared" si="125"/>
        <v>0</v>
      </c>
      <c r="K289" s="638"/>
      <c r="L289" s="638"/>
      <c r="M289" s="638"/>
      <c r="N289" s="638"/>
      <c r="O289" s="638"/>
      <c r="P289" s="638"/>
      <c r="Q289" s="638"/>
      <c r="R289" s="638"/>
      <c r="S289" s="638"/>
      <c r="T289" s="638"/>
      <c r="U289" s="9"/>
      <c r="V289" s="9"/>
      <c r="W289" s="9"/>
      <c r="X289" s="9"/>
      <c r="Y289" s="9"/>
      <c r="Z289" s="9"/>
      <c r="AA289" s="9"/>
    </row>
    <row r="290" spans="1:27" hidden="1" outlineLevel="1" x14ac:dyDescent="0.2">
      <c r="A290" s="638"/>
      <c r="B290" s="640"/>
      <c r="C290" s="635" t="s">
        <v>844</v>
      </c>
      <c r="D290" s="35">
        <f t="shared" ref="D290:J290" si="126">IF(D284="","",D287*D286*D284)</f>
        <v>0</v>
      </c>
      <c r="E290" s="35">
        <f t="shared" si="126"/>
        <v>0</v>
      </c>
      <c r="F290" s="35">
        <f t="shared" si="126"/>
        <v>0</v>
      </c>
      <c r="G290" s="35">
        <f t="shared" si="126"/>
        <v>0</v>
      </c>
      <c r="H290" s="35">
        <f t="shared" si="126"/>
        <v>0</v>
      </c>
      <c r="I290" s="35">
        <f t="shared" si="126"/>
        <v>0</v>
      </c>
      <c r="J290" s="35">
        <f t="shared" si="126"/>
        <v>0</v>
      </c>
      <c r="K290" s="638"/>
      <c r="L290" s="638"/>
      <c r="M290" s="638"/>
      <c r="N290" s="638"/>
      <c r="O290" s="638"/>
      <c r="P290" s="638"/>
      <c r="Q290" s="638"/>
      <c r="R290" s="638"/>
      <c r="S290" s="638"/>
      <c r="T290" s="638"/>
      <c r="U290" s="9"/>
      <c r="V290" s="9"/>
      <c r="W290" s="9"/>
      <c r="X290" s="9"/>
      <c r="Y290" s="9"/>
      <c r="Z290" s="9"/>
      <c r="AA290" s="9"/>
    </row>
    <row r="291" spans="1:27" hidden="1" outlineLevel="1" x14ac:dyDescent="0.2">
      <c r="A291" s="162"/>
      <c r="B291" s="642"/>
      <c r="C291" s="162"/>
      <c r="D291" s="162"/>
      <c r="E291" s="162"/>
      <c r="F291" s="162"/>
      <c r="G291" s="162"/>
      <c r="H291" s="162"/>
      <c r="I291" s="162"/>
      <c r="J291" s="162"/>
      <c r="K291" s="162"/>
      <c r="L291" s="162"/>
      <c r="M291" s="162"/>
      <c r="N291" s="162"/>
      <c r="O291" s="162"/>
      <c r="P291" s="162"/>
      <c r="Q291" s="162"/>
      <c r="R291" s="162"/>
      <c r="S291" s="162"/>
      <c r="T291" s="162"/>
      <c r="U291" s="641"/>
      <c r="V291" s="641"/>
      <c r="W291" s="641"/>
      <c r="X291" s="641"/>
      <c r="Y291" s="641"/>
      <c r="Z291" s="641"/>
      <c r="AA291" s="641"/>
    </row>
    <row r="292" spans="1:27" collapsed="1" x14ac:dyDescent="0.2">
      <c r="A292" s="162"/>
      <c r="B292" s="642"/>
      <c r="C292" s="162"/>
      <c r="D292" s="162"/>
      <c r="E292" s="162"/>
      <c r="F292" s="162"/>
      <c r="G292" s="162"/>
      <c r="H292" s="162"/>
      <c r="I292" s="162"/>
      <c r="J292" s="162"/>
      <c r="K292" s="162"/>
      <c r="L292" s="162"/>
      <c r="M292" s="162"/>
      <c r="N292" s="162"/>
      <c r="O292" s="162"/>
      <c r="P292" s="162"/>
      <c r="Q292" s="162"/>
      <c r="R292" s="162"/>
      <c r="S292" s="162"/>
      <c r="T292" s="162"/>
      <c r="U292" s="641"/>
      <c r="V292" s="641"/>
      <c r="W292" s="641"/>
      <c r="X292" s="641"/>
      <c r="Y292" s="641"/>
      <c r="Z292" s="641"/>
      <c r="AA292" s="641"/>
    </row>
    <row r="293" spans="1:27" ht="15" x14ac:dyDescent="0.2">
      <c r="A293" s="131"/>
      <c r="B293" s="298">
        <v>17</v>
      </c>
      <c r="C293" s="147" t="str">
        <f>IF($I$97&lt;&gt;"",MsgNotUsed,INDEX(NamesOverallChanged,B293))</f>
        <v>** NOT USED **</v>
      </c>
      <c r="D293" s="139"/>
      <c r="E293" s="139"/>
      <c r="F293" s="139"/>
      <c r="G293" s="139"/>
      <c r="H293" s="133"/>
      <c r="I293" s="821" t="str">
        <f>IF(C293&lt;&gt;MsgNotUsed,"Co-payment group " &amp; INDEX(CoPayBandMS,B293),"")</f>
        <v/>
      </c>
      <c r="J293" s="821"/>
      <c r="K293" s="139"/>
      <c r="L293" s="139"/>
      <c r="M293" s="139"/>
      <c r="N293" s="139"/>
      <c r="O293" s="139"/>
      <c r="P293" s="139"/>
      <c r="Q293" s="139"/>
      <c r="R293" s="139"/>
      <c r="S293" s="139"/>
      <c r="T293" s="139"/>
      <c r="U293" s="26"/>
      <c r="V293" s="26"/>
      <c r="W293" s="26"/>
      <c r="X293" s="26"/>
      <c r="Y293" s="26"/>
      <c r="Z293" s="26"/>
      <c r="AA293" s="26"/>
    </row>
    <row r="294" spans="1:27" ht="15.75" hidden="1" outlineLevel="1" x14ac:dyDescent="0.2">
      <c r="A294" s="131"/>
      <c r="B294" s="71">
        <f>INDEX(CoPayBandMS,B293)</f>
        <v>0</v>
      </c>
      <c r="C294" s="655"/>
      <c r="D294" s="131"/>
      <c r="E294" s="131"/>
      <c r="F294" s="131"/>
      <c r="G294" s="131"/>
      <c r="H294" s="131"/>
      <c r="I294" s="131"/>
      <c r="J294" s="131"/>
      <c r="K294" s="131"/>
      <c r="L294" s="131"/>
      <c r="M294" s="131"/>
      <c r="N294" s="131"/>
      <c r="O294" s="131"/>
      <c r="P294" s="131"/>
      <c r="Q294" s="131"/>
      <c r="R294" s="131"/>
      <c r="S294" s="131"/>
      <c r="T294" s="131"/>
      <c r="U294" s="26"/>
      <c r="V294" s="26"/>
      <c r="W294" s="26"/>
      <c r="X294" s="26"/>
      <c r="Y294" s="26"/>
      <c r="Z294" s="26"/>
      <c r="AA294" s="26"/>
    </row>
    <row r="295" spans="1:27" ht="14.25" hidden="1" customHeight="1" outlineLevel="1" x14ac:dyDescent="0.2">
      <c r="A295" s="162"/>
      <c r="B295" s="642"/>
      <c r="C295" s="708"/>
      <c r="D295" s="64">
        <f>E295-1</f>
        <v>2020</v>
      </c>
      <c r="E295" s="64">
        <f>FirstYear</f>
        <v>2021</v>
      </c>
      <c r="F295" s="64">
        <f>E295+1</f>
        <v>2022</v>
      </c>
      <c r="G295" s="64">
        <f>F295+1</f>
        <v>2023</v>
      </c>
      <c r="H295" s="64">
        <f>G295+1</f>
        <v>2024</v>
      </c>
      <c r="I295" s="64">
        <f>H295+1</f>
        <v>2025</v>
      </c>
      <c r="J295" s="64">
        <f>I295+1</f>
        <v>2026</v>
      </c>
      <c r="K295" s="162"/>
      <c r="L295" s="616"/>
      <c r="M295" s="162"/>
      <c r="N295" s="162"/>
      <c r="O295" s="162"/>
      <c r="P295" s="162"/>
      <c r="Q295" s="162"/>
      <c r="R295" s="162"/>
      <c r="S295" s="162"/>
      <c r="T295" s="162"/>
      <c r="U295" s="641"/>
      <c r="V295" s="641"/>
      <c r="W295" s="641"/>
      <c r="X295" s="641"/>
      <c r="Y295" s="641"/>
      <c r="Z295" s="641"/>
      <c r="AA295" s="641"/>
    </row>
    <row r="296" spans="1:27" hidden="1" outlineLevel="1" x14ac:dyDescent="0.2">
      <c r="A296" s="162"/>
      <c r="B296" s="642"/>
      <c r="C296" s="4" t="s">
        <v>114</v>
      </c>
      <c r="D296" s="38">
        <f>IF($I$97="",-R66,0)</f>
        <v>0</v>
      </c>
      <c r="E296" s="38">
        <f t="shared" ref="E296:J296" si="127">IF(D296="","",D296*(1+D297))</f>
        <v>0</v>
      </c>
      <c r="F296" s="38">
        <f t="shared" si="127"/>
        <v>0</v>
      </c>
      <c r="G296" s="38">
        <f t="shared" si="127"/>
        <v>0</v>
      </c>
      <c r="H296" s="38">
        <f t="shared" si="127"/>
        <v>0</v>
      </c>
      <c r="I296" s="38">
        <f t="shared" si="127"/>
        <v>0</v>
      </c>
      <c r="J296" s="38">
        <f t="shared" si="127"/>
        <v>0</v>
      </c>
      <c r="K296" s="162"/>
      <c r="L296" s="36" t="s">
        <v>258</v>
      </c>
      <c r="M296" s="162"/>
      <c r="N296" s="616"/>
      <c r="O296" s="162"/>
      <c r="P296" s="162"/>
      <c r="Q296" s="162"/>
      <c r="R296" s="162"/>
      <c r="S296" s="162"/>
      <c r="T296" s="162"/>
      <c r="U296" s="641"/>
      <c r="V296" s="641"/>
      <c r="W296" s="641"/>
      <c r="X296" s="641"/>
      <c r="Y296" s="641"/>
      <c r="Z296" s="641"/>
      <c r="AA296" s="641"/>
    </row>
    <row r="297" spans="1:27" hidden="1" outlineLevel="1" x14ac:dyDescent="0.2">
      <c r="A297" s="162"/>
      <c r="B297" s="642"/>
      <c r="C297" s="11" t="s">
        <v>26</v>
      </c>
      <c r="D297" s="55"/>
      <c r="E297" s="55"/>
      <c r="F297" s="55"/>
      <c r="G297" s="55"/>
      <c r="H297" s="55"/>
      <c r="I297" s="55"/>
      <c r="J297" s="33"/>
      <c r="K297" s="162"/>
      <c r="L297" s="822"/>
      <c r="M297" s="823"/>
      <c r="N297" s="823"/>
      <c r="O297" s="823"/>
      <c r="P297" s="823"/>
      <c r="Q297" s="823"/>
      <c r="R297" s="823"/>
      <c r="S297" s="823"/>
      <c r="T297" s="823"/>
      <c r="U297" s="641"/>
      <c r="V297" s="641"/>
      <c r="W297" s="641"/>
      <c r="X297" s="641"/>
      <c r="Y297" s="641"/>
      <c r="Z297" s="641"/>
      <c r="AA297" s="641"/>
    </row>
    <row r="298" spans="1:27" hidden="1" outlineLevel="1" x14ac:dyDescent="0.2">
      <c r="A298" s="162"/>
      <c r="B298" s="642"/>
      <c r="C298" s="11" t="s">
        <v>33</v>
      </c>
      <c r="D298" s="55"/>
      <c r="E298" s="55"/>
      <c r="F298" s="55"/>
      <c r="G298" s="55"/>
      <c r="H298" s="55"/>
      <c r="I298" s="55"/>
      <c r="J298" s="55"/>
      <c r="K298" s="162"/>
      <c r="L298" s="822"/>
      <c r="M298" s="823"/>
      <c r="N298" s="823"/>
      <c r="O298" s="823"/>
      <c r="P298" s="823"/>
      <c r="Q298" s="823"/>
      <c r="R298" s="823"/>
      <c r="S298" s="823"/>
      <c r="T298" s="823"/>
      <c r="U298" s="641"/>
      <c r="V298" s="641"/>
      <c r="W298" s="641"/>
      <c r="X298" s="641"/>
      <c r="Y298" s="641"/>
      <c r="Z298" s="641"/>
      <c r="AA298" s="641"/>
    </row>
    <row r="299" spans="1:27" hidden="1" outlineLevel="1" x14ac:dyDescent="0.2">
      <c r="A299" s="162"/>
      <c r="B299" s="642"/>
      <c r="C299" s="65" t="str">
        <f>"Proportion " &amp; IF(MarketImpact=0,"affected by","affected") &amp; " the proposed medicine"</f>
        <v>Proportion affected the proposed medicine</v>
      </c>
      <c r="D299" s="55"/>
      <c r="E299" s="55"/>
      <c r="F299" s="55"/>
      <c r="G299" s="55"/>
      <c r="H299" s="55"/>
      <c r="I299" s="55"/>
      <c r="J299" s="55"/>
      <c r="K299" s="162"/>
      <c r="L299" s="822"/>
      <c r="M299" s="823"/>
      <c r="N299" s="823"/>
      <c r="O299" s="823"/>
      <c r="P299" s="823"/>
      <c r="Q299" s="823"/>
      <c r="R299" s="823"/>
      <c r="S299" s="823"/>
      <c r="T299" s="823"/>
      <c r="U299" s="641"/>
      <c r="V299" s="641"/>
      <c r="W299" s="641"/>
      <c r="X299" s="641"/>
      <c r="Y299" s="641"/>
      <c r="Z299" s="641"/>
      <c r="AA299" s="641"/>
    </row>
    <row r="300" spans="1:27" hidden="1" outlineLevel="1" x14ac:dyDescent="0.2">
      <c r="A300" s="638"/>
      <c r="B300" s="640"/>
      <c r="C300" s="13" t="s">
        <v>107</v>
      </c>
      <c r="D300" s="32">
        <f t="shared" ref="D300:J300" si="128">D302-D301</f>
        <v>0</v>
      </c>
      <c r="E300" s="32">
        <f t="shared" si="128"/>
        <v>0</v>
      </c>
      <c r="F300" s="32">
        <f t="shared" si="128"/>
        <v>0</v>
      </c>
      <c r="G300" s="32">
        <f t="shared" si="128"/>
        <v>0</v>
      </c>
      <c r="H300" s="32">
        <f t="shared" si="128"/>
        <v>0</v>
      </c>
      <c r="I300" s="32">
        <f t="shared" si="128"/>
        <v>0</v>
      </c>
      <c r="J300" s="32">
        <f t="shared" si="128"/>
        <v>0</v>
      </c>
      <c r="K300" s="638"/>
      <c r="L300" s="638"/>
      <c r="M300" s="638"/>
      <c r="N300" s="638"/>
      <c r="O300" s="638"/>
      <c r="P300" s="638"/>
      <c r="Q300" s="638"/>
      <c r="R300" s="638"/>
      <c r="S300" s="638"/>
      <c r="T300" s="638"/>
      <c r="U300" s="9"/>
      <c r="V300" s="9"/>
      <c r="W300" s="9"/>
      <c r="X300" s="9"/>
      <c r="Y300" s="9"/>
      <c r="Z300" s="9"/>
      <c r="AA300" s="9"/>
    </row>
    <row r="301" spans="1:27" hidden="1" outlineLevel="1" x14ac:dyDescent="0.2">
      <c r="A301" s="638"/>
      <c r="B301" s="640"/>
      <c r="C301" s="13" t="s">
        <v>108</v>
      </c>
      <c r="D301" s="32">
        <f t="shared" ref="D301:J301" si="129">IF($B294&lt;&gt;0,ROUND(D302*INDEX(ServiceSplitRPBS,$B294),0),0)</f>
        <v>0</v>
      </c>
      <c r="E301" s="32">
        <f t="shared" si="129"/>
        <v>0</v>
      </c>
      <c r="F301" s="32">
        <f t="shared" si="129"/>
        <v>0</v>
      </c>
      <c r="G301" s="32">
        <f t="shared" si="129"/>
        <v>0</v>
      </c>
      <c r="H301" s="32">
        <f t="shared" si="129"/>
        <v>0</v>
      </c>
      <c r="I301" s="32">
        <f t="shared" si="129"/>
        <v>0</v>
      </c>
      <c r="J301" s="32">
        <f t="shared" si="129"/>
        <v>0</v>
      </c>
      <c r="K301" s="638"/>
      <c r="L301" s="638"/>
      <c r="M301" s="638"/>
      <c r="N301" s="638"/>
      <c r="O301" s="638"/>
      <c r="P301" s="638"/>
      <c r="Q301" s="638"/>
      <c r="R301" s="638"/>
      <c r="S301" s="638"/>
      <c r="T301" s="638"/>
      <c r="U301" s="9"/>
      <c r="V301" s="9"/>
      <c r="W301" s="9"/>
      <c r="X301" s="9"/>
      <c r="Y301" s="9"/>
      <c r="Z301" s="9"/>
      <c r="AA301" s="9"/>
    </row>
    <row r="302" spans="1:27" hidden="1" outlineLevel="1" x14ac:dyDescent="0.2">
      <c r="A302" s="638"/>
      <c r="B302" s="640"/>
      <c r="C302" s="635" t="s">
        <v>844</v>
      </c>
      <c r="D302" s="35">
        <f t="shared" ref="D302:J302" si="130">IF(D296="","",D299*D298*D296)</f>
        <v>0</v>
      </c>
      <c r="E302" s="35">
        <f t="shared" si="130"/>
        <v>0</v>
      </c>
      <c r="F302" s="35">
        <f t="shared" si="130"/>
        <v>0</v>
      </c>
      <c r="G302" s="35">
        <f t="shared" si="130"/>
        <v>0</v>
      </c>
      <c r="H302" s="35">
        <f t="shared" si="130"/>
        <v>0</v>
      </c>
      <c r="I302" s="35">
        <f t="shared" si="130"/>
        <v>0</v>
      </c>
      <c r="J302" s="35">
        <f t="shared" si="130"/>
        <v>0</v>
      </c>
      <c r="K302" s="638"/>
      <c r="L302" s="638"/>
      <c r="M302" s="638"/>
      <c r="N302" s="638"/>
      <c r="O302" s="638"/>
      <c r="P302" s="638"/>
      <c r="Q302" s="638"/>
      <c r="R302" s="638"/>
      <c r="S302" s="638"/>
      <c r="T302" s="638"/>
      <c r="U302" s="9"/>
      <c r="V302" s="9"/>
      <c r="W302" s="9"/>
      <c r="X302" s="9"/>
      <c r="Y302" s="9"/>
      <c r="Z302" s="9"/>
      <c r="AA302" s="9"/>
    </row>
    <row r="303" spans="1:27" hidden="1" outlineLevel="1" x14ac:dyDescent="0.2">
      <c r="A303" s="162"/>
      <c r="B303" s="642"/>
      <c r="C303" s="162"/>
      <c r="D303" s="162"/>
      <c r="E303" s="162"/>
      <c r="F303" s="162"/>
      <c r="G303" s="162"/>
      <c r="H303" s="162"/>
      <c r="I303" s="162"/>
      <c r="J303" s="162"/>
      <c r="K303" s="162"/>
      <c r="L303" s="162"/>
      <c r="M303" s="162"/>
      <c r="N303" s="162"/>
      <c r="O303" s="162"/>
      <c r="P303" s="162"/>
      <c r="Q303" s="162"/>
      <c r="R303" s="162"/>
      <c r="S303" s="162"/>
      <c r="T303" s="162"/>
      <c r="U303" s="641"/>
      <c r="V303" s="641"/>
      <c r="W303" s="641"/>
      <c r="X303" s="641"/>
      <c r="Y303" s="641"/>
      <c r="Z303" s="641"/>
      <c r="AA303" s="641"/>
    </row>
    <row r="304" spans="1:27" collapsed="1" x14ac:dyDescent="0.2">
      <c r="A304" s="162"/>
      <c r="B304" s="642"/>
      <c r="C304" s="162"/>
      <c r="D304" s="162"/>
      <c r="E304" s="162"/>
      <c r="F304" s="162"/>
      <c r="G304" s="162"/>
      <c r="H304" s="162"/>
      <c r="I304" s="162"/>
      <c r="J304" s="162"/>
      <c r="K304" s="162"/>
      <c r="L304" s="162"/>
      <c r="M304" s="162"/>
      <c r="N304" s="162"/>
      <c r="O304" s="162"/>
      <c r="P304" s="162"/>
      <c r="Q304" s="162"/>
      <c r="R304" s="162"/>
      <c r="S304" s="162"/>
      <c r="T304" s="162"/>
      <c r="U304" s="641"/>
      <c r="V304" s="641"/>
      <c r="W304" s="641"/>
      <c r="X304" s="641"/>
      <c r="Y304" s="641"/>
      <c r="Z304" s="641"/>
      <c r="AA304" s="641"/>
    </row>
    <row r="305" spans="1:27" ht="15" x14ac:dyDescent="0.2">
      <c r="A305" s="131"/>
      <c r="B305" s="298">
        <v>18</v>
      </c>
      <c r="C305" s="147" t="str">
        <f>IF($I$97&lt;&gt;"",MsgNotUsed,INDEX(NamesOverallChanged,B305))</f>
        <v>** NOT USED **</v>
      </c>
      <c r="D305" s="139"/>
      <c r="E305" s="139"/>
      <c r="F305" s="139"/>
      <c r="G305" s="139"/>
      <c r="H305" s="133"/>
      <c r="I305" s="821" t="str">
        <f>IF(C305&lt;&gt;MsgNotUsed,"Co-payment group " &amp; INDEX(CoPayBandMS,B305),"")</f>
        <v/>
      </c>
      <c r="J305" s="821"/>
      <c r="K305" s="139"/>
      <c r="L305" s="139"/>
      <c r="M305" s="139"/>
      <c r="N305" s="139"/>
      <c r="O305" s="139"/>
      <c r="P305" s="139"/>
      <c r="Q305" s="139"/>
      <c r="R305" s="139"/>
      <c r="S305" s="139"/>
      <c r="T305" s="139"/>
      <c r="U305" s="26"/>
      <c r="V305" s="26"/>
      <c r="W305" s="26"/>
      <c r="X305" s="26"/>
      <c r="Y305" s="26"/>
      <c r="Z305" s="26"/>
      <c r="AA305" s="26"/>
    </row>
    <row r="306" spans="1:27" ht="15.75" hidden="1" outlineLevel="1" x14ac:dyDescent="0.2">
      <c r="A306" s="131"/>
      <c r="B306" s="71">
        <f>INDEX(CoPayBandMS,B305)</f>
        <v>0</v>
      </c>
      <c r="C306" s="655"/>
      <c r="D306" s="131"/>
      <c r="E306" s="131"/>
      <c r="F306" s="131"/>
      <c r="G306" s="131"/>
      <c r="H306" s="131"/>
      <c r="I306" s="131"/>
      <c r="J306" s="131"/>
      <c r="K306" s="131"/>
      <c r="L306" s="131"/>
      <c r="M306" s="131"/>
      <c r="N306" s="131"/>
      <c r="O306" s="131"/>
      <c r="P306" s="131"/>
      <c r="Q306" s="131"/>
      <c r="R306" s="131"/>
      <c r="S306" s="131"/>
      <c r="T306" s="131"/>
      <c r="U306" s="26"/>
      <c r="V306" s="26"/>
      <c r="W306" s="26"/>
      <c r="X306" s="26"/>
      <c r="Y306" s="26"/>
      <c r="Z306" s="26"/>
      <c r="AA306" s="26"/>
    </row>
    <row r="307" spans="1:27" ht="14.25" hidden="1" customHeight="1" outlineLevel="1" x14ac:dyDescent="0.2">
      <c r="A307" s="162"/>
      <c r="B307" s="642"/>
      <c r="C307" s="708"/>
      <c r="D307" s="64">
        <f>E307-1</f>
        <v>2020</v>
      </c>
      <c r="E307" s="64">
        <f>FirstYear</f>
        <v>2021</v>
      </c>
      <c r="F307" s="64">
        <f>E307+1</f>
        <v>2022</v>
      </c>
      <c r="G307" s="64">
        <f>F307+1</f>
        <v>2023</v>
      </c>
      <c r="H307" s="64">
        <f>G307+1</f>
        <v>2024</v>
      </c>
      <c r="I307" s="64">
        <f>H307+1</f>
        <v>2025</v>
      </c>
      <c r="J307" s="64">
        <f>I307+1</f>
        <v>2026</v>
      </c>
      <c r="K307" s="162"/>
      <c r="L307" s="616"/>
      <c r="M307" s="162"/>
      <c r="N307" s="162"/>
      <c r="O307" s="162"/>
      <c r="P307" s="162"/>
      <c r="Q307" s="162"/>
      <c r="R307" s="162"/>
      <c r="S307" s="162"/>
      <c r="T307" s="162"/>
      <c r="U307" s="641"/>
      <c r="V307" s="641"/>
      <c r="W307" s="641"/>
      <c r="X307" s="641"/>
      <c r="Y307" s="641"/>
      <c r="Z307" s="641"/>
      <c r="AA307" s="641"/>
    </row>
    <row r="308" spans="1:27" hidden="1" outlineLevel="1" x14ac:dyDescent="0.2">
      <c r="A308" s="162"/>
      <c r="B308" s="642"/>
      <c r="C308" s="4" t="s">
        <v>114</v>
      </c>
      <c r="D308" s="38">
        <f>IF($I$97="",-R67,0)</f>
        <v>0</v>
      </c>
      <c r="E308" s="38">
        <f t="shared" ref="E308:J308" si="131">IF(D308="","",D308*(1+D309))</f>
        <v>0</v>
      </c>
      <c r="F308" s="38">
        <f t="shared" si="131"/>
        <v>0</v>
      </c>
      <c r="G308" s="38">
        <f t="shared" si="131"/>
        <v>0</v>
      </c>
      <c r="H308" s="38">
        <f t="shared" si="131"/>
        <v>0</v>
      </c>
      <c r="I308" s="38">
        <f t="shared" si="131"/>
        <v>0</v>
      </c>
      <c r="J308" s="38">
        <f t="shared" si="131"/>
        <v>0</v>
      </c>
      <c r="K308" s="162"/>
      <c r="L308" s="36" t="s">
        <v>258</v>
      </c>
      <c r="M308" s="162"/>
      <c r="N308" s="616"/>
      <c r="O308" s="162"/>
      <c r="P308" s="162"/>
      <c r="Q308" s="162"/>
      <c r="R308" s="162"/>
      <c r="S308" s="162"/>
      <c r="T308" s="162"/>
      <c r="U308" s="641"/>
      <c r="V308" s="641"/>
      <c r="W308" s="641"/>
      <c r="X308" s="641"/>
      <c r="Y308" s="641"/>
      <c r="Z308" s="641"/>
      <c r="AA308" s="641"/>
    </row>
    <row r="309" spans="1:27" hidden="1" outlineLevel="1" x14ac:dyDescent="0.2">
      <c r="A309" s="162"/>
      <c r="B309" s="642"/>
      <c r="C309" s="11" t="s">
        <v>26</v>
      </c>
      <c r="D309" s="55"/>
      <c r="E309" s="55"/>
      <c r="F309" s="55"/>
      <c r="G309" s="55"/>
      <c r="H309" s="55"/>
      <c r="I309" s="55"/>
      <c r="J309" s="33"/>
      <c r="K309" s="162"/>
      <c r="L309" s="822"/>
      <c r="M309" s="823"/>
      <c r="N309" s="823"/>
      <c r="O309" s="823"/>
      <c r="P309" s="823"/>
      <c r="Q309" s="823"/>
      <c r="R309" s="823"/>
      <c r="S309" s="823"/>
      <c r="T309" s="823"/>
      <c r="U309" s="641"/>
      <c r="V309" s="641"/>
      <c r="W309" s="641"/>
      <c r="X309" s="641"/>
      <c r="Y309" s="641"/>
      <c r="Z309" s="641"/>
      <c r="AA309" s="641"/>
    </row>
    <row r="310" spans="1:27" hidden="1" outlineLevel="1" x14ac:dyDescent="0.2">
      <c r="A310" s="162"/>
      <c r="B310" s="642"/>
      <c r="C310" s="11" t="s">
        <v>33</v>
      </c>
      <c r="D310" s="55"/>
      <c r="E310" s="55"/>
      <c r="F310" s="55"/>
      <c r="G310" s="55"/>
      <c r="H310" s="55"/>
      <c r="I310" s="55"/>
      <c r="J310" s="55"/>
      <c r="K310" s="162"/>
      <c r="L310" s="822"/>
      <c r="M310" s="823"/>
      <c r="N310" s="823"/>
      <c r="O310" s="823"/>
      <c r="P310" s="823"/>
      <c r="Q310" s="823"/>
      <c r="R310" s="823"/>
      <c r="S310" s="823"/>
      <c r="T310" s="823"/>
      <c r="U310" s="641"/>
      <c r="V310" s="641"/>
      <c r="W310" s="641"/>
      <c r="X310" s="641"/>
      <c r="Y310" s="641"/>
      <c r="Z310" s="641"/>
      <c r="AA310" s="641"/>
    </row>
    <row r="311" spans="1:27" hidden="1" outlineLevel="1" x14ac:dyDescent="0.2">
      <c r="A311" s="162"/>
      <c r="B311" s="642"/>
      <c r="C311" s="65" t="str">
        <f>"Proportion " &amp; IF(MarketImpact=0,"affected by","affected") &amp; " the proposed medicine"</f>
        <v>Proportion affected the proposed medicine</v>
      </c>
      <c r="D311" s="55"/>
      <c r="E311" s="55"/>
      <c r="F311" s="55"/>
      <c r="G311" s="55"/>
      <c r="H311" s="55"/>
      <c r="I311" s="55"/>
      <c r="J311" s="55"/>
      <c r="K311" s="162"/>
      <c r="L311" s="822"/>
      <c r="M311" s="823"/>
      <c r="N311" s="823"/>
      <c r="O311" s="823"/>
      <c r="P311" s="823"/>
      <c r="Q311" s="823"/>
      <c r="R311" s="823"/>
      <c r="S311" s="823"/>
      <c r="T311" s="823"/>
      <c r="U311" s="641"/>
      <c r="V311" s="641"/>
      <c r="W311" s="641"/>
      <c r="X311" s="641"/>
      <c r="Y311" s="641"/>
      <c r="Z311" s="641"/>
      <c r="AA311" s="641"/>
    </row>
    <row r="312" spans="1:27" hidden="1" outlineLevel="1" x14ac:dyDescent="0.2">
      <c r="A312" s="638"/>
      <c r="B312" s="640"/>
      <c r="C312" s="13" t="s">
        <v>107</v>
      </c>
      <c r="D312" s="32">
        <f t="shared" ref="D312:J312" si="132">D314-D313</f>
        <v>0</v>
      </c>
      <c r="E312" s="32">
        <f t="shared" si="132"/>
        <v>0</v>
      </c>
      <c r="F312" s="32">
        <f t="shared" si="132"/>
        <v>0</v>
      </c>
      <c r="G312" s="32">
        <f t="shared" si="132"/>
        <v>0</v>
      </c>
      <c r="H312" s="32">
        <f t="shared" si="132"/>
        <v>0</v>
      </c>
      <c r="I312" s="32">
        <f t="shared" si="132"/>
        <v>0</v>
      </c>
      <c r="J312" s="32">
        <f t="shared" si="132"/>
        <v>0</v>
      </c>
      <c r="K312" s="638"/>
      <c r="L312" s="638"/>
      <c r="M312" s="638"/>
      <c r="N312" s="638"/>
      <c r="O312" s="638"/>
      <c r="P312" s="638"/>
      <c r="Q312" s="638"/>
      <c r="R312" s="638"/>
      <c r="S312" s="638"/>
      <c r="T312" s="638"/>
      <c r="U312" s="9"/>
      <c r="V312" s="9"/>
      <c r="W312" s="9"/>
      <c r="X312" s="9"/>
      <c r="Y312" s="9"/>
      <c r="Z312" s="9"/>
      <c r="AA312" s="9"/>
    </row>
    <row r="313" spans="1:27" hidden="1" outlineLevel="1" x14ac:dyDescent="0.2">
      <c r="A313" s="638"/>
      <c r="B313" s="640"/>
      <c r="C313" s="13" t="s">
        <v>108</v>
      </c>
      <c r="D313" s="32">
        <f t="shared" ref="D313:J313" si="133">IF($B306&lt;&gt;0,ROUND(D314*INDEX(ServiceSplitRPBS,$B306),0),0)</f>
        <v>0</v>
      </c>
      <c r="E313" s="32">
        <f t="shared" si="133"/>
        <v>0</v>
      </c>
      <c r="F313" s="32">
        <f t="shared" si="133"/>
        <v>0</v>
      </c>
      <c r="G313" s="32">
        <f t="shared" si="133"/>
        <v>0</v>
      </c>
      <c r="H313" s="32">
        <f t="shared" si="133"/>
        <v>0</v>
      </c>
      <c r="I313" s="32">
        <f t="shared" si="133"/>
        <v>0</v>
      </c>
      <c r="J313" s="32">
        <f t="shared" si="133"/>
        <v>0</v>
      </c>
      <c r="K313" s="638"/>
      <c r="L313" s="638"/>
      <c r="M313" s="638"/>
      <c r="N313" s="638"/>
      <c r="O313" s="638"/>
      <c r="P313" s="638"/>
      <c r="Q313" s="638"/>
      <c r="R313" s="638"/>
      <c r="S313" s="638"/>
      <c r="T313" s="638"/>
      <c r="U313" s="9"/>
      <c r="V313" s="9"/>
      <c r="W313" s="9"/>
      <c r="X313" s="9"/>
      <c r="Y313" s="9"/>
      <c r="Z313" s="9"/>
      <c r="AA313" s="9"/>
    </row>
    <row r="314" spans="1:27" hidden="1" outlineLevel="1" x14ac:dyDescent="0.2">
      <c r="A314" s="638"/>
      <c r="B314" s="640"/>
      <c r="C314" s="635" t="s">
        <v>844</v>
      </c>
      <c r="D314" s="35">
        <f t="shared" ref="D314:J314" si="134">IF(D308="","",D311*D310*D308)</f>
        <v>0</v>
      </c>
      <c r="E314" s="35">
        <f t="shared" si="134"/>
        <v>0</v>
      </c>
      <c r="F314" s="35">
        <f t="shared" si="134"/>
        <v>0</v>
      </c>
      <c r="G314" s="35">
        <f t="shared" si="134"/>
        <v>0</v>
      </c>
      <c r="H314" s="35">
        <f t="shared" si="134"/>
        <v>0</v>
      </c>
      <c r="I314" s="35">
        <f t="shared" si="134"/>
        <v>0</v>
      </c>
      <c r="J314" s="35">
        <f t="shared" si="134"/>
        <v>0</v>
      </c>
      <c r="K314" s="638"/>
      <c r="L314" s="638"/>
      <c r="M314" s="638"/>
      <c r="N314" s="638"/>
      <c r="O314" s="638"/>
      <c r="P314" s="638"/>
      <c r="Q314" s="638"/>
      <c r="R314" s="638"/>
      <c r="S314" s="638"/>
      <c r="T314" s="638"/>
      <c r="U314" s="9"/>
      <c r="V314" s="9"/>
      <c r="W314" s="9"/>
      <c r="X314" s="9"/>
      <c r="Y314" s="9"/>
      <c r="Z314" s="9"/>
      <c r="AA314" s="9"/>
    </row>
    <row r="315" spans="1:27" hidden="1" outlineLevel="1" x14ac:dyDescent="0.2">
      <c r="A315" s="162"/>
      <c r="B315" s="642"/>
      <c r="C315" s="162"/>
      <c r="D315" s="162"/>
      <c r="E315" s="162"/>
      <c r="F315" s="162"/>
      <c r="G315" s="162"/>
      <c r="H315" s="162"/>
      <c r="I315" s="162"/>
      <c r="J315" s="162"/>
      <c r="K315" s="162"/>
      <c r="L315" s="162"/>
      <c r="M315" s="162"/>
      <c r="N315" s="162"/>
      <c r="O315" s="162"/>
      <c r="P315" s="162"/>
      <c r="Q315" s="162"/>
      <c r="R315" s="162"/>
      <c r="S315" s="162"/>
      <c r="T315" s="162"/>
      <c r="U315" s="641"/>
      <c r="V315" s="641"/>
      <c r="W315" s="641"/>
      <c r="X315" s="641"/>
      <c r="Y315" s="641"/>
      <c r="Z315" s="641"/>
      <c r="AA315" s="641"/>
    </row>
    <row r="316" spans="1:27" collapsed="1" x14ac:dyDescent="0.2">
      <c r="A316" s="162"/>
      <c r="B316" s="642"/>
      <c r="C316" s="162"/>
      <c r="D316" s="162"/>
      <c r="E316" s="162"/>
      <c r="F316" s="162"/>
      <c r="G316" s="162"/>
      <c r="H316" s="162"/>
      <c r="I316" s="162"/>
      <c r="J316" s="162"/>
      <c r="K316" s="162"/>
      <c r="L316" s="162"/>
      <c r="M316" s="162"/>
      <c r="N316" s="162"/>
      <c r="O316" s="162"/>
      <c r="P316" s="162"/>
      <c r="Q316" s="162"/>
      <c r="R316" s="162"/>
      <c r="S316" s="162"/>
      <c r="T316" s="162"/>
      <c r="U316" s="641"/>
      <c r="V316" s="641"/>
      <c r="W316" s="641"/>
      <c r="X316" s="641"/>
      <c r="Y316" s="641"/>
      <c r="Z316" s="641"/>
      <c r="AA316" s="641"/>
    </row>
    <row r="317" spans="1:27" ht="15" x14ac:dyDescent="0.2">
      <c r="A317" s="131"/>
      <c r="B317" s="298">
        <v>19</v>
      </c>
      <c r="C317" s="147" t="str">
        <f>IF($I$97&lt;&gt;"",MsgNotUsed,INDEX(NamesOverallChanged,B317))</f>
        <v>** NOT USED **</v>
      </c>
      <c r="D317" s="139"/>
      <c r="E317" s="139"/>
      <c r="F317" s="139"/>
      <c r="G317" s="139"/>
      <c r="H317" s="133"/>
      <c r="I317" s="821" t="str">
        <f>IF(C317&lt;&gt;MsgNotUsed,"Co-payment group " &amp; INDEX(CoPayBandMS,B317),"")</f>
        <v/>
      </c>
      <c r="J317" s="821"/>
      <c r="K317" s="139"/>
      <c r="L317" s="139"/>
      <c r="M317" s="139"/>
      <c r="N317" s="139"/>
      <c r="O317" s="139"/>
      <c r="P317" s="139"/>
      <c r="Q317" s="139"/>
      <c r="R317" s="139"/>
      <c r="S317" s="139"/>
      <c r="T317" s="139"/>
      <c r="U317" s="26"/>
      <c r="V317" s="26"/>
      <c r="W317" s="26"/>
      <c r="X317" s="26"/>
      <c r="Y317" s="26"/>
      <c r="Z317" s="26"/>
      <c r="AA317" s="26"/>
    </row>
    <row r="318" spans="1:27" ht="15.75" hidden="1" outlineLevel="1" x14ac:dyDescent="0.2">
      <c r="A318" s="131"/>
      <c r="B318" s="71">
        <f>INDEX(CoPayBandMS,B317)</f>
        <v>0</v>
      </c>
      <c r="C318" s="655"/>
      <c r="D318" s="131"/>
      <c r="E318" s="131"/>
      <c r="F318" s="131"/>
      <c r="G318" s="131"/>
      <c r="H318" s="131"/>
      <c r="I318" s="131"/>
      <c r="J318" s="131"/>
      <c r="K318" s="131"/>
      <c r="L318" s="131"/>
      <c r="M318" s="131"/>
      <c r="N318" s="131"/>
      <c r="O318" s="131"/>
      <c r="P318" s="131"/>
      <c r="Q318" s="131"/>
      <c r="R318" s="131"/>
      <c r="S318" s="131"/>
      <c r="T318" s="131"/>
      <c r="U318" s="26"/>
      <c r="V318" s="26"/>
      <c r="W318" s="26"/>
      <c r="X318" s="26"/>
      <c r="Y318" s="26"/>
      <c r="Z318" s="26"/>
      <c r="AA318" s="26"/>
    </row>
    <row r="319" spans="1:27" ht="14.25" hidden="1" customHeight="1" outlineLevel="1" x14ac:dyDescent="0.2">
      <c r="A319" s="162"/>
      <c r="B319" s="642"/>
      <c r="C319" s="708"/>
      <c r="D319" s="64">
        <f>E319-1</f>
        <v>2020</v>
      </c>
      <c r="E319" s="64">
        <f>FirstYear</f>
        <v>2021</v>
      </c>
      <c r="F319" s="64">
        <f>E319+1</f>
        <v>2022</v>
      </c>
      <c r="G319" s="64">
        <f>F319+1</f>
        <v>2023</v>
      </c>
      <c r="H319" s="64">
        <f>G319+1</f>
        <v>2024</v>
      </c>
      <c r="I319" s="64">
        <f>H319+1</f>
        <v>2025</v>
      </c>
      <c r="J319" s="64">
        <f>I319+1</f>
        <v>2026</v>
      </c>
      <c r="K319" s="162"/>
      <c r="L319" s="616"/>
      <c r="M319" s="162"/>
      <c r="N319" s="162"/>
      <c r="O319" s="162"/>
      <c r="P319" s="162"/>
      <c r="Q319" s="162"/>
      <c r="R319" s="162"/>
      <c r="S319" s="162"/>
      <c r="T319" s="162"/>
      <c r="U319" s="641"/>
      <c r="V319" s="641"/>
      <c r="W319" s="641"/>
      <c r="X319" s="641"/>
      <c r="Y319" s="641"/>
      <c r="Z319" s="641"/>
      <c r="AA319" s="641"/>
    </row>
    <row r="320" spans="1:27" hidden="1" outlineLevel="1" x14ac:dyDescent="0.2">
      <c r="A320" s="162"/>
      <c r="B320" s="642"/>
      <c r="C320" s="4" t="s">
        <v>114</v>
      </c>
      <c r="D320" s="38">
        <f>IF($I$97="",-R68,0)</f>
        <v>0</v>
      </c>
      <c r="E320" s="38">
        <f t="shared" ref="E320:J320" si="135">IF(D320="","",D320*(1+D321))</f>
        <v>0</v>
      </c>
      <c r="F320" s="38">
        <f t="shared" si="135"/>
        <v>0</v>
      </c>
      <c r="G320" s="38">
        <f t="shared" si="135"/>
        <v>0</v>
      </c>
      <c r="H320" s="38">
        <f t="shared" si="135"/>
        <v>0</v>
      </c>
      <c r="I320" s="38">
        <f t="shared" si="135"/>
        <v>0</v>
      </c>
      <c r="J320" s="38">
        <f t="shared" si="135"/>
        <v>0</v>
      </c>
      <c r="K320" s="162"/>
      <c r="L320" s="36" t="s">
        <v>258</v>
      </c>
      <c r="M320" s="162"/>
      <c r="N320" s="616"/>
      <c r="O320" s="162"/>
      <c r="P320" s="162"/>
      <c r="Q320" s="162"/>
      <c r="R320" s="162"/>
      <c r="S320" s="162"/>
      <c r="T320" s="162"/>
      <c r="U320" s="641"/>
      <c r="V320" s="641"/>
      <c r="W320" s="641"/>
      <c r="X320" s="641"/>
      <c r="Y320" s="641"/>
      <c r="Z320" s="641"/>
      <c r="AA320" s="641"/>
    </row>
    <row r="321" spans="1:27" hidden="1" outlineLevel="1" x14ac:dyDescent="0.2">
      <c r="A321" s="162"/>
      <c r="B321" s="642"/>
      <c r="C321" s="11" t="s">
        <v>26</v>
      </c>
      <c r="D321" s="55"/>
      <c r="E321" s="55"/>
      <c r="F321" s="55"/>
      <c r="G321" s="55"/>
      <c r="H321" s="55"/>
      <c r="I321" s="55"/>
      <c r="J321" s="33"/>
      <c r="K321" s="162"/>
      <c r="L321" s="822"/>
      <c r="M321" s="823"/>
      <c r="N321" s="823"/>
      <c r="O321" s="823"/>
      <c r="P321" s="823"/>
      <c r="Q321" s="823"/>
      <c r="R321" s="823"/>
      <c r="S321" s="823"/>
      <c r="T321" s="823"/>
      <c r="U321" s="641"/>
      <c r="V321" s="641"/>
      <c r="W321" s="641"/>
      <c r="X321" s="641"/>
      <c r="Y321" s="641"/>
      <c r="Z321" s="641"/>
      <c r="AA321" s="641"/>
    </row>
    <row r="322" spans="1:27" hidden="1" outlineLevel="1" x14ac:dyDescent="0.2">
      <c r="A322" s="162"/>
      <c r="B322" s="642"/>
      <c r="C322" s="11" t="s">
        <v>33</v>
      </c>
      <c r="D322" s="55"/>
      <c r="E322" s="55"/>
      <c r="F322" s="55"/>
      <c r="G322" s="55"/>
      <c r="H322" s="55"/>
      <c r="I322" s="55"/>
      <c r="J322" s="55"/>
      <c r="K322" s="162"/>
      <c r="L322" s="822"/>
      <c r="M322" s="823"/>
      <c r="N322" s="823"/>
      <c r="O322" s="823"/>
      <c r="P322" s="823"/>
      <c r="Q322" s="823"/>
      <c r="R322" s="823"/>
      <c r="S322" s="823"/>
      <c r="T322" s="823"/>
      <c r="U322" s="641"/>
      <c r="V322" s="641"/>
      <c r="W322" s="641"/>
      <c r="X322" s="641"/>
      <c r="Y322" s="641"/>
      <c r="Z322" s="641"/>
      <c r="AA322" s="641"/>
    </row>
    <row r="323" spans="1:27" hidden="1" outlineLevel="1" x14ac:dyDescent="0.2">
      <c r="A323" s="162"/>
      <c r="B323" s="642"/>
      <c r="C323" s="65" t="str">
        <f>"Proportion " &amp; IF(MarketImpact=0,"affected by","affected") &amp; " the proposed medicine"</f>
        <v>Proportion affected the proposed medicine</v>
      </c>
      <c r="D323" s="55"/>
      <c r="E323" s="55"/>
      <c r="F323" s="55"/>
      <c r="G323" s="55"/>
      <c r="H323" s="55"/>
      <c r="I323" s="55"/>
      <c r="J323" s="55"/>
      <c r="K323" s="162"/>
      <c r="L323" s="822"/>
      <c r="M323" s="823"/>
      <c r="N323" s="823"/>
      <c r="O323" s="823"/>
      <c r="P323" s="823"/>
      <c r="Q323" s="823"/>
      <c r="R323" s="823"/>
      <c r="S323" s="823"/>
      <c r="T323" s="823"/>
      <c r="U323" s="641"/>
      <c r="V323" s="641"/>
      <c r="W323" s="641"/>
      <c r="X323" s="641"/>
      <c r="Y323" s="641"/>
      <c r="Z323" s="641"/>
      <c r="AA323" s="641"/>
    </row>
    <row r="324" spans="1:27" hidden="1" outlineLevel="1" x14ac:dyDescent="0.2">
      <c r="A324" s="638"/>
      <c r="B324" s="640"/>
      <c r="C324" s="13" t="s">
        <v>107</v>
      </c>
      <c r="D324" s="32">
        <f t="shared" ref="D324:J324" si="136">D326-D325</f>
        <v>0</v>
      </c>
      <c r="E324" s="32">
        <f t="shared" si="136"/>
        <v>0</v>
      </c>
      <c r="F324" s="32">
        <f t="shared" si="136"/>
        <v>0</v>
      </c>
      <c r="G324" s="32">
        <f t="shared" si="136"/>
        <v>0</v>
      </c>
      <c r="H324" s="32">
        <f t="shared" si="136"/>
        <v>0</v>
      </c>
      <c r="I324" s="32">
        <f t="shared" si="136"/>
        <v>0</v>
      </c>
      <c r="J324" s="32">
        <f t="shared" si="136"/>
        <v>0</v>
      </c>
      <c r="K324" s="638"/>
      <c r="L324" s="638"/>
      <c r="M324" s="638"/>
      <c r="N324" s="638"/>
      <c r="O324" s="638"/>
      <c r="P324" s="638"/>
      <c r="Q324" s="638"/>
      <c r="R324" s="638"/>
      <c r="S324" s="638"/>
      <c r="T324" s="638"/>
      <c r="U324" s="9"/>
      <c r="V324" s="9"/>
      <c r="W324" s="9"/>
      <c r="X324" s="9"/>
      <c r="Y324" s="9"/>
      <c r="Z324" s="9"/>
      <c r="AA324" s="9"/>
    </row>
    <row r="325" spans="1:27" hidden="1" outlineLevel="1" x14ac:dyDescent="0.2">
      <c r="A325" s="638"/>
      <c r="B325" s="640"/>
      <c r="C325" s="13" t="s">
        <v>108</v>
      </c>
      <c r="D325" s="32">
        <f t="shared" ref="D325:J325" si="137">IF($B318&lt;&gt;0,ROUND(D326*INDEX(ServiceSplitRPBS,$B318),0),0)</f>
        <v>0</v>
      </c>
      <c r="E325" s="32">
        <f t="shared" si="137"/>
        <v>0</v>
      </c>
      <c r="F325" s="32">
        <f t="shared" si="137"/>
        <v>0</v>
      </c>
      <c r="G325" s="32">
        <f t="shared" si="137"/>
        <v>0</v>
      </c>
      <c r="H325" s="32">
        <f t="shared" si="137"/>
        <v>0</v>
      </c>
      <c r="I325" s="32">
        <f t="shared" si="137"/>
        <v>0</v>
      </c>
      <c r="J325" s="32">
        <f t="shared" si="137"/>
        <v>0</v>
      </c>
      <c r="K325" s="638"/>
      <c r="L325" s="638"/>
      <c r="M325" s="638"/>
      <c r="N325" s="638"/>
      <c r="O325" s="638"/>
      <c r="P325" s="638"/>
      <c r="Q325" s="638"/>
      <c r="R325" s="638"/>
      <c r="S325" s="638"/>
      <c r="T325" s="638"/>
      <c r="U325" s="9"/>
      <c r="V325" s="9"/>
      <c r="W325" s="9"/>
      <c r="X325" s="9"/>
      <c r="Y325" s="9"/>
      <c r="Z325" s="9"/>
      <c r="AA325" s="9"/>
    </row>
    <row r="326" spans="1:27" hidden="1" outlineLevel="1" x14ac:dyDescent="0.2">
      <c r="A326" s="638"/>
      <c r="B326" s="640"/>
      <c r="C326" s="635" t="s">
        <v>844</v>
      </c>
      <c r="D326" s="35">
        <f t="shared" ref="D326:J326" si="138">IF(D320="","",D323*D322*D320)</f>
        <v>0</v>
      </c>
      <c r="E326" s="35">
        <f t="shared" si="138"/>
        <v>0</v>
      </c>
      <c r="F326" s="35">
        <f t="shared" si="138"/>
        <v>0</v>
      </c>
      <c r="G326" s="35">
        <f t="shared" si="138"/>
        <v>0</v>
      </c>
      <c r="H326" s="35">
        <f t="shared" si="138"/>
        <v>0</v>
      </c>
      <c r="I326" s="35">
        <f t="shared" si="138"/>
        <v>0</v>
      </c>
      <c r="J326" s="35">
        <f t="shared" si="138"/>
        <v>0</v>
      </c>
      <c r="K326" s="638"/>
      <c r="L326" s="638"/>
      <c r="M326" s="638"/>
      <c r="N326" s="638"/>
      <c r="O326" s="638"/>
      <c r="P326" s="638"/>
      <c r="Q326" s="638"/>
      <c r="R326" s="638"/>
      <c r="S326" s="638"/>
      <c r="T326" s="638"/>
      <c r="U326" s="9"/>
      <c r="V326" s="9"/>
      <c r="W326" s="9"/>
      <c r="X326" s="9"/>
      <c r="Y326" s="9"/>
      <c r="Z326" s="9"/>
      <c r="AA326" s="9"/>
    </row>
    <row r="327" spans="1:27" hidden="1" outlineLevel="1" x14ac:dyDescent="0.2">
      <c r="A327" s="162"/>
      <c r="B327" s="642"/>
      <c r="C327" s="162"/>
      <c r="D327" s="162"/>
      <c r="E327" s="162"/>
      <c r="F327" s="162"/>
      <c r="G327" s="162"/>
      <c r="H327" s="162"/>
      <c r="I327" s="162"/>
      <c r="J327" s="162"/>
      <c r="K327" s="162"/>
      <c r="L327" s="162"/>
      <c r="M327" s="162"/>
      <c r="N327" s="162"/>
      <c r="O327" s="162"/>
      <c r="P327" s="162"/>
      <c r="Q327" s="162"/>
      <c r="R327" s="162"/>
      <c r="S327" s="162"/>
      <c r="T327" s="162"/>
      <c r="U327" s="641"/>
      <c r="V327" s="641"/>
      <c r="W327" s="641"/>
      <c r="X327" s="641"/>
      <c r="Y327" s="641"/>
      <c r="Z327" s="641"/>
      <c r="AA327" s="641"/>
    </row>
    <row r="328" spans="1:27" collapsed="1" x14ac:dyDescent="0.2">
      <c r="A328" s="162"/>
      <c r="B328" s="642"/>
      <c r="C328" s="162"/>
      <c r="D328" s="162"/>
      <c r="E328" s="162"/>
      <c r="F328" s="162"/>
      <c r="G328" s="162"/>
      <c r="H328" s="162"/>
      <c r="I328" s="162"/>
      <c r="J328" s="162"/>
      <c r="K328" s="162"/>
      <c r="L328" s="162"/>
      <c r="M328" s="162"/>
      <c r="N328" s="162"/>
      <c r="O328" s="162"/>
      <c r="P328" s="162"/>
      <c r="Q328" s="162"/>
      <c r="R328" s="162"/>
      <c r="S328" s="162"/>
      <c r="T328" s="162"/>
      <c r="U328" s="641"/>
      <c r="V328" s="641"/>
      <c r="W328" s="641"/>
      <c r="X328" s="641"/>
      <c r="Y328" s="641"/>
      <c r="Z328" s="641"/>
      <c r="AA328" s="641"/>
    </row>
    <row r="329" spans="1:27" ht="15" x14ac:dyDescent="0.2">
      <c r="A329" s="131"/>
      <c r="B329" s="298">
        <v>20</v>
      </c>
      <c r="C329" s="147" t="str">
        <f>IF($I$97&lt;&gt;"",MsgNotUsed,INDEX(NamesOverallChanged,B329))</f>
        <v>** NOT USED **</v>
      </c>
      <c r="D329" s="139"/>
      <c r="E329" s="139"/>
      <c r="F329" s="139"/>
      <c r="G329" s="139"/>
      <c r="H329" s="133"/>
      <c r="I329" s="821" t="str">
        <f>IF(C329&lt;&gt;MsgNotUsed,"Co-payment group " &amp; INDEX(CoPayBandMS,B329),"")</f>
        <v/>
      </c>
      <c r="J329" s="821"/>
      <c r="K329" s="139"/>
      <c r="L329" s="139"/>
      <c r="M329" s="139"/>
      <c r="N329" s="139"/>
      <c r="O329" s="139"/>
      <c r="P329" s="139"/>
      <c r="Q329" s="139"/>
      <c r="R329" s="139"/>
      <c r="S329" s="139"/>
      <c r="T329" s="139"/>
      <c r="U329" s="26"/>
      <c r="V329" s="26"/>
      <c r="W329" s="26"/>
      <c r="X329" s="26"/>
      <c r="Y329" s="26"/>
      <c r="Z329" s="26"/>
      <c r="AA329" s="26"/>
    </row>
    <row r="330" spans="1:27" ht="15.75" hidden="1" outlineLevel="1" x14ac:dyDescent="0.2">
      <c r="A330" s="131"/>
      <c r="B330" s="71">
        <f>INDEX(CoPayBandMS,B329)</f>
        <v>0</v>
      </c>
      <c r="C330" s="655"/>
      <c r="D330" s="131"/>
      <c r="E330" s="131"/>
      <c r="F330" s="131"/>
      <c r="G330" s="131"/>
      <c r="H330" s="131"/>
      <c r="I330" s="131"/>
      <c r="J330" s="131"/>
      <c r="K330" s="131"/>
      <c r="L330" s="131"/>
      <c r="M330" s="131"/>
      <c r="N330" s="131"/>
      <c r="O330" s="131"/>
      <c r="P330" s="131"/>
      <c r="Q330" s="131"/>
      <c r="R330" s="131"/>
      <c r="S330" s="131"/>
      <c r="T330" s="131"/>
      <c r="U330" s="26"/>
      <c r="V330" s="26"/>
      <c r="W330" s="26"/>
      <c r="X330" s="26"/>
      <c r="Y330" s="26"/>
      <c r="Z330" s="26"/>
      <c r="AA330" s="26"/>
    </row>
    <row r="331" spans="1:27" ht="14.25" hidden="1" customHeight="1" outlineLevel="1" x14ac:dyDescent="0.2">
      <c r="A331" s="162"/>
      <c r="B331" s="642"/>
      <c r="C331" s="708"/>
      <c r="D331" s="64">
        <f>E331-1</f>
        <v>2020</v>
      </c>
      <c r="E331" s="64">
        <f>FirstYear</f>
        <v>2021</v>
      </c>
      <c r="F331" s="64">
        <f>E331+1</f>
        <v>2022</v>
      </c>
      <c r="G331" s="64">
        <f>F331+1</f>
        <v>2023</v>
      </c>
      <c r="H331" s="64">
        <f>G331+1</f>
        <v>2024</v>
      </c>
      <c r="I331" s="64">
        <f>H331+1</f>
        <v>2025</v>
      </c>
      <c r="J331" s="64">
        <f>I331+1</f>
        <v>2026</v>
      </c>
      <c r="K331" s="162"/>
      <c r="L331" s="616"/>
      <c r="M331" s="162"/>
      <c r="N331" s="162"/>
      <c r="O331" s="162"/>
      <c r="P331" s="162"/>
      <c r="Q331" s="162"/>
      <c r="R331" s="162"/>
      <c r="S331" s="162"/>
      <c r="T331" s="162"/>
      <c r="U331" s="641"/>
      <c r="V331" s="641"/>
      <c r="W331" s="641"/>
      <c r="X331" s="641"/>
      <c r="Y331" s="641"/>
      <c r="Z331" s="641"/>
      <c r="AA331" s="641"/>
    </row>
    <row r="332" spans="1:27" hidden="1" outlineLevel="1" x14ac:dyDescent="0.2">
      <c r="A332" s="162"/>
      <c r="B332" s="642"/>
      <c r="C332" s="4" t="s">
        <v>114</v>
      </c>
      <c r="D332" s="38">
        <f>IF($I$97="",-R69,0)</f>
        <v>0</v>
      </c>
      <c r="E332" s="38">
        <f t="shared" ref="E332:J332" si="139">IF(D332="","",D332*(1+D333))</f>
        <v>0</v>
      </c>
      <c r="F332" s="38">
        <f t="shared" si="139"/>
        <v>0</v>
      </c>
      <c r="G332" s="38">
        <f t="shared" si="139"/>
        <v>0</v>
      </c>
      <c r="H332" s="38">
        <f t="shared" si="139"/>
        <v>0</v>
      </c>
      <c r="I332" s="38">
        <f t="shared" si="139"/>
        <v>0</v>
      </c>
      <c r="J332" s="38">
        <f t="shared" si="139"/>
        <v>0</v>
      </c>
      <c r="K332" s="162"/>
      <c r="L332" s="36" t="s">
        <v>258</v>
      </c>
      <c r="M332" s="162"/>
      <c r="N332" s="616"/>
      <c r="O332" s="162"/>
      <c r="P332" s="162"/>
      <c r="Q332" s="162"/>
      <c r="R332" s="162"/>
      <c r="S332" s="162"/>
      <c r="T332" s="162"/>
      <c r="U332" s="641"/>
      <c r="V332" s="641"/>
      <c r="W332" s="641"/>
      <c r="X332" s="641"/>
      <c r="Y332" s="641"/>
      <c r="Z332" s="641"/>
      <c r="AA332" s="641"/>
    </row>
    <row r="333" spans="1:27" hidden="1" outlineLevel="1" x14ac:dyDescent="0.2">
      <c r="A333" s="162"/>
      <c r="B333" s="642"/>
      <c r="C333" s="11" t="s">
        <v>26</v>
      </c>
      <c r="D333" s="55"/>
      <c r="E333" s="55"/>
      <c r="F333" s="55"/>
      <c r="G333" s="55"/>
      <c r="H333" s="55"/>
      <c r="I333" s="55"/>
      <c r="J333" s="33"/>
      <c r="K333" s="162"/>
      <c r="L333" s="822"/>
      <c r="M333" s="823"/>
      <c r="N333" s="823"/>
      <c r="O333" s="823"/>
      <c r="P333" s="823"/>
      <c r="Q333" s="823"/>
      <c r="R333" s="823"/>
      <c r="S333" s="823"/>
      <c r="T333" s="823"/>
      <c r="U333" s="641"/>
      <c r="V333" s="641"/>
      <c r="W333" s="641"/>
      <c r="X333" s="641"/>
      <c r="Y333" s="641"/>
      <c r="Z333" s="641"/>
      <c r="AA333" s="641"/>
    </row>
    <row r="334" spans="1:27" hidden="1" outlineLevel="1" x14ac:dyDescent="0.2">
      <c r="A334" s="162"/>
      <c r="B334" s="642"/>
      <c r="C334" s="11" t="s">
        <v>33</v>
      </c>
      <c r="D334" s="55"/>
      <c r="E334" s="55"/>
      <c r="F334" s="55"/>
      <c r="G334" s="55"/>
      <c r="H334" s="55"/>
      <c r="I334" s="55"/>
      <c r="J334" s="55"/>
      <c r="K334" s="162"/>
      <c r="L334" s="822"/>
      <c r="M334" s="823"/>
      <c r="N334" s="823"/>
      <c r="O334" s="823"/>
      <c r="P334" s="823"/>
      <c r="Q334" s="823"/>
      <c r="R334" s="823"/>
      <c r="S334" s="823"/>
      <c r="T334" s="823"/>
      <c r="U334" s="641"/>
      <c r="V334" s="641"/>
      <c r="W334" s="641"/>
      <c r="X334" s="641"/>
      <c r="Y334" s="641"/>
      <c r="Z334" s="641"/>
      <c r="AA334" s="641"/>
    </row>
    <row r="335" spans="1:27" hidden="1" outlineLevel="1" x14ac:dyDescent="0.2">
      <c r="A335" s="162"/>
      <c r="B335" s="642"/>
      <c r="C335" s="65" t="str">
        <f>"Proportion " &amp; IF(MarketImpact=0,"affected by","affected") &amp; " the proposed medicine"</f>
        <v>Proportion affected the proposed medicine</v>
      </c>
      <c r="D335" s="55"/>
      <c r="E335" s="55"/>
      <c r="F335" s="55"/>
      <c r="G335" s="55"/>
      <c r="H335" s="55"/>
      <c r="I335" s="55"/>
      <c r="J335" s="55"/>
      <c r="K335" s="162"/>
      <c r="L335" s="822"/>
      <c r="M335" s="823"/>
      <c r="N335" s="823"/>
      <c r="O335" s="823"/>
      <c r="P335" s="823"/>
      <c r="Q335" s="823"/>
      <c r="R335" s="823"/>
      <c r="S335" s="823"/>
      <c r="T335" s="823"/>
      <c r="U335" s="641"/>
      <c r="V335" s="641"/>
      <c r="W335" s="641"/>
      <c r="X335" s="641"/>
      <c r="Y335" s="641"/>
      <c r="Z335" s="641"/>
      <c r="AA335" s="641"/>
    </row>
    <row r="336" spans="1:27" hidden="1" outlineLevel="1" x14ac:dyDescent="0.2">
      <c r="A336" s="638"/>
      <c r="B336" s="640"/>
      <c r="C336" s="13" t="s">
        <v>107</v>
      </c>
      <c r="D336" s="32">
        <f t="shared" ref="D336:J336" si="140">D338-D337</f>
        <v>0</v>
      </c>
      <c r="E336" s="32">
        <f t="shared" si="140"/>
        <v>0</v>
      </c>
      <c r="F336" s="32">
        <f t="shared" si="140"/>
        <v>0</v>
      </c>
      <c r="G336" s="32">
        <f t="shared" si="140"/>
        <v>0</v>
      </c>
      <c r="H336" s="32">
        <f t="shared" si="140"/>
        <v>0</v>
      </c>
      <c r="I336" s="32">
        <f t="shared" si="140"/>
        <v>0</v>
      </c>
      <c r="J336" s="32">
        <f t="shared" si="140"/>
        <v>0</v>
      </c>
      <c r="K336" s="638"/>
      <c r="L336" s="638"/>
      <c r="M336" s="638"/>
      <c r="N336" s="638"/>
      <c r="O336" s="638"/>
      <c r="P336" s="638"/>
      <c r="Q336" s="638"/>
      <c r="R336" s="638"/>
      <c r="S336" s="638"/>
      <c r="T336" s="638"/>
      <c r="U336" s="9"/>
      <c r="V336" s="9"/>
      <c r="W336" s="9"/>
      <c r="X336" s="9"/>
      <c r="Y336" s="9"/>
      <c r="Z336" s="9"/>
      <c r="AA336" s="9"/>
    </row>
    <row r="337" spans="1:27" hidden="1" outlineLevel="1" x14ac:dyDescent="0.2">
      <c r="A337" s="638"/>
      <c r="B337" s="640"/>
      <c r="C337" s="13" t="s">
        <v>108</v>
      </c>
      <c r="D337" s="32">
        <f t="shared" ref="D337:J337" si="141">IF($B330&lt;&gt;0,ROUND(D338*INDEX(ServiceSplitRPBS,$B330),0),0)</f>
        <v>0</v>
      </c>
      <c r="E337" s="32">
        <f t="shared" si="141"/>
        <v>0</v>
      </c>
      <c r="F337" s="32">
        <f t="shared" si="141"/>
        <v>0</v>
      </c>
      <c r="G337" s="32">
        <f t="shared" si="141"/>
        <v>0</v>
      </c>
      <c r="H337" s="32">
        <f t="shared" si="141"/>
        <v>0</v>
      </c>
      <c r="I337" s="32">
        <f t="shared" si="141"/>
        <v>0</v>
      </c>
      <c r="J337" s="32">
        <f t="shared" si="141"/>
        <v>0</v>
      </c>
      <c r="K337" s="638"/>
      <c r="L337" s="638"/>
      <c r="M337" s="638"/>
      <c r="N337" s="638"/>
      <c r="O337" s="638"/>
      <c r="P337" s="638"/>
      <c r="Q337" s="638"/>
      <c r="R337" s="638"/>
      <c r="S337" s="638"/>
      <c r="T337" s="638"/>
      <c r="U337" s="9"/>
      <c r="V337" s="9"/>
      <c r="W337" s="9"/>
      <c r="X337" s="9"/>
      <c r="Y337" s="9"/>
      <c r="Z337" s="9"/>
      <c r="AA337" s="9"/>
    </row>
    <row r="338" spans="1:27" hidden="1" outlineLevel="1" x14ac:dyDescent="0.2">
      <c r="A338" s="638"/>
      <c r="B338" s="640"/>
      <c r="C338" s="635" t="s">
        <v>844</v>
      </c>
      <c r="D338" s="35">
        <f t="shared" ref="D338:J338" si="142">IF(D332="","",D335*D334*D332)</f>
        <v>0</v>
      </c>
      <c r="E338" s="35">
        <f t="shared" si="142"/>
        <v>0</v>
      </c>
      <c r="F338" s="35">
        <f t="shared" si="142"/>
        <v>0</v>
      </c>
      <c r="G338" s="35">
        <f t="shared" si="142"/>
        <v>0</v>
      </c>
      <c r="H338" s="35">
        <f t="shared" si="142"/>
        <v>0</v>
      </c>
      <c r="I338" s="35">
        <f t="shared" si="142"/>
        <v>0</v>
      </c>
      <c r="J338" s="35">
        <f t="shared" si="142"/>
        <v>0</v>
      </c>
      <c r="K338" s="638"/>
      <c r="L338" s="638"/>
      <c r="M338" s="638"/>
      <c r="N338" s="638"/>
      <c r="O338" s="638"/>
      <c r="P338" s="638"/>
      <c r="Q338" s="638"/>
      <c r="R338" s="638"/>
      <c r="S338" s="638"/>
      <c r="T338" s="638"/>
      <c r="U338" s="9"/>
      <c r="V338" s="9"/>
      <c r="W338" s="9"/>
      <c r="X338" s="9"/>
      <c r="Y338" s="9"/>
      <c r="Z338" s="9"/>
      <c r="AA338" s="9"/>
    </row>
    <row r="339" spans="1:27" hidden="1" outlineLevel="1" x14ac:dyDescent="0.2">
      <c r="A339" s="162"/>
      <c r="B339" s="642"/>
      <c r="C339" s="162"/>
      <c r="D339" s="162"/>
      <c r="E339" s="162"/>
      <c r="F339" s="162"/>
      <c r="G339" s="162"/>
      <c r="H339" s="162"/>
      <c r="I339" s="162"/>
      <c r="J339" s="162"/>
      <c r="K339" s="162"/>
      <c r="L339" s="162"/>
      <c r="M339" s="162"/>
      <c r="N339" s="162"/>
      <c r="O339" s="162"/>
      <c r="P339" s="162"/>
      <c r="Q339" s="162"/>
      <c r="R339" s="162"/>
      <c r="S339" s="162"/>
      <c r="T339" s="162"/>
      <c r="U339" s="641"/>
      <c r="V339" s="641"/>
      <c r="W339" s="641"/>
      <c r="X339" s="641"/>
      <c r="Y339" s="641"/>
      <c r="Z339" s="641"/>
      <c r="AA339" s="641"/>
    </row>
    <row r="340" spans="1:27" collapsed="1" x14ac:dyDescent="0.2">
      <c r="A340" s="162"/>
      <c r="B340" s="642"/>
      <c r="C340" s="162"/>
      <c r="D340" s="162"/>
      <c r="E340" s="162"/>
      <c r="F340" s="162"/>
      <c r="G340" s="162"/>
      <c r="H340" s="162"/>
      <c r="I340" s="162"/>
      <c r="J340" s="162"/>
      <c r="K340" s="162"/>
      <c r="L340" s="162"/>
      <c r="M340" s="162"/>
      <c r="N340" s="162"/>
      <c r="O340" s="162"/>
      <c r="P340" s="162"/>
      <c r="Q340" s="162"/>
      <c r="R340" s="162"/>
      <c r="S340" s="162"/>
      <c r="T340" s="162"/>
      <c r="U340" s="641"/>
      <c r="V340" s="641"/>
      <c r="W340" s="641"/>
      <c r="X340" s="641"/>
      <c r="Y340" s="641"/>
      <c r="Z340" s="641"/>
      <c r="AA340" s="641"/>
    </row>
    <row r="341" spans="1:27" ht="15.75" x14ac:dyDescent="0.2">
      <c r="A341" s="75"/>
      <c r="B341" s="75"/>
      <c r="C341" s="123" t="s">
        <v>864</v>
      </c>
      <c r="D341" s="126"/>
      <c r="E341" s="126"/>
      <c r="F341" s="126"/>
      <c r="G341" s="126"/>
      <c r="H341" s="126"/>
      <c r="I341" s="126"/>
      <c r="J341" s="126"/>
      <c r="K341" s="126"/>
      <c r="L341" s="126"/>
      <c r="M341" s="124"/>
      <c r="N341" s="124"/>
      <c r="O341" s="124"/>
      <c r="P341" s="124"/>
      <c r="Q341" s="124"/>
      <c r="R341" s="124"/>
      <c r="S341" s="124"/>
      <c r="T341" s="124"/>
      <c r="U341" s="25"/>
      <c r="V341" s="25"/>
      <c r="W341" s="25"/>
      <c r="X341" s="25"/>
      <c r="Y341" s="25"/>
      <c r="Z341" s="25"/>
      <c r="AA341" s="25"/>
    </row>
    <row r="343" spans="1:27" ht="12.75" customHeight="1" x14ac:dyDescent="0.2">
      <c r="C343" s="416"/>
      <c r="D343" s="416"/>
      <c r="E343" s="416"/>
      <c r="F343" s="416"/>
      <c r="G343" s="416"/>
      <c r="H343" s="416"/>
      <c r="I343" s="416"/>
      <c r="J343" s="416"/>
    </row>
    <row r="344" spans="1:27" ht="12.75" customHeight="1" x14ac:dyDescent="0.2">
      <c r="C344" s="525"/>
      <c r="D344" s="416"/>
      <c r="E344" s="525"/>
      <c r="F344" s="525"/>
      <c r="G344" s="525"/>
      <c r="H344" s="525"/>
      <c r="I344" s="525"/>
      <c r="J344" s="525"/>
    </row>
    <row r="345" spans="1:27" ht="12.75" customHeight="1" x14ac:dyDescent="0.2">
      <c r="C345" s="525"/>
      <c r="D345" s="416"/>
      <c r="E345" s="525"/>
      <c r="F345" s="525"/>
      <c r="G345" s="525"/>
      <c r="H345" s="525"/>
      <c r="I345" s="525"/>
      <c r="J345" s="525"/>
    </row>
  </sheetData>
  <mergeCells count="113">
    <mergeCell ref="I1:K1"/>
    <mergeCell ref="L309:T309"/>
    <mergeCell ref="L310:T310"/>
    <mergeCell ref="L311:T311"/>
    <mergeCell ref="L321:T321"/>
    <mergeCell ref="L322:T322"/>
    <mergeCell ref="L323:T323"/>
    <mergeCell ref="L333:T333"/>
    <mergeCell ref="L334:T334"/>
    <mergeCell ref="L237:T237"/>
    <mergeCell ref="L238:T238"/>
    <mergeCell ref="L239:T239"/>
    <mergeCell ref="L249:T249"/>
    <mergeCell ref="L250:T250"/>
    <mergeCell ref="L251:T251"/>
    <mergeCell ref="L261:T261"/>
    <mergeCell ref="L262:T262"/>
    <mergeCell ref="L263:T263"/>
    <mergeCell ref="L165:T165"/>
    <mergeCell ref="L166:T166"/>
    <mergeCell ref="I97:J97"/>
    <mergeCell ref="L130:T130"/>
    <mergeCell ref="L131:T131"/>
    <mergeCell ref="D14:I14"/>
    <mergeCell ref="L335:T335"/>
    <mergeCell ref="L273:T273"/>
    <mergeCell ref="L274:T274"/>
    <mergeCell ref="L275:T275"/>
    <mergeCell ref="L285:T285"/>
    <mergeCell ref="L286:T286"/>
    <mergeCell ref="L287:T287"/>
    <mergeCell ref="L297:T297"/>
    <mergeCell ref="L298:T298"/>
    <mergeCell ref="L299:T299"/>
    <mergeCell ref="D69:F69"/>
    <mergeCell ref="L225:T225"/>
    <mergeCell ref="L226:T226"/>
    <mergeCell ref="L227:T227"/>
    <mergeCell ref="L201:T201"/>
    <mergeCell ref="P90:T90"/>
    <mergeCell ref="P91:T91"/>
    <mergeCell ref="L203:T203"/>
    <mergeCell ref="L213:T213"/>
    <mergeCell ref="L214:T214"/>
    <mergeCell ref="L215:T215"/>
    <mergeCell ref="L105:T105"/>
    <mergeCell ref="L106:T106"/>
    <mergeCell ref="L107:T107"/>
    <mergeCell ref="L117:T117"/>
    <mergeCell ref="L118:T118"/>
    <mergeCell ref="L119:T119"/>
    <mergeCell ref="L167:T167"/>
    <mergeCell ref="L177:T177"/>
    <mergeCell ref="L143:T143"/>
    <mergeCell ref="L153:T153"/>
    <mergeCell ref="L154:T154"/>
    <mergeCell ref="L155:T155"/>
    <mergeCell ref="L191:T191"/>
    <mergeCell ref="D60:F60"/>
    <mergeCell ref="D61:F61"/>
    <mergeCell ref="D62:F62"/>
    <mergeCell ref="D63:F63"/>
    <mergeCell ref="D64:F64"/>
    <mergeCell ref="D65:F65"/>
    <mergeCell ref="D66:F66"/>
    <mergeCell ref="D67:F67"/>
    <mergeCell ref="D68:F68"/>
    <mergeCell ref="K14:P14"/>
    <mergeCell ref="D49:F49"/>
    <mergeCell ref="D50:F50"/>
    <mergeCell ref="D51:F51"/>
    <mergeCell ref="M48:N48"/>
    <mergeCell ref="I48:L48"/>
    <mergeCell ref="D52:F52"/>
    <mergeCell ref="D58:F58"/>
    <mergeCell ref="D59:F59"/>
    <mergeCell ref="D53:F53"/>
    <mergeCell ref="D54:F54"/>
    <mergeCell ref="D55:F55"/>
    <mergeCell ref="D56:F56"/>
    <mergeCell ref="D57:F57"/>
    <mergeCell ref="L142:T142"/>
    <mergeCell ref="L129:T129"/>
    <mergeCell ref="P48:Q48"/>
    <mergeCell ref="L190:T190"/>
    <mergeCell ref="P92:T92"/>
    <mergeCell ref="P93:T93"/>
    <mergeCell ref="P94:T94"/>
    <mergeCell ref="I281:J281"/>
    <mergeCell ref="I161:J161"/>
    <mergeCell ref="I173:J173"/>
    <mergeCell ref="I185:J185"/>
    <mergeCell ref="I197:J197"/>
    <mergeCell ref="I209:J209"/>
    <mergeCell ref="I101:J101"/>
    <mergeCell ref="I113:J113"/>
    <mergeCell ref="I125:J125"/>
    <mergeCell ref="I137:J137"/>
    <mergeCell ref="I149:J149"/>
    <mergeCell ref="L202:T202"/>
    <mergeCell ref="L178:T178"/>
    <mergeCell ref="L179:T179"/>
    <mergeCell ref="L189:T189"/>
    <mergeCell ref="L141:T141"/>
    <mergeCell ref="I293:J293"/>
    <mergeCell ref="I305:J305"/>
    <mergeCell ref="I317:J317"/>
    <mergeCell ref="I329:J329"/>
    <mergeCell ref="I221:J221"/>
    <mergeCell ref="I233:J233"/>
    <mergeCell ref="I245:J245"/>
    <mergeCell ref="I257:J257"/>
    <mergeCell ref="I269:J269"/>
  </mergeCells>
  <conditionalFormatting sqref="C41">
    <cfRule type="expression" dxfId="205" priority="94">
      <formula>$C$16=""</formula>
    </cfRule>
  </conditionalFormatting>
  <conditionalFormatting sqref="C41:I41 C37:I37 K37:P37">
    <cfRule type="expression" dxfId="204" priority="93">
      <formula>$C$37=""</formula>
    </cfRule>
  </conditionalFormatting>
  <conditionalFormatting sqref="D105:I105 D106:J107 L105:T107">
    <cfRule type="expression" dxfId="203" priority="81">
      <formula>$C$101=MsgNotUsed</formula>
    </cfRule>
  </conditionalFormatting>
  <conditionalFormatting sqref="M90:N90">
    <cfRule type="expression" dxfId="202" priority="582">
      <formula>$U$90=1</formula>
    </cfRule>
  </conditionalFormatting>
  <conditionalFormatting sqref="M91:N91">
    <cfRule type="expression" dxfId="201" priority="35">
      <formula>$U$91=1</formula>
    </cfRule>
  </conditionalFormatting>
  <conditionalFormatting sqref="M92:N92">
    <cfRule type="expression" dxfId="200" priority="34">
      <formula>$U$92=1</formula>
    </cfRule>
  </conditionalFormatting>
  <conditionalFormatting sqref="M93:N93">
    <cfRule type="expression" dxfId="199" priority="33">
      <formula>$U$93=1</formula>
    </cfRule>
  </conditionalFormatting>
  <conditionalFormatting sqref="M94:N94">
    <cfRule type="expression" dxfId="198" priority="32">
      <formula>$U$94=1</formula>
    </cfRule>
  </conditionalFormatting>
  <conditionalFormatting sqref="I82:L86">
    <cfRule type="cellIs" dxfId="197" priority="26" operator="equal">
      <formula>0</formula>
    </cfRule>
  </conditionalFormatting>
  <conditionalFormatting sqref="I90:J94">
    <cfRule type="containsBlanks" dxfId="196" priority="626">
      <formula>LEN(TRIM(I90))=0</formula>
    </cfRule>
  </conditionalFormatting>
  <conditionalFormatting sqref="M90:N90 P90">
    <cfRule type="expression" dxfId="195" priority="617">
      <formula>AND($I$90="",$J$90="")</formula>
    </cfRule>
  </conditionalFormatting>
  <conditionalFormatting sqref="M91:N91 P91">
    <cfRule type="expression" dxfId="194" priority="619">
      <formula>AND($I$91="",$J$91="")</formula>
    </cfRule>
  </conditionalFormatting>
  <conditionalFormatting sqref="M92:N92 P92">
    <cfRule type="expression" dxfId="193" priority="621">
      <formula>AND($I$92="",$J$92="")</formula>
    </cfRule>
  </conditionalFormatting>
  <conditionalFormatting sqref="M93:N93 P93">
    <cfRule type="expression" dxfId="192" priority="623">
      <formula>AND($I$93="",$J$93="")</formula>
    </cfRule>
  </conditionalFormatting>
  <conditionalFormatting sqref="M94:N94 P94">
    <cfRule type="expression" dxfId="191" priority="625">
      <formula>AND($I$94="",$J$94="")</formula>
    </cfRule>
  </conditionalFormatting>
  <conditionalFormatting sqref="D117:I117 D118:J119 L117:T119">
    <cfRule type="expression" dxfId="190" priority="20">
      <formula>$C$101=MsgNotUsed</formula>
    </cfRule>
  </conditionalFormatting>
  <conditionalFormatting sqref="D129:I129 D130:J131 L129:T131">
    <cfRule type="expression" dxfId="189" priority="19">
      <formula>$C$101=MsgNotUsed</formula>
    </cfRule>
  </conditionalFormatting>
  <conditionalFormatting sqref="D141:I141 D142:J143 L141:T143">
    <cfRule type="expression" dxfId="188" priority="18">
      <formula>$C$101=MsgNotUsed</formula>
    </cfRule>
  </conditionalFormatting>
  <conditionalFormatting sqref="D153:I153 D154:J155 L153:T155">
    <cfRule type="expression" dxfId="187" priority="17">
      <formula>$C$101=MsgNotUsed</formula>
    </cfRule>
  </conditionalFormatting>
  <conditionalFormatting sqref="D165:I165 D166:J167 L165:T167">
    <cfRule type="expression" dxfId="186" priority="16">
      <formula>$C$101=MsgNotUsed</formula>
    </cfRule>
  </conditionalFormatting>
  <conditionalFormatting sqref="D177:I177 D178:J179 L177:T179">
    <cfRule type="expression" dxfId="185" priority="15">
      <formula>$C$101=MsgNotUsed</formula>
    </cfRule>
  </conditionalFormatting>
  <conditionalFormatting sqref="D189:I189 D190:J191 L189:T191">
    <cfRule type="expression" dxfId="184" priority="14">
      <formula>$C$101=MsgNotUsed</formula>
    </cfRule>
  </conditionalFormatting>
  <conditionalFormatting sqref="D201:I201 D202:J203 L201:T203">
    <cfRule type="expression" dxfId="183" priority="13">
      <formula>$C$101=MsgNotUsed</formula>
    </cfRule>
  </conditionalFormatting>
  <conditionalFormatting sqref="D213:I213 D214:J215 L213:T215">
    <cfRule type="expression" dxfId="182" priority="12">
      <formula>$C$101=MsgNotUsed</formula>
    </cfRule>
  </conditionalFormatting>
  <conditionalFormatting sqref="D225:I225 D226:J227 L225:T227">
    <cfRule type="expression" dxfId="181" priority="11">
      <formula>$C$101=MsgNotUsed</formula>
    </cfRule>
  </conditionalFormatting>
  <conditionalFormatting sqref="D237:I237 D238:J239 L237:T239">
    <cfRule type="expression" dxfId="180" priority="10">
      <formula>$C$101=MsgNotUsed</formula>
    </cfRule>
  </conditionalFormatting>
  <conditionalFormatting sqref="D249:I249 D250:J251 L249:T251">
    <cfRule type="expression" dxfId="179" priority="9">
      <formula>$C$101=MsgNotUsed</formula>
    </cfRule>
  </conditionalFormatting>
  <conditionalFormatting sqref="D261:I261 D262:J263 L261:T263">
    <cfRule type="expression" dxfId="178" priority="8">
      <formula>$C$101=MsgNotUsed</formula>
    </cfRule>
  </conditionalFormatting>
  <conditionalFormatting sqref="D273:I273 D274:J275 L273:T275">
    <cfRule type="expression" dxfId="177" priority="7">
      <formula>$C$101=MsgNotUsed</formula>
    </cfRule>
  </conditionalFormatting>
  <conditionalFormatting sqref="D285:I285 D286:J287 L285:T287">
    <cfRule type="expression" dxfId="176" priority="6">
      <formula>$C$101=MsgNotUsed</formula>
    </cfRule>
  </conditionalFormatting>
  <conditionalFormatting sqref="D297:I297 D298:J299 L297:T299">
    <cfRule type="expression" dxfId="175" priority="5">
      <formula>$C$101=MsgNotUsed</formula>
    </cfRule>
  </conditionalFormatting>
  <conditionalFormatting sqref="D309:I309 D310:J311 L309:T311">
    <cfRule type="expression" dxfId="174" priority="4">
      <formula>$C$101=MsgNotUsed</formula>
    </cfRule>
  </conditionalFormatting>
  <conditionalFormatting sqref="D321:I321 D322:J323 L321:T323">
    <cfRule type="expression" dxfId="173" priority="3">
      <formula>$C$101=MsgNotUsed</formula>
    </cfRule>
  </conditionalFormatting>
  <conditionalFormatting sqref="D333:I333 D334:J335 L333:T335">
    <cfRule type="expression" dxfId="172" priority="2">
      <formula>$C$101=MsgNotUsed</formula>
    </cfRule>
  </conditionalFormatting>
  <conditionalFormatting sqref="D50:T69">
    <cfRule type="expression" dxfId="171" priority="1">
      <formula>$C50=""</formula>
    </cfRule>
  </conditionalFormatting>
  <dataValidations count="3">
    <dataValidation type="list" allowBlank="1" showInputMessage="1" showErrorMessage="1" sqref="H50:H69">
      <formula1>TPShort</formula1>
    </dataValidation>
    <dataValidation type="list" allowBlank="1" showInputMessage="1" showErrorMessage="1" sqref="P50:Q69">
      <formula1>Switch</formula1>
    </dataValidation>
    <dataValidation type="list" allowBlank="1" showInputMessage="1" showErrorMessage="1" sqref="O50:O69">
      <formula1>CoPayBands</formula1>
    </dataValidation>
  </dataValidations>
  <pageMargins left="0.11811023622047245" right="0.11811023622047245" top="0.19685039370078741" bottom="0.15748031496062992" header="0.31496062992125984" footer="0.31496062992125984"/>
  <pageSetup paperSize="9" scale="41" orientation="landscape" horizontalDpi="300" verticalDpi="30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7"/>
    <pageSetUpPr fitToPage="1"/>
  </sheetPr>
  <dimension ref="A1:AU168"/>
  <sheetViews>
    <sheetView showGridLines="0" zoomScaleNormal="100" workbookViewId="0">
      <pane ySplit="3" topLeftCell="A4" activePane="bottomLeft" state="frozen"/>
      <selection activeCell="B7" sqref="B7:G7"/>
      <selection pane="bottomLeft"/>
    </sheetView>
  </sheetViews>
  <sheetFormatPr defaultRowHeight="12.75" customHeight="1" outlineLevelRow="1" x14ac:dyDescent="0.2"/>
  <cols>
    <col min="1" max="1" width="3.7109375" customWidth="1"/>
    <col min="2" max="3" width="3.7109375" style="416" hidden="1" customWidth="1"/>
    <col min="4" max="4" width="3.7109375" hidden="1" customWidth="1"/>
    <col min="5" max="5" width="50.7109375" customWidth="1"/>
    <col min="6" max="19" width="15.7109375" customWidth="1"/>
    <col min="20" max="21" width="15.7109375" style="416" customWidth="1"/>
    <col min="22" max="22" width="3.7109375" style="416" hidden="1" customWidth="1"/>
    <col min="23" max="25" width="15.7109375" hidden="1" customWidth="1"/>
    <col min="26" max="26" width="3.7109375" style="416" hidden="1" customWidth="1"/>
    <col min="27" max="29" width="15.7109375" style="416" hidden="1" customWidth="1"/>
    <col min="30" max="30" width="3.7109375" style="416" hidden="1" customWidth="1"/>
    <col min="31" max="31" width="10.7109375" hidden="1" customWidth="1"/>
    <col min="32" max="32" width="50.7109375" hidden="1" customWidth="1"/>
    <col min="33" max="46" width="10.7109375" hidden="1" customWidth="1"/>
  </cols>
  <sheetData>
    <row r="1" spans="1:46" ht="23.25" x14ac:dyDescent="0.2">
      <c r="A1" s="338">
        <f>IF((SUM(F36:K36)+SUM(M36:R36)&lt;&gt;0),2,0)</f>
        <v>0</v>
      </c>
      <c r="B1" s="338"/>
      <c r="C1" s="338"/>
      <c r="D1" s="334"/>
      <c r="E1" s="335" t="s">
        <v>818</v>
      </c>
      <c r="F1" s="334"/>
      <c r="G1" s="334"/>
      <c r="H1" s="334"/>
      <c r="I1" s="334"/>
      <c r="J1" s="339" t="str">
        <f>"Source: " &amp; '0. Title'!E39</f>
        <v xml:space="preserve">Source: </v>
      </c>
      <c r="K1" s="335"/>
      <c r="L1" s="334"/>
      <c r="M1" s="334"/>
      <c r="N1" s="334"/>
      <c r="O1" s="334"/>
      <c r="P1" s="334"/>
      <c r="Q1" s="334"/>
      <c r="R1" s="334"/>
      <c r="S1" s="334"/>
      <c r="T1" s="334"/>
      <c r="U1" s="334"/>
      <c r="V1" s="334"/>
      <c r="W1" s="334"/>
      <c r="X1" s="334"/>
      <c r="Y1" s="334"/>
      <c r="Z1" s="334"/>
      <c r="AA1" s="334"/>
      <c r="AB1" s="334"/>
      <c r="AC1" s="334"/>
      <c r="AD1" s="334"/>
      <c r="AE1" s="334"/>
      <c r="AF1" s="334"/>
      <c r="AG1" s="334"/>
      <c r="AH1" s="334"/>
      <c r="AI1" s="334"/>
      <c r="AJ1" s="334"/>
      <c r="AK1" s="334"/>
      <c r="AL1" s="334"/>
      <c r="AM1" s="334"/>
      <c r="AN1" s="334"/>
      <c r="AO1" s="334"/>
      <c r="AP1" s="334"/>
      <c r="AQ1" s="334"/>
      <c r="AR1" s="334"/>
      <c r="AS1" s="334"/>
      <c r="AT1" s="334"/>
    </row>
    <row r="2" spans="1:46" ht="15.75" x14ac:dyDescent="0.2">
      <c r="A2" s="334"/>
      <c r="B2" s="334"/>
      <c r="C2" s="334"/>
      <c r="D2" s="334"/>
      <c r="E2" s="337" t="str">
        <f>CONCATENATE("Name of medicine: ", MedicineBrand)</f>
        <v xml:space="preserve">Name of medicine: </v>
      </c>
      <c r="F2" s="334"/>
      <c r="G2" s="334"/>
      <c r="H2" s="334"/>
      <c r="I2" s="334"/>
      <c r="J2" s="334"/>
      <c r="K2" s="334"/>
      <c r="L2" s="334"/>
      <c r="M2" s="334"/>
      <c r="N2" s="334"/>
      <c r="O2" s="334"/>
      <c r="P2" s="334"/>
      <c r="Q2" s="334"/>
      <c r="R2" s="334"/>
      <c r="S2" s="334"/>
      <c r="T2" s="334"/>
      <c r="U2" s="334"/>
      <c r="V2" s="334"/>
      <c r="W2" s="334"/>
      <c r="X2" s="334"/>
      <c r="Y2" s="334"/>
      <c r="Z2" s="334"/>
      <c r="AA2" s="334"/>
      <c r="AB2" s="334"/>
      <c r="AC2" s="334"/>
      <c r="AD2" s="334"/>
      <c r="AE2" s="334"/>
      <c r="AF2" s="334"/>
      <c r="AG2" s="334"/>
      <c r="AH2" s="334"/>
      <c r="AI2" s="334"/>
      <c r="AJ2" s="334"/>
      <c r="AK2" s="334"/>
      <c r="AL2" s="334"/>
      <c r="AM2" s="334"/>
      <c r="AN2" s="334"/>
      <c r="AO2" s="334"/>
      <c r="AP2" s="334"/>
      <c r="AQ2" s="334"/>
      <c r="AR2" s="334"/>
      <c r="AS2" s="334"/>
      <c r="AT2" s="334"/>
    </row>
    <row r="3" spans="1:46" ht="15.75" x14ac:dyDescent="0.2">
      <c r="A3" s="334"/>
      <c r="B3" s="334"/>
      <c r="C3" s="334"/>
      <c r="D3" s="334"/>
      <c r="E3" s="337" t="str">
        <f>CONCATENATE("Indication: ",Indication)</f>
        <v xml:space="preserve">Indication: </v>
      </c>
      <c r="F3" s="334"/>
      <c r="G3" s="334"/>
      <c r="H3" s="334"/>
      <c r="I3" s="334"/>
      <c r="J3" s="334"/>
      <c r="K3" s="334"/>
      <c r="L3" s="334"/>
      <c r="M3" s="334"/>
      <c r="N3" s="334"/>
      <c r="O3" s="334"/>
      <c r="P3" s="334"/>
      <c r="Q3" s="334"/>
      <c r="R3" s="334"/>
      <c r="S3" s="334"/>
      <c r="T3" s="334"/>
      <c r="U3" s="334"/>
      <c r="V3" s="334"/>
      <c r="W3" s="334"/>
      <c r="X3" s="334"/>
      <c r="Y3" s="334"/>
      <c r="Z3" s="334"/>
      <c r="AA3" s="334"/>
      <c r="AB3" s="334"/>
      <c r="AC3" s="334"/>
      <c r="AD3" s="334"/>
      <c r="AE3" s="334"/>
      <c r="AF3" s="334"/>
      <c r="AG3" s="334"/>
      <c r="AH3" s="334"/>
      <c r="AI3" s="334"/>
      <c r="AJ3" s="334"/>
      <c r="AK3" s="334"/>
      <c r="AL3" s="334"/>
      <c r="AM3" s="334"/>
      <c r="AN3" s="334"/>
      <c r="AO3" s="334"/>
      <c r="AP3" s="334"/>
      <c r="AQ3" s="334"/>
      <c r="AR3" s="334"/>
      <c r="AS3" s="334"/>
      <c r="AT3" s="334"/>
    </row>
    <row r="4" spans="1:46" s="420" customFormat="1" x14ac:dyDescent="0.2">
      <c r="A4" s="162"/>
      <c r="B4" s="162"/>
      <c r="C4" s="162"/>
      <c r="D4" s="162"/>
      <c r="E4" s="648"/>
      <c r="F4" s="700"/>
      <c r="G4" s="162"/>
      <c r="H4" s="162"/>
      <c r="I4" s="162"/>
      <c r="J4" s="162"/>
      <c r="K4" s="162"/>
      <c r="L4" s="162"/>
      <c r="M4" s="162"/>
      <c r="N4" s="162"/>
      <c r="O4" s="162"/>
      <c r="P4" s="162"/>
      <c r="Q4" s="162"/>
      <c r="R4" s="162"/>
      <c r="S4" s="162"/>
      <c r="T4" s="162"/>
      <c r="U4" s="162"/>
      <c r="V4" s="162"/>
      <c r="W4" s="162"/>
      <c r="X4" s="162"/>
      <c r="Y4" s="615"/>
      <c r="Z4" s="615"/>
      <c r="AA4" s="615"/>
      <c r="AB4" s="615"/>
      <c r="AC4" s="615"/>
      <c r="AD4" s="615"/>
      <c r="AE4" s="641"/>
      <c r="AF4" s="641"/>
      <c r="AG4" s="641"/>
      <c r="AH4" s="641"/>
      <c r="AI4" s="641"/>
      <c r="AJ4" s="641"/>
      <c r="AK4" s="641"/>
      <c r="AL4" s="641"/>
      <c r="AM4" s="641"/>
      <c r="AN4" s="641"/>
      <c r="AO4" s="641"/>
      <c r="AP4" s="641"/>
      <c r="AQ4" s="641"/>
      <c r="AR4" s="641"/>
      <c r="AS4" s="641"/>
      <c r="AT4" s="641"/>
    </row>
    <row r="5" spans="1:46" ht="15.75" x14ac:dyDescent="0.2">
      <c r="A5" s="125"/>
      <c r="B5" s="125"/>
      <c r="C5" s="125"/>
      <c r="D5" s="120"/>
      <c r="E5" s="123" t="s">
        <v>2</v>
      </c>
      <c r="F5" s="149"/>
      <c r="G5" s="124"/>
      <c r="H5" s="124"/>
      <c r="I5" s="124"/>
      <c r="J5" s="124"/>
      <c r="K5" s="124"/>
      <c r="L5" s="124"/>
      <c r="M5" s="124"/>
      <c r="N5" s="124"/>
      <c r="O5" s="124"/>
      <c r="P5" s="124"/>
      <c r="Q5" s="124"/>
      <c r="R5" s="124"/>
      <c r="S5" s="124"/>
      <c r="T5" s="124"/>
      <c r="U5" s="124"/>
      <c r="V5" s="124"/>
      <c r="W5" s="124"/>
      <c r="X5" s="124"/>
      <c r="Y5" s="124"/>
      <c r="Z5" s="124"/>
      <c r="AA5" s="124"/>
      <c r="AB5" s="124"/>
      <c r="AC5" s="124"/>
      <c r="AD5" s="124"/>
      <c r="AE5" s="124"/>
      <c r="AF5" s="124"/>
      <c r="AG5" s="124"/>
      <c r="AH5" s="124"/>
      <c r="AI5" s="124"/>
      <c r="AJ5" s="124"/>
      <c r="AK5" s="124"/>
      <c r="AL5" s="124"/>
      <c r="AM5" s="124"/>
      <c r="AN5" s="124"/>
      <c r="AO5" s="124"/>
      <c r="AP5" s="124"/>
      <c r="AQ5" s="124"/>
      <c r="AR5" s="124"/>
      <c r="AS5" s="124"/>
      <c r="AT5" s="124"/>
    </row>
    <row r="6" spans="1:46" ht="14.25" x14ac:dyDescent="0.2">
      <c r="A6" s="125"/>
      <c r="B6" s="125"/>
      <c r="C6" s="125"/>
      <c r="D6" s="125"/>
      <c r="E6" s="647"/>
      <c r="F6" s="656"/>
      <c r="G6" s="125"/>
      <c r="H6" s="125"/>
      <c r="I6" s="125"/>
      <c r="J6" s="125"/>
      <c r="K6" s="125"/>
      <c r="L6" s="125"/>
      <c r="M6" s="125"/>
      <c r="N6" s="125"/>
      <c r="O6" s="125"/>
      <c r="P6" s="125"/>
      <c r="Q6" s="125"/>
      <c r="R6" s="125"/>
      <c r="S6" s="125"/>
      <c r="T6" s="125"/>
      <c r="U6" s="125"/>
      <c r="V6" s="125"/>
      <c r="W6" s="125"/>
      <c r="X6" s="125"/>
      <c r="Y6" s="125"/>
      <c r="Z6" s="125"/>
      <c r="AA6" s="125"/>
      <c r="AB6" s="125"/>
      <c r="AC6" s="125"/>
      <c r="AD6" s="125"/>
      <c r="AE6" s="125"/>
      <c r="AF6" s="125"/>
      <c r="AG6" s="125"/>
      <c r="AH6" s="125"/>
      <c r="AI6" s="125"/>
      <c r="AJ6" s="125"/>
      <c r="AK6" s="125"/>
      <c r="AL6" s="125"/>
      <c r="AM6" s="125"/>
      <c r="AN6" s="125"/>
      <c r="AO6" s="125"/>
      <c r="AP6" s="125"/>
      <c r="AQ6" s="125"/>
      <c r="AR6" s="125"/>
      <c r="AS6" s="125"/>
      <c r="AT6" s="125"/>
    </row>
    <row r="7" spans="1:46" x14ac:dyDescent="0.2">
      <c r="A7" s="125"/>
      <c r="B7" s="125"/>
      <c r="C7" s="125"/>
      <c r="D7" s="125"/>
      <c r="E7" s="162" t="s">
        <v>819</v>
      </c>
      <c r="F7" s="700"/>
      <c r="G7" s="700"/>
      <c r="H7" s="700"/>
      <c r="I7" s="700"/>
      <c r="J7" s="700"/>
      <c r="K7" s="700"/>
      <c r="L7" s="700"/>
      <c r="M7" s="700"/>
      <c r="N7" s="700"/>
      <c r="O7" s="700"/>
      <c r="P7" s="700"/>
      <c r="Q7" s="700"/>
      <c r="R7" s="700"/>
      <c r="S7" s="700"/>
      <c r="T7" s="700"/>
      <c r="U7" s="700"/>
      <c r="V7" s="700"/>
      <c r="W7" s="700"/>
      <c r="X7" s="700"/>
      <c r="Y7" s="615"/>
      <c r="Z7" s="615"/>
      <c r="AA7" s="615"/>
      <c r="AB7" s="615"/>
      <c r="AC7" s="615"/>
      <c r="AD7" s="615"/>
      <c r="AE7" s="615"/>
      <c r="AF7" s="615"/>
      <c r="AG7" s="615"/>
      <c r="AH7" s="615"/>
      <c r="AI7" s="615"/>
      <c r="AJ7" s="615"/>
      <c r="AK7" s="615"/>
      <c r="AL7" s="615"/>
      <c r="AM7" s="615"/>
      <c r="AN7" s="615"/>
      <c r="AO7" s="615"/>
      <c r="AP7" s="615"/>
      <c r="AQ7" s="615"/>
      <c r="AR7" s="615"/>
      <c r="AS7" s="615"/>
      <c r="AT7" s="615"/>
    </row>
    <row r="8" spans="1:46" x14ac:dyDescent="0.2">
      <c r="A8" s="125"/>
      <c r="B8" s="125"/>
      <c r="C8" s="125"/>
      <c r="D8" s="125"/>
      <c r="E8" s="644"/>
      <c r="F8" s="660"/>
      <c r="G8" s="660"/>
      <c r="H8" s="660"/>
      <c r="I8" s="660"/>
      <c r="J8" s="660"/>
      <c r="K8" s="660"/>
      <c r="L8" s="660"/>
      <c r="M8" s="660"/>
      <c r="N8" s="700"/>
      <c r="O8" s="700"/>
      <c r="P8" s="700"/>
      <c r="Q8" s="700"/>
      <c r="R8" s="700"/>
      <c r="S8" s="700"/>
      <c r="T8" s="700"/>
      <c r="U8" s="700"/>
      <c r="V8" s="700"/>
      <c r="W8" s="700"/>
      <c r="X8" s="700"/>
      <c r="Y8" s="615"/>
      <c r="Z8" s="615"/>
      <c r="AA8" s="615"/>
      <c r="AB8" s="615"/>
      <c r="AC8" s="615"/>
      <c r="AD8" s="615"/>
      <c r="AE8" s="615"/>
      <c r="AF8" s="615"/>
      <c r="AG8" s="615"/>
      <c r="AH8" s="615"/>
      <c r="AI8" s="615"/>
      <c r="AJ8" s="615"/>
      <c r="AK8" s="615"/>
      <c r="AL8" s="615"/>
      <c r="AM8" s="615"/>
      <c r="AN8" s="615"/>
      <c r="AO8" s="615"/>
      <c r="AP8" s="615"/>
      <c r="AQ8" s="615"/>
      <c r="AR8" s="615"/>
      <c r="AS8" s="615"/>
      <c r="AT8" s="615"/>
    </row>
    <row r="9" spans="1:46" x14ac:dyDescent="0.2">
      <c r="A9" s="125"/>
      <c r="B9" s="125"/>
      <c r="C9" s="125"/>
      <c r="D9" s="125"/>
      <c r="E9" s="162"/>
      <c r="F9" s="162"/>
      <c r="G9" s="162"/>
      <c r="H9" s="162"/>
      <c r="I9" s="162"/>
      <c r="J9" s="162"/>
      <c r="K9" s="162"/>
      <c r="L9" s="162"/>
      <c r="M9" s="162"/>
      <c r="N9" s="162"/>
      <c r="O9" s="162"/>
      <c r="P9" s="162"/>
      <c r="Q9" s="162"/>
      <c r="R9" s="162"/>
      <c r="S9" s="162"/>
      <c r="T9" s="162"/>
      <c r="U9" s="162"/>
      <c r="V9" s="162"/>
      <c r="W9" s="162"/>
      <c r="X9" s="162"/>
      <c r="Y9" s="615"/>
      <c r="Z9" s="615"/>
      <c r="AA9" s="615"/>
      <c r="AB9" s="615"/>
      <c r="AC9" s="615"/>
      <c r="AD9" s="615"/>
      <c r="AE9" s="615"/>
      <c r="AF9" s="615"/>
      <c r="AG9" s="615"/>
      <c r="AH9" s="615"/>
      <c r="AI9" s="615"/>
      <c r="AJ9" s="615"/>
      <c r="AK9" s="615"/>
      <c r="AL9" s="615"/>
      <c r="AM9" s="615"/>
      <c r="AN9" s="615"/>
      <c r="AO9" s="615"/>
      <c r="AP9" s="615"/>
      <c r="AQ9" s="615"/>
      <c r="AR9" s="615"/>
      <c r="AS9" s="615"/>
      <c r="AT9" s="615"/>
    </row>
    <row r="10" spans="1:46" ht="15.75" x14ac:dyDescent="0.2">
      <c r="A10" s="125"/>
      <c r="B10" s="125"/>
      <c r="C10" s="125"/>
      <c r="D10" s="125"/>
      <c r="E10" s="123" t="s">
        <v>862</v>
      </c>
      <c r="F10" s="149"/>
      <c r="G10" s="124"/>
      <c r="H10" s="124"/>
      <c r="I10" s="124"/>
      <c r="J10" s="124"/>
      <c r="K10" s="124"/>
      <c r="L10" s="124"/>
      <c r="M10" s="124"/>
      <c r="N10" s="124"/>
      <c r="O10" s="124"/>
      <c r="P10" s="124"/>
      <c r="Q10" s="124"/>
      <c r="R10" s="124"/>
      <c r="S10" s="124"/>
      <c r="T10" s="124"/>
      <c r="U10" s="124"/>
      <c r="V10" s="124"/>
      <c r="W10" s="124"/>
      <c r="X10" s="124"/>
      <c r="Y10" s="124"/>
      <c r="Z10" s="124"/>
      <c r="AA10" s="124"/>
      <c r="AB10" s="124"/>
      <c r="AC10" s="124"/>
      <c r="AD10" s="124"/>
      <c r="AE10" s="124"/>
      <c r="AF10" s="124"/>
      <c r="AG10" s="124"/>
      <c r="AH10" s="124"/>
      <c r="AI10" s="124"/>
      <c r="AJ10" s="124"/>
      <c r="AK10" s="124"/>
      <c r="AL10" s="124"/>
      <c r="AM10" s="124"/>
      <c r="AN10" s="124"/>
      <c r="AO10" s="124"/>
      <c r="AP10" s="124"/>
      <c r="AQ10" s="124"/>
      <c r="AR10" s="124"/>
      <c r="AS10" s="124"/>
      <c r="AT10" s="124"/>
    </row>
    <row r="11" spans="1:46" s="420" customFormat="1" x14ac:dyDescent="0.2">
      <c r="A11" s="162"/>
      <c r="B11" s="162"/>
      <c r="C11" s="162"/>
      <c r="D11" s="162"/>
      <c r="E11" s="616"/>
      <c r="F11" s="700"/>
      <c r="G11" s="162"/>
      <c r="H11" s="162"/>
      <c r="I11" s="162"/>
      <c r="J11" s="162"/>
      <c r="K11" s="162"/>
      <c r="L11" s="162"/>
      <c r="M11" s="162"/>
      <c r="N11" s="162"/>
      <c r="O11" s="162"/>
      <c r="P11" s="162"/>
      <c r="Q11" s="162"/>
      <c r="R11" s="162"/>
      <c r="S11" s="162"/>
      <c r="T11" s="162"/>
      <c r="U11" s="162"/>
      <c r="V11" s="162"/>
      <c r="W11" s="162"/>
      <c r="X11" s="162"/>
      <c r="Y11" s="162"/>
      <c r="Z11" s="162"/>
      <c r="AA11" s="162"/>
      <c r="AB11" s="162"/>
      <c r="AC11" s="162"/>
      <c r="AD11" s="162"/>
      <c r="AE11" s="162"/>
      <c r="AF11" s="162"/>
      <c r="AG11" s="162"/>
      <c r="AH11" s="162"/>
      <c r="AI11" s="162"/>
      <c r="AJ11" s="162"/>
      <c r="AK11" s="162"/>
      <c r="AL11" s="162"/>
      <c r="AM11" s="162"/>
      <c r="AN11" s="162"/>
      <c r="AO11" s="162"/>
      <c r="AP11" s="162"/>
      <c r="AQ11" s="162"/>
      <c r="AR11" s="162"/>
      <c r="AS11" s="162"/>
      <c r="AT11" s="162"/>
    </row>
    <row r="12" spans="1:46" s="420" customFormat="1" x14ac:dyDescent="0.2">
      <c r="A12" s="162"/>
      <c r="B12" s="162"/>
      <c r="C12" s="162"/>
      <c r="D12" s="162"/>
      <c r="E12" s="646" t="s">
        <v>820</v>
      </c>
      <c r="F12" s="646"/>
      <c r="G12" s="646"/>
      <c r="H12" s="646"/>
      <c r="I12" s="646"/>
      <c r="J12" s="646"/>
      <c r="K12" s="646"/>
      <c r="L12" s="646"/>
      <c r="M12" s="646"/>
      <c r="N12" s="646"/>
      <c r="O12" s="646"/>
      <c r="P12" s="646"/>
      <c r="Q12" s="646"/>
      <c r="R12" s="646"/>
      <c r="S12" s="646"/>
      <c r="T12" s="646"/>
      <c r="U12" s="646"/>
      <c r="V12" s="646"/>
      <c r="W12" s="646"/>
      <c r="X12" s="646"/>
      <c r="Y12" s="615"/>
      <c r="Z12" s="615"/>
      <c r="AA12" s="615"/>
      <c r="AB12" s="615"/>
      <c r="AC12" s="615"/>
      <c r="AD12" s="615"/>
      <c r="AE12" s="641"/>
      <c r="AF12" s="641"/>
      <c r="AG12" s="641"/>
      <c r="AH12" s="641"/>
      <c r="AI12" s="641"/>
      <c r="AJ12" s="641"/>
      <c r="AK12" s="641"/>
      <c r="AL12" s="641"/>
      <c r="AM12" s="641"/>
      <c r="AN12" s="641"/>
      <c r="AO12" s="641"/>
      <c r="AP12" s="641"/>
      <c r="AQ12" s="641"/>
      <c r="AR12" s="641"/>
      <c r="AS12" s="641"/>
      <c r="AT12" s="641"/>
    </row>
    <row r="13" spans="1:46" s="420" customFormat="1" x14ac:dyDescent="0.2">
      <c r="A13" s="162"/>
      <c r="B13" s="162"/>
      <c r="C13" s="162"/>
      <c r="D13" s="162"/>
      <c r="E13" s="646"/>
      <c r="F13" s="646"/>
      <c r="G13" s="646"/>
      <c r="H13" s="646"/>
      <c r="I13" s="646"/>
      <c r="J13" s="646"/>
      <c r="K13" s="646"/>
      <c r="L13" s="646"/>
      <c r="M13" s="646"/>
      <c r="N13" s="162"/>
      <c r="O13" s="162"/>
      <c r="P13" s="162"/>
      <c r="Q13" s="162"/>
      <c r="R13" s="162"/>
      <c r="S13" s="162"/>
      <c r="T13" s="162"/>
      <c r="U13" s="162"/>
      <c r="V13" s="162"/>
      <c r="W13" s="162"/>
      <c r="X13" s="162"/>
      <c r="Y13" s="615"/>
      <c r="Z13" s="615"/>
      <c r="AA13" s="615"/>
      <c r="AB13" s="615"/>
      <c r="AC13" s="615"/>
      <c r="AD13" s="615"/>
      <c r="AE13" s="641"/>
      <c r="AF13" s="641"/>
      <c r="AG13" s="641"/>
      <c r="AH13" s="641"/>
      <c r="AI13" s="641"/>
      <c r="AJ13" s="641"/>
      <c r="AK13" s="641"/>
      <c r="AL13" s="641"/>
      <c r="AM13" s="641"/>
      <c r="AN13" s="641"/>
      <c r="AO13" s="641"/>
      <c r="AP13" s="641"/>
      <c r="AQ13" s="641"/>
      <c r="AR13" s="641"/>
      <c r="AS13" s="641"/>
      <c r="AT13" s="641"/>
    </row>
    <row r="14" spans="1:46" s="420" customFormat="1" x14ac:dyDescent="0.2">
      <c r="A14" s="162"/>
      <c r="B14" s="162"/>
      <c r="C14" s="162"/>
      <c r="D14" s="162"/>
      <c r="E14" s="646"/>
      <c r="F14" s="830" t="s">
        <v>223</v>
      </c>
      <c r="G14" s="841"/>
      <c r="H14" s="841"/>
      <c r="I14" s="841"/>
      <c r="J14" s="841"/>
      <c r="K14" s="842"/>
      <c r="L14" s="162"/>
      <c r="M14" s="830" t="s">
        <v>224</v>
      </c>
      <c r="N14" s="841"/>
      <c r="O14" s="841"/>
      <c r="P14" s="841"/>
      <c r="Q14" s="841"/>
      <c r="R14" s="842"/>
      <c r="S14" s="162"/>
      <c r="T14" s="162"/>
      <c r="U14" s="162"/>
      <c r="V14" s="162"/>
      <c r="W14" s="162"/>
      <c r="X14" s="162"/>
      <c r="Y14" s="615"/>
      <c r="Z14" s="615"/>
      <c r="AA14" s="615"/>
      <c r="AB14" s="615"/>
      <c r="AC14" s="615"/>
      <c r="AD14" s="615"/>
      <c r="AE14" s="641"/>
      <c r="AF14" s="641"/>
      <c r="AG14" s="641"/>
      <c r="AH14" s="641"/>
      <c r="AI14" s="641"/>
      <c r="AJ14" s="641"/>
      <c r="AK14" s="641"/>
      <c r="AL14" s="641"/>
      <c r="AM14" s="641"/>
      <c r="AN14" s="641"/>
      <c r="AO14" s="641"/>
      <c r="AP14" s="641"/>
      <c r="AQ14" s="641"/>
      <c r="AR14" s="641"/>
      <c r="AS14" s="641"/>
      <c r="AT14" s="641"/>
    </row>
    <row r="15" spans="1:46" s="420" customFormat="1" x14ac:dyDescent="0.2">
      <c r="A15" s="162"/>
      <c r="B15" s="162"/>
      <c r="C15" s="162"/>
      <c r="D15" s="162"/>
      <c r="E15" s="66" t="s">
        <v>812</v>
      </c>
      <c r="F15" s="458">
        <f>FirstYear</f>
        <v>2021</v>
      </c>
      <c r="G15" s="458">
        <f>F15+1</f>
        <v>2022</v>
      </c>
      <c r="H15" s="458">
        <f>G15+1</f>
        <v>2023</v>
      </c>
      <c r="I15" s="458">
        <f>H15+1</f>
        <v>2024</v>
      </c>
      <c r="J15" s="458">
        <f>I15+1</f>
        <v>2025</v>
      </c>
      <c r="K15" s="458">
        <f>J15+1</f>
        <v>2026</v>
      </c>
      <c r="L15" s="162"/>
      <c r="M15" s="458">
        <f>FirstYear</f>
        <v>2021</v>
      </c>
      <c r="N15" s="458">
        <f>M15+1</f>
        <v>2022</v>
      </c>
      <c r="O15" s="458">
        <f>N15+1</f>
        <v>2023</v>
      </c>
      <c r="P15" s="458">
        <f>O15+1</f>
        <v>2024</v>
      </c>
      <c r="Q15" s="458">
        <f>P15+1</f>
        <v>2025</v>
      </c>
      <c r="R15" s="458">
        <f>Q15+1</f>
        <v>2026</v>
      </c>
      <c r="S15" s="162"/>
      <c r="T15" s="162"/>
      <c r="U15" s="162"/>
      <c r="V15" s="162"/>
      <c r="W15" s="162"/>
      <c r="X15" s="162"/>
      <c r="Y15" s="615"/>
      <c r="Z15" s="615"/>
      <c r="AA15" s="615"/>
      <c r="AB15" s="615"/>
      <c r="AC15" s="615"/>
      <c r="AD15" s="615"/>
      <c r="AE15" s="641"/>
      <c r="AF15" s="641"/>
      <c r="AG15" s="641"/>
      <c r="AH15" s="641"/>
      <c r="AI15" s="641"/>
      <c r="AJ15" s="641"/>
      <c r="AK15" s="641"/>
      <c r="AL15" s="641"/>
      <c r="AM15" s="641"/>
      <c r="AN15" s="641"/>
      <c r="AO15" s="641"/>
      <c r="AP15" s="641"/>
      <c r="AQ15" s="641"/>
      <c r="AR15" s="641"/>
      <c r="AS15" s="641"/>
      <c r="AT15" s="641"/>
    </row>
    <row r="16" spans="1:46" s="420" customFormat="1" x14ac:dyDescent="0.2">
      <c r="A16" s="162"/>
      <c r="B16" s="162"/>
      <c r="C16" s="162"/>
      <c r="D16" s="58">
        <v>1</v>
      </c>
      <c r="E16" s="460" t="str">
        <f t="shared" ref="E16:E35" si="0">INDEX(NamesNew,D16)</f>
        <v>** NOT USED **</v>
      </c>
      <c r="F16" s="440">
        <f t="shared" ref="F16:K25" si="1">IF($E16&lt;&gt;"",F48+SUMIFS(F$86:F$105,$AF$86:$AF$105,$E16),0)</f>
        <v>0</v>
      </c>
      <c r="G16" s="440">
        <f t="shared" si="1"/>
        <v>0</v>
      </c>
      <c r="H16" s="440">
        <f t="shared" si="1"/>
        <v>0</v>
      </c>
      <c r="I16" s="440">
        <f t="shared" si="1"/>
        <v>0</v>
      </c>
      <c r="J16" s="440">
        <f t="shared" si="1"/>
        <v>0</v>
      </c>
      <c r="K16" s="440">
        <f t="shared" si="1"/>
        <v>0</v>
      </c>
      <c r="L16" s="162"/>
      <c r="M16" s="440">
        <f t="shared" ref="M16:R25" si="2">IF($E16&lt;&gt;"",M48+SUMIFS(M$86:M$105,$AF$86:$AF$105,$E16),0)</f>
        <v>0</v>
      </c>
      <c r="N16" s="440">
        <f t="shared" si="2"/>
        <v>0</v>
      </c>
      <c r="O16" s="440">
        <f t="shared" si="2"/>
        <v>0</v>
      </c>
      <c r="P16" s="440">
        <f t="shared" si="2"/>
        <v>0</v>
      </c>
      <c r="Q16" s="440">
        <f t="shared" si="2"/>
        <v>0</v>
      </c>
      <c r="R16" s="440">
        <f t="shared" si="2"/>
        <v>0</v>
      </c>
      <c r="S16" s="162"/>
      <c r="T16" s="162"/>
      <c r="U16" s="162"/>
      <c r="V16" s="162"/>
      <c r="W16" s="162"/>
      <c r="X16" s="162"/>
      <c r="Y16" s="615"/>
      <c r="Z16" s="615"/>
      <c r="AA16" s="615"/>
      <c r="AB16" s="615"/>
      <c r="AC16" s="615"/>
      <c r="AD16" s="615"/>
      <c r="AE16" s="641"/>
      <c r="AF16" s="641"/>
      <c r="AG16" s="641"/>
      <c r="AH16" s="641"/>
      <c r="AI16" s="641"/>
      <c r="AJ16" s="641"/>
      <c r="AK16" s="641"/>
      <c r="AL16" s="641"/>
      <c r="AM16" s="641"/>
      <c r="AN16" s="641"/>
      <c r="AO16" s="641"/>
      <c r="AP16" s="641"/>
      <c r="AQ16" s="641"/>
      <c r="AR16" s="641"/>
      <c r="AS16" s="641"/>
      <c r="AT16" s="641"/>
    </row>
    <row r="17" spans="1:46" s="420" customFormat="1" x14ac:dyDescent="0.2">
      <c r="A17" s="162"/>
      <c r="B17" s="162"/>
      <c r="C17" s="162"/>
      <c r="D17" s="58">
        <v>2</v>
      </c>
      <c r="E17" s="460" t="str">
        <f t="shared" si="0"/>
        <v>** NOT USED **</v>
      </c>
      <c r="F17" s="440">
        <f t="shared" si="1"/>
        <v>0</v>
      </c>
      <c r="G17" s="440">
        <f t="shared" si="1"/>
        <v>0</v>
      </c>
      <c r="H17" s="440">
        <f t="shared" si="1"/>
        <v>0</v>
      </c>
      <c r="I17" s="440">
        <f t="shared" si="1"/>
        <v>0</v>
      </c>
      <c r="J17" s="440">
        <f t="shared" si="1"/>
        <v>0</v>
      </c>
      <c r="K17" s="440">
        <f t="shared" si="1"/>
        <v>0</v>
      </c>
      <c r="L17" s="162"/>
      <c r="M17" s="440">
        <f t="shared" si="2"/>
        <v>0</v>
      </c>
      <c r="N17" s="440">
        <f t="shared" si="2"/>
        <v>0</v>
      </c>
      <c r="O17" s="440">
        <f t="shared" si="2"/>
        <v>0</v>
      </c>
      <c r="P17" s="440">
        <f t="shared" si="2"/>
        <v>0</v>
      </c>
      <c r="Q17" s="440">
        <f t="shared" si="2"/>
        <v>0</v>
      </c>
      <c r="R17" s="440">
        <f t="shared" si="2"/>
        <v>0</v>
      </c>
      <c r="S17" s="162"/>
      <c r="T17" s="162"/>
      <c r="U17" s="162"/>
      <c r="V17" s="162"/>
      <c r="W17" s="162"/>
      <c r="X17" s="162"/>
      <c r="Y17" s="615"/>
      <c r="Z17" s="615"/>
      <c r="AA17" s="615"/>
      <c r="AB17" s="615"/>
      <c r="AC17" s="615"/>
      <c r="AD17" s="615"/>
      <c r="AE17" s="641"/>
      <c r="AF17" s="641"/>
      <c r="AG17" s="641"/>
      <c r="AH17" s="641"/>
      <c r="AI17" s="641"/>
      <c r="AJ17" s="641"/>
      <c r="AK17" s="641"/>
      <c r="AL17" s="641"/>
      <c r="AM17" s="641"/>
      <c r="AN17" s="641"/>
      <c r="AO17" s="641"/>
      <c r="AP17" s="641"/>
      <c r="AQ17" s="641"/>
      <c r="AR17" s="641"/>
      <c r="AS17" s="641"/>
      <c r="AT17" s="641"/>
    </row>
    <row r="18" spans="1:46" s="420" customFormat="1" x14ac:dyDescent="0.2">
      <c r="A18" s="162"/>
      <c r="B18" s="162"/>
      <c r="C18" s="162"/>
      <c r="D18" s="58">
        <v>3</v>
      </c>
      <c r="E18" s="460" t="str">
        <f t="shared" si="0"/>
        <v>** NOT USED **</v>
      </c>
      <c r="F18" s="440">
        <f t="shared" si="1"/>
        <v>0</v>
      </c>
      <c r="G18" s="440">
        <f t="shared" si="1"/>
        <v>0</v>
      </c>
      <c r="H18" s="440">
        <f t="shared" si="1"/>
        <v>0</v>
      </c>
      <c r="I18" s="440">
        <f t="shared" si="1"/>
        <v>0</v>
      </c>
      <c r="J18" s="440">
        <f t="shared" si="1"/>
        <v>0</v>
      </c>
      <c r="K18" s="440">
        <f t="shared" si="1"/>
        <v>0</v>
      </c>
      <c r="L18" s="162"/>
      <c r="M18" s="440">
        <f t="shared" si="2"/>
        <v>0</v>
      </c>
      <c r="N18" s="440">
        <f t="shared" si="2"/>
        <v>0</v>
      </c>
      <c r="O18" s="440">
        <f t="shared" si="2"/>
        <v>0</v>
      </c>
      <c r="P18" s="440">
        <f t="shared" si="2"/>
        <v>0</v>
      </c>
      <c r="Q18" s="440">
        <f t="shared" si="2"/>
        <v>0</v>
      </c>
      <c r="R18" s="440">
        <f t="shared" si="2"/>
        <v>0</v>
      </c>
      <c r="S18" s="162"/>
      <c r="T18" s="162"/>
      <c r="U18" s="162"/>
      <c r="V18" s="162"/>
      <c r="W18" s="162"/>
      <c r="X18" s="162"/>
      <c r="Y18" s="615"/>
      <c r="Z18" s="615"/>
      <c r="AA18" s="615"/>
      <c r="AB18" s="615"/>
      <c r="AC18" s="615"/>
      <c r="AD18" s="615"/>
      <c r="AE18" s="641"/>
      <c r="AF18" s="641"/>
      <c r="AG18" s="641"/>
      <c r="AH18" s="641"/>
      <c r="AI18" s="641"/>
      <c r="AJ18" s="641"/>
      <c r="AK18" s="641"/>
      <c r="AL18" s="641"/>
      <c r="AM18" s="641"/>
      <c r="AN18" s="641"/>
      <c r="AO18" s="641"/>
      <c r="AP18" s="641"/>
      <c r="AQ18" s="641"/>
      <c r="AR18" s="641"/>
      <c r="AS18" s="641"/>
      <c r="AT18" s="641"/>
    </row>
    <row r="19" spans="1:46" s="420" customFormat="1" x14ac:dyDescent="0.2">
      <c r="A19" s="162"/>
      <c r="B19" s="162"/>
      <c r="C19" s="162"/>
      <c r="D19" s="58">
        <v>4</v>
      </c>
      <c r="E19" s="460" t="str">
        <f t="shared" si="0"/>
        <v>** NOT USED **</v>
      </c>
      <c r="F19" s="440">
        <f t="shared" si="1"/>
        <v>0</v>
      </c>
      <c r="G19" s="440">
        <f t="shared" si="1"/>
        <v>0</v>
      </c>
      <c r="H19" s="440">
        <f t="shared" si="1"/>
        <v>0</v>
      </c>
      <c r="I19" s="440">
        <f t="shared" si="1"/>
        <v>0</v>
      </c>
      <c r="J19" s="440">
        <f t="shared" si="1"/>
        <v>0</v>
      </c>
      <c r="K19" s="440">
        <f t="shared" si="1"/>
        <v>0</v>
      </c>
      <c r="L19" s="162"/>
      <c r="M19" s="440">
        <f t="shared" si="2"/>
        <v>0</v>
      </c>
      <c r="N19" s="440">
        <f t="shared" si="2"/>
        <v>0</v>
      </c>
      <c r="O19" s="440">
        <f t="shared" si="2"/>
        <v>0</v>
      </c>
      <c r="P19" s="440">
        <f t="shared" si="2"/>
        <v>0</v>
      </c>
      <c r="Q19" s="440">
        <f t="shared" si="2"/>
        <v>0</v>
      </c>
      <c r="R19" s="440">
        <f t="shared" si="2"/>
        <v>0</v>
      </c>
      <c r="S19" s="162"/>
      <c r="T19" s="162"/>
      <c r="U19" s="162"/>
      <c r="V19" s="162"/>
      <c r="W19" s="162"/>
      <c r="X19" s="162"/>
      <c r="Y19" s="615"/>
      <c r="Z19" s="615"/>
      <c r="AA19" s="615"/>
      <c r="AB19" s="615"/>
      <c r="AC19" s="615"/>
      <c r="AD19" s="615"/>
      <c r="AE19" s="641"/>
      <c r="AF19" s="641"/>
      <c r="AG19" s="641"/>
      <c r="AH19" s="641"/>
      <c r="AI19" s="641"/>
      <c r="AJ19" s="641"/>
      <c r="AK19" s="641"/>
      <c r="AL19" s="641"/>
      <c r="AM19" s="641"/>
      <c r="AN19" s="641"/>
      <c r="AO19" s="641"/>
      <c r="AP19" s="641"/>
      <c r="AQ19" s="641"/>
      <c r="AR19" s="641"/>
      <c r="AS19" s="641"/>
      <c r="AT19" s="641"/>
    </row>
    <row r="20" spans="1:46" s="420" customFormat="1" x14ac:dyDescent="0.2">
      <c r="A20" s="162"/>
      <c r="B20" s="162"/>
      <c r="C20" s="162"/>
      <c r="D20" s="58">
        <v>5</v>
      </c>
      <c r="E20" s="460" t="str">
        <f t="shared" si="0"/>
        <v>** NOT USED **</v>
      </c>
      <c r="F20" s="440">
        <f t="shared" si="1"/>
        <v>0</v>
      </c>
      <c r="G20" s="440">
        <f t="shared" si="1"/>
        <v>0</v>
      </c>
      <c r="H20" s="440">
        <f t="shared" si="1"/>
        <v>0</v>
      </c>
      <c r="I20" s="440">
        <f t="shared" si="1"/>
        <v>0</v>
      </c>
      <c r="J20" s="440">
        <f t="shared" si="1"/>
        <v>0</v>
      </c>
      <c r="K20" s="440">
        <f t="shared" si="1"/>
        <v>0</v>
      </c>
      <c r="L20" s="162"/>
      <c r="M20" s="440">
        <f t="shared" si="2"/>
        <v>0</v>
      </c>
      <c r="N20" s="440">
        <f t="shared" si="2"/>
        <v>0</v>
      </c>
      <c r="O20" s="440">
        <f t="shared" si="2"/>
        <v>0</v>
      </c>
      <c r="P20" s="440">
        <f t="shared" si="2"/>
        <v>0</v>
      </c>
      <c r="Q20" s="440">
        <f t="shared" si="2"/>
        <v>0</v>
      </c>
      <c r="R20" s="440">
        <f t="shared" si="2"/>
        <v>0</v>
      </c>
      <c r="S20" s="162"/>
      <c r="T20" s="162"/>
      <c r="U20" s="162"/>
      <c r="V20" s="162"/>
      <c r="W20" s="162"/>
      <c r="X20" s="162"/>
      <c r="Y20" s="615"/>
      <c r="Z20" s="615"/>
      <c r="AA20" s="615"/>
      <c r="AB20" s="615"/>
      <c r="AC20" s="615"/>
      <c r="AD20" s="615"/>
      <c r="AE20" s="641"/>
      <c r="AF20" s="641"/>
      <c r="AG20" s="641"/>
      <c r="AH20" s="641"/>
      <c r="AI20" s="641"/>
      <c r="AJ20" s="641"/>
      <c r="AK20" s="641"/>
      <c r="AL20" s="641"/>
      <c r="AM20" s="641"/>
      <c r="AN20" s="641"/>
      <c r="AO20" s="641"/>
      <c r="AP20" s="641"/>
      <c r="AQ20" s="641"/>
      <c r="AR20" s="641"/>
      <c r="AS20" s="641"/>
      <c r="AT20" s="641"/>
    </row>
    <row r="21" spans="1:46" s="420" customFormat="1" x14ac:dyDescent="0.2">
      <c r="A21" s="162"/>
      <c r="B21" s="162"/>
      <c r="C21" s="162"/>
      <c r="D21" s="58">
        <v>6</v>
      </c>
      <c r="E21" s="460" t="str">
        <f t="shared" si="0"/>
        <v>** NOT USED **</v>
      </c>
      <c r="F21" s="440">
        <f t="shared" si="1"/>
        <v>0</v>
      </c>
      <c r="G21" s="440">
        <f t="shared" si="1"/>
        <v>0</v>
      </c>
      <c r="H21" s="440">
        <f t="shared" si="1"/>
        <v>0</v>
      </c>
      <c r="I21" s="440">
        <f t="shared" si="1"/>
        <v>0</v>
      </c>
      <c r="J21" s="440">
        <f t="shared" si="1"/>
        <v>0</v>
      </c>
      <c r="K21" s="440">
        <f t="shared" si="1"/>
        <v>0</v>
      </c>
      <c r="L21" s="162"/>
      <c r="M21" s="440">
        <f t="shared" si="2"/>
        <v>0</v>
      </c>
      <c r="N21" s="440">
        <f t="shared" si="2"/>
        <v>0</v>
      </c>
      <c r="O21" s="440">
        <f t="shared" si="2"/>
        <v>0</v>
      </c>
      <c r="P21" s="440">
        <f t="shared" si="2"/>
        <v>0</v>
      </c>
      <c r="Q21" s="440">
        <f t="shared" si="2"/>
        <v>0</v>
      </c>
      <c r="R21" s="440">
        <f t="shared" si="2"/>
        <v>0</v>
      </c>
      <c r="S21" s="162"/>
      <c r="T21" s="162"/>
      <c r="U21" s="162"/>
      <c r="V21" s="162"/>
      <c r="W21" s="162"/>
      <c r="X21" s="162"/>
      <c r="Y21" s="615"/>
      <c r="Z21" s="615"/>
      <c r="AA21" s="615"/>
      <c r="AB21" s="615"/>
      <c r="AC21" s="615"/>
      <c r="AD21" s="615"/>
      <c r="AE21" s="641"/>
      <c r="AF21" s="641"/>
      <c r="AG21" s="641"/>
      <c r="AH21" s="641"/>
      <c r="AI21" s="641"/>
      <c r="AJ21" s="641"/>
      <c r="AK21" s="641"/>
      <c r="AL21" s="641"/>
      <c r="AM21" s="641"/>
      <c r="AN21" s="641"/>
      <c r="AO21" s="641"/>
      <c r="AP21" s="641"/>
      <c r="AQ21" s="641"/>
      <c r="AR21" s="641"/>
      <c r="AS21" s="641"/>
      <c r="AT21" s="641"/>
    </row>
    <row r="22" spans="1:46" s="420" customFormat="1" x14ac:dyDescent="0.2">
      <c r="A22" s="162"/>
      <c r="B22" s="162"/>
      <c r="C22" s="162"/>
      <c r="D22" s="58">
        <v>7</v>
      </c>
      <c r="E22" s="460" t="str">
        <f t="shared" si="0"/>
        <v>** NOT USED **</v>
      </c>
      <c r="F22" s="440">
        <f t="shared" si="1"/>
        <v>0</v>
      </c>
      <c r="G22" s="440">
        <f t="shared" si="1"/>
        <v>0</v>
      </c>
      <c r="H22" s="440">
        <f t="shared" si="1"/>
        <v>0</v>
      </c>
      <c r="I22" s="440">
        <f t="shared" si="1"/>
        <v>0</v>
      </c>
      <c r="J22" s="440">
        <f t="shared" si="1"/>
        <v>0</v>
      </c>
      <c r="K22" s="440">
        <f t="shared" si="1"/>
        <v>0</v>
      </c>
      <c r="L22" s="162"/>
      <c r="M22" s="440">
        <f t="shared" si="2"/>
        <v>0</v>
      </c>
      <c r="N22" s="440">
        <f t="shared" si="2"/>
        <v>0</v>
      </c>
      <c r="O22" s="440">
        <f t="shared" si="2"/>
        <v>0</v>
      </c>
      <c r="P22" s="440">
        <f t="shared" si="2"/>
        <v>0</v>
      </c>
      <c r="Q22" s="440">
        <f t="shared" si="2"/>
        <v>0</v>
      </c>
      <c r="R22" s="440">
        <f t="shared" si="2"/>
        <v>0</v>
      </c>
      <c r="S22" s="162"/>
      <c r="T22" s="162"/>
      <c r="U22" s="162"/>
      <c r="V22" s="162"/>
      <c r="W22" s="162"/>
      <c r="X22" s="162"/>
      <c r="Y22" s="615"/>
      <c r="Z22" s="615"/>
      <c r="AA22" s="615"/>
      <c r="AB22" s="615"/>
      <c r="AC22" s="615"/>
      <c r="AD22" s="615"/>
      <c r="AE22" s="641"/>
      <c r="AF22" s="641"/>
      <c r="AG22" s="641"/>
      <c r="AH22" s="641"/>
      <c r="AI22" s="641"/>
      <c r="AJ22" s="641"/>
      <c r="AK22" s="641"/>
      <c r="AL22" s="641"/>
      <c r="AM22" s="641"/>
      <c r="AN22" s="641"/>
      <c r="AO22" s="641"/>
      <c r="AP22" s="641"/>
      <c r="AQ22" s="641"/>
      <c r="AR22" s="641"/>
      <c r="AS22" s="641"/>
      <c r="AT22" s="641"/>
    </row>
    <row r="23" spans="1:46" s="420" customFormat="1" x14ac:dyDescent="0.2">
      <c r="A23" s="162"/>
      <c r="B23" s="162"/>
      <c r="C23" s="162"/>
      <c r="D23" s="58">
        <v>8</v>
      </c>
      <c r="E23" s="460" t="str">
        <f t="shared" si="0"/>
        <v>** NOT USED **</v>
      </c>
      <c r="F23" s="440">
        <f t="shared" si="1"/>
        <v>0</v>
      </c>
      <c r="G23" s="440">
        <f t="shared" si="1"/>
        <v>0</v>
      </c>
      <c r="H23" s="440">
        <f t="shared" si="1"/>
        <v>0</v>
      </c>
      <c r="I23" s="440">
        <f t="shared" si="1"/>
        <v>0</v>
      </c>
      <c r="J23" s="440">
        <f t="shared" si="1"/>
        <v>0</v>
      </c>
      <c r="K23" s="440">
        <f t="shared" si="1"/>
        <v>0</v>
      </c>
      <c r="L23" s="162"/>
      <c r="M23" s="440">
        <f t="shared" si="2"/>
        <v>0</v>
      </c>
      <c r="N23" s="440">
        <f t="shared" si="2"/>
        <v>0</v>
      </c>
      <c r="O23" s="440">
        <f t="shared" si="2"/>
        <v>0</v>
      </c>
      <c r="P23" s="440">
        <f t="shared" si="2"/>
        <v>0</v>
      </c>
      <c r="Q23" s="440">
        <f t="shared" si="2"/>
        <v>0</v>
      </c>
      <c r="R23" s="440">
        <f t="shared" si="2"/>
        <v>0</v>
      </c>
      <c r="S23" s="162"/>
      <c r="T23" s="162"/>
      <c r="U23" s="162"/>
      <c r="V23" s="162"/>
      <c r="W23" s="162"/>
      <c r="X23" s="162"/>
      <c r="Y23" s="615"/>
      <c r="Z23" s="615"/>
      <c r="AA23" s="615"/>
      <c r="AB23" s="615"/>
      <c r="AC23" s="615"/>
      <c r="AD23" s="615"/>
      <c r="AE23" s="641"/>
      <c r="AF23" s="641"/>
      <c r="AG23" s="641"/>
      <c r="AH23" s="641"/>
      <c r="AI23" s="641"/>
      <c r="AJ23" s="641"/>
      <c r="AK23" s="641"/>
      <c r="AL23" s="641"/>
      <c r="AM23" s="641"/>
      <c r="AN23" s="641"/>
      <c r="AO23" s="641"/>
      <c r="AP23" s="641"/>
      <c r="AQ23" s="641"/>
      <c r="AR23" s="641"/>
      <c r="AS23" s="641"/>
      <c r="AT23" s="641"/>
    </row>
    <row r="24" spans="1:46" s="420" customFormat="1" x14ac:dyDescent="0.2">
      <c r="A24" s="162"/>
      <c r="B24" s="162"/>
      <c r="C24" s="162"/>
      <c r="D24" s="58">
        <v>9</v>
      </c>
      <c r="E24" s="460" t="str">
        <f t="shared" si="0"/>
        <v>** NOT USED **</v>
      </c>
      <c r="F24" s="440">
        <f t="shared" si="1"/>
        <v>0</v>
      </c>
      <c r="G24" s="440">
        <f t="shared" si="1"/>
        <v>0</v>
      </c>
      <c r="H24" s="440">
        <f t="shared" si="1"/>
        <v>0</v>
      </c>
      <c r="I24" s="440">
        <f t="shared" si="1"/>
        <v>0</v>
      </c>
      <c r="J24" s="440">
        <f t="shared" si="1"/>
        <v>0</v>
      </c>
      <c r="K24" s="440">
        <f t="shared" si="1"/>
        <v>0</v>
      </c>
      <c r="L24" s="162"/>
      <c r="M24" s="440">
        <f t="shared" si="2"/>
        <v>0</v>
      </c>
      <c r="N24" s="440">
        <f t="shared" si="2"/>
        <v>0</v>
      </c>
      <c r="O24" s="440">
        <f t="shared" si="2"/>
        <v>0</v>
      </c>
      <c r="P24" s="440">
        <f t="shared" si="2"/>
        <v>0</v>
      </c>
      <c r="Q24" s="440">
        <f t="shared" si="2"/>
        <v>0</v>
      </c>
      <c r="R24" s="440">
        <f t="shared" si="2"/>
        <v>0</v>
      </c>
      <c r="S24" s="162"/>
      <c r="T24" s="162"/>
      <c r="U24" s="162"/>
      <c r="V24" s="162"/>
      <c r="W24" s="162"/>
      <c r="X24" s="162"/>
      <c r="Y24" s="615"/>
      <c r="Z24" s="615"/>
      <c r="AA24" s="615"/>
      <c r="AB24" s="615"/>
      <c r="AC24" s="615"/>
      <c r="AD24" s="615"/>
      <c r="AE24" s="641"/>
      <c r="AF24" s="641"/>
      <c r="AG24" s="641"/>
      <c r="AH24" s="641"/>
      <c r="AI24" s="641"/>
      <c r="AJ24" s="641"/>
      <c r="AK24" s="641"/>
      <c r="AL24" s="641"/>
      <c r="AM24" s="641"/>
      <c r="AN24" s="641"/>
      <c r="AO24" s="641"/>
      <c r="AP24" s="641"/>
      <c r="AQ24" s="641"/>
      <c r="AR24" s="641"/>
      <c r="AS24" s="641"/>
      <c r="AT24" s="641"/>
    </row>
    <row r="25" spans="1:46" s="420" customFormat="1" x14ac:dyDescent="0.2">
      <c r="A25" s="162"/>
      <c r="B25" s="162"/>
      <c r="C25" s="162"/>
      <c r="D25" s="58">
        <v>10</v>
      </c>
      <c r="E25" s="460" t="str">
        <f t="shared" si="0"/>
        <v>** NOT USED **</v>
      </c>
      <c r="F25" s="440">
        <f t="shared" si="1"/>
        <v>0</v>
      </c>
      <c r="G25" s="440">
        <f t="shared" si="1"/>
        <v>0</v>
      </c>
      <c r="H25" s="440">
        <f t="shared" si="1"/>
        <v>0</v>
      </c>
      <c r="I25" s="440">
        <f t="shared" si="1"/>
        <v>0</v>
      </c>
      <c r="J25" s="440">
        <f t="shared" si="1"/>
        <v>0</v>
      </c>
      <c r="K25" s="440">
        <f t="shared" si="1"/>
        <v>0</v>
      </c>
      <c r="L25" s="162"/>
      <c r="M25" s="440">
        <f t="shared" si="2"/>
        <v>0</v>
      </c>
      <c r="N25" s="440">
        <f t="shared" si="2"/>
        <v>0</v>
      </c>
      <c r="O25" s="440">
        <f t="shared" si="2"/>
        <v>0</v>
      </c>
      <c r="P25" s="440">
        <f t="shared" si="2"/>
        <v>0</v>
      </c>
      <c r="Q25" s="440">
        <f t="shared" si="2"/>
        <v>0</v>
      </c>
      <c r="R25" s="440">
        <f t="shared" si="2"/>
        <v>0</v>
      </c>
      <c r="S25" s="162"/>
      <c r="T25" s="162"/>
      <c r="U25" s="162"/>
      <c r="V25" s="162"/>
      <c r="W25" s="162"/>
      <c r="X25" s="162"/>
      <c r="Y25" s="615"/>
      <c r="Z25" s="615"/>
      <c r="AA25" s="615"/>
      <c r="AB25" s="615"/>
      <c r="AC25" s="615"/>
      <c r="AD25" s="615"/>
      <c r="AE25" s="641"/>
      <c r="AF25" s="641"/>
      <c r="AG25" s="641"/>
      <c r="AH25" s="641"/>
      <c r="AI25" s="641"/>
      <c r="AJ25" s="641"/>
      <c r="AK25" s="641"/>
      <c r="AL25" s="641"/>
      <c r="AM25" s="641"/>
      <c r="AN25" s="641"/>
      <c r="AO25" s="641"/>
      <c r="AP25" s="641"/>
      <c r="AQ25" s="641"/>
      <c r="AR25" s="641"/>
      <c r="AS25" s="641"/>
      <c r="AT25" s="641"/>
    </row>
    <row r="26" spans="1:46" s="420" customFormat="1" x14ac:dyDescent="0.2">
      <c r="A26" s="162"/>
      <c r="B26" s="162"/>
      <c r="C26" s="162"/>
      <c r="D26" s="58">
        <v>11</v>
      </c>
      <c r="E26" s="460" t="str">
        <f t="shared" si="0"/>
        <v>** NOT USED **</v>
      </c>
      <c r="F26" s="440">
        <f t="shared" ref="F26:K35" si="3">IF($E26&lt;&gt;"",F58+SUMIFS(F$86:F$105,$AF$86:$AF$105,$E26),0)</f>
        <v>0</v>
      </c>
      <c r="G26" s="440">
        <f t="shared" si="3"/>
        <v>0</v>
      </c>
      <c r="H26" s="440">
        <f t="shared" si="3"/>
        <v>0</v>
      </c>
      <c r="I26" s="440">
        <f t="shared" si="3"/>
        <v>0</v>
      </c>
      <c r="J26" s="440">
        <f t="shared" si="3"/>
        <v>0</v>
      </c>
      <c r="K26" s="440">
        <f t="shared" si="3"/>
        <v>0</v>
      </c>
      <c r="L26" s="162"/>
      <c r="M26" s="440">
        <f t="shared" ref="M26:R35" si="4">IF($E26&lt;&gt;"",M58+SUMIFS(M$86:M$105,$AF$86:$AF$105,$E26),0)</f>
        <v>0</v>
      </c>
      <c r="N26" s="440">
        <f t="shared" si="4"/>
        <v>0</v>
      </c>
      <c r="O26" s="440">
        <f t="shared" si="4"/>
        <v>0</v>
      </c>
      <c r="P26" s="440">
        <f t="shared" si="4"/>
        <v>0</v>
      </c>
      <c r="Q26" s="440">
        <f t="shared" si="4"/>
        <v>0</v>
      </c>
      <c r="R26" s="440">
        <f t="shared" si="4"/>
        <v>0</v>
      </c>
      <c r="S26" s="162"/>
      <c r="T26" s="162"/>
      <c r="U26" s="162"/>
      <c r="V26" s="162"/>
      <c r="W26" s="162"/>
      <c r="X26" s="162"/>
      <c r="Y26" s="615"/>
      <c r="Z26" s="615"/>
      <c r="AA26" s="615"/>
      <c r="AB26" s="615"/>
      <c r="AC26" s="615"/>
      <c r="AD26" s="615"/>
      <c r="AE26" s="641"/>
      <c r="AF26" s="641"/>
      <c r="AG26" s="641"/>
      <c r="AH26" s="641"/>
      <c r="AI26" s="641"/>
      <c r="AJ26" s="641"/>
      <c r="AK26" s="641"/>
      <c r="AL26" s="641"/>
      <c r="AM26" s="641"/>
      <c r="AN26" s="641"/>
      <c r="AO26" s="641"/>
      <c r="AP26" s="641"/>
      <c r="AQ26" s="641"/>
      <c r="AR26" s="641"/>
      <c r="AS26" s="641"/>
      <c r="AT26" s="641"/>
    </row>
    <row r="27" spans="1:46" s="420" customFormat="1" x14ac:dyDescent="0.2">
      <c r="A27" s="162"/>
      <c r="B27" s="162"/>
      <c r="C27" s="162"/>
      <c r="D27" s="58">
        <v>12</v>
      </c>
      <c r="E27" s="460" t="str">
        <f t="shared" si="0"/>
        <v>** NOT USED **</v>
      </c>
      <c r="F27" s="440">
        <f t="shared" si="3"/>
        <v>0</v>
      </c>
      <c r="G27" s="440">
        <f t="shared" si="3"/>
        <v>0</v>
      </c>
      <c r="H27" s="440">
        <f t="shared" si="3"/>
        <v>0</v>
      </c>
      <c r="I27" s="440">
        <f t="shared" si="3"/>
        <v>0</v>
      </c>
      <c r="J27" s="440">
        <f t="shared" si="3"/>
        <v>0</v>
      </c>
      <c r="K27" s="440">
        <f t="shared" si="3"/>
        <v>0</v>
      </c>
      <c r="L27" s="162"/>
      <c r="M27" s="440">
        <f t="shared" si="4"/>
        <v>0</v>
      </c>
      <c r="N27" s="440">
        <f t="shared" si="4"/>
        <v>0</v>
      </c>
      <c r="O27" s="440">
        <f t="shared" si="4"/>
        <v>0</v>
      </c>
      <c r="P27" s="440">
        <f t="shared" si="4"/>
        <v>0</v>
      </c>
      <c r="Q27" s="440">
        <f t="shared" si="4"/>
        <v>0</v>
      </c>
      <c r="R27" s="440">
        <f t="shared" si="4"/>
        <v>0</v>
      </c>
      <c r="S27" s="162"/>
      <c r="T27" s="162"/>
      <c r="U27" s="162"/>
      <c r="V27" s="162"/>
      <c r="W27" s="162"/>
      <c r="X27" s="162"/>
      <c r="Y27" s="615"/>
      <c r="Z27" s="615"/>
      <c r="AA27" s="615"/>
      <c r="AB27" s="615"/>
      <c r="AC27" s="615"/>
      <c r="AD27" s="615"/>
      <c r="AE27" s="641"/>
      <c r="AF27" s="641"/>
      <c r="AG27" s="641"/>
      <c r="AH27" s="641"/>
      <c r="AI27" s="641"/>
      <c r="AJ27" s="641"/>
      <c r="AK27" s="641"/>
      <c r="AL27" s="641"/>
      <c r="AM27" s="641"/>
      <c r="AN27" s="641"/>
      <c r="AO27" s="641"/>
      <c r="AP27" s="641"/>
      <c r="AQ27" s="641"/>
      <c r="AR27" s="641"/>
      <c r="AS27" s="641"/>
      <c r="AT27" s="641"/>
    </row>
    <row r="28" spans="1:46" s="420" customFormat="1" x14ac:dyDescent="0.2">
      <c r="A28" s="162"/>
      <c r="B28" s="162"/>
      <c r="C28" s="162"/>
      <c r="D28" s="58">
        <v>13</v>
      </c>
      <c r="E28" s="460" t="str">
        <f t="shared" si="0"/>
        <v>** NOT USED **</v>
      </c>
      <c r="F28" s="440">
        <f t="shared" si="3"/>
        <v>0</v>
      </c>
      <c r="G28" s="440">
        <f t="shared" si="3"/>
        <v>0</v>
      </c>
      <c r="H28" s="440">
        <f t="shared" si="3"/>
        <v>0</v>
      </c>
      <c r="I28" s="440">
        <f t="shared" si="3"/>
        <v>0</v>
      </c>
      <c r="J28" s="440">
        <f t="shared" si="3"/>
        <v>0</v>
      </c>
      <c r="K28" s="440">
        <f t="shared" si="3"/>
        <v>0</v>
      </c>
      <c r="L28" s="162"/>
      <c r="M28" s="440">
        <f t="shared" si="4"/>
        <v>0</v>
      </c>
      <c r="N28" s="440">
        <f t="shared" si="4"/>
        <v>0</v>
      </c>
      <c r="O28" s="440">
        <f t="shared" si="4"/>
        <v>0</v>
      </c>
      <c r="P28" s="440">
        <f t="shared" si="4"/>
        <v>0</v>
      </c>
      <c r="Q28" s="440">
        <f t="shared" si="4"/>
        <v>0</v>
      </c>
      <c r="R28" s="440">
        <f t="shared" si="4"/>
        <v>0</v>
      </c>
      <c r="S28" s="162"/>
      <c r="T28" s="162"/>
      <c r="U28" s="162"/>
      <c r="V28" s="162"/>
      <c r="W28" s="162"/>
      <c r="X28" s="162"/>
      <c r="Y28" s="615"/>
      <c r="Z28" s="615"/>
      <c r="AA28" s="615"/>
      <c r="AB28" s="615"/>
      <c r="AC28" s="615"/>
      <c r="AD28" s="615"/>
      <c r="AE28" s="641"/>
      <c r="AF28" s="641"/>
      <c r="AG28" s="641"/>
      <c r="AH28" s="641"/>
      <c r="AI28" s="641"/>
      <c r="AJ28" s="641"/>
      <c r="AK28" s="641"/>
      <c r="AL28" s="641"/>
      <c r="AM28" s="641"/>
      <c r="AN28" s="641"/>
      <c r="AO28" s="641"/>
      <c r="AP28" s="641"/>
      <c r="AQ28" s="641"/>
      <c r="AR28" s="641"/>
      <c r="AS28" s="641"/>
      <c r="AT28" s="641"/>
    </row>
    <row r="29" spans="1:46" s="420" customFormat="1" x14ac:dyDescent="0.2">
      <c r="A29" s="162"/>
      <c r="B29" s="162"/>
      <c r="C29" s="162"/>
      <c r="D29" s="58">
        <v>14</v>
      </c>
      <c r="E29" s="460" t="str">
        <f t="shared" si="0"/>
        <v>** NOT USED **</v>
      </c>
      <c r="F29" s="440">
        <f t="shared" si="3"/>
        <v>0</v>
      </c>
      <c r="G29" s="440">
        <f t="shared" si="3"/>
        <v>0</v>
      </c>
      <c r="H29" s="440">
        <f t="shared" si="3"/>
        <v>0</v>
      </c>
      <c r="I29" s="440">
        <f t="shared" si="3"/>
        <v>0</v>
      </c>
      <c r="J29" s="440">
        <f t="shared" si="3"/>
        <v>0</v>
      </c>
      <c r="K29" s="440">
        <f t="shared" si="3"/>
        <v>0</v>
      </c>
      <c r="L29" s="162"/>
      <c r="M29" s="440">
        <f t="shared" si="4"/>
        <v>0</v>
      </c>
      <c r="N29" s="440">
        <f t="shared" si="4"/>
        <v>0</v>
      </c>
      <c r="O29" s="440">
        <f t="shared" si="4"/>
        <v>0</v>
      </c>
      <c r="P29" s="440">
        <f t="shared" si="4"/>
        <v>0</v>
      </c>
      <c r="Q29" s="440">
        <f t="shared" si="4"/>
        <v>0</v>
      </c>
      <c r="R29" s="440">
        <f t="shared" si="4"/>
        <v>0</v>
      </c>
      <c r="S29" s="162"/>
      <c r="T29" s="162"/>
      <c r="U29" s="162"/>
      <c r="V29" s="162"/>
      <c r="W29" s="162"/>
      <c r="X29" s="162"/>
      <c r="Y29" s="615"/>
      <c r="Z29" s="615"/>
      <c r="AA29" s="615"/>
      <c r="AB29" s="615"/>
      <c r="AC29" s="615"/>
      <c r="AD29" s="615"/>
      <c r="AE29" s="641"/>
      <c r="AF29" s="641"/>
      <c r="AG29" s="641"/>
      <c r="AH29" s="641"/>
      <c r="AI29" s="641"/>
      <c r="AJ29" s="641"/>
      <c r="AK29" s="641"/>
      <c r="AL29" s="641"/>
      <c r="AM29" s="641"/>
      <c r="AN29" s="641"/>
      <c r="AO29" s="641"/>
      <c r="AP29" s="641"/>
      <c r="AQ29" s="641"/>
      <c r="AR29" s="641"/>
      <c r="AS29" s="641"/>
      <c r="AT29" s="641"/>
    </row>
    <row r="30" spans="1:46" s="420" customFormat="1" x14ac:dyDescent="0.2">
      <c r="A30" s="162"/>
      <c r="B30" s="162"/>
      <c r="C30" s="162"/>
      <c r="D30" s="58">
        <v>15</v>
      </c>
      <c r="E30" s="460" t="str">
        <f t="shared" si="0"/>
        <v>** NOT USED **</v>
      </c>
      <c r="F30" s="440">
        <f t="shared" si="3"/>
        <v>0</v>
      </c>
      <c r="G30" s="440">
        <f t="shared" si="3"/>
        <v>0</v>
      </c>
      <c r="H30" s="440">
        <f t="shared" si="3"/>
        <v>0</v>
      </c>
      <c r="I30" s="440">
        <f t="shared" si="3"/>
        <v>0</v>
      </c>
      <c r="J30" s="440">
        <f t="shared" si="3"/>
        <v>0</v>
      </c>
      <c r="K30" s="440">
        <f t="shared" si="3"/>
        <v>0</v>
      </c>
      <c r="L30" s="162"/>
      <c r="M30" s="440">
        <f t="shared" si="4"/>
        <v>0</v>
      </c>
      <c r="N30" s="440">
        <f t="shared" si="4"/>
        <v>0</v>
      </c>
      <c r="O30" s="440">
        <f t="shared" si="4"/>
        <v>0</v>
      </c>
      <c r="P30" s="440">
        <f t="shared" si="4"/>
        <v>0</v>
      </c>
      <c r="Q30" s="440">
        <f t="shared" si="4"/>
        <v>0</v>
      </c>
      <c r="R30" s="440">
        <f t="shared" si="4"/>
        <v>0</v>
      </c>
      <c r="S30" s="162"/>
      <c r="T30" s="162"/>
      <c r="U30" s="162"/>
      <c r="V30" s="162"/>
      <c r="W30" s="162"/>
      <c r="X30" s="162"/>
      <c r="Y30" s="615"/>
      <c r="Z30" s="615"/>
      <c r="AA30" s="615"/>
      <c r="AB30" s="615"/>
      <c r="AC30" s="615"/>
      <c r="AD30" s="615"/>
      <c r="AE30" s="641"/>
      <c r="AF30" s="641"/>
      <c r="AG30" s="641"/>
      <c r="AH30" s="641"/>
      <c r="AI30" s="641"/>
      <c r="AJ30" s="641"/>
      <c r="AK30" s="641"/>
      <c r="AL30" s="641"/>
      <c r="AM30" s="641"/>
      <c r="AN30" s="641"/>
      <c r="AO30" s="641"/>
      <c r="AP30" s="641"/>
      <c r="AQ30" s="641"/>
      <c r="AR30" s="641"/>
      <c r="AS30" s="641"/>
      <c r="AT30" s="641"/>
    </row>
    <row r="31" spans="1:46" s="420" customFormat="1" x14ac:dyDescent="0.2">
      <c r="A31" s="162"/>
      <c r="B31" s="162"/>
      <c r="C31" s="162"/>
      <c r="D31" s="58">
        <v>16</v>
      </c>
      <c r="E31" s="460" t="str">
        <f t="shared" si="0"/>
        <v>** NOT USED **</v>
      </c>
      <c r="F31" s="440">
        <f t="shared" si="3"/>
        <v>0</v>
      </c>
      <c r="G31" s="440">
        <f t="shared" si="3"/>
        <v>0</v>
      </c>
      <c r="H31" s="440">
        <f t="shared" si="3"/>
        <v>0</v>
      </c>
      <c r="I31" s="440">
        <f t="shared" si="3"/>
        <v>0</v>
      </c>
      <c r="J31" s="440">
        <f t="shared" si="3"/>
        <v>0</v>
      </c>
      <c r="K31" s="440">
        <f t="shared" si="3"/>
        <v>0</v>
      </c>
      <c r="L31" s="162"/>
      <c r="M31" s="440">
        <f t="shared" si="4"/>
        <v>0</v>
      </c>
      <c r="N31" s="440">
        <f t="shared" si="4"/>
        <v>0</v>
      </c>
      <c r="O31" s="440">
        <f t="shared" si="4"/>
        <v>0</v>
      </c>
      <c r="P31" s="440">
        <f t="shared" si="4"/>
        <v>0</v>
      </c>
      <c r="Q31" s="440">
        <f t="shared" si="4"/>
        <v>0</v>
      </c>
      <c r="R31" s="440">
        <f t="shared" si="4"/>
        <v>0</v>
      </c>
      <c r="S31" s="162"/>
      <c r="T31" s="162"/>
      <c r="U31" s="162"/>
      <c r="V31" s="162"/>
      <c r="W31" s="162"/>
      <c r="X31" s="162"/>
      <c r="Y31" s="615"/>
      <c r="Z31" s="615"/>
      <c r="AA31" s="615"/>
      <c r="AB31" s="615"/>
      <c r="AC31" s="615"/>
      <c r="AD31" s="615"/>
      <c r="AE31" s="641"/>
      <c r="AF31" s="641"/>
      <c r="AG31" s="641"/>
      <c r="AH31" s="641"/>
      <c r="AI31" s="641"/>
      <c r="AJ31" s="641"/>
      <c r="AK31" s="641"/>
      <c r="AL31" s="641"/>
      <c r="AM31" s="641"/>
      <c r="AN31" s="641"/>
      <c r="AO31" s="641"/>
      <c r="AP31" s="641"/>
      <c r="AQ31" s="641"/>
      <c r="AR31" s="641"/>
      <c r="AS31" s="641"/>
      <c r="AT31" s="641"/>
    </row>
    <row r="32" spans="1:46" s="420" customFormat="1" x14ac:dyDescent="0.2">
      <c r="A32" s="162"/>
      <c r="B32" s="162"/>
      <c r="C32" s="162"/>
      <c r="D32" s="58">
        <v>17</v>
      </c>
      <c r="E32" s="460" t="str">
        <f t="shared" si="0"/>
        <v>** NOT USED **</v>
      </c>
      <c r="F32" s="440">
        <f t="shared" si="3"/>
        <v>0</v>
      </c>
      <c r="G32" s="440">
        <f t="shared" si="3"/>
        <v>0</v>
      </c>
      <c r="H32" s="440">
        <f t="shared" si="3"/>
        <v>0</v>
      </c>
      <c r="I32" s="440">
        <f t="shared" si="3"/>
        <v>0</v>
      </c>
      <c r="J32" s="440">
        <f t="shared" si="3"/>
        <v>0</v>
      </c>
      <c r="K32" s="440">
        <f t="shared" si="3"/>
        <v>0</v>
      </c>
      <c r="L32" s="162"/>
      <c r="M32" s="440">
        <f t="shared" si="4"/>
        <v>0</v>
      </c>
      <c r="N32" s="440">
        <f t="shared" si="4"/>
        <v>0</v>
      </c>
      <c r="O32" s="440">
        <f t="shared" si="4"/>
        <v>0</v>
      </c>
      <c r="P32" s="440">
        <f t="shared" si="4"/>
        <v>0</v>
      </c>
      <c r="Q32" s="440">
        <f t="shared" si="4"/>
        <v>0</v>
      </c>
      <c r="R32" s="440">
        <f t="shared" si="4"/>
        <v>0</v>
      </c>
      <c r="S32" s="162"/>
      <c r="T32" s="162"/>
      <c r="U32" s="162"/>
      <c r="V32" s="162"/>
      <c r="W32" s="162"/>
      <c r="X32" s="162"/>
      <c r="Y32" s="615"/>
      <c r="Z32" s="615"/>
      <c r="AA32" s="615"/>
      <c r="AB32" s="615"/>
      <c r="AC32" s="615"/>
      <c r="AD32" s="615"/>
      <c r="AE32" s="641"/>
      <c r="AF32" s="641"/>
      <c r="AG32" s="641"/>
      <c r="AH32" s="641"/>
      <c r="AI32" s="641"/>
      <c r="AJ32" s="641"/>
      <c r="AK32" s="641"/>
      <c r="AL32" s="641"/>
      <c r="AM32" s="641"/>
      <c r="AN32" s="641"/>
      <c r="AO32" s="641"/>
      <c r="AP32" s="641"/>
      <c r="AQ32" s="641"/>
      <c r="AR32" s="641"/>
      <c r="AS32" s="641"/>
      <c r="AT32" s="641"/>
    </row>
    <row r="33" spans="1:46" s="420" customFormat="1" x14ac:dyDescent="0.2">
      <c r="A33" s="162"/>
      <c r="B33" s="162"/>
      <c r="C33" s="162"/>
      <c r="D33" s="58">
        <v>18</v>
      </c>
      <c r="E33" s="460" t="str">
        <f t="shared" si="0"/>
        <v>** NOT USED **</v>
      </c>
      <c r="F33" s="440">
        <f t="shared" si="3"/>
        <v>0</v>
      </c>
      <c r="G33" s="440">
        <f t="shared" si="3"/>
        <v>0</v>
      </c>
      <c r="H33" s="440">
        <f t="shared" si="3"/>
        <v>0</v>
      </c>
      <c r="I33" s="440">
        <f t="shared" si="3"/>
        <v>0</v>
      </c>
      <c r="J33" s="440">
        <f t="shared" si="3"/>
        <v>0</v>
      </c>
      <c r="K33" s="440">
        <f t="shared" si="3"/>
        <v>0</v>
      </c>
      <c r="L33" s="162"/>
      <c r="M33" s="440">
        <f t="shared" si="4"/>
        <v>0</v>
      </c>
      <c r="N33" s="440">
        <f t="shared" si="4"/>
        <v>0</v>
      </c>
      <c r="O33" s="440">
        <f t="shared" si="4"/>
        <v>0</v>
      </c>
      <c r="P33" s="440">
        <f t="shared" si="4"/>
        <v>0</v>
      </c>
      <c r="Q33" s="440">
        <f t="shared" si="4"/>
        <v>0</v>
      </c>
      <c r="R33" s="440">
        <f t="shared" si="4"/>
        <v>0</v>
      </c>
      <c r="S33" s="162"/>
      <c r="T33" s="162"/>
      <c r="U33" s="162"/>
      <c r="V33" s="162"/>
      <c r="W33" s="162"/>
      <c r="X33" s="162"/>
      <c r="Y33" s="615"/>
      <c r="Z33" s="615"/>
      <c r="AA33" s="615"/>
      <c r="AB33" s="615"/>
      <c r="AC33" s="615"/>
      <c r="AD33" s="615"/>
      <c r="AE33" s="641"/>
      <c r="AF33" s="641"/>
      <c r="AG33" s="641"/>
      <c r="AH33" s="641"/>
      <c r="AI33" s="641"/>
      <c r="AJ33" s="641"/>
      <c r="AK33" s="641"/>
      <c r="AL33" s="641"/>
      <c r="AM33" s="641"/>
      <c r="AN33" s="641"/>
      <c r="AO33" s="641"/>
      <c r="AP33" s="641"/>
      <c r="AQ33" s="641"/>
      <c r="AR33" s="641"/>
      <c r="AS33" s="641"/>
      <c r="AT33" s="641"/>
    </row>
    <row r="34" spans="1:46" s="420" customFormat="1" x14ac:dyDescent="0.2">
      <c r="A34" s="162"/>
      <c r="B34" s="162"/>
      <c r="C34" s="162"/>
      <c r="D34" s="58">
        <v>19</v>
      </c>
      <c r="E34" s="460" t="str">
        <f t="shared" si="0"/>
        <v>** NOT USED **</v>
      </c>
      <c r="F34" s="440">
        <f t="shared" si="3"/>
        <v>0</v>
      </c>
      <c r="G34" s="440">
        <f t="shared" si="3"/>
        <v>0</v>
      </c>
      <c r="H34" s="440">
        <f t="shared" si="3"/>
        <v>0</v>
      </c>
      <c r="I34" s="440">
        <f t="shared" si="3"/>
        <v>0</v>
      </c>
      <c r="J34" s="440">
        <f t="shared" si="3"/>
        <v>0</v>
      </c>
      <c r="K34" s="440">
        <f t="shared" si="3"/>
        <v>0</v>
      </c>
      <c r="L34" s="162"/>
      <c r="M34" s="440">
        <f t="shared" si="4"/>
        <v>0</v>
      </c>
      <c r="N34" s="440">
        <f t="shared" si="4"/>
        <v>0</v>
      </c>
      <c r="O34" s="440">
        <f t="shared" si="4"/>
        <v>0</v>
      </c>
      <c r="P34" s="440">
        <f t="shared" si="4"/>
        <v>0</v>
      </c>
      <c r="Q34" s="440">
        <f t="shared" si="4"/>
        <v>0</v>
      </c>
      <c r="R34" s="440">
        <f t="shared" si="4"/>
        <v>0</v>
      </c>
      <c r="S34" s="162"/>
      <c r="T34" s="162"/>
      <c r="U34" s="162"/>
      <c r="V34" s="162"/>
      <c r="W34" s="162"/>
      <c r="X34" s="162"/>
      <c r="Y34" s="615"/>
      <c r="Z34" s="615"/>
      <c r="AA34" s="615"/>
      <c r="AB34" s="615"/>
      <c r="AC34" s="615"/>
      <c r="AD34" s="615"/>
      <c r="AE34" s="641"/>
      <c r="AF34" s="641"/>
      <c r="AG34" s="641"/>
      <c r="AH34" s="641"/>
      <c r="AI34" s="641"/>
      <c r="AJ34" s="641"/>
      <c r="AK34" s="641"/>
      <c r="AL34" s="641"/>
      <c r="AM34" s="641"/>
      <c r="AN34" s="641"/>
      <c r="AO34" s="641"/>
      <c r="AP34" s="641"/>
      <c r="AQ34" s="641"/>
      <c r="AR34" s="641"/>
      <c r="AS34" s="641"/>
      <c r="AT34" s="641"/>
    </row>
    <row r="35" spans="1:46" s="420" customFormat="1" x14ac:dyDescent="0.2">
      <c r="A35" s="162"/>
      <c r="B35" s="162"/>
      <c r="C35" s="162"/>
      <c r="D35" s="58">
        <v>20</v>
      </c>
      <c r="E35" s="460" t="str">
        <f t="shared" si="0"/>
        <v>** NOT USED **</v>
      </c>
      <c r="F35" s="440">
        <f t="shared" si="3"/>
        <v>0</v>
      </c>
      <c r="G35" s="440">
        <f t="shared" si="3"/>
        <v>0</v>
      </c>
      <c r="H35" s="440">
        <f t="shared" si="3"/>
        <v>0</v>
      </c>
      <c r="I35" s="440">
        <f t="shared" si="3"/>
        <v>0</v>
      </c>
      <c r="J35" s="440">
        <f t="shared" si="3"/>
        <v>0</v>
      </c>
      <c r="K35" s="440">
        <f t="shared" si="3"/>
        <v>0</v>
      </c>
      <c r="L35" s="162"/>
      <c r="M35" s="440">
        <f t="shared" si="4"/>
        <v>0</v>
      </c>
      <c r="N35" s="440">
        <f t="shared" si="4"/>
        <v>0</v>
      </c>
      <c r="O35" s="440">
        <f t="shared" si="4"/>
        <v>0</v>
      </c>
      <c r="P35" s="440">
        <f t="shared" si="4"/>
        <v>0</v>
      </c>
      <c r="Q35" s="440">
        <f t="shared" si="4"/>
        <v>0</v>
      </c>
      <c r="R35" s="440">
        <f t="shared" si="4"/>
        <v>0</v>
      </c>
      <c r="S35" s="162"/>
      <c r="T35" s="162"/>
      <c r="U35" s="162"/>
      <c r="V35" s="162"/>
      <c r="W35" s="162"/>
      <c r="X35" s="162"/>
      <c r="Y35" s="615"/>
      <c r="Z35" s="615"/>
      <c r="AA35" s="615"/>
      <c r="AB35" s="615"/>
      <c r="AC35" s="615"/>
      <c r="AD35" s="615"/>
      <c r="AE35" s="641"/>
      <c r="AF35" s="641"/>
      <c r="AG35" s="641"/>
      <c r="AH35" s="641"/>
      <c r="AI35" s="641"/>
      <c r="AJ35" s="641"/>
      <c r="AK35" s="641"/>
      <c r="AL35" s="641"/>
      <c r="AM35" s="641"/>
      <c r="AN35" s="641"/>
      <c r="AO35" s="641"/>
      <c r="AP35" s="641"/>
      <c r="AQ35" s="641"/>
      <c r="AR35" s="641"/>
      <c r="AS35" s="641"/>
      <c r="AT35" s="641"/>
    </row>
    <row r="36" spans="1:46" s="420" customFormat="1" x14ac:dyDescent="0.2">
      <c r="A36" s="162"/>
      <c r="B36" s="162"/>
      <c r="C36" s="162"/>
      <c r="D36" s="162"/>
      <c r="E36" s="62" t="s">
        <v>222</v>
      </c>
      <c r="F36" s="35">
        <f t="shared" ref="F36:K36" si="5">SUM(F16:F35)</f>
        <v>0</v>
      </c>
      <c r="G36" s="35">
        <f t="shared" si="5"/>
        <v>0</v>
      </c>
      <c r="H36" s="35">
        <f t="shared" si="5"/>
        <v>0</v>
      </c>
      <c r="I36" s="35">
        <f t="shared" si="5"/>
        <v>0</v>
      </c>
      <c r="J36" s="35">
        <f t="shared" si="5"/>
        <v>0</v>
      </c>
      <c r="K36" s="35">
        <f t="shared" si="5"/>
        <v>0</v>
      </c>
      <c r="L36" s="162"/>
      <c r="M36" s="35">
        <f t="shared" ref="M36:R36" si="6">SUM(M16:M35)</f>
        <v>0</v>
      </c>
      <c r="N36" s="35">
        <f t="shared" si="6"/>
        <v>0</v>
      </c>
      <c r="O36" s="35">
        <f t="shared" si="6"/>
        <v>0</v>
      </c>
      <c r="P36" s="35">
        <f t="shared" si="6"/>
        <v>0</v>
      </c>
      <c r="Q36" s="35">
        <f t="shared" si="6"/>
        <v>0</v>
      </c>
      <c r="R36" s="35">
        <f t="shared" si="6"/>
        <v>0</v>
      </c>
      <c r="S36" s="162"/>
      <c r="T36" s="162"/>
      <c r="U36" s="162"/>
      <c r="V36" s="162"/>
      <c r="W36" s="162"/>
      <c r="X36" s="162"/>
      <c r="Y36" s="615"/>
      <c r="Z36" s="615"/>
      <c r="AA36" s="615"/>
      <c r="AB36" s="615"/>
      <c r="AC36" s="615"/>
      <c r="AD36" s="615"/>
      <c r="AE36" s="641"/>
      <c r="AF36" s="641"/>
      <c r="AG36" s="641"/>
      <c r="AH36" s="641"/>
      <c r="AI36" s="641"/>
      <c r="AJ36" s="641"/>
      <c r="AK36" s="641"/>
      <c r="AL36" s="641"/>
      <c r="AM36" s="641"/>
      <c r="AN36" s="641"/>
      <c r="AO36" s="641"/>
      <c r="AP36" s="641"/>
      <c r="AQ36" s="641"/>
      <c r="AR36" s="641"/>
      <c r="AS36" s="641"/>
      <c r="AT36" s="641"/>
    </row>
    <row r="37" spans="1:46" s="420" customFormat="1" x14ac:dyDescent="0.2">
      <c r="A37" s="162"/>
      <c r="B37" s="162"/>
      <c r="C37" s="162"/>
      <c r="D37" s="162"/>
      <c r="E37" s="678"/>
      <c r="F37" s="641"/>
      <c r="G37" s="641"/>
      <c r="H37" s="641"/>
      <c r="I37" s="641"/>
      <c r="J37" s="641"/>
      <c r="K37" s="641"/>
      <c r="L37" s="641"/>
      <c r="M37" s="641"/>
      <c r="N37" s="641"/>
      <c r="O37" s="641"/>
      <c r="P37" s="641"/>
      <c r="Q37" s="641"/>
      <c r="R37" s="641"/>
      <c r="S37" s="162"/>
      <c r="T37" s="162"/>
      <c r="U37" s="162"/>
      <c r="V37" s="162"/>
      <c r="W37" s="162"/>
      <c r="X37" s="162"/>
      <c r="Y37" s="615"/>
      <c r="Z37" s="615"/>
      <c r="AA37" s="615"/>
      <c r="AB37" s="615"/>
      <c r="AC37" s="615"/>
      <c r="AD37" s="615"/>
      <c r="AE37" s="641"/>
      <c r="AF37" s="641"/>
      <c r="AG37" s="641"/>
      <c r="AH37" s="641"/>
      <c r="AI37" s="641"/>
      <c r="AJ37" s="641"/>
      <c r="AK37" s="641"/>
      <c r="AL37" s="641"/>
      <c r="AM37" s="641"/>
      <c r="AN37" s="641"/>
      <c r="AO37" s="641"/>
      <c r="AP37" s="641"/>
      <c r="AQ37" s="641"/>
      <c r="AR37" s="641"/>
      <c r="AS37" s="641"/>
      <c r="AT37" s="641"/>
    </row>
    <row r="38" spans="1:46" s="420" customFormat="1" x14ac:dyDescent="0.2">
      <c r="A38" s="162"/>
      <c r="B38" s="162"/>
      <c r="C38" s="162"/>
      <c r="D38" s="162"/>
      <c r="E38" s="162"/>
      <c r="F38" s="458">
        <f>FirstYear</f>
        <v>2021</v>
      </c>
      <c r="G38" s="458">
        <f>F38+1</f>
        <v>2022</v>
      </c>
      <c r="H38" s="458">
        <f>G38+1</f>
        <v>2023</v>
      </c>
      <c r="I38" s="458">
        <f>H38+1</f>
        <v>2024</v>
      </c>
      <c r="J38" s="458">
        <f>I38+1</f>
        <v>2025</v>
      </c>
      <c r="K38" s="458">
        <f>J38+1</f>
        <v>2026</v>
      </c>
      <c r="L38" s="162"/>
      <c r="M38" s="162"/>
      <c r="N38" s="162"/>
      <c r="O38" s="162"/>
      <c r="P38" s="162"/>
      <c r="Q38" s="162"/>
      <c r="R38" s="162"/>
      <c r="S38" s="162"/>
      <c r="T38" s="162"/>
      <c r="U38" s="162"/>
      <c r="V38" s="162"/>
      <c r="W38" s="641"/>
      <c r="X38" s="641"/>
      <c r="Y38" s="615"/>
      <c r="Z38" s="615"/>
      <c r="AA38" s="615"/>
      <c r="AB38" s="615"/>
      <c r="AC38" s="615"/>
      <c r="AD38" s="615"/>
      <c r="AE38" s="641"/>
      <c r="AF38" s="641"/>
      <c r="AG38" s="641"/>
      <c r="AH38" s="641"/>
      <c r="AI38" s="641"/>
      <c r="AJ38" s="641"/>
      <c r="AK38" s="641"/>
      <c r="AL38" s="641"/>
      <c r="AM38" s="641"/>
      <c r="AN38" s="641"/>
      <c r="AO38" s="641"/>
      <c r="AP38" s="641"/>
      <c r="AQ38" s="641"/>
      <c r="AR38" s="641"/>
      <c r="AS38" s="641"/>
      <c r="AT38" s="641"/>
    </row>
    <row r="39" spans="1:46" s="420" customFormat="1" x14ac:dyDescent="0.2">
      <c r="A39" s="162"/>
      <c r="B39" s="162"/>
      <c r="C39" s="162"/>
      <c r="D39" s="162"/>
      <c r="E39" s="5" t="s">
        <v>232</v>
      </c>
      <c r="F39" s="40">
        <f t="shared" ref="F39:K39" si="7">F36+M36</f>
        <v>0</v>
      </c>
      <c r="G39" s="40">
        <f t="shared" si="7"/>
        <v>0</v>
      </c>
      <c r="H39" s="40">
        <f t="shared" si="7"/>
        <v>0</v>
      </c>
      <c r="I39" s="40">
        <f t="shared" si="7"/>
        <v>0</v>
      </c>
      <c r="J39" s="40">
        <f t="shared" si="7"/>
        <v>0</v>
      </c>
      <c r="K39" s="40">
        <f t="shared" si="7"/>
        <v>0</v>
      </c>
      <c r="L39" s="162"/>
      <c r="M39" s="162"/>
      <c r="N39" s="162"/>
      <c r="O39" s="162"/>
      <c r="P39" s="162"/>
      <c r="Q39" s="162"/>
      <c r="R39" s="162"/>
      <c r="S39" s="162"/>
      <c r="T39" s="162"/>
      <c r="U39" s="162"/>
      <c r="V39" s="162"/>
      <c r="W39" s="641"/>
      <c r="X39" s="641"/>
      <c r="Y39" s="615"/>
      <c r="Z39" s="615"/>
      <c r="AA39" s="615"/>
      <c r="AB39" s="615"/>
      <c r="AC39" s="615"/>
      <c r="AD39" s="615"/>
      <c r="AE39" s="641"/>
      <c r="AF39" s="641"/>
      <c r="AG39" s="641"/>
      <c r="AH39" s="641"/>
      <c r="AI39" s="641"/>
      <c r="AJ39" s="641"/>
      <c r="AK39" s="641"/>
      <c r="AL39" s="641"/>
      <c r="AM39" s="641"/>
      <c r="AN39" s="641"/>
      <c r="AO39" s="641"/>
      <c r="AP39" s="641"/>
      <c r="AQ39" s="641"/>
      <c r="AR39" s="641"/>
      <c r="AS39" s="641"/>
      <c r="AT39" s="641"/>
    </row>
    <row r="40" spans="1:46" s="420" customFormat="1" x14ac:dyDescent="0.2">
      <c r="A40" s="162"/>
      <c r="B40" s="162"/>
      <c r="C40" s="162"/>
      <c r="D40" s="162"/>
      <c r="E40" s="657"/>
      <c r="F40" s="615"/>
      <c r="G40" s="615"/>
      <c r="H40" s="615"/>
      <c r="I40" s="615"/>
      <c r="J40" s="615"/>
      <c r="K40" s="615"/>
      <c r="L40" s="657"/>
      <c r="M40" s="657"/>
      <c r="N40" s="657"/>
      <c r="O40" s="657"/>
      <c r="P40" s="657"/>
      <c r="Q40" s="657"/>
      <c r="R40" s="657"/>
      <c r="S40" s="657"/>
      <c r="T40" s="657"/>
      <c r="U40" s="657"/>
      <c r="V40" s="657"/>
      <c r="W40" s="657"/>
      <c r="X40" s="657"/>
      <c r="Y40" s="615"/>
      <c r="Z40" s="615"/>
      <c r="AA40" s="615"/>
      <c r="AB40" s="615"/>
      <c r="AC40" s="615"/>
      <c r="AD40" s="615"/>
      <c r="AE40" s="641"/>
      <c r="AF40" s="641"/>
      <c r="AG40" s="641"/>
      <c r="AH40" s="641"/>
      <c r="AI40" s="641"/>
      <c r="AJ40" s="641"/>
      <c r="AK40" s="641"/>
      <c r="AL40" s="641"/>
      <c r="AM40" s="641"/>
      <c r="AN40" s="641"/>
      <c r="AO40" s="641"/>
      <c r="AP40" s="641"/>
      <c r="AQ40" s="641"/>
      <c r="AR40" s="641"/>
      <c r="AS40" s="641"/>
      <c r="AT40" s="641"/>
    </row>
    <row r="41" spans="1:46" s="420" customFormat="1" x14ac:dyDescent="0.2">
      <c r="A41" s="162"/>
      <c r="B41" s="162"/>
      <c r="C41" s="162"/>
      <c r="D41" s="162"/>
      <c r="E41" s="657"/>
      <c r="F41" s="657"/>
      <c r="G41" s="657"/>
      <c r="H41" s="657"/>
      <c r="I41" s="657"/>
      <c r="J41" s="657"/>
      <c r="K41" s="657"/>
      <c r="L41" s="657"/>
      <c r="M41" s="657"/>
      <c r="N41" s="657"/>
      <c r="O41" s="657"/>
      <c r="P41" s="657"/>
      <c r="Q41" s="657"/>
      <c r="R41" s="657"/>
      <c r="S41" s="657"/>
      <c r="T41" s="657"/>
      <c r="U41" s="657"/>
      <c r="V41" s="657"/>
      <c r="W41" s="657"/>
      <c r="X41" s="657"/>
      <c r="Y41" s="615"/>
      <c r="Z41" s="615"/>
      <c r="AA41" s="615"/>
      <c r="AB41" s="615"/>
      <c r="AC41" s="615"/>
      <c r="AD41" s="615"/>
      <c r="AE41" s="641"/>
      <c r="AF41" s="641"/>
      <c r="AG41" s="641"/>
      <c r="AH41" s="641"/>
      <c r="AI41" s="641"/>
      <c r="AJ41" s="641"/>
      <c r="AK41" s="641"/>
      <c r="AL41" s="641"/>
      <c r="AM41" s="641"/>
      <c r="AN41" s="641"/>
      <c r="AO41" s="641"/>
      <c r="AP41" s="641"/>
      <c r="AQ41" s="641"/>
      <c r="AR41" s="641"/>
      <c r="AS41" s="641"/>
      <c r="AT41" s="641"/>
    </row>
    <row r="42" spans="1:46" ht="15.75" x14ac:dyDescent="0.2">
      <c r="A42" s="131"/>
      <c r="B42" s="131"/>
      <c r="C42" s="131"/>
      <c r="D42" s="131"/>
      <c r="E42" s="123" t="s">
        <v>865</v>
      </c>
      <c r="F42" s="149"/>
      <c r="G42" s="124"/>
      <c r="H42" s="124"/>
      <c r="I42" s="124"/>
      <c r="J42" s="839" t="str">
        <f>IF(AND(ScriptSourceCode&lt;&gt;1,ScriptSourceCode&lt;&gt;3),MsgNotRequired,"")</f>
        <v>** NOT REQUIRED **</v>
      </c>
      <c r="K42" s="839"/>
      <c r="L42" s="124"/>
      <c r="M42" s="124"/>
      <c r="N42" s="124"/>
      <c r="O42" s="124"/>
      <c r="P42" s="124"/>
      <c r="Q42" s="839"/>
      <c r="R42" s="840"/>
      <c r="S42" s="124"/>
      <c r="T42" s="124"/>
      <c r="U42" s="124"/>
      <c r="V42" s="124"/>
      <c r="W42" s="124"/>
      <c r="X42" s="124"/>
      <c r="Y42" s="124"/>
      <c r="Z42" s="124"/>
      <c r="AA42" s="124"/>
      <c r="AB42" s="124"/>
      <c r="AC42" s="124"/>
      <c r="AD42" s="124"/>
      <c r="AE42" s="124"/>
      <c r="AF42" s="124"/>
      <c r="AG42" s="124"/>
      <c r="AH42" s="124"/>
      <c r="AI42" s="124"/>
      <c r="AJ42" s="124"/>
      <c r="AK42" s="124"/>
      <c r="AL42" s="124"/>
      <c r="AM42" s="124"/>
      <c r="AN42" s="124"/>
      <c r="AO42" s="124"/>
      <c r="AP42" s="124"/>
      <c r="AQ42" s="124"/>
      <c r="AR42" s="124"/>
      <c r="AS42" s="124"/>
      <c r="AT42" s="124"/>
    </row>
    <row r="43" spans="1:46" hidden="1" outlineLevel="1" x14ac:dyDescent="0.2">
      <c r="A43" s="125"/>
      <c r="B43" s="125"/>
      <c r="C43" s="125"/>
      <c r="D43" s="125"/>
      <c r="E43" s="657"/>
      <c r="F43" s="657"/>
      <c r="G43" s="657"/>
      <c r="H43" s="657"/>
      <c r="I43" s="657"/>
      <c r="J43" s="657"/>
      <c r="K43" s="657"/>
      <c r="L43" s="657"/>
      <c r="M43" s="657"/>
      <c r="N43" s="657"/>
      <c r="O43" s="657"/>
      <c r="P43" s="657"/>
      <c r="Q43" s="657"/>
      <c r="R43" s="657"/>
      <c r="S43" s="657"/>
      <c r="T43" s="657"/>
      <c r="U43" s="657"/>
      <c r="V43" s="657"/>
      <c r="W43" s="657"/>
      <c r="X43" s="657"/>
      <c r="Y43" s="657"/>
      <c r="Z43" s="657"/>
      <c r="AA43" s="657"/>
      <c r="AB43" s="657"/>
      <c r="AC43" s="657"/>
      <c r="AD43" s="657"/>
      <c r="AE43" s="657"/>
      <c r="AF43" s="657"/>
      <c r="AG43" s="657"/>
      <c r="AH43" s="657"/>
      <c r="AI43" s="657"/>
      <c r="AJ43" s="657"/>
      <c r="AK43" s="657"/>
      <c r="AL43" s="657"/>
      <c r="AM43" s="657"/>
      <c r="AN43" s="657"/>
      <c r="AO43" s="657"/>
      <c r="AP43" s="657"/>
      <c r="AQ43" s="657"/>
      <c r="AR43" s="657"/>
      <c r="AS43" s="657"/>
      <c r="AT43" s="657"/>
    </row>
    <row r="44" spans="1:46" ht="15" hidden="1" outlineLevel="1" x14ac:dyDescent="0.2">
      <c r="A44" s="125"/>
      <c r="B44" s="125"/>
      <c r="C44" s="125"/>
      <c r="D44" s="125"/>
      <c r="E44" s="646" t="s">
        <v>821</v>
      </c>
      <c r="F44" s="657"/>
      <c r="G44" s="657"/>
      <c r="H44" s="657"/>
      <c r="I44" s="657"/>
      <c r="J44" s="657"/>
      <c r="K44" s="657"/>
      <c r="L44" s="657"/>
      <c r="M44" s="657"/>
      <c r="N44" s="657"/>
      <c r="O44" s="657"/>
      <c r="P44" s="657"/>
      <c r="Q44" s="657"/>
      <c r="R44" s="657"/>
      <c r="S44" s="657"/>
      <c r="T44" s="657"/>
      <c r="U44" s="657"/>
      <c r="V44" s="657"/>
      <c r="W44" s="657"/>
      <c r="X44" s="657"/>
      <c r="Y44" s="657"/>
      <c r="Z44" s="657"/>
      <c r="AA44" s="657"/>
      <c r="AB44" s="657"/>
      <c r="AC44" s="657"/>
      <c r="AD44" s="657"/>
      <c r="AE44" s="615"/>
      <c r="AF44" s="615"/>
      <c r="AG44" s="615"/>
      <c r="AH44" s="615"/>
      <c r="AI44" s="26"/>
      <c r="AJ44" s="615"/>
      <c r="AK44" s="615"/>
      <c r="AL44" s="615"/>
      <c r="AM44" s="615"/>
      <c r="AN44" s="615"/>
      <c r="AO44" s="615"/>
      <c r="AP44" s="615"/>
      <c r="AQ44" s="615"/>
      <c r="AR44" s="615"/>
      <c r="AS44" s="615"/>
      <c r="AT44" s="615"/>
    </row>
    <row r="45" spans="1:46" hidden="1" outlineLevel="1" x14ac:dyDescent="0.2">
      <c r="A45" s="125"/>
      <c r="B45" s="125"/>
      <c r="C45" s="125"/>
      <c r="D45" s="125"/>
      <c r="E45" s="657"/>
      <c r="F45" s="657"/>
      <c r="G45" s="657"/>
      <c r="H45" s="657"/>
      <c r="I45" s="657"/>
      <c r="J45" s="657"/>
      <c r="K45" s="657"/>
      <c r="L45" s="657"/>
      <c r="M45" s="657"/>
      <c r="N45" s="657"/>
      <c r="O45" s="657"/>
      <c r="P45" s="657"/>
      <c r="Q45" s="657"/>
      <c r="R45" s="657"/>
      <c r="S45" s="657"/>
      <c r="T45" s="657"/>
      <c r="U45" s="657"/>
      <c r="V45" s="657"/>
      <c r="W45" s="657"/>
      <c r="X45" s="657"/>
      <c r="Y45" s="657"/>
      <c r="Z45" s="657"/>
      <c r="AA45" s="657"/>
      <c r="AB45" s="657"/>
      <c r="AC45" s="657"/>
      <c r="AD45" s="657"/>
      <c r="AE45" s="615"/>
      <c r="AF45" s="615"/>
      <c r="AG45" s="615"/>
      <c r="AH45" s="615"/>
      <c r="AI45" s="856" t="s">
        <v>225</v>
      </c>
      <c r="AJ45" s="856"/>
      <c r="AK45" s="856"/>
      <c r="AL45" s="856"/>
      <c r="AM45" s="856"/>
      <c r="AN45" s="856"/>
      <c r="AO45" s="856"/>
      <c r="AP45" s="856"/>
      <c r="AQ45" s="856"/>
      <c r="AR45" s="856"/>
      <c r="AS45" s="856"/>
      <c r="AT45" s="856"/>
    </row>
    <row r="46" spans="1:46" hidden="1" outlineLevel="1" x14ac:dyDescent="0.2">
      <c r="A46" s="125"/>
      <c r="B46" s="125"/>
      <c r="C46" s="125"/>
      <c r="D46" s="125"/>
      <c r="E46" s="646"/>
      <c r="F46" s="830" t="s">
        <v>223</v>
      </c>
      <c r="G46" s="841"/>
      <c r="H46" s="841"/>
      <c r="I46" s="841"/>
      <c r="J46" s="841"/>
      <c r="K46" s="842"/>
      <c r="L46" s="162"/>
      <c r="M46" s="830" t="s">
        <v>224</v>
      </c>
      <c r="N46" s="841"/>
      <c r="O46" s="841"/>
      <c r="P46" s="841"/>
      <c r="Q46" s="841"/>
      <c r="R46" s="842"/>
      <c r="S46" s="125"/>
      <c r="T46" s="125"/>
      <c r="U46" s="125"/>
      <c r="V46" s="125"/>
      <c r="W46" s="125"/>
      <c r="X46" s="125"/>
      <c r="Y46" s="125"/>
      <c r="Z46" s="125"/>
      <c r="AA46" s="125"/>
      <c r="AB46" s="125"/>
      <c r="AC46" s="125"/>
      <c r="AD46" s="125"/>
      <c r="AE46" s="615"/>
      <c r="AF46" s="615"/>
      <c r="AG46" s="615"/>
      <c r="AH46" s="615"/>
      <c r="AI46" s="855" t="str">
        <f>TxPhase1PxTotal</f>
        <v/>
      </c>
      <c r="AJ46" s="855"/>
      <c r="AK46" s="855"/>
      <c r="AL46" s="855"/>
      <c r="AM46" s="855"/>
      <c r="AN46" s="855"/>
      <c r="AO46" s="855" t="str">
        <f>TxPhase2PxTotal</f>
        <v/>
      </c>
      <c r="AP46" s="855"/>
      <c r="AQ46" s="855"/>
      <c r="AR46" s="855"/>
      <c r="AS46" s="855"/>
      <c r="AT46" s="855"/>
    </row>
    <row r="47" spans="1:46" hidden="1" outlineLevel="1" x14ac:dyDescent="0.2">
      <c r="A47" s="125"/>
      <c r="B47" s="125"/>
      <c r="C47" s="125"/>
      <c r="D47" s="125"/>
      <c r="E47" s="66" t="s">
        <v>812</v>
      </c>
      <c r="F47" s="81">
        <f>FirstYear</f>
        <v>2021</v>
      </c>
      <c r="G47" s="81">
        <f>F47+1</f>
        <v>2022</v>
      </c>
      <c r="H47" s="81">
        <f>G47+1</f>
        <v>2023</v>
      </c>
      <c r="I47" s="81">
        <f>H47+1</f>
        <v>2024</v>
      </c>
      <c r="J47" s="81">
        <f>I47+1</f>
        <v>2025</v>
      </c>
      <c r="K47" s="81">
        <f>J47+1</f>
        <v>2026</v>
      </c>
      <c r="L47" s="125"/>
      <c r="M47" s="81">
        <f>FirstYear</f>
        <v>2021</v>
      </c>
      <c r="N47" s="81">
        <f>M47+1</f>
        <v>2022</v>
      </c>
      <c r="O47" s="81">
        <f>N47+1</f>
        <v>2023</v>
      </c>
      <c r="P47" s="81">
        <f>O47+1</f>
        <v>2024</v>
      </c>
      <c r="Q47" s="81">
        <f>P47+1</f>
        <v>2025</v>
      </c>
      <c r="R47" s="81">
        <f>Q47+1</f>
        <v>2026</v>
      </c>
      <c r="S47" s="125"/>
      <c r="T47" s="125"/>
      <c r="U47" s="125"/>
      <c r="V47" s="125"/>
      <c r="W47" s="125"/>
      <c r="X47" s="125"/>
      <c r="Y47" s="125"/>
      <c r="Z47" s="125"/>
      <c r="AA47" s="125"/>
      <c r="AB47" s="125"/>
      <c r="AC47" s="125"/>
      <c r="AD47" s="125"/>
      <c r="AE47" s="615"/>
      <c r="AF47" s="615"/>
      <c r="AG47" s="615"/>
      <c r="AH47" s="469"/>
      <c r="AI47" s="229">
        <f>FirstYear</f>
        <v>2021</v>
      </c>
      <c r="AJ47" s="229">
        <f>AI47+1</f>
        <v>2022</v>
      </c>
      <c r="AK47" s="229">
        <f>AJ47+1</f>
        <v>2023</v>
      </c>
      <c r="AL47" s="229">
        <f>AK47+1</f>
        <v>2024</v>
      </c>
      <c r="AM47" s="229">
        <f>AL47+1</f>
        <v>2025</v>
      </c>
      <c r="AN47" s="229">
        <f>AM47+1</f>
        <v>2026</v>
      </c>
      <c r="AO47" s="229">
        <f>FirstYear</f>
        <v>2021</v>
      </c>
      <c r="AP47" s="229">
        <f>AO47+1</f>
        <v>2022</v>
      </c>
      <c r="AQ47" s="229">
        <f>AP47+1</f>
        <v>2023</v>
      </c>
      <c r="AR47" s="229">
        <f>AQ47+1</f>
        <v>2024</v>
      </c>
      <c r="AS47" s="229">
        <f>AR47+1</f>
        <v>2025</v>
      </c>
      <c r="AT47" s="229">
        <f>AS47+1</f>
        <v>2026</v>
      </c>
    </row>
    <row r="48" spans="1:46" hidden="1" outlineLevel="1" x14ac:dyDescent="0.2">
      <c r="A48" s="125"/>
      <c r="B48" s="125"/>
      <c r="C48" s="125"/>
      <c r="D48" s="58">
        <v>1</v>
      </c>
      <c r="E48" s="85" t="str">
        <f t="shared" ref="E48:E67" si="8">IF(AND(ScriptSourceCode&lt;&gt;1,ScriptSourceCode&lt;&gt;3),MsgNotUsed,INDEX(NamesNew,D48))</f>
        <v>** NOT USED **</v>
      </c>
      <c r="F48" s="32">
        <f t="shared" ref="F48:F67" si="9">IF(AND($E48&lt;&gt;"",$O117&lt;&gt;""),IF($AG117="C",AO48,AI48)*$O117*$P117,0)</f>
        <v>0</v>
      </c>
      <c r="G48" s="32">
        <f t="shared" ref="G48:G67" si="10">IF(AND($E48&lt;&gt;"",$O117&lt;&gt;""),IF($AG117="C",AP48,AJ48)*$O117*$P117,0)</f>
        <v>0</v>
      </c>
      <c r="H48" s="32">
        <f t="shared" ref="H48:H67" si="11">IF(AND($E48&lt;&gt;"",$O117&lt;&gt;""),IF($AG117="C",AQ48,AK48)*$O117*$P117,0)</f>
        <v>0</v>
      </c>
      <c r="I48" s="32">
        <f t="shared" ref="I48:I67" si="12">IF(AND($E48&lt;&gt;"",$O117&lt;&gt;""),IF($AG117="C",AR48,AL48)*$O117*$P117,0)</f>
        <v>0</v>
      </c>
      <c r="J48" s="32">
        <f t="shared" ref="J48:J67" si="13">IF(AND($E48&lt;&gt;"",$O117&lt;&gt;""),IF($AG117="C",AS48,AM48)*$O117*$P117,0)</f>
        <v>0</v>
      </c>
      <c r="K48" s="32">
        <f t="shared" ref="K48:K67" si="14">IF(AND($E48&lt;&gt;"",$O117&lt;&gt;""),IF($AG117="C",AT48,AN48)*$O117*$P117,0)</f>
        <v>0</v>
      </c>
      <c r="L48" s="125"/>
      <c r="M48" s="32">
        <f t="shared" ref="M48:M67" si="15">IF(AND($E48&lt;&gt;"",$O117&lt;&gt;""),IF($AG117="C",AO86,AI86)*$O117*$P117,0)</f>
        <v>0</v>
      </c>
      <c r="N48" s="32">
        <f t="shared" ref="N48:N67" si="16">IF(AND($E48&lt;&gt;"",$O117&lt;&gt;""),IF($AG117="C",AP86,AJ86)*$O117*$P117,0)</f>
        <v>0</v>
      </c>
      <c r="O48" s="32">
        <f t="shared" ref="O48:O67" si="17">IF(AND($E48&lt;&gt;"",$O117&lt;&gt;""),IF($AG117="C",AQ86,AK86)*$O117*$P117,0)</f>
        <v>0</v>
      </c>
      <c r="P48" s="32">
        <f t="shared" ref="P48:P67" si="18">IF(AND($E48&lt;&gt;"",$O117&lt;&gt;""),IF($AG117="C",AR86,AL86)*$O117*$P117,0)</f>
        <v>0</v>
      </c>
      <c r="Q48" s="32">
        <f t="shared" ref="Q48:Q67" si="19">IF(AND($E48&lt;&gt;"",$O117&lt;&gt;""),IF($AG117="C",AS86,AM86)*$O117*$P117,0)</f>
        <v>0</v>
      </c>
      <c r="R48" s="32">
        <f t="shared" ref="R48:R67" si="20">IF(AND($E48&lt;&gt;"",$O117&lt;&gt;""),IF($AG117="C",AT86,AN86)*$O117*$P117,0)</f>
        <v>0</v>
      </c>
      <c r="S48" s="125"/>
      <c r="T48" s="125"/>
      <c r="U48" s="125"/>
      <c r="V48" s="125"/>
      <c r="W48" s="125"/>
      <c r="X48" s="125"/>
      <c r="Y48" s="125"/>
      <c r="Z48" s="125"/>
      <c r="AA48" s="125"/>
      <c r="AB48" s="125"/>
      <c r="AC48" s="125"/>
      <c r="AD48" s="125"/>
      <c r="AE48" s="615"/>
      <c r="AF48" s="615"/>
      <c r="AG48" s="615"/>
      <c r="AH48" s="240">
        <v>1</v>
      </c>
      <c r="AI48" s="514">
        <f t="shared" ref="AI48:AT48" si="21">IF(OR(ScriptSourceCode=1,ScriptSourceCode=3),AI117-AI86,0)</f>
        <v>0</v>
      </c>
      <c r="AJ48" s="514">
        <f t="shared" si="21"/>
        <v>0</v>
      </c>
      <c r="AK48" s="514">
        <f t="shared" si="21"/>
        <v>0</v>
      </c>
      <c r="AL48" s="514">
        <f t="shared" si="21"/>
        <v>0</v>
      </c>
      <c r="AM48" s="514">
        <f t="shared" si="21"/>
        <v>0</v>
      </c>
      <c r="AN48" s="514">
        <f t="shared" si="21"/>
        <v>0</v>
      </c>
      <c r="AO48" s="514">
        <f t="shared" si="21"/>
        <v>0</v>
      </c>
      <c r="AP48" s="514">
        <f t="shared" si="21"/>
        <v>0</v>
      </c>
      <c r="AQ48" s="514">
        <f t="shared" si="21"/>
        <v>0</v>
      </c>
      <c r="AR48" s="514">
        <f t="shared" si="21"/>
        <v>0</v>
      </c>
      <c r="AS48" s="514">
        <f t="shared" si="21"/>
        <v>0</v>
      </c>
      <c r="AT48" s="514">
        <f t="shared" si="21"/>
        <v>0</v>
      </c>
    </row>
    <row r="49" spans="1:46" hidden="1" outlineLevel="1" x14ac:dyDescent="0.2">
      <c r="A49" s="125"/>
      <c r="B49" s="125"/>
      <c r="C49" s="125"/>
      <c r="D49" s="58">
        <v>2</v>
      </c>
      <c r="E49" s="524" t="str">
        <f t="shared" si="8"/>
        <v>** NOT USED **</v>
      </c>
      <c r="F49" s="32">
        <f t="shared" si="9"/>
        <v>0</v>
      </c>
      <c r="G49" s="32">
        <f t="shared" si="10"/>
        <v>0</v>
      </c>
      <c r="H49" s="32">
        <f t="shared" si="11"/>
        <v>0</v>
      </c>
      <c r="I49" s="32">
        <f t="shared" si="12"/>
        <v>0</v>
      </c>
      <c r="J49" s="32">
        <f t="shared" si="13"/>
        <v>0</v>
      </c>
      <c r="K49" s="32">
        <f t="shared" si="14"/>
        <v>0</v>
      </c>
      <c r="L49" s="125"/>
      <c r="M49" s="32">
        <f t="shared" si="15"/>
        <v>0</v>
      </c>
      <c r="N49" s="32">
        <f t="shared" si="16"/>
        <v>0</v>
      </c>
      <c r="O49" s="32">
        <f t="shared" si="17"/>
        <v>0</v>
      </c>
      <c r="P49" s="32">
        <f t="shared" si="18"/>
        <v>0</v>
      </c>
      <c r="Q49" s="32">
        <f t="shared" si="19"/>
        <v>0</v>
      </c>
      <c r="R49" s="32">
        <f t="shared" si="20"/>
        <v>0</v>
      </c>
      <c r="S49" s="125"/>
      <c r="T49" s="125"/>
      <c r="U49" s="125"/>
      <c r="V49" s="125"/>
      <c r="W49" s="125"/>
      <c r="X49" s="125"/>
      <c r="Y49" s="125"/>
      <c r="Z49" s="125"/>
      <c r="AA49" s="125"/>
      <c r="AB49" s="125"/>
      <c r="AC49" s="125"/>
      <c r="AD49" s="125"/>
      <c r="AE49" s="615"/>
      <c r="AF49" s="615"/>
      <c r="AG49" s="615"/>
      <c r="AH49" s="240">
        <v>2</v>
      </c>
      <c r="AI49" s="514">
        <f t="shared" ref="AI49:AT49" si="22">IF(OR(ScriptSourceCode=1,ScriptSourceCode=3),AI118-AI87,0)</f>
        <v>0</v>
      </c>
      <c r="AJ49" s="514">
        <f t="shared" si="22"/>
        <v>0</v>
      </c>
      <c r="AK49" s="514">
        <f t="shared" si="22"/>
        <v>0</v>
      </c>
      <c r="AL49" s="514">
        <f t="shared" si="22"/>
        <v>0</v>
      </c>
      <c r="AM49" s="514">
        <f t="shared" si="22"/>
        <v>0</v>
      </c>
      <c r="AN49" s="514">
        <f t="shared" si="22"/>
        <v>0</v>
      </c>
      <c r="AO49" s="514">
        <f t="shared" si="22"/>
        <v>0</v>
      </c>
      <c r="AP49" s="514">
        <f t="shared" si="22"/>
        <v>0</v>
      </c>
      <c r="AQ49" s="514">
        <f t="shared" si="22"/>
        <v>0</v>
      </c>
      <c r="AR49" s="514">
        <f t="shared" si="22"/>
        <v>0</v>
      </c>
      <c r="AS49" s="514">
        <f t="shared" si="22"/>
        <v>0</v>
      </c>
      <c r="AT49" s="514">
        <f t="shared" si="22"/>
        <v>0</v>
      </c>
    </row>
    <row r="50" spans="1:46" hidden="1" outlineLevel="1" x14ac:dyDescent="0.2">
      <c r="A50" s="125"/>
      <c r="B50" s="125"/>
      <c r="C50" s="125"/>
      <c r="D50" s="58">
        <v>3</v>
      </c>
      <c r="E50" s="524" t="str">
        <f t="shared" si="8"/>
        <v>** NOT USED **</v>
      </c>
      <c r="F50" s="32">
        <f t="shared" si="9"/>
        <v>0</v>
      </c>
      <c r="G50" s="32">
        <f t="shared" si="10"/>
        <v>0</v>
      </c>
      <c r="H50" s="32">
        <f t="shared" si="11"/>
        <v>0</v>
      </c>
      <c r="I50" s="32">
        <f t="shared" si="12"/>
        <v>0</v>
      </c>
      <c r="J50" s="32">
        <f t="shared" si="13"/>
        <v>0</v>
      </c>
      <c r="K50" s="32">
        <f t="shared" si="14"/>
        <v>0</v>
      </c>
      <c r="L50" s="125"/>
      <c r="M50" s="32">
        <f t="shared" si="15"/>
        <v>0</v>
      </c>
      <c r="N50" s="32">
        <f t="shared" si="16"/>
        <v>0</v>
      </c>
      <c r="O50" s="32">
        <f t="shared" si="17"/>
        <v>0</v>
      </c>
      <c r="P50" s="32">
        <f t="shared" si="18"/>
        <v>0</v>
      </c>
      <c r="Q50" s="32">
        <f t="shared" si="19"/>
        <v>0</v>
      </c>
      <c r="R50" s="32">
        <f t="shared" si="20"/>
        <v>0</v>
      </c>
      <c r="S50" s="125"/>
      <c r="T50" s="125"/>
      <c r="U50" s="125"/>
      <c r="V50" s="125"/>
      <c r="W50" s="125"/>
      <c r="X50" s="125"/>
      <c r="Y50" s="125"/>
      <c r="Z50" s="125"/>
      <c r="AA50" s="125"/>
      <c r="AB50" s="125"/>
      <c r="AC50" s="125"/>
      <c r="AD50" s="125"/>
      <c r="AE50" s="615"/>
      <c r="AF50" s="615"/>
      <c r="AG50" s="615"/>
      <c r="AH50" s="240">
        <v>3</v>
      </c>
      <c r="AI50" s="514">
        <f t="shared" ref="AI50:AT50" si="23">IF(OR(ScriptSourceCode=1,ScriptSourceCode=3),AI119-AI88,0)</f>
        <v>0</v>
      </c>
      <c r="AJ50" s="514">
        <f t="shared" si="23"/>
        <v>0</v>
      </c>
      <c r="AK50" s="514">
        <f t="shared" si="23"/>
        <v>0</v>
      </c>
      <c r="AL50" s="514">
        <f t="shared" si="23"/>
        <v>0</v>
      </c>
      <c r="AM50" s="514">
        <f t="shared" si="23"/>
        <v>0</v>
      </c>
      <c r="AN50" s="514">
        <f t="shared" si="23"/>
        <v>0</v>
      </c>
      <c r="AO50" s="514">
        <f t="shared" si="23"/>
        <v>0</v>
      </c>
      <c r="AP50" s="514">
        <f t="shared" si="23"/>
        <v>0</v>
      </c>
      <c r="AQ50" s="514">
        <f t="shared" si="23"/>
        <v>0</v>
      </c>
      <c r="AR50" s="514">
        <f t="shared" si="23"/>
        <v>0</v>
      </c>
      <c r="AS50" s="514">
        <f t="shared" si="23"/>
        <v>0</v>
      </c>
      <c r="AT50" s="514">
        <f t="shared" si="23"/>
        <v>0</v>
      </c>
    </row>
    <row r="51" spans="1:46" hidden="1" outlineLevel="1" x14ac:dyDescent="0.2">
      <c r="A51" s="125"/>
      <c r="B51" s="125"/>
      <c r="C51" s="125"/>
      <c r="D51" s="58">
        <v>4</v>
      </c>
      <c r="E51" s="524" t="str">
        <f t="shared" si="8"/>
        <v>** NOT USED **</v>
      </c>
      <c r="F51" s="32">
        <f t="shared" si="9"/>
        <v>0</v>
      </c>
      <c r="G51" s="32">
        <f t="shared" si="10"/>
        <v>0</v>
      </c>
      <c r="H51" s="32">
        <f t="shared" si="11"/>
        <v>0</v>
      </c>
      <c r="I51" s="32">
        <f t="shared" si="12"/>
        <v>0</v>
      </c>
      <c r="J51" s="32">
        <f t="shared" si="13"/>
        <v>0</v>
      </c>
      <c r="K51" s="32">
        <f t="shared" si="14"/>
        <v>0</v>
      </c>
      <c r="L51" s="125"/>
      <c r="M51" s="32">
        <f t="shared" si="15"/>
        <v>0</v>
      </c>
      <c r="N51" s="32">
        <f t="shared" si="16"/>
        <v>0</v>
      </c>
      <c r="O51" s="32">
        <f t="shared" si="17"/>
        <v>0</v>
      </c>
      <c r="P51" s="32">
        <f t="shared" si="18"/>
        <v>0</v>
      </c>
      <c r="Q51" s="32">
        <f t="shared" si="19"/>
        <v>0</v>
      </c>
      <c r="R51" s="32">
        <f t="shared" si="20"/>
        <v>0</v>
      </c>
      <c r="S51" s="125"/>
      <c r="T51" s="125"/>
      <c r="U51" s="125"/>
      <c r="V51" s="125"/>
      <c r="W51" s="125"/>
      <c r="X51" s="125"/>
      <c r="Y51" s="125"/>
      <c r="Z51" s="125"/>
      <c r="AA51" s="125"/>
      <c r="AB51" s="125"/>
      <c r="AC51" s="125"/>
      <c r="AD51" s="125"/>
      <c r="AE51" s="615"/>
      <c r="AF51" s="615"/>
      <c r="AG51" s="615"/>
      <c r="AH51" s="240">
        <v>4</v>
      </c>
      <c r="AI51" s="514">
        <f t="shared" ref="AI51:AT51" si="24">IF(OR(ScriptSourceCode=1,ScriptSourceCode=3),AI120-AI89,0)</f>
        <v>0</v>
      </c>
      <c r="AJ51" s="514">
        <f t="shared" si="24"/>
        <v>0</v>
      </c>
      <c r="AK51" s="514">
        <f t="shared" si="24"/>
        <v>0</v>
      </c>
      <c r="AL51" s="514">
        <f t="shared" si="24"/>
        <v>0</v>
      </c>
      <c r="AM51" s="514">
        <f t="shared" si="24"/>
        <v>0</v>
      </c>
      <c r="AN51" s="514">
        <f t="shared" si="24"/>
        <v>0</v>
      </c>
      <c r="AO51" s="514">
        <f t="shared" si="24"/>
        <v>0</v>
      </c>
      <c r="AP51" s="514">
        <f t="shared" si="24"/>
        <v>0</v>
      </c>
      <c r="AQ51" s="514">
        <f t="shared" si="24"/>
        <v>0</v>
      </c>
      <c r="AR51" s="514">
        <f t="shared" si="24"/>
        <v>0</v>
      </c>
      <c r="AS51" s="514">
        <f t="shared" si="24"/>
        <v>0</v>
      </c>
      <c r="AT51" s="514">
        <f t="shared" si="24"/>
        <v>0</v>
      </c>
    </row>
    <row r="52" spans="1:46" hidden="1" outlineLevel="1" x14ac:dyDescent="0.2">
      <c r="A52" s="125"/>
      <c r="B52" s="125"/>
      <c r="C52" s="125"/>
      <c r="D52" s="58">
        <v>5</v>
      </c>
      <c r="E52" s="524" t="str">
        <f t="shared" si="8"/>
        <v>** NOT USED **</v>
      </c>
      <c r="F52" s="32">
        <f t="shared" si="9"/>
        <v>0</v>
      </c>
      <c r="G52" s="32">
        <f t="shared" si="10"/>
        <v>0</v>
      </c>
      <c r="H52" s="32">
        <f t="shared" si="11"/>
        <v>0</v>
      </c>
      <c r="I52" s="32">
        <f t="shared" si="12"/>
        <v>0</v>
      </c>
      <c r="J52" s="32">
        <f t="shared" si="13"/>
        <v>0</v>
      </c>
      <c r="K52" s="32">
        <f t="shared" si="14"/>
        <v>0</v>
      </c>
      <c r="L52" s="125"/>
      <c r="M52" s="32">
        <f t="shared" si="15"/>
        <v>0</v>
      </c>
      <c r="N52" s="32">
        <f t="shared" si="16"/>
        <v>0</v>
      </c>
      <c r="O52" s="32">
        <f t="shared" si="17"/>
        <v>0</v>
      </c>
      <c r="P52" s="32">
        <f t="shared" si="18"/>
        <v>0</v>
      </c>
      <c r="Q52" s="32">
        <f t="shared" si="19"/>
        <v>0</v>
      </c>
      <c r="R52" s="32">
        <f t="shared" si="20"/>
        <v>0</v>
      </c>
      <c r="S52" s="125"/>
      <c r="T52" s="125"/>
      <c r="U52" s="125"/>
      <c r="V52" s="125"/>
      <c r="W52" s="125"/>
      <c r="X52" s="125"/>
      <c r="Y52" s="125"/>
      <c r="Z52" s="125"/>
      <c r="AA52" s="125"/>
      <c r="AB52" s="125"/>
      <c r="AC52" s="125"/>
      <c r="AD52" s="125"/>
      <c r="AE52" s="615"/>
      <c r="AF52" s="615"/>
      <c r="AG52" s="615"/>
      <c r="AH52" s="240">
        <v>5</v>
      </c>
      <c r="AI52" s="514">
        <f t="shared" ref="AI52:AT52" si="25">IF(OR(ScriptSourceCode=1,ScriptSourceCode=3),AI121-AI90,0)</f>
        <v>0</v>
      </c>
      <c r="AJ52" s="514">
        <f t="shared" si="25"/>
        <v>0</v>
      </c>
      <c r="AK52" s="514">
        <f t="shared" si="25"/>
        <v>0</v>
      </c>
      <c r="AL52" s="514">
        <f t="shared" si="25"/>
        <v>0</v>
      </c>
      <c r="AM52" s="514">
        <f t="shared" si="25"/>
        <v>0</v>
      </c>
      <c r="AN52" s="514">
        <f t="shared" si="25"/>
        <v>0</v>
      </c>
      <c r="AO52" s="514">
        <f t="shared" si="25"/>
        <v>0</v>
      </c>
      <c r="AP52" s="514">
        <f t="shared" si="25"/>
        <v>0</v>
      </c>
      <c r="AQ52" s="514">
        <f t="shared" si="25"/>
        <v>0</v>
      </c>
      <c r="AR52" s="514">
        <f t="shared" si="25"/>
        <v>0</v>
      </c>
      <c r="AS52" s="514">
        <f t="shared" si="25"/>
        <v>0</v>
      </c>
      <c r="AT52" s="514">
        <f t="shared" si="25"/>
        <v>0</v>
      </c>
    </row>
    <row r="53" spans="1:46" hidden="1" outlineLevel="1" x14ac:dyDescent="0.2">
      <c r="A53" s="125"/>
      <c r="B53" s="125"/>
      <c r="C53" s="125"/>
      <c r="D53" s="58">
        <v>6</v>
      </c>
      <c r="E53" s="524" t="str">
        <f t="shared" si="8"/>
        <v>** NOT USED **</v>
      </c>
      <c r="F53" s="32">
        <f t="shared" si="9"/>
        <v>0</v>
      </c>
      <c r="G53" s="32">
        <f t="shared" si="10"/>
        <v>0</v>
      </c>
      <c r="H53" s="32">
        <f t="shared" si="11"/>
        <v>0</v>
      </c>
      <c r="I53" s="32">
        <f t="shared" si="12"/>
        <v>0</v>
      </c>
      <c r="J53" s="32">
        <f t="shared" si="13"/>
        <v>0</v>
      </c>
      <c r="K53" s="32">
        <f t="shared" si="14"/>
        <v>0</v>
      </c>
      <c r="L53" s="125"/>
      <c r="M53" s="32">
        <f t="shared" si="15"/>
        <v>0</v>
      </c>
      <c r="N53" s="32">
        <f t="shared" si="16"/>
        <v>0</v>
      </c>
      <c r="O53" s="32">
        <f t="shared" si="17"/>
        <v>0</v>
      </c>
      <c r="P53" s="32">
        <f t="shared" si="18"/>
        <v>0</v>
      </c>
      <c r="Q53" s="32">
        <f t="shared" si="19"/>
        <v>0</v>
      </c>
      <c r="R53" s="32">
        <f t="shared" si="20"/>
        <v>0</v>
      </c>
      <c r="S53" s="125"/>
      <c r="T53" s="125"/>
      <c r="U53" s="125"/>
      <c r="V53" s="125"/>
      <c r="W53" s="125"/>
      <c r="X53" s="125"/>
      <c r="Y53" s="125"/>
      <c r="Z53" s="125"/>
      <c r="AA53" s="125"/>
      <c r="AB53" s="125"/>
      <c r="AC53" s="125"/>
      <c r="AD53" s="125"/>
      <c r="AE53" s="615"/>
      <c r="AF53" s="615"/>
      <c r="AG53" s="615"/>
      <c r="AH53" s="240">
        <v>6</v>
      </c>
      <c r="AI53" s="514">
        <f t="shared" ref="AI53:AT53" si="26">IF(OR(ScriptSourceCode=1,ScriptSourceCode=3),AI122-AI91,0)</f>
        <v>0</v>
      </c>
      <c r="AJ53" s="514">
        <f t="shared" si="26"/>
        <v>0</v>
      </c>
      <c r="AK53" s="514">
        <f t="shared" si="26"/>
        <v>0</v>
      </c>
      <c r="AL53" s="514">
        <f t="shared" si="26"/>
        <v>0</v>
      </c>
      <c r="AM53" s="514">
        <f t="shared" si="26"/>
        <v>0</v>
      </c>
      <c r="AN53" s="514">
        <f t="shared" si="26"/>
        <v>0</v>
      </c>
      <c r="AO53" s="514">
        <f t="shared" si="26"/>
        <v>0</v>
      </c>
      <c r="AP53" s="514">
        <f t="shared" si="26"/>
        <v>0</v>
      </c>
      <c r="AQ53" s="514">
        <f t="shared" si="26"/>
        <v>0</v>
      </c>
      <c r="AR53" s="514">
        <f t="shared" si="26"/>
        <v>0</v>
      </c>
      <c r="AS53" s="514">
        <f t="shared" si="26"/>
        <v>0</v>
      </c>
      <c r="AT53" s="514">
        <f t="shared" si="26"/>
        <v>0</v>
      </c>
    </row>
    <row r="54" spans="1:46" hidden="1" outlineLevel="1" x14ac:dyDescent="0.2">
      <c r="A54" s="125"/>
      <c r="B54" s="125"/>
      <c r="C54" s="125"/>
      <c r="D54" s="58">
        <v>7</v>
      </c>
      <c r="E54" s="524" t="str">
        <f t="shared" si="8"/>
        <v>** NOT USED **</v>
      </c>
      <c r="F54" s="32">
        <f t="shared" si="9"/>
        <v>0</v>
      </c>
      <c r="G54" s="32">
        <f t="shared" si="10"/>
        <v>0</v>
      </c>
      <c r="H54" s="32">
        <f t="shared" si="11"/>
        <v>0</v>
      </c>
      <c r="I54" s="32">
        <f t="shared" si="12"/>
        <v>0</v>
      </c>
      <c r="J54" s="32">
        <f t="shared" si="13"/>
        <v>0</v>
      </c>
      <c r="K54" s="32">
        <f t="shared" si="14"/>
        <v>0</v>
      </c>
      <c r="L54" s="125"/>
      <c r="M54" s="32">
        <f t="shared" si="15"/>
        <v>0</v>
      </c>
      <c r="N54" s="32">
        <f t="shared" si="16"/>
        <v>0</v>
      </c>
      <c r="O54" s="32">
        <f t="shared" si="17"/>
        <v>0</v>
      </c>
      <c r="P54" s="32">
        <f t="shared" si="18"/>
        <v>0</v>
      </c>
      <c r="Q54" s="32">
        <f t="shared" si="19"/>
        <v>0</v>
      </c>
      <c r="R54" s="32">
        <f t="shared" si="20"/>
        <v>0</v>
      </c>
      <c r="S54" s="125"/>
      <c r="T54" s="125"/>
      <c r="U54" s="125"/>
      <c r="V54" s="125"/>
      <c r="W54" s="125"/>
      <c r="X54" s="125"/>
      <c r="Y54" s="125"/>
      <c r="Z54" s="125"/>
      <c r="AA54" s="125"/>
      <c r="AB54" s="125"/>
      <c r="AC54" s="125"/>
      <c r="AD54" s="125"/>
      <c r="AE54" s="615"/>
      <c r="AF54" s="615"/>
      <c r="AG54" s="615"/>
      <c r="AH54" s="240">
        <v>7</v>
      </c>
      <c r="AI54" s="514">
        <f t="shared" ref="AI54:AT54" si="27">IF(OR(ScriptSourceCode=1,ScriptSourceCode=3),AI123-AI92,0)</f>
        <v>0</v>
      </c>
      <c r="AJ54" s="514">
        <f t="shared" si="27"/>
        <v>0</v>
      </c>
      <c r="AK54" s="514">
        <f t="shared" si="27"/>
        <v>0</v>
      </c>
      <c r="AL54" s="514">
        <f t="shared" si="27"/>
        <v>0</v>
      </c>
      <c r="AM54" s="514">
        <f t="shared" si="27"/>
        <v>0</v>
      </c>
      <c r="AN54" s="514">
        <f t="shared" si="27"/>
        <v>0</v>
      </c>
      <c r="AO54" s="514">
        <f t="shared" si="27"/>
        <v>0</v>
      </c>
      <c r="AP54" s="514">
        <f t="shared" si="27"/>
        <v>0</v>
      </c>
      <c r="AQ54" s="514">
        <f t="shared" si="27"/>
        <v>0</v>
      </c>
      <c r="AR54" s="514">
        <f t="shared" si="27"/>
        <v>0</v>
      </c>
      <c r="AS54" s="514">
        <f t="shared" si="27"/>
        <v>0</v>
      </c>
      <c r="AT54" s="514">
        <f t="shared" si="27"/>
        <v>0</v>
      </c>
    </row>
    <row r="55" spans="1:46" hidden="1" outlineLevel="1" x14ac:dyDescent="0.2">
      <c r="A55" s="125"/>
      <c r="B55" s="125"/>
      <c r="C55" s="125"/>
      <c r="D55" s="58">
        <v>8</v>
      </c>
      <c r="E55" s="524" t="str">
        <f t="shared" si="8"/>
        <v>** NOT USED **</v>
      </c>
      <c r="F55" s="32">
        <f t="shared" si="9"/>
        <v>0</v>
      </c>
      <c r="G55" s="32">
        <f t="shared" si="10"/>
        <v>0</v>
      </c>
      <c r="H55" s="32">
        <f t="shared" si="11"/>
        <v>0</v>
      </c>
      <c r="I55" s="32">
        <f t="shared" si="12"/>
        <v>0</v>
      </c>
      <c r="J55" s="32">
        <f t="shared" si="13"/>
        <v>0</v>
      </c>
      <c r="K55" s="32">
        <f t="shared" si="14"/>
        <v>0</v>
      </c>
      <c r="L55" s="125"/>
      <c r="M55" s="32">
        <f t="shared" si="15"/>
        <v>0</v>
      </c>
      <c r="N55" s="32">
        <f t="shared" si="16"/>
        <v>0</v>
      </c>
      <c r="O55" s="32">
        <f t="shared" si="17"/>
        <v>0</v>
      </c>
      <c r="P55" s="32">
        <f t="shared" si="18"/>
        <v>0</v>
      </c>
      <c r="Q55" s="32">
        <f t="shared" si="19"/>
        <v>0</v>
      </c>
      <c r="R55" s="32">
        <f t="shared" si="20"/>
        <v>0</v>
      </c>
      <c r="S55" s="125"/>
      <c r="T55" s="125"/>
      <c r="U55" s="125"/>
      <c r="V55" s="125"/>
      <c r="W55" s="125"/>
      <c r="X55" s="125"/>
      <c r="Y55" s="125"/>
      <c r="Z55" s="125"/>
      <c r="AA55" s="125"/>
      <c r="AB55" s="125"/>
      <c r="AC55" s="125"/>
      <c r="AD55" s="125"/>
      <c r="AE55" s="615"/>
      <c r="AF55" s="615"/>
      <c r="AG55" s="615"/>
      <c r="AH55" s="240">
        <v>8</v>
      </c>
      <c r="AI55" s="514">
        <f t="shared" ref="AI55:AT55" si="28">IF(OR(ScriptSourceCode=1,ScriptSourceCode=3),AI124-AI93,0)</f>
        <v>0</v>
      </c>
      <c r="AJ55" s="514">
        <f t="shared" si="28"/>
        <v>0</v>
      </c>
      <c r="AK55" s="514">
        <f t="shared" si="28"/>
        <v>0</v>
      </c>
      <c r="AL55" s="514">
        <f t="shared" si="28"/>
        <v>0</v>
      </c>
      <c r="AM55" s="514">
        <f t="shared" si="28"/>
        <v>0</v>
      </c>
      <c r="AN55" s="514">
        <f t="shared" si="28"/>
        <v>0</v>
      </c>
      <c r="AO55" s="514">
        <f t="shared" si="28"/>
        <v>0</v>
      </c>
      <c r="AP55" s="514">
        <f t="shared" si="28"/>
        <v>0</v>
      </c>
      <c r="AQ55" s="514">
        <f t="shared" si="28"/>
        <v>0</v>
      </c>
      <c r="AR55" s="514">
        <f t="shared" si="28"/>
        <v>0</v>
      </c>
      <c r="AS55" s="514">
        <f t="shared" si="28"/>
        <v>0</v>
      </c>
      <c r="AT55" s="514">
        <f t="shared" si="28"/>
        <v>0</v>
      </c>
    </row>
    <row r="56" spans="1:46" hidden="1" outlineLevel="1" x14ac:dyDescent="0.2">
      <c r="A56" s="125"/>
      <c r="B56" s="125"/>
      <c r="C56" s="125"/>
      <c r="D56" s="58">
        <v>9</v>
      </c>
      <c r="E56" s="524" t="str">
        <f t="shared" si="8"/>
        <v>** NOT USED **</v>
      </c>
      <c r="F56" s="32">
        <f t="shared" si="9"/>
        <v>0</v>
      </c>
      <c r="G56" s="32">
        <f t="shared" si="10"/>
        <v>0</v>
      </c>
      <c r="H56" s="32">
        <f t="shared" si="11"/>
        <v>0</v>
      </c>
      <c r="I56" s="32">
        <f t="shared" si="12"/>
        <v>0</v>
      </c>
      <c r="J56" s="32">
        <f t="shared" si="13"/>
        <v>0</v>
      </c>
      <c r="K56" s="32">
        <f t="shared" si="14"/>
        <v>0</v>
      </c>
      <c r="L56" s="125"/>
      <c r="M56" s="32">
        <f t="shared" si="15"/>
        <v>0</v>
      </c>
      <c r="N56" s="32">
        <f t="shared" si="16"/>
        <v>0</v>
      </c>
      <c r="O56" s="32">
        <f t="shared" si="17"/>
        <v>0</v>
      </c>
      <c r="P56" s="32">
        <f t="shared" si="18"/>
        <v>0</v>
      </c>
      <c r="Q56" s="32">
        <f t="shared" si="19"/>
        <v>0</v>
      </c>
      <c r="R56" s="32">
        <f t="shared" si="20"/>
        <v>0</v>
      </c>
      <c r="S56" s="125"/>
      <c r="T56" s="125"/>
      <c r="U56" s="125"/>
      <c r="V56" s="125"/>
      <c r="W56" s="125"/>
      <c r="X56" s="125"/>
      <c r="Y56" s="125"/>
      <c r="Z56" s="125"/>
      <c r="AA56" s="125"/>
      <c r="AB56" s="125"/>
      <c r="AC56" s="125"/>
      <c r="AD56" s="125"/>
      <c r="AE56" s="615"/>
      <c r="AF56" s="615"/>
      <c r="AG56" s="615"/>
      <c r="AH56" s="240">
        <v>9</v>
      </c>
      <c r="AI56" s="514">
        <f t="shared" ref="AI56:AT56" si="29">IF(OR(ScriptSourceCode=1,ScriptSourceCode=3),AI125-AI94,0)</f>
        <v>0</v>
      </c>
      <c r="AJ56" s="514">
        <f t="shared" si="29"/>
        <v>0</v>
      </c>
      <c r="AK56" s="514">
        <f t="shared" si="29"/>
        <v>0</v>
      </c>
      <c r="AL56" s="514">
        <f t="shared" si="29"/>
        <v>0</v>
      </c>
      <c r="AM56" s="514">
        <f t="shared" si="29"/>
        <v>0</v>
      </c>
      <c r="AN56" s="514">
        <f t="shared" si="29"/>
        <v>0</v>
      </c>
      <c r="AO56" s="514">
        <f t="shared" si="29"/>
        <v>0</v>
      </c>
      <c r="AP56" s="514">
        <f t="shared" si="29"/>
        <v>0</v>
      </c>
      <c r="AQ56" s="514">
        <f t="shared" si="29"/>
        <v>0</v>
      </c>
      <c r="AR56" s="514">
        <f t="shared" si="29"/>
        <v>0</v>
      </c>
      <c r="AS56" s="514">
        <f t="shared" si="29"/>
        <v>0</v>
      </c>
      <c r="AT56" s="514">
        <f t="shared" si="29"/>
        <v>0</v>
      </c>
    </row>
    <row r="57" spans="1:46" hidden="1" outlineLevel="1" x14ac:dyDescent="0.2">
      <c r="A57" s="125"/>
      <c r="B57" s="125"/>
      <c r="C57" s="125"/>
      <c r="D57" s="58">
        <v>10</v>
      </c>
      <c r="E57" s="524" t="str">
        <f t="shared" si="8"/>
        <v>** NOT USED **</v>
      </c>
      <c r="F57" s="32">
        <f t="shared" si="9"/>
        <v>0</v>
      </c>
      <c r="G57" s="32">
        <f t="shared" si="10"/>
        <v>0</v>
      </c>
      <c r="H57" s="32">
        <f t="shared" si="11"/>
        <v>0</v>
      </c>
      <c r="I57" s="32">
        <f t="shared" si="12"/>
        <v>0</v>
      </c>
      <c r="J57" s="32">
        <f t="shared" si="13"/>
        <v>0</v>
      </c>
      <c r="K57" s="32">
        <f t="shared" si="14"/>
        <v>0</v>
      </c>
      <c r="L57" s="125"/>
      <c r="M57" s="32">
        <f t="shared" si="15"/>
        <v>0</v>
      </c>
      <c r="N57" s="32">
        <f t="shared" si="16"/>
        <v>0</v>
      </c>
      <c r="O57" s="32">
        <f t="shared" si="17"/>
        <v>0</v>
      </c>
      <c r="P57" s="32">
        <f t="shared" si="18"/>
        <v>0</v>
      </c>
      <c r="Q57" s="32">
        <f t="shared" si="19"/>
        <v>0</v>
      </c>
      <c r="R57" s="32">
        <f t="shared" si="20"/>
        <v>0</v>
      </c>
      <c r="S57" s="125"/>
      <c r="T57" s="125"/>
      <c r="U57" s="125"/>
      <c r="V57" s="125"/>
      <c r="W57" s="125"/>
      <c r="X57" s="125"/>
      <c r="Y57" s="125"/>
      <c r="Z57" s="125"/>
      <c r="AA57" s="125"/>
      <c r="AB57" s="125"/>
      <c r="AC57" s="125"/>
      <c r="AD57" s="125"/>
      <c r="AE57" s="615"/>
      <c r="AF57" s="615"/>
      <c r="AG57" s="615"/>
      <c r="AH57" s="240">
        <v>10</v>
      </c>
      <c r="AI57" s="514">
        <f t="shared" ref="AI57:AT57" si="30">IF(OR(ScriptSourceCode=1,ScriptSourceCode=3),AI126-AI95,0)</f>
        <v>0</v>
      </c>
      <c r="AJ57" s="514">
        <f t="shared" si="30"/>
        <v>0</v>
      </c>
      <c r="AK57" s="514">
        <f t="shared" si="30"/>
        <v>0</v>
      </c>
      <c r="AL57" s="514">
        <f t="shared" si="30"/>
        <v>0</v>
      </c>
      <c r="AM57" s="514">
        <f t="shared" si="30"/>
        <v>0</v>
      </c>
      <c r="AN57" s="514">
        <f t="shared" si="30"/>
        <v>0</v>
      </c>
      <c r="AO57" s="514">
        <f t="shared" si="30"/>
        <v>0</v>
      </c>
      <c r="AP57" s="514">
        <f t="shared" si="30"/>
        <v>0</v>
      </c>
      <c r="AQ57" s="514">
        <f t="shared" si="30"/>
        <v>0</v>
      </c>
      <c r="AR57" s="514">
        <f t="shared" si="30"/>
        <v>0</v>
      </c>
      <c r="AS57" s="514">
        <f t="shared" si="30"/>
        <v>0</v>
      </c>
      <c r="AT57" s="514">
        <f t="shared" si="30"/>
        <v>0</v>
      </c>
    </row>
    <row r="58" spans="1:46" hidden="1" outlineLevel="1" x14ac:dyDescent="0.2">
      <c r="A58" s="125"/>
      <c r="B58" s="125"/>
      <c r="C58" s="125"/>
      <c r="D58" s="58">
        <v>11</v>
      </c>
      <c r="E58" s="524" t="str">
        <f t="shared" si="8"/>
        <v>** NOT USED **</v>
      </c>
      <c r="F58" s="32">
        <f t="shared" si="9"/>
        <v>0</v>
      </c>
      <c r="G58" s="32">
        <f t="shared" si="10"/>
        <v>0</v>
      </c>
      <c r="H58" s="32">
        <f t="shared" si="11"/>
        <v>0</v>
      </c>
      <c r="I58" s="32">
        <f t="shared" si="12"/>
        <v>0</v>
      </c>
      <c r="J58" s="32">
        <f t="shared" si="13"/>
        <v>0</v>
      </c>
      <c r="K58" s="32">
        <f t="shared" si="14"/>
        <v>0</v>
      </c>
      <c r="L58" s="125"/>
      <c r="M58" s="32">
        <f t="shared" si="15"/>
        <v>0</v>
      </c>
      <c r="N58" s="32">
        <f t="shared" si="16"/>
        <v>0</v>
      </c>
      <c r="O58" s="32">
        <f t="shared" si="17"/>
        <v>0</v>
      </c>
      <c r="P58" s="32">
        <f t="shared" si="18"/>
        <v>0</v>
      </c>
      <c r="Q58" s="32">
        <f t="shared" si="19"/>
        <v>0</v>
      </c>
      <c r="R58" s="32">
        <f t="shared" si="20"/>
        <v>0</v>
      </c>
      <c r="S58" s="125"/>
      <c r="T58" s="125"/>
      <c r="U58" s="125"/>
      <c r="V58" s="125"/>
      <c r="W58" s="125"/>
      <c r="X58" s="125"/>
      <c r="Y58" s="125"/>
      <c r="Z58" s="125"/>
      <c r="AA58" s="125"/>
      <c r="AB58" s="125"/>
      <c r="AC58" s="125"/>
      <c r="AD58" s="125"/>
      <c r="AE58" s="615"/>
      <c r="AF58" s="615"/>
      <c r="AG58" s="615"/>
      <c r="AH58" s="240">
        <v>11</v>
      </c>
      <c r="AI58" s="514">
        <f t="shared" ref="AI58:AT58" si="31">IF(OR(ScriptSourceCode=1,ScriptSourceCode=3),AI127-AI96,0)</f>
        <v>0</v>
      </c>
      <c r="AJ58" s="514">
        <f t="shared" si="31"/>
        <v>0</v>
      </c>
      <c r="AK58" s="514">
        <f t="shared" si="31"/>
        <v>0</v>
      </c>
      <c r="AL58" s="514">
        <f t="shared" si="31"/>
        <v>0</v>
      </c>
      <c r="AM58" s="514">
        <f t="shared" si="31"/>
        <v>0</v>
      </c>
      <c r="AN58" s="514">
        <f t="shared" si="31"/>
        <v>0</v>
      </c>
      <c r="AO58" s="514">
        <f t="shared" si="31"/>
        <v>0</v>
      </c>
      <c r="AP58" s="514">
        <f t="shared" si="31"/>
        <v>0</v>
      </c>
      <c r="AQ58" s="514">
        <f t="shared" si="31"/>
        <v>0</v>
      </c>
      <c r="AR58" s="514">
        <f t="shared" si="31"/>
        <v>0</v>
      </c>
      <c r="AS58" s="514">
        <f t="shared" si="31"/>
        <v>0</v>
      </c>
      <c r="AT58" s="514">
        <f t="shared" si="31"/>
        <v>0</v>
      </c>
    </row>
    <row r="59" spans="1:46" hidden="1" outlineLevel="1" x14ac:dyDescent="0.2">
      <c r="A59" s="125"/>
      <c r="B59" s="125"/>
      <c r="C59" s="125"/>
      <c r="D59" s="58">
        <v>12</v>
      </c>
      <c r="E59" s="524" t="str">
        <f t="shared" si="8"/>
        <v>** NOT USED **</v>
      </c>
      <c r="F59" s="32">
        <f t="shared" si="9"/>
        <v>0</v>
      </c>
      <c r="G59" s="32">
        <f t="shared" si="10"/>
        <v>0</v>
      </c>
      <c r="H59" s="32">
        <f t="shared" si="11"/>
        <v>0</v>
      </c>
      <c r="I59" s="32">
        <f t="shared" si="12"/>
        <v>0</v>
      </c>
      <c r="J59" s="32">
        <f t="shared" si="13"/>
        <v>0</v>
      </c>
      <c r="K59" s="32">
        <f t="shared" si="14"/>
        <v>0</v>
      </c>
      <c r="L59" s="125"/>
      <c r="M59" s="32">
        <f t="shared" si="15"/>
        <v>0</v>
      </c>
      <c r="N59" s="32">
        <f t="shared" si="16"/>
        <v>0</v>
      </c>
      <c r="O59" s="32">
        <f t="shared" si="17"/>
        <v>0</v>
      </c>
      <c r="P59" s="32">
        <f t="shared" si="18"/>
        <v>0</v>
      </c>
      <c r="Q59" s="32">
        <f t="shared" si="19"/>
        <v>0</v>
      </c>
      <c r="R59" s="32">
        <f t="shared" si="20"/>
        <v>0</v>
      </c>
      <c r="S59" s="125"/>
      <c r="T59" s="125"/>
      <c r="U59" s="125"/>
      <c r="V59" s="125"/>
      <c r="W59" s="125"/>
      <c r="X59" s="125"/>
      <c r="Y59" s="125"/>
      <c r="Z59" s="125"/>
      <c r="AA59" s="125"/>
      <c r="AB59" s="125"/>
      <c r="AC59" s="125"/>
      <c r="AD59" s="125"/>
      <c r="AE59" s="615"/>
      <c r="AF59" s="615"/>
      <c r="AG59" s="615"/>
      <c r="AH59" s="240">
        <v>12</v>
      </c>
      <c r="AI59" s="514">
        <f t="shared" ref="AI59:AT59" si="32">IF(OR(ScriptSourceCode=1,ScriptSourceCode=3),AI128-AI97,0)</f>
        <v>0</v>
      </c>
      <c r="AJ59" s="514">
        <f t="shared" si="32"/>
        <v>0</v>
      </c>
      <c r="AK59" s="514">
        <f t="shared" si="32"/>
        <v>0</v>
      </c>
      <c r="AL59" s="514">
        <f t="shared" si="32"/>
        <v>0</v>
      </c>
      <c r="AM59" s="514">
        <f t="shared" si="32"/>
        <v>0</v>
      </c>
      <c r="AN59" s="514">
        <f t="shared" si="32"/>
        <v>0</v>
      </c>
      <c r="AO59" s="514">
        <f t="shared" si="32"/>
        <v>0</v>
      </c>
      <c r="AP59" s="514">
        <f t="shared" si="32"/>
        <v>0</v>
      </c>
      <c r="AQ59" s="514">
        <f t="shared" si="32"/>
        <v>0</v>
      </c>
      <c r="AR59" s="514">
        <f t="shared" si="32"/>
        <v>0</v>
      </c>
      <c r="AS59" s="514">
        <f t="shared" si="32"/>
        <v>0</v>
      </c>
      <c r="AT59" s="514">
        <f t="shared" si="32"/>
        <v>0</v>
      </c>
    </row>
    <row r="60" spans="1:46" hidden="1" outlineLevel="1" x14ac:dyDescent="0.2">
      <c r="A60" s="125"/>
      <c r="B60" s="125"/>
      <c r="C60" s="125"/>
      <c r="D60" s="58">
        <v>13</v>
      </c>
      <c r="E60" s="524" t="str">
        <f t="shared" si="8"/>
        <v>** NOT USED **</v>
      </c>
      <c r="F60" s="32">
        <f t="shared" si="9"/>
        <v>0</v>
      </c>
      <c r="G60" s="32">
        <f t="shared" si="10"/>
        <v>0</v>
      </c>
      <c r="H60" s="32">
        <f t="shared" si="11"/>
        <v>0</v>
      </c>
      <c r="I60" s="32">
        <f t="shared" si="12"/>
        <v>0</v>
      </c>
      <c r="J60" s="32">
        <f t="shared" si="13"/>
        <v>0</v>
      </c>
      <c r="K60" s="32">
        <f t="shared" si="14"/>
        <v>0</v>
      </c>
      <c r="L60" s="125"/>
      <c r="M60" s="32">
        <f t="shared" si="15"/>
        <v>0</v>
      </c>
      <c r="N60" s="32">
        <f t="shared" si="16"/>
        <v>0</v>
      </c>
      <c r="O60" s="32">
        <f t="shared" si="17"/>
        <v>0</v>
      </c>
      <c r="P60" s="32">
        <f t="shared" si="18"/>
        <v>0</v>
      </c>
      <c r="Q60" s="32">
        <f t="shared" si="19"/>
        <v>0</v>
      </c>
      <c r="R60" s="32">
        <f t="shared" si="20"/>
        <v>0</v>
      </c>
      <c r="S60" s="125"/>
      <c r="T60" s="125"/>
      <c r="U60" s="125"/>
      <c r="V60" s="125"/>
      <c r="W60" s="125"/>
      <c r="X60" s="125"/>
      <c r="Y60" s="125"/>
      <c r="Z60" s="125"/>
      <c r="AA60" s="125"/>
      <c r="AB60" s="125"/>
      <c r="AC60" s="125"/>
      <c r="AD60" s="125"/>
      <c r="AE60" s="615"/>
      <c r="AF60" s="615"/>
      <c r="AG60" s="615"/>
      <c r="AH60" s="240">
        <v>13</v>
      </c>
      <c r="AI60" s="514">
        <f t="shared" ref="AI60:AT60" si="33">IF(OR(ScriptSourceCode=1,ScriptSourceCode=3),AI129-AI98,0)</f>
        <v>0</v>
      </c>
      <c r="AJ60" s="514">
        <f t="shared" si="33"/>
        <v>0</v>
      </c>
      <c r="AK60" s="514">
        <f t="shared" si="33"/>
        <v>0</v>
      </c>
      <c r="AL60" s="514">
        <f t="shared" si="33"/>
        <v>0</v>
      </c>
      <c r="AM60" s="514">
        <f t="shared" si="33"/>
        <v>0</v>
      </c>
      <c r="AN60" s="514">
        <f t="shared" si="33"/>
        <v>0</v>
      </c>
      <c r="AO60" s="514">
        <f t="shared" si="33"/>
        <v>0</v>
      </c>
      <c r="AP60" s="514">
        <f t="shared" si="33"/>
        <v>0</v>
      </c>
      <c r="AQ60" s="514">
        <f t="shared" si="33"/>
        <v>0</v>
      </c>
      <c r="AR60" s="514">
        <f t="shared" si="33"/>
        <v>0</v>
      </c>
      <c r="AS60" s="514">
        <f t="shared" si="33"/>
        <v>0</v>
      </c>
      <c r="AT60" s="514">
        <f t="shared" si="33"/>
        <v>0</v>
      </c>
    </row>
    <row r="61" spans="1:46" hidden="1" outlineLevel="1" x14ac:dyDescent="0.2">
      <c r="A61" s="125"/>
      <c r="B61" s="125"/>
      <c r="C61" s="125"/>
      <c r="D61" s="58">
        <v>14</v>
      </c>
      <c r="E61" s="524" t="str">
        <f t="shared" si="8"/>
        <v>** NOT USED **</v>
      </c>
      <c r="F61" s="32">
        <f t="shared" si="9"/>
        <v>0</v>
      </c>
      <c r="G61" s="32">
        <f t="shared" si="10"/>
        <v>0</v>
      </c>
      <c r="H61" s="32">
        <f t="shared" si="11"/>
        <v>0</v>
      </c>
      <c r="I61" s="32">
        <f t="shared" si="12"/>
        <v>0</v>
      </c>
      <c r="J61" s="32">
        <f t="shared" si="13"/>
        <v>0</v>
      </c>
      <c r="K61" s="32">
        <f t="shared" si="14"/>
        <v>0</v>
      </c>
      <c r="L61" s="125"/>
      <c r="M61" s="32">
        <f t="shared" si="15"/>
        <v>0</v>
      </c>
      <c r="N61" s="32">
        <f t="shared" si="16"/>
        <v>0</v>
      </c>
      <c r="O61" s="32">
        <f t="shared" si="17"/>
        <v>0</v>
      </c>
      <c r="P61" s="32">
        <f t="shared" si="18"/>
        <v>0</v>
      </c>
      <c r="Q61" s="32">
        <f t="shared" si="19"/>
        <v>0</v>
      </c>
      <c r="R61" s="32">
        <f t="shared" si="20"/>
        <v>0</v>
      </c>
      <c r="S61" s="125"/>
      <c r="T61" s="125"/>
      <c r="U61" s="125"/>
      <c r="V61" s="125"/>
      <c r="W61" s="125"/>
      <c r="X61" s="125"/>
      <c r="Y61" s="125"/>
      <c r="Z61" s="125"/>
      <c r="AA61" s="125"/>
      <c r="AB61" s="125"/>
      <c r="AC61" s="125"/>
      <c r="AD61" s="125"/>
      <c r="AE61" s="615"/>
      <c r="AF61" s="615"/>
      <c r="AG61" s="615"/>
      <c r="AH61" s="240">
        <v>14</v>
      </c>
      <c r="AI61" s="514">
        <f t="shared" ref="AI61:AT61" si="34">IF(OR(ScriptSourceCode=1,ScriptSourceCode=3),AI130-AI99,0)</f>
        <v>0</v>
      </c>
      <c r="AJ61" s="514">
        <f t="shared" si="34"/>
        <v>0</v>
      </c>
      <c r="AK61" s="514">
        <f t="shared" si="34"/>
        <v>0</v>
      </c>
      <c r="AL61" s="514">
        <f t="shared" si="34"/>
        <v>0</v>
      </c>
      <c r="AM61" s="514">
        <f t="shared" si="34"/>
        <v>0</v>
      </c>
      <c r="AN61" s="514">
        <f t="shared" si="34"/>
        <v>0</v>
      </c>
      <c r="AO61" s="514">
        <f t="shared" si="34"/>
        <v>0</v>
      </c>
      <c r="AP61" s="514">
        <f t="shared" si="34"/>
        <v>0</v>
      </c>
      <c r="AQ61" s="514">
        <f t="shared" si="34"/>
        <v>0</v>
      </c>
      <c r="AR61" s="514">
        <f t="shared" si="34"/>
        <v>0</v>
      </c>
      <c r="AS61" s="514">
        <f t="shared" si="34"/>
        <v>0</v>
      </c>
      <c r="AT61" s="514">
        <f t="shared" si="34"/>
        <v>0</v>
      </c>
    </row>
    <row r="62" spans="1:46" hidden="1" outlineLevel="1" x14ac:dyDescent="0.2">
      <c r="A62" s="125"/>
      <c r="B62" s="125"/>
      <c r="C62" s="125"/>
      <c r="D62" s="58">
        <v>15</v>
      </c>
      <c r="E62" s="524" t="str">
        <f t="shared" si="8"/>
        <v>** NOT USED **</v>
      </c>
      <c r="F62" s="32">
        <f t="shared" si="9"/>
        <v>0</v>
      </c>
      <c r="G62" s="32">
        <f t="shared" si="10"/>
        <v>0</v>
      </c>
      <c r="H62" s="32">
        <f t="shared" si="11"/>
        <v>0</v>
      </c>
      <c r="I62" s="32">
        <f t="shared" si="12"/>
        <v>0</v>
      </c>
      <c r="J62" s="32">
        <f t="shared" si="13"/>
        <v>0</v>
      </c>
      <c r="K62" s="32">
        <f t="shared" si="14"/>
        <v>0</v>
      </c>
      <c r="L62" s="125"/>
      <c r="M62" s="32">
        <f t="shared" si="15"/>
        <v>0</v>
      </c>
      <c r="N62" s="32">
        <f t="shared" si="16"/>
        <v>0</v>
      </c>
      <c r="O62" s="32">
        <f t="shared" si="17"/>
        <v>0</v>
      </c>
      <c r="P62" s="32">
        <f t="shared" si="18"/>
        <v>0</v>
      </c>
      <c r="Q62" s="32">
        <f t="shared" si="19"/>
        <v>0</v>
      </c>
      <c r="R62" s="32">
        <f t="shared" si="20"/>
        <v>0</v>
      </c>
      <c r="S62" s="125"/>
      <c r="T62" s="125"/>
      <c r="U62" s="125"/>
      <c r="V62" s="125"/>
      <c r="W62" s="125"/>
      <c r="X62" s="125"/>
      <c r="Y62" s="125"/>
      <c r="Z62" s="125"/>
      <c r="AA62" s="125"/>
      <c r="AB62" s="125"/>
      <c r="AC62" s="125"/>
      <c r="AD62" s="125"/>
      <c r="AE62" s="615"/>
      <c r="AF62" s="615"/>
      <c r="AG62" s="615"/>
      <c r="AH62" s="240">
        <v>15</v>
      </c>
      <c r="AI62" s="514">
        <f t="shared" ref="AI62:AT62" si="35">IF(OR(ScriptSourceCode=1,ScriptSourceCode=3),AI131-AI100,0)</f>
        <v>0</v>
      </c>
      <c r="AJ62" s="514">
        <f t="shared" si="35"/>
        <v>0</v>
      </c>
      <c r="AK62" s="514">
        <f t="shared" si="35"/>
        <v>0</v>
      </c>
      <c r="AL62" s="514">
        <f t="shared" si="35"/>
        <v>0</v>
      </c>
      <c r="AM62" s="514">
        <f t="shared" si="35"/>
        <v>0</v>
      </c>
      <c r="AN62" s="514">
        <f t="shared" si="35"/>
        <v>0</v>
      </c>
      <c r="AO62" s="514">
        <f t="shared" si="35"/>
        <v>0</v>
      </c>
      <c r="AP62" s="514">
        <f t="shared" si="35"/>
        <v>0</v>
      </c>
      <c r="AQ62" s="514">
        <f t="shared" si="35"/>
        <v>0</v>
      </c>
      <c r="AR62" s="514">
        <f t="shared" si="35"/>
        <v>0</v>
      </c>
      <c r="AS62" s="514">
        <f t="shared" si="35"/>
        <v>0</v>
      </c>
      <c r="AT62" s="514">
        <f t="shared" si="35"/>
        <v>0</v>
      </c>
    </row>
    <row r="63" spans="1:46" hidden="1" outlineLevel="1" x14ac:dyDescent="0.2">
      <c r="A63" s="125"/>
      <c r="B63" s="125"/>
      <c r="C63" s="125"/>
      <c r="D63" s="58">
        <v>16</v>
      </c>
      <c r="E63" s="524" t="str">
        <f t="shared" si="8"/>
        <v>** NOT USED **</v>
      </c>
      <c r="F63" s="32">
        <f t="shared" si="9"/>
        <v>0</v>
      </c>
      <c r="G63" s="32">
        <f t="shared" si="10"/>
        <v>0</v>
      </c>
      <c r="H63" s="32">
        <f t="shared" si="11"/>
        <v>0</v>
      </c>
      <c r="I63" s="32">
        <f t="shared" si="12"/>
        <v>0</v>
      </c>
      <c r="J63" s="32">
        <f t="shared" si="13"/>
        <v>0</v>
      </c>
      <c r="K63" s="32">
        <f t="shared" si="14"/>
        <v>0</v>
      </c>
      <c r="L63" s="125"/>
      <c r="M63" s="32">
        <f t="shared" si="15"/>
        <v>0</v>
      </c>
      <c r="N63" s="32">
        <f t="shared" si="16"/>
        <v>0</v>
      </c>
      <c r="O63" s="32">
        <f t="shared" si="17"/>
        <v>0</v>
      </c>
      <c r="P63" s="32">
        <f t="shared" si="18"/>
        <v>0</v>
      </c>
      <c r="Q63" s="32">
        <f t="shared" si="19"/>
        <v>0</v>
      </c>
      <c r="R63" s="32">
        <f t="shared" si="20"/>
        <v>0</v>
      </c>
      <c r="S63" s="125"/>
      <c r="T63" s="125"/>
      <c r="U63" s="125"/>
      <c r="V63" s="125"/>
      <c r="W63" s="125"/>
      <c r="X63" s="125"/>
      <c r="Y63" s="125"/>
      <c r="Z63" s="125"/>
      <c r="AA63" s="125"/>
      <c r="AB63" s="125"/>
      <c r="AC63" s="125"/>
      <c r="AD63" s="125"/>
      <c r="AE63" s="615"/>
      <c r="AF63" s="615"/>
      <c r="AG63" s="615"/>
      <c r="AH63" s="240">
        <v>16</v>
      </c>
      <c r="AI63" s="514">
        <f t="shared" ref="AI63:AT63" si="36">IF(OR(ScriptSourceCode=1,ScriptSourceCode=3),AI132-AI101,0)</f>
        <v>0</v>
      </c>
      <c r="AJ63" s="514">
        <f t="shared" si="36"/>
        <v>0</v>
      </c>
      <c r="AK63" s="514">
        <f t="shared" si="36"/>
        <v>0</v>
      </c>
      <c r="AL63" s="514">
        <f t="shared" si="36"/>
        <v>0</v>
      </c>
      <c r="AM63" s="514">
        <f t="shared" si="36"/>
        <v>0</v>
      </c>
      <c r="AN63" s="514">
        <f t="shared" si="36"/>
        <v>0</v>
      </c>
      <c r="AO63" s="514">
        <f t="shared" si="36"/>
        <v>0</v>
      </c>
      <c r="AP63" s="514">
        <f t="shared" si="36"/>
        <v>0</v>
      </c>
      <c r="AQ63" s="514">
        <f t="shared" si="36"/>
        <v>0</v>
      </c>
      <c r="AR63" s="514">
        <f t="shared" si="36"/>
        <v>0</v>
      </c>
      <c r="AS63" s="514">
        <f t="shared" si="36"/>
        <v>0</v>
      </c>
      <c r="AT63" s="514">
        <f t="shared" si="36"/>
        <v>0</v>
      </c>
    </row>
    <row r="64" spans="1:46" hidden="1" outlineLevel="1" x14ac:dyDescent="0.2">
      <c r="A64" s="125"/>
      <c r="B64" s="125"/>
      <c r="C64" s="125"/>
      <c r="D64" s="58">
        <v>17</v>
      </c>
      <c r="E64" s="524" t="str">
        <f t="shared" si="8"/>
        <v>** NOT USED **</v>
      </c>
      <c r="F64" s="32">
        <f t="shared" si="9"/>
        <v>0</v>
      </c>
      <c r="G64" s="32">
        <f t="shared" si="10"/>
        <v>0</v>
      </c>
      <c r="H64" s="32">
        <f t="shared" si="11"/>
        <v>0</v>
      </c>
      <c r="I64" s="32">
        <f t="shared" si="12"/>
        <v>0</v>
      </c>
      <c r="J64" s="32">
        <f t="shared" si="13"/>
        <v>0</v>
      </c>
      <c r="K64" s="32">
        <f t="shared" si="14"/>
        <v>0</v>
      </c>
      <c r="L64" s="125"/>
      <c r="M64" s="32">
        <f t="shared" si="15"/>
        <v>0</v>
      </c>
      <c r="N64" s="32">
        <f t="shared" si="16"/>
        <v>0</v>
      </c>
      <c r="O64" s="32">
        <f t="shared" si="17"/>
        <v>0</v>
      </c>
      <c r="P64" s="32">
        <f t="shared" si="18"/>
        <v>0</v>
      </c>
      <c r="Q64" s="32">
        <f t="shared" si="19"/>
        <v>0</v>
      </c>
      <c r="R64" s="32">
        <f t="shared" si="20"/>
        <v>0</v>
      </c>
      <c r="S64" s="125"/>
      <c r="T64" s="125"/>
      <c r="U64" s="125"/>
      <c r="V64" s="125"/>
      <c r="W64" s="125"/>
      <c r="X64" s="125"/>
      <c r="Y64" s="125"/>
      <c r="Z64" s="125"/>
      <c r="AA64" s="125"/>
      <c r="AB64" s="125"/>
      <c r="AC64" s="125"/>
      <c r="AD64" s="125"/>
      <c r="AE64" s="615"/>
      <c r="AF64" s="615"/>
      <c r="AG64" s="615"/>
      <c r="AH64" s="240">
        <v>17</v>
      </c>
      <c r="AI64" s="514">
        <f t="shared" ref="AI64:AT64" si="37">IF(OR(ScriptSourceCode=1,ScriptSourceCode=3),AI133-AI102,0)</f>
        <v>0</v>
      </c>
      <c r="AJ64" s="514">
        <f t="shared" si="37"/>
        <v>0</v>
      </c>
      <c r="AK64" s="514">
        <f t="shared" si="37"/>
        <v>0</v>
      </c>
      <c r="AL64" s="514">
        <f t="shared" si="37"/>
        <v>0</v>
      </c>
      <c r="AM64" s="514">
        <f t="shared" si="37"/>
        <v>0</v>
      </c>
      <c r="AN64" s="514">
        <f t="shared" si="37"/>
        <v>0</v>
      </c>
      <c r="AO64" s="514">
        <f t="shared" si="37"/>
        <v>0</v>
      </c>
      <c r="AP64" s="514">
        <f t="shared" si="37"/>
        <v>0</v>
      </c>
      <c r="AQ64" s="514">
        <f t="shared" si="37"/>
        <v>0</v>
      </c>
      <c r="AR64" s="514">
        <f t="shared" si="37"/>
        <v>0</v>
      </c>
      <c r="AS64" s="514">
        <f t="shared" si="37"/>
        <v>0</v>
      </c>
      <c r="AT64" s="514">
        <f t="shared" si="37"/>
        <v>0</v>
      </c>
    </row>
    <row r="65" spans="1:46" hidden="1" outlineLevel="1" x14ac:dyDescent="0.2">
      <c r="A65" s="125"/>
      <c r="B65" s="125"/>
      <c r="C65" s="125"/>
      <c r="D65" s="58">
        <v>18</v>
      </c>
      <c r="E65" s="524" t="str">
        <f t="shared" si="8"/>
        <v>** NOT USED **</v>
      </c>
      <c r="F65" s="32">
        <f t="shared" si="9"/>
        <v>0</v>
      </c>
      <c r="G65" s="32">
        <f t="shared" si="10"/>
        <v>0</v>
      </c>
      <c r="H65" s="32">
        <f t="shared" si="11"/>
        <v>0</v>
      </c>
      <c r="I65" s="32">
        <f t="shared" si="12"/>
        <v>0</v>
      </c>
      <c r="J65" s="32">
        <f t="shared" si="13"/>
        <v>0</v>
      </c>
      <c r="K65" s="32">
        <f t="shared" si="14"/>
        <v>0</v>
      </c>
      <c r="L65" s="125"/>
      <c r="M65" s="32">
        <f t="shared" si="15"/>
        <v>0</v>
      </c>
      <c r="N65" s="32">
        <f t="shared" si="16"/>
        <v>0</v>
      </c>
      <c r="O65" s="32">
        <f t="shared" si="17"/>
        <v>0</v>
      </c>
      <c r="P65" s="32">
        <f t="shared" si="18"/>
        <v>0</v>
      </c>
      <c r="Q65" s="32">
        <f t="shared" si="19"/>
        <v>0</v>
      </c>
      <c r="R65" s="32">
        <f t="shared" si="20"/>
        <v>0</v>
      </c>
      <c r="S65" s="125"/>
      <c r="T65" s="125"/>
      <c r="U65" s="125"/>
      <c r="V65" s="125"/>
      <c r="W65" s="125"/>
      <c r="X65" s="125"/>
      <c r="Y65" s="125"/>
      <c r="Z65" s="125"/>
      <c r="AA65" s="125"/>
      <c r="AB65" s="125"/>
      <c r="AC65" s="125"/>
      <c r="AD65" s="125"/>
      <c r="AE65" s="615"/>
      <c r="AF65" s="615"/>
      <c r="AG65" s="615"/>
      <c r="AH65" s="240">
        <v>18</v>
      </c>
      <c r="AI65" s="514">
        <f t="shared" ref="AI65:AT65" si="38">IF(OR(ScriptSourceCode=1,ScriptSourceCode=3),AI134-AI103,0)</f>
        <v>0</v>
      </c>
      <c r="AJ65" s="514">
        <f t="shared" si="38"/>
        <v>0</v>
      </c>
      <c r="AK65" s="514">
        <f t="shared" si="38"/>
        <v>0</v>
      </c>
      <c r="AL65" s="514">
        <f t="shared" si="38"/>
        <v>0</v>
      </c>
      <c r="AM65" s="514">
        <f t="shared" si="38"/>
        <v>0</v>
      </c>
      <c r="AN65" s="514">
        <f t="shared" si="38"/>
        <v>0</v>
      </c>
      <c r="AO65" s="514">
        <f t="shared" si="38"/>
        <v>0</v>
      </c>
      <c r="AP65" s="514">
        <f t="shared" si="38"/>
        <v>0</v>
      </c>
      <c r="AQ65" s="514">
        <f t="shared" si="38"/>
        <v>0</v>
      </c>
      <c r="AR65" s="514">
        <f t="shared" si="38"/>
        <v>0</v>
      </c>
      <c r="AS65" s="514">
        <f t="shared" si="38"/>
        <v>0</v>
      </c>
      <c r="AT65" s="514">
        <f t="shared" si="38"/>
        <v>0</v>
      </c>
    </row>
    <row r="66" spans="1:46" hidden="1" outlineLevel="1" x14ac:dyDescent="0.2">
      <c r="A66" s="125"/>
      <c r="B66" s="125"/>
      <c r="C66" s="125"/>
      <c r="D66" s="58">
        <v>19</v>
      </c>
      <c r="E66" s="524" t="str">
        <f t="shared" si="8"/>
        <v>** NOT USED **</v>
      </c>
      <c r="F66" s="32">
        <f t="shared" si="9"/>
        <v>0</v>
      </c>
      <c r="G66" s="32">
        <f t="shared" si="10"/>
        <v>0</v>
      </c>
      <c r="H66" s="32">
        <f t="shared" si="11"/>
        <v>0</v>
      </c>
      <c r="I66" s="32">
        <f t="shared" si="12"/>
        <v>0</v>
      </c>
      <c r="J66" s="32">
        <f t="shared" si="13"/>
        <v>0</v>
      </c>
      <c r="K66" s="32">
        <f t="shared" si="14"/>
        <v>0</v>
      </c>
      <c r="L66" s="125"/>
      <c r="M66" s="32">
        <f t="shared" si="15"/>
        <v>0</v>
      </c>
      <c r="N66" s="32">
        <f t="shared" si="16"/>
        <v>0</v>
      </c>
      <c r="O66" s="32">
        <f t="shared" si="17"/>
        <v>0</v>
      </c>
      <c r="P66" s="32">
        <f t="shared" si="18"/>
        <v>0</v>
      </c>
      <c r="Q66" s="32">
        <f t="shared" si="19"/>
        <v>0</v>
      </c>
      <c r="R66" s="32">
        <f t="shared" si="20"/>
        <v>0</v>
      </c>
      <c r="S66" s="125"/>
      <c r="T66" s="125"/>
      <c r="U66" s="125"/>
      <c r="V66" s="125"/>
      <c r="W66" s="125"/>
      <c r="X66" s="125"/>
      <c r="Y66" s="125"/>
      <c r="Z66" s="125"/>
      <c r="AA66" s="125"/>
      <c r="AB66" s="125"/>
      <c r="AC66" s="125"/>
      <c r="AD66" s="125"/>
      <c r="AE66" s="615"/>
      <c r="AF66" s="615"/>
      <c r="AG66" s="615"/>
      <c r="AH66" s="240">
        <v>19</v>
      </c>
      <c r="AI66" s="514">
        <f t="shared" ref="AI66:AT66" si="39">IF(OR(ScriptSourceCode=1,ScriptSourceCode=3),AI135-AI104,0)</f>
        <v>0</v>
      </c>
      <c r="AJ66" s="514">
        <f t="shared" si="39"/>
        <v>0</v>
      </c>
      <c r="AK66" s="514">
        <f t="shared" si="39"/>
        <v>0</v>
      </c>
      <c r="AL66" s="514">
        <f t="shared" si="39"/>
        <v>0</v>
      </c>
      <c r="AM66" s="514">
        <f t="shared" si="39"/>
        <v>0</v>
      </c>
      <c r="AN66" s="514">
        <f t="shared" si="39"/>
        <v>0</v>
      </c>
      <c r="AO66" s="514">
        <f t="shared" si="39"/>
        <v>0</v>
      </c>
      <c r="AP66" s="514">
        <f t="shared" si="39"/>
        <v>0</v>
      </c>
      <c r="AQ66" s="514">
        <f t="shared" si="39"/>
        <v>0</v>
      </c>
      <c r="AR66" s="514">
        <f t="shared" si="39"/>
        <v>0</v>
      </c>
      <c r="AS66" s="514">
        <f t="shared" si="39"/>
        <v>0</v>
      </c>
      <c r="AT66" s="514">
        <f t="shared" si="39"/>
        <v>0</v>
      </c>
    </row>
    <row r="67" spans="1:46" hidden="1" outlineLevel="1" x14ac:dyDescent="0.2">
      <c r="A67" s="125"/>
      <c r="B67" s="125"/>
      <c r="C67" s="125"/>
      <c r="D67" s="58">
        <v>20</v>
      </c>
      <c r="E67" s="524" t="str">
        <f t="shared" si="8"/>
        <v>** NOT USED **</v>
      </c>
      <c r="F67" s="32">
        <f t="shared" si="9"/>
        <v>0</v>
      </c>
      <c r="G67" s="32">
        <f t="shared" si="10"/>
        <v>0</v>
      </c>
      <c r="H67" s="32">
        <f t="shared" si="11"/>
        <v>0</v>
      </c>
      <c r="I67" s="32">
        <f t="shared" si="12"/>
        <v>0</v>
      </c>
      <c r="J67" s="32">
        <f t="shared" si="13"/>
        <v>0</v>
      </c>
      <c r="K67" s="32">
        <f t="shared" si="14"/>
        <v>0</v>
      </c>
      <c r="L67" s="125"/>
      <c r="M67" s="32">
        <f t="shared" si="15"/>
        <v>0</v>
      </c>
      <c r="N67" s="32">
        <f t="shared" si="16"/>
        <v>0</v>
      </c>
      <c r="O67" s="32">
        <f t="shared" si="17"/>
        <v>0</v>
      </c>
      <c r="P67" s="32">
        <f t="shared" si="18"/>
        <v>0</v>
      </c>
      <c r="Q67" s="32">
        <f t="shared" si="19"/>
        <v>0</v>
      </c>
      <c r="R67" s="32">
        <f t="shared" si="20"/>
        <v>0</v>
      </c>
      <c r="S67" s="125"/>
      <c r="T67" s="125"/>
      <c r="U67" s="125"/>
      <c r="V67" s="125"/>
      <c r="W67" s="125"/>
      <c r="X67" s="125"/>
      <c r="Y67" s="125"/>
      <c r="Z67" s="125"/>
      <c r="AA67" s="125"/>
      <c r="AB67" s="125"/>
      <c r="AC67" s="125"/>
      <c r="AD67" s="125"/>
      <c r="AE67" s="615"/>
      <c r="AF67" s="615"/>
      <c r="AG67" s="615"/>
      <c r="AH67" s="240">
        <v>20</v>
      </c>
      <c r="AI67" s="514">
        <f t="shared" ref="AI67:AT67" si="40">IF(OR(ScriptSourceCode=1,ScriptSourceCode=3),AI136-AI105,0)</f>
        <v>0</v>
      </c>
      <c r="AJ67" s="514">
        <f t="shared" si="40"/>
        <v>0</v>
      </c>
      <c r="AK67" s="514">
        <f t="shared" si="40"/>
        <v>0</v>
      </c>
      <c r="AL67" s="514">
        <f t="shared" si="40"/>
        <v>0</v>
      </c>
      <c r="AM67" s="514">
        <f t="shared" si="40"/>
        <v>0</v>
      </c>
      <c r="AN67" s="514">
        <f t="shared" si="40"/>
        <v>0</v>
      </c>
      <c r="AO67" s="514">
        <f t="shared" si="40"/>
        <v>0</v>
      </c>
      <c r="AP67" s="514">
        <f t="shared" si="40"/>
        <v>0</v>
      </c>
      <c r="AQ67" s="514">
        <f t="shared" si="40"/>
        <v>0</v>
      </c>
      <c r="AR67" s="514">
        <f t="shared" si="40"/>
        <v>0</v>
      </c>
      <c r="AS67" s="514">
        <f t="shared" si="40"/>
        <v>0</v>
      </c>
      <c r="AT67" s="514">
        <f t="shared" si="40"/>
        <v>0</v>
      </c>
    </row>
    <row r="68" spans="1:46" hidden="1" outlineLevel="1" x14ac:dyDescent="0.2">
      <c r="A68" s="125"/>
      <c r="B68" s="125"/>
      <c r="C68" s="125"/>
      <c r="D68" s="125"/>
      <c r="E68" s="62" t="s">
        <v>222</v>
      </c>
      <c r="F68" s="35">
        <f t="shared" ref="F68:K68" si="41">SUM(F48:F67)</f>
        <v>0</v>
      </c>
      <c r="G68" s="35">
        <f t="shared" si="41"/>
        <v>0</v>
      </c>
      <c r="H68" s="35">
        <f t="shared" si="41"/>
        <v>0</v>
      </c>
      <c r="I68" s="35">
        <f t="shared" si="41"/>
        <v>0</v>
      </c>
      <c r="J68" s="35">
        <f t="shared" si="41"/>
        <v>0</v>
      </c>
      <c r="K68" s="35">
        <f t="shared" si="41"/>
        <v>0</v>
      </c>
      <c r="L68" s="125"/>
      <c r="M68" s="35">
        <f t="shared" ref="M68:R68" si="42">SUM(M48:M67)</f>
        <v>0</v>
      </c>
      <c r="N68" s="35">
        <f t="shared" si="42"/>
        <v>0</v>
      </c>
      <c r="O68" s="35">
        <f t="shared" si="42"/>
        <v>0</v>
      </c>
      <c r="P68" s="35">
        <f t="shared" si="42"/>
        <v>0</v>
      </c>
      <c r="Q68" s="35">
        <f t="shared" si="42"/>
        <v>0</v>
      </c>
      <c r="R68" s="35">
        <f t="shared" si="42"/>
        <v>0</v>
      </c>
      <c r="S68" s="125"/>
      <c r="T68" s="125"/>
      <c r="U68" s="125"/>
      <c r="V68" s="125"/>
      <c r="W68" s="125"/>
      <c r="X68" s="125"/>
      <c r="Y68" s="125"/>
      <c r="Z68" s="125"/>
      <c r="AA68" s="125"/>
      <c r="AB68" s="125"/>
      <c r="AC68" s="125"/>
      <c r="AD68" s="125"/>
      <c r="AE68" s="615"/>
      <c r="AF68" s="615"/>
      <c r="AG68" s="615"/>
    </row>
    <row r="69" spans="1:46" s="416" customFormat="1" hidden="1" outlineLevel="1" x14ac:dyDescent="0.2">
      <c r="A69" s="125"/>
      <c r="B69" s="125"/>
      <c r="C69" s="125"/>
      <c r="D69" s="125"/>
      <c r="E69" s="678"/>
      <c r="F69"/>
      <c r="G69"/>
      <c r="H69"/>
      <c r="I69"/>
      <c r="J69"/>
      <c r="K69"/>
      <c r="L69" s="615"/>
      <c r="M69" s="615"/>
      <c r="N69" s="615"/>
      <c r="O69" s="615"/>
      <c r="P69" s="615"/>
      <c r="Q69" s="615"/>
      <c r="R69" s="615"/>
      <c r="S69" s="125"/>
      <c r="T69" s="125"/>
      <c r="U69" s="125"/>
      <c r="V69" s="125"/>
      <c r="W69" s="125"/>
      <c r="X69" s="125"/>
      <c r="Y69" s="125"/>
      <c r="Z69" s="125"/>
      <c r="AA69" s="125"/>
      <c r="AB69" s="125"/>
      <c r="AC69" s="125"/>
      <c r="AD69" s="125"/>
      <c r="AE69" s="615"/>
      <c r="AF69" s="615"/>
      <c r="AG69" s="615"/>
      <c r="AH69" s="615"/>
      <c r="AI69" s="615"/>
    </row>
    <row r="70" spans="1:46" s="416" customFormat="1" hidden="1" outlineLevel="1" x14ac:dyDescent="0.2">
      <c r="A70" s="125"/>
      <c r="B70" s="125"/>
      <c r="C70" s="125"/>
      <c r="D70" s="125"/>
      <c r="E70" s="162"/>
      <c r="F70" s="540">
        <f>FirstYear</f>
        <v>2021</v>
      </c>
      <c r="G70" s="540">
        <f>F70+1</f>
        <v>2022</v>
      </c>
      <c r="H70" s="540">
        <f>G70+1</f>
        <v>2023</v>
      </c>
      <c r="I70" s="540">
        <f>H70+1</f>
        <v>2024</v>
      </c>
      <c r="J70" s="540">
        <f>I70+1</f>
        <v>2025</v>
      </c>
      <c r="K70" s="540">
        <f>J70+1</f>
        <v>2026</v>
      </c>
      <c r="L70" s="125"/>
      <c r="M70" s="615"/>
      <c r="N70" s="615"/>
      <c r="O70" s="615"/>
      <c r="P70" s="615"/>
      <c r="Q70" s="615"/>
      <c r="R70" s="615"/>
      <c r="S70" s="125"/>
      <c r="T70" s="125"/>
      <c r="U70" s="125"/>
      <c r="V70" s="125"/>
      <c r="W70" s="125"/>
      <c r="X70" s="125"/>
      <c r="Y70" s="125"/>
      <c r="Z70" s="125"/>
      <c r="AA70" s="125"/>
      <c r="AB70" s="125"/>
      <c r="AC70" s="125"/>
      <c r="AD70" s="125"/>
      <c r="AE70" s="615"/>
      <c r="AF70" s="615"/>
      <c r="AG70" s="615"/>
      <c r="AH70" s="615"/>
      <c r="AI70" s="615"/>
    </row>
    <row r="71" spans="1:46" s="416" customFormat="1" hidden="1" outlineLevel="1" x14ac:dyDescent="0.2">
      <c r="A71" s="125"/>
      <c r="B71" s="125"/>
      <c r="C71" s="125"/>
      <c r="D71" s="125"/>
      <c r="E71" s="5" t="s">
        <v>232</v>
      </c>
      <c r="F71" s="40">
        <f t="shared" ref="F71:K71" si="43">F68+M68</f>
        <v>0</v>
      </c>
      <c r="G71" s="40">
        <f t="shared" si="43"/>
        <v>0</v>
      </c>
      <c r="H71" s="40">
        <f t="shared" si="43"/>
        <v>0</v>
      </c>
      <c r="I71" s="40">
        <f t="shared" si="43"/>
        <v>0</v>
      </c>
      <c r="J71" s="40">
        <f t="shared" si="43"/>
        <v>0</v>
      </c>
      <c r="K71" s="40">
        <f t="shared" si="43"/>
        <v>0</v>
      </c>
      <c r="L71" s="125"/>
      <c r="M71" s="615"/>
      <c r="N71" s="615"/>
      <c r="O71" s="615"/>
      <c r="P71" s="615"/>
      <c r="Q71" s="615"/>
      <c r="R71" s="615"/>
      <c r="S71" s="125"/>
      <c r="T71" s="125"/>
      <c r="U71" s="125"/>
      <c r="V71" s="125"/>
      <c r="W71" s="125"/>
      <c r="X71" s="125"/>
      <c r="Y71" s="125"/>
      <c r="Z71" s="125"/>
      <c r="AA71" s="125"/>
      <c r="AB71" s="125"/>
      <c r="AC71" s="125"/>
      <c r="AD71" s="125"/>
      <c r="AE71" s="615"/>
      <c r="AF71" s="615"/>
      <c r="AG71" s="615"/>
      <c r="AH71" s="615"/>
      <c r="AI71" s="615"/>
    </row>
    <row r="72" spans="1:46" hidden="1" outlineLevel="1" x14ac:dyDescent="0.2">
      <c r="A72" s="125"/>
      <c r="B72" s="125"/>
      <c r="C72" s="125"/>
      <c r="D72" s="125"/>
      <c r="E72" s="643"/>
      <c r="F72" s="702"/>
      <c r="G72" s="702"/>
      <c r="H72" s="702"/>
      <c r="I72" s="702"/>
      <c r="J72" s="702"/>
      <c r="K72" s="702"/>
      <c r="L72" s="125"/>
      <c r="M72" s="125"/>
      <c r="N72" s="125"/>
      <c r="O72" s="125"/>
      <c r="P72" s="125"/>
      <c r="Q72" s="125"/>
      <c r="R72" s="125"/>
      <c r="S72" s="125"/>
      <c r="T72" s="125"/>
      <c r="U72" s="125"/>
      <c r="V72" s="125"/>
      <c r="W72" s="125"/>
      <c r="X72" s="125"/>
      <c r="Y72" s="125"/>
      <c r="Z72" s="125"/>
      <c r="AA72" s="125"/>
      <c r="AB72" s="125"/>
      <c r="AC72" s="125"/>
      <c r="AD72" s="125"/>
      <c r="AE72" s="615"/>
      <c r="AF72" s="615"/>
      <c r="AG72" s="615"/>
      <c r="AH72" s="615"/>
      <c r="AI72" s="615"/>
    </row>
    <row r="73" spans="1:46" collapsed="1" x14ac:dyDescent="0.2">
      <c r="A73" s="125"/>
      <c r="B73" s="125"/>
      <c r="C73" s="125"/>
      <c r="D73" s="125"/>
      <c r="E73" s="643"/>
      <c r="F73" s="702"/>
      <c r="G73" s="702"/>
      <c r="H73" s="702"/>
      <c r="I73" s="702"/>
      <c r="J73" s="702"/>
      <c r="K73" s="702"/>
      <c r="L73" s="125"/>
      <c r="M73" s="125"/>
      <c r="N73" s="125"/>
      <c r="O73" s="125"/>
      <c r="P73" s="125"/>
      <c r="Q73" s="125"/>
      <c r="R73" s="125"/>
      <c r="S73" s="125"/>
      <c r="T73" s="125"/>
      <c r="U73" s="125"/>
      <c r="V73" s="125"/>
      <c r="W73" s="125"/>
      <c r="X73" s="125"/>
      <c r="Y73" s="125"/>
      <c r="Z73" s="125"/>
      <c r="AA73" s="125"/>
      <c r="AB73" s="125"/>
      <c r="AC73" s="125"/>
      <c r="AD73" s="125"/>
      <c r="AE73" s="615"/>
      <c r="AF73" s="615"/>
      <c r="AG73" s="615"/>
      <c r="AH73" s="615"/>
      <c r="AI73" s="615"/>
    </row>
    <row r="74" spans="1:46" ht="15.75" x14ac:dyDescent="0.2">
      <c r="A74" s="131"/>
      <c r="B74" s="131"/>
      <c r="C74" s="131"/>
      <c r="D74" s="131"/>
      <c r="E74" s="123" t="s">
        <v>917</v>
      </c>
      <c r="F74" s="149"/>
      <c r="G74" s="124"/>
      <c r="H74" s="124"/>
      <c r="I74" s="124"/>
      <c r="J74" s="839" t="str">
        <f>IF(AND(ScriptSourceCode&lt;&gt;2,ScriptSourceCode&lt;&gt;3),MsgNotRequired,"")</f>
        <v>** NOT REQUIRED **</v>
      </c>
      <c r="K74" s="840"/>
      <c r="L74" s="124"/>
      <c r="M74" s="124"/>
      <c r="N74" s="124"/>
      <c r="O74" s="124"/>
      <c r="P74" s="124"/>
      <c r="Q74" s="839"/>
      <c r="R74" s="840"/>
      <c r="S74" s="124"/>
      <c r="T74" s="124"/>
      <c r="U74" s="124"/>
      <c r="V74" s="124"/>
      <c r="W74" s="124"/>
      <c r="X74" s="124"/>
      <c r="Y74" s="124"/>
      <c r="Z74" s="124"/>
      <c r="AA74" s="124"/>
      <c r="AB74" s="124"/>
      <c r="AC74" s="124"/>
      <c r="AD74" s="124"/>
      <c r="AE74" s="124"/>
      <c r="AF74" s="124"/>
      <c r="AG74" s="124"/>
      <c r="AH74" s="124"/>
      <c r="AI74" s="124"/>
      <c r="AJ74" s="124"/>
      <c r="AK74" s="124"/>
      <c r="AL74" s="124"/>
      <c r="AM74" s="124"/>
      <c r="AN74" s="124"/>
      <c r="AO74" s="124"/>
      <c r="AP74" s="124"/>
      <c r="AQ74" s="124"/>
      <c r="AR74" s="124"/>
      <c r="AS74" s="124"/>
      <c r="AT74" s="124"/>
    </row>
    <row r="75" spans="1:46" hidden="1" outlineLevel="1" x14ac:dyDescent="0.2">
      <c r="A75" s="125"/>
      <c r="B75" s="125"/>
      <c r="C75" s="125"/>
      <c r="D75" s="125"/>
      <c r="E75" s="643"/>
      <c r="F75" s="702"/>
      <c r="G75" s="702"/>
      <c r="H75" s="702"/>
      <c r="I75" s="702"/>
      <c r="J75" s="702"/>
      <c r="K75" s="702"/>
      <c r="L75" s="125"/>
      <c r="M75" s="125"/>
      <c r="N75" s="125"/>
      <c r="O75" s="125"/>
      <c r="P75" s="125"/>
      <c r="Q75" s="125"/>
      <c r="R75" s="125"/>
      <c r="S75" s="125"/>
      <c r="T75" s="125"/>
      <c r="U75" s="125"/>
      <c r="V75" s="125"/>
      <c r="W75" s="125"/>
      <c r="X75" s="125"/>
      <c r="Y75" s="125"/>
      <c r="Z75" s="125"/>
      <c r="AA75" s="125"/>
      <c r="AB75" s="125"/>
      <c r="AC75" s="125"/>
      <c r="AD75" s="125"/>
      <c r="AE75" s="125"/>
      <c r="AF75" s="125"/>
      <c r="AG75" s="125"/>
      <c r="AH75" s="125"/>
      <c r="AI75" s="125"/>
      <c r="AJ75" s="125"/>
      <c r="AK75" s="125"/>
      <c r="AL75" s="125"/>
      <c r="AM75" s="125"/>
      <c r="AN75" s="125"/>
      <c r="AO75" s="125"/>
      <c r="AP75" s="125"/>
      <c r="AQ75" s="125"/>
      <c r="AR75" s="125"/>
      <c r="AS75" s="125"/>
      <c r="AT75" s="125"/>
    </row>
    <row r="76" spans="1:46" hidden="1" outlineLevel="1" x14ac:dyDescent="0.2">
      <c r="A76" s="125"/>
      <c r="B76" s="125"/>
      <c r="C76" s="125"/>
      <c r="D76" s="125"/>
      <c r="E76" s="646" t="s">
        <v>927</v>
      </c>
      <c r="F76" s="702"/>
      <c r="G76" s="702"/>
      <c r="H76" s="702"/>
      <c r="I76" s="702"/>
      <c r="J76" s="702"/>
      <c r="K76" s="702"/>
      <c r="L76" s="125"/>
      <c r="M76" s="125"/>
      <c r="N76" s="125"/>
      <c r="O76" s="125"/>
      <c r="P76" s="125"/>
      <c r="Q76" s="125"/>
      <c r="R76" s="125"/>
      <c r="S76" s="125"/>
      <c r="T76" s="125"/>
      <c r="U76" s="125"/>
      <c r="V76" s="125"/>
      <c r="W76" s="125"/>
      <c r="X76" s="125"/>
      <c r="Y76" s="615"/>
      <c r="Z76" s="615"/>
      <c r="AA76" s="615"/>
      <c r="AB76" s="615"/>
      <c r="AC76" s="615"/>
      <c r="AD76" s="615"/>
      <c r="AE76" s="615"/>
      <c r="AF76" s="615"/>
      <c r="AG76" s="615"/>
      <c r="AH76" s="615"/>
      <c r="AI76" s="615"/>
      <c r="AJ76" s="615"/>
      <c r="AK76" s="615"/>
      <c r="AL76" s="615"/>
      <c r="AM76" s="615"/>
      <c r="AN76" s="615"/>
      <c r="AO76" s="615"/>
      <c r="AP76" s="615"/>
      <c r="AQ76" s="615"/>
      <c r="AR76" s="615"/>
      <c r="AS76" s="615"/>
      <c r="AT76" s="615"/>
    </row>
    <row r="77" spans="1:46" hidden="1" outlineLevel="1" x14ac:dyDescent="0.2">
      <c r="A77" s="125"/>
      <c r="B77" s="125"/>
      <c r="C77" s="125"/>
      <c r="D77" s="125"/>
      <c r="E77" s="643"/>
      <c r="F77" s="702"/>
      <c r="G77" s="702"/>
      <c r="H77" s="702"/>
      <c r="I77" s="702"/>
      <c r="J77" s="702"/>
      <c r="K77" s="702"/>
      <c r="L77" s="125"/>
      <c r="M77" s="125"/>
      <c r="N77" s="125"/>
      <c r="O77" s="125"/>
      <c r="P77" s="125"/>
      <c r="Q77" s="125"/>
      <c r="R77" s="125"/>
      <c r="S77" s="125"/>
      <c r="T77" s="125"/>
      <c r="U77" s="125"/>
      <c r="V77" s="125"/>
      <c r="W77" s="125"/>
      <c r="X77" s="125"/>
      <c r="Y77" s="615"/>
      <c r="Z77" s="615"/>
      <c r="AA77" s="615"/>
      <c r="AB77" s="615"/>
      <c r="AC77" s="615"/>
      <c r="AD77" s="615"/>
      <c r="AE77" s="615"/>
      <c r="AF77" s="615"/>
      <c r="AG77" s="615"/>
      <c r="AH77" s="615"/>
      <c r="AI77" s="615"/>
      <c r="AJ77" s="615"/>
      <c r="AK77" s="615"/>
      <c r="AL77" s="615"/>
      <c r="AM77" s="615"/>
      <c r="AN77" s="615"/>
      <c r="AO77" s="615"/>
      <c r="AP77" s="615"/>
      <c r="AQ77" s="615"/>
      <c r="AR77" s="615"/>
      <c r="AS77" s="615"/>
      <c r="AT77" s="615"/>
    </row>
    <row r="78" spans="1:46" ht="15" hidden="1" outlineLevel="1" x14ac:dyDescent="0.2">
      <c r="A78" s="125"/>
      <c r="B78" s="125"/>
      <c r="C78" s="125"/>
      <c r="D78" s="125"/>
      <c r="E78" s="643"/>
      <c r="F78" s="857" t="s">
        <v>227</v>
      </c>
      <c r="G78" s="858"/>
      <c r="H78" s="858"/>
      <c r="I78" s="858"/>
      <c r="J78" s="858"/>
      <c r="K78" s="859"/>
      <c r="L78" s="125"/>
      <c r="M78" s="857" t="s">
        <v>228</v>
      </c>
      <c r="N78" s="858"/>
      <c r="O78" s="858"/>
      <c r="P78" s="858"/>
      <c r="Q78" s="858"/>
      <c r="R78" s="859"/>
      <c r="S78" s="125"/>
      <c r="T78" s="125"/>
      <c r="U78" s="125"/>
      <c r="V78" s="125"/>
      <c r="W78" s="125"/>
      <c r="X78" s="125"/>
      <c r="AE78" s="615"/>
      <c r="AF78" s="615"/>
      <c r="AG78" s="615"/>
      <c r="AH78" s="615"/>
    </row>
    <row r="79" spans="1:46" s="420" customFormat="1" hidden="1" outlineLevel="1" x14ac:dyDescent="0.2">
      <c r="A79" s="162"/>
      <c r="B79" s="162"/>
      <c r="C79" s="162"/>
      <c r="D79" s="162"/>
      <c r="E79" s="467"/>
      <c r="F79" s="458">
        <f>FirstYear</f>
        <v>2021</v>
      </c>
      <c r="G79" s="458">
        <f>F79+1</f>
        <v>2022</v>
      </c>
      <c r="H79" s="458">
        <f>G79+1</f>
        <v>2023</v>
      </c>
      <c r="I79" s="458">
        <f>H79+1</f>
        <v>2024</v>
      </c>
      <c r="J79" s="458">
        <f>I79+1</f>
        <v>2025</v>
      </c>
      <c r="K79" s="458">
        <f>J79+1</f>
        <v>2026</v>
      </c>
      <c r="L79" s="162"/>
      <c r="M79" s="458">
        <f>FirstYear</f>
        <v>2021</v>
      </c>
      <c r="N79" s="458">
        <f>M79+1</f>
        <v>2022</v>
      </c>
      <c r="O79" s="458">
        <f>N79+1</f>
        <v>2023</v>
      </c>
      <c r="P79" s="458">
        <f>O79+1</f>
        <v>2024</v>
      </c>
      <c r="Q79" s="458">
        <f>P79+1</f>
        <v>2025</v>
      </c>
      <c r="R79" s="458">
        <f>Q79+1</f>
        <v>2026</v>
      </c>
      <c r="S79" s="162"/>
      <c r="T79" s="162"/>
      <c r="U79" s="162"/>
      <c r="V79" s="162"/>
      <c r="W79" s="162"/>
      <c r="X79" s="162"/>
      <c r="Y79"/>
      <c r="Z79" s="416"/>
      <c r="AA79" s="416"/>
      <c r="AB79" s="416"/>
      <c r="AC79" s="416"/>
      <c r="AD79" s="416"/>
      <c r="AE79" s="459" t="s">
        <v>291</v>
      </c>
      <c r="AF79" s="641"/>
      <c r="AG79" s="641"/>
      <c r="AH79" s="641"/>
    </row>
    <row r="80" spans="1:46" s="420" customFormat="1" hidden="1" outlineLevel="1" x14ac:dyDescent="0.2">
      <c r="A80" s="162"/>
      <c r="B80" s="162"/>
      <c r="C80" s="162"/>
      <c r="D80" s="162"/>
      <c r="E80" s="59" t="str">
        <f>TxPhase1RxTotal</f>
        <v/>
      </c>
      <c r="F80" s="440">
        <f>IF(OR(ScriptSourceCode=2,ScriptSourceCode=3),-'2e. Scripts - market'!D36,0)</f>
        <v>0</v>
      </c>
      <c r="G80" s="440">
        <f>IF(OR(ScriptSourceCode=2,ScriptSourceCode=3),-'2e. Scripts - market'!E36,0)</f>
        <v>0</v>
      </c>
      <c r="H80" s="440">
        <f>IF(OR(ScriptSourceCode=2,ScriptSourceCode=3),-'2e. Scripts - market'!F36,0)</f>
        <v>0</v>
      </c>
      <c r="I80" s="440">
        <f>IF(OR(ScriptSourceCode=2,ScriptSourceCode=3),-'2e. Scripts - market'!G36,0)</f>
        <v>0</v>
      </c>
      <c r="J80" s="440">
        <f>IF(OR(ScriptSourceCode=2,ScriptSourceCode=3),-'2e. Scripts - market'!H36,0)</f>
        <v>0</v>
      </c>
      <c r="K80" s="440">
        <f>IF(OR(ScriptSourceCode=2,ScriptSourceCode=3),-'2e. Scripts - market'!I36,0)</f>
        <v>0</v>
      </c>
      <c r="L80" s="162"/>
      <c r="M80" s="440">
        <f>IF(OR(ScriptSourceCode=2,ScriptSourceCode=3),-'2e. Scripts - market'!K36,0)</f>
        <v>0</v>
      </c>
      <c r="N80" s="440">
        <f>IF(OR(ScriptSourceCode=2,ScriptSourceCode=3),-'2e. Scripts - market'!L36,0)</f>
        <v>0</v>
      </c>
      <c r="O80" s="440">
        <f>IF(OR(ScriptSourceCode=2,ScriptSourceCode=3),-'2e. Scripts - market'!M36,0)</f>
        <v>0</v>
      </c>
      <c r="P80" s="440">
        <f>IF(OR(ScriptSourceCode=2,ScriptSourceCode=3),-'2e. Scripts - market'!N36,0)</f>
        <v>0</v>
      </c>
      <c r="Q80" s="440">
        <f>IF(OR(ScriptSourceCode=2,ScriptSourceCode=3),-'2e. Scripts - market'!O36,0)</f>
        <v>0</v>
      </c>
      <c r="R80" s="440">
        <f>IF(OR(ScriptSourceCode=2,ScriptSourceCode=3),-'2e. Scripts - market'!P36,0)</f>
        <v>0</v>
      </c>
      <c r="S80" s="162"/>
      <c r="T80" s="162"/>
      <c r="U80" s="162"/>
      <c r="V80" s="162"/>
      <c r="W80" s="162"/>
      <c r="X80" s="162"/>
      <c r="Y80"/>
      <c r="Z80" s="416"/>
      <c r="AA80" s="416"/>
      <c r="AB80" s="416"/>
      <c r="AC80" s="416"/>
      <c r="AD80" s="416"/>
      <c r="AE80" s="73" t="str">
        <f>TxPhase1Code</f>
        <v/>
      </c>
      <c r="AF80" s="468"/>
      <c r="AG80" s="468"/>
      <c r="AH80" s="641"/>
    </row>
    <row r="81" spans="1:46" s="420" customFormat="1" hidden="1" outlineLevel="1" x14ac:dyDescent="0.2">
      <c r="A81" s="162"/>
      <c r="B81" s="162"/>
      <c r="C81" s="162"/>
      <c r="D81" s="162"/>
      <c r="E81" s="59" t="str">
        <f>TxPhase2RxTotal</f>
        <v/>
      </c>
      <c r="F81" s="440">
        <f>IF(OR(ScriptSourceCode=2,ScriptSourceCode=3),-'2e. Scripts - market'!D37,0)</f>
        <v>0</v>
      </c>
      <c r="G81" s="440">
        <f>IF(OR(ScriptSourceCode=2,ScriptSourceCode=3),-'2e. Scripts - market'!E37,0)</f>
        <v>0</v>
      </c>
      <c r="H81" s="440">
        <f>IF(OR(ScriptSourceCode=2,ScriptSourceCode=3),-'2e. Scripts - market'!F37,0)</f>
        <v>0</v>
      </c>
      <c r="I81" s="440">
        <f>IF(OR(ScriptSourceCode=2,ScriptSourceCode=3),-'2e. Scripts - market'!G37,0)</f>
        <v>0</v>
      </c>
      <c r="J81" s="440">
        <f>IF(OR(ScriptSourceCode=2,ScriptSourceCode=3),-'2e. Scripts - market'!H37,0)</f>
        <v>0</v>
      </c>
      <c r="K81" s="440">
        <f>IF(OR(ScriptSourceCode=2,ScriptSourceCode=3),-'2e. Scripts - market'!I37,0)</f>
        <v>0</v>
      </c>
      <c r="L81" s="162"/>
      <c r="M81" s="440">
        <f>IF(OR(ScriptSourceCode=2,ScriptSourceCode=3),-'2e. Scripts - market'!K37,0)</f>
        <v>0</v>
      </c>
      <c r="N81" s="440">
        <f>IF(OR(ScriptSourceCode=2,ScriptSourceCode=3),-'2e. Scripts - market'!L37,0)</f>
        <v>0</v>
      </c>
      <c r="O81" s="440">
        <f>IF(OR(ScriptSourceCode=2,ScriptSourceCode=3),-'2e. Scripts - market'!M37,0)</f>
        <v>0</v>
      </c>
      <c r="P81" s="440">
        <f>IF(OR(ScriptSourceCode=2,ScriptSourceCode=3),-'2e. Scripts - market'!N37,0)</f>
        <v>0</v>
      </c>
      <c r="Q81" s="440">
        <f>IF(OR(ScriptSourceCode=2,ScriptSourceCode=3),-'2e. Scripts - market'!O37,0)</f>
        <v>0</v>
      </c>
      <c r="R81" s="440">
        <f>IF(OR(ScriptSourceCode=2,ScriptSourceCode=3),-'2e. Scripts - market'!P37,0)</f>
        <v>0</v>
      </c>
      <c r="S81" s="162"/>
      <c r="T81" s="162"/>
      <c r="U81" s="162"/>
      <c r="V81" s="162"/>
      <c r="W81" s="162"/>
      <c r="X81" s="162"/>
      <c r="Y81"/>
      <c r="Z81" s="416"/>
      <c r="AA81" s="416"/>
      <c r="AB81" s="416"/>
      <c r="AC81" s="416"/>
      <c r="AD81" s="416"/>
      <c r="AE81" s="73" t="str">
        <f>TxPhase2Code</f>
        <v/>
      </c>
      <c r="AF81" s="641"/>
      <c r="AG81" s="641"/>
      <c r="AH81" s="641"/>
    </row>
    <row r="82" spans="1:46" s="420" customFormat="1" ht="14.25" hidden="1" customHeight="1" outlineLevel="1" x14ac:dyDescent="0.2">
      <c r="A82" s="162"/>
      <c r="B82" s="162"/>
      <c r="C82" s="162"/>
      <c r="D82" s="162"/>
      <c r="E82" s="162"/>
      <c r="F82" s="162"/>
      <c r="G82" s="162"/>
      <c r="H82" s="162"/>
      <c r="I82" s="162"/>
      <c r="J82" s="162"/>
      <c r="K82" s="162"/>
      <c r="L82" s="162"/>
      <c r="M82" s="162"/>
      <c r="N82" s="162"/>
      <c r="O82" s="162"/>
      <c r="P82" s="162"/>
      <c r="Q82" s="162"/>
      <c r="R82" s="162"/>
      <c r="S82" s="162"/>
      <c r="T82" s="162"/>
      <c r="U82" s="162"/>
      <c r="V82" s="162"/>
      <c r="W82" s="162"/>
      <c r="X82" s="162"/>
      <c r="Y82"/>
      <c r="Z82" s="416"/>
      <c r="AA82" s="416"/>
      <c r="AB82" s="416"/>
      <c r="AC82" s="416"/>
      <c r="AD82" s="416"/>
      <c r="AE82" s="641"/>
      <c r="AF82" s="641"/>
      <c r="AG82" s="641"/>
      <c r="AH82" s="641"/>
    </row>
    <row r="83" spans="1:46" hidden="1" outlineLevel="1" x14ac:dyDescent="0.2">
      <c r="A83" s="125"/>
      <c r="B83" s="125"/>
      <c r="C83" s="125"/>
      <c r="D83" s="125"/>
      <c r="E83" s="125"/>
      <c r="F83" s="650">
        <v>2</v>
      </c>
      <c r="G83" s="650">
        <v>3</v>
      </c>
      <c r="H83" s="650">
        <v>4</v>
      </c>
      <c r="I83" s="650">
        <v>5</v>
      </c>
      <c r="J83" s="650">
        <v>6</v>
      </c>
      <c r="K83" s="650">
        <v>7</v>
      </c>
      <c r="L83" s="125"/>
      <c r="M83" s="650">
        <v>1</v>
      </c>
      <c r="N83" s="650">
        <v>2</v>
      </c>
      <c r="O83" s="650">
        <v>3</v>
      </c>
      <c r="P83" s="650">
        <v>4</v>
      </c>
      <c r="Q83" s="650">
        <v>5</v>
      </c>
      <c r="R83" s="650">
        <v>6</v>
      </c>
      <c r="S83" s="125"/>
      <c r="T83" s="125"/>
      <c r="U83" s="125"/>
      <c r="V83" s="125"/>
      <c r="W83" s="125"/>
      <c r="X83" s="125"/>
      <c r="AE83" s="615"/>
      <c r="AF83" s="615"/>
      <c r="AG83" s="615"/>
      <c r="AH83" s="615"/>
      <c r="AI83" s="856" t="s">
        <v>226</v>
      </c>
      <c r="AJ83" s="856"/>
      <c r="AK83" s="856"/>
      <c r="AL83" s="856"/>
      <c r="AM83" s="856"/>
      <c r="AN83" s="856"/>
      <c r="AO83" s="856"/>
      <c r="AP83" s="856"/>
      <c r="AQ83" s="856"/>
      <c r="AR83" s="856"/>
      <c r="AS83" s="856"/>
      <c r="AT83" s="856"/>
    </row>
    <row r="84" spans="1:46" hidden="1" outlineLevel="1" x14ac:dyDescent="0.2">
      <c r="A84" s="125"/>
      <c r="B84" s="125"/>
      <c r="C84" s="125"/>
      <c r="D84" s="125"/>
      <c r="E84" s="140"/>
      <c r="F84" s="830" t="s">
        <v>229</v>
      </c>
      <c r="G84" s="841"/>
      <c r="H84" s="841"/>
      <c r="I84" s="841"/>
      <c r="J84" s="841"/>
      <c r="K84" s="842"/>
      <c r="L84" s="162"/>
      <c r="M84" s="830" t="s">
        <v>230</v>
      </c>
      <c r="N84" s="841"/>
      <c r="O84" s="841"/>
      <c r="P84" s="841"/>
      <c r="Q84" s="841"/>
      <c r="R84" s="842"/>
      <c r="S84" s="125"/>
      <c r="T84" s="125"/>
      <c r="U84" s="125"/>
      <c r="V84" s="125"/>
      <c r="W84" s="125"/>
      <c r="X84" s="125"/>
      <c r="AE84" s="615"/>
      <c r="AF84" s="615"/>
      <c r="AG84" s="615"/>
      <c r="AH84" s="615"/>
      <c r="AI84" s="855" t="str">
        <f>AI46</f>
        <v/>
      </c>
      <c r="AJ84" s="855"/>
      <c r="AK84" s="855"/>
      <c r="AL84" s="855"/>
      <c r="AM84" s="855"/>
      <c r="AN84" s="855"/>
      <c r="AO84" s="855" t="str">
        <f>AO46</f>
        <v/>
      </c>
      <c r="AP84" s="855"/>
      <c r="AQ84" s="855"/>
      <c r="AR84" s="855"/>
      <c r="AS84" s="855"/>
      <c r="AT84" s="855"/>
    </row>
    <row r="85" spans="1:46" hidden="1" outlineLevel="1" x14ac:dyDescent="0.2">
      <c r="A85" s="125"/>
      <c r="B85" s="125"/>
      <c r="C85" s="125"/>
      <c r="D85" s="125"/>
      <c r="E85" s="66" t="s">
        <v>812</v>
      </c>
      <c r="F85" s="81">
        <f>FirstYear</f>
        <v>2021</v>
      </c>
      <c r="G85" s="81">
        <f>F85+1</f>
        <v>2022</v>
      </c>
      <c r="H85" s="81">
        <f>G85+1</f>
        <v>2023</v>
      </c>
      <c r="I85" s="81">
        <f>H85+1</f>
        <v>2024</v>
      </c>
      <c r="J85" s="81">
        <f>I85+1</f>
        <v>2025</v>
      </c>
      <c r="K85" s="81">
        <f>J85+1</f>
        <v>2026</v>
      </c>
      <c r="L85" s="125"/>
      <c r="M85" s="81">
        <f>FirstYear</f>
        <v>2021</v>
      </c>
      <c r="N85" s="81">
        <f>M85+1</f>
        <v>2022</v>
      </c>
      <c r="O85" s="81">
        <f>N85+1</f>
        <v>2023</v>
      </c>
      <c r="P85" s="81">
        <f>O85+1</f>
        <v>2024</v>
      </c>
      <c r="Q85" s="81">
        <f>P85+1</f>
        <v>2025</v>
      </c>
      <c r="R85" s="81">
        <f>Q85+1</f>
        <v>2026</v>
      </c>
      <c r="S85" s="125"/>
      <c r="T85" s="125"/>
      <c r="U85" s="125"/>
      <c r="V85" s="125"/>
      <c r="W85" s="125"/>
      <c r="X85" s="125"/>
      <c r="AE85" s="615"/>
      <c r="AF85" s="615"/>
      <c r="AG85" s="615"/>
      <c r="AH85" s="615"/>
      <c r="AI85" s="229">
        <f>FirstYear</f>
        <v>2021</v>
      </c>
      <c r="AJ85" s="229">
        <f>AI85+1</f>
        <v>2022</v>
      </c>
      <c r="AK85" s="229">
        <f>AJ85+1</f>
        <v>2023</v>
      </c>
      <c r="AL85" s="229">
        <f>AK85+1</f>
        <v>2024</v>
      </c>
      <c r="AM85" s="229">
        <f>AL85+1</f>
        <v>2025</v>
      </c>
      <c r="AN85" s="229">
        <f>AM85+1</f>
        <v>2026</v>
      </c>
      <c r="AO85" s="229">
        <f>FirstYear</f>
        <v>2021</v>
      </c>
      <c r="AP85" s="229">
        <f>AO85+1</f>
        <v>2022</v>
      </c>
      <c r="AQ85" s="229">
        <f>AP85+1</f>
        <v>2023</v>
      </c>
      <c r="AR85" s="229">
        <f>AQ85+1</f>
        <v>2024</v>
      </c>
      <c r="AS85" s="229">
        <f>AR85+1</f>
        <v>2025</v>
      </c>
      <c r="AT85" s="229">
        <f>AS85+1</f>
        <v>2026</v>
      </c>
    </row>
    <row r="86" spans="1:46" hidden="1" outlineLevel="1" x14ac:dyDescent="0.2">
      <c r="A86" s="125"/>
      <c r="B86" s="125"/>
      <c r="C86" s="125"/>
      <c r="D86" s="58">
        <v>1</v>
      </c>
      <c r="E86" s="85" t="str">
        <f t="shared" ref="E86:E105" si="44">IF(AND(ScriptSourceCode&lt;&gt;2,ScriptSourceCode&lt;&gt;3),MsgNotUsed,INDEX(NamesLinkNew,D86))</f>
        <v>** NOT USED **</v>
      </c>
      <c r="F86" s="32">
        <f t="shared" ref="F86:F105" si="45">IF($E86&lt;&gt;MsgNotUsed,-INDEX(PBSScriptsOld,$C144,F$83)*$AP144*M144,0)</f>
        <v>0</v>
      </c>
      <c r="G86" s="32">
        <f t="shared" ref="G86:G105" si="46">IF($E86&lt;&gt;MsgNotUsed,-INDEX(PBSScriptsOld,$C144,G$83)*$AP144*N144,0)</f>
        <v>0</v>
      </c>
      <c r="H86" s="32">
        <f t="shared" ref="H86:H105" si="47">IF($E86&lt;&gt;MsgNotUsed,-INDEX(PBSScriptsOld,$C144,H$83)*$AP144*O144,0)</f>
        <v>0</v>
      </c>
      <c r="I86" s="32">
        <f t="shared" ref="I86:I105" si="48">IF($E86&lt;&gt;MsgNotUsed,-INDEX(PBSScriptsOld,$C144,I$83)*$AP144*P144,0)</f>
        <v>0</v>
      </c>
      <c r="J86" s="32">
        <f t="shared" ref="J86:J105" si="49">IF($E86&lt;&gt;MsgNotUsed,-INDEX(PBSScriptsOld,$C144,J$83)*$AP144*Q144,0)</f>
        <v>0</v>
      </c>
      <c r="K86" s="32">
        <f t="shared" ref="K86:K105" si="50">IF($E86&lt;&gt;MsgNotUsed,-INDEX(PBSScriptsOld,$C144,K$83)*$AP144*R144,0)</f>
        <v>0</v>
      </c>
      <c r="L86" s="125"/>
      <c r="M86" s="32">
        <f t="shared" ref="M86:R95" si="51">IF($E86&lt;&gt;MsgNotUsed,-INDEX(RPBSScriptsOld,$C144,M$83)*$AP144*M144,0)</f>
        <v>0</v>
      </c>
      <c r="N86" s="32">
        <f t="shared" si="51"/>
        <v>0</v>
      </c>
      <c r="O86" s="32">
        <f t="shared" si="51"/>
        <v>0</v>
      </c>
      <c r="P86" s="32">
        <f t="shared" si="51"/>
        <v>0</v>
      </c>
      <c r="Q86" s="32">
        <f t="shared" si="51"/>
        <v>0</v>
      </c>
      <c r="R86" s="32">
        <f t="shared" si="51"/>
        <v>0</v>
      </c>
      <c r="S86" s="125"/>
      <c r="T86" s="125"/>
      <c r="U86" s="125"/>
      <c r="V86" s="125"/>
      <c r="W86" s="125"/>
      <c r="X86" s="125"/>
      <c r="AE86" s="240">
        <v>1</v>
      </c>
      <c r="AF86" s="240" t="str">
        <f t="shared" ref="AF86:AF105" si="52">IF(E86&lt;&gt;MsgNotUsed,F144,"")</f>
        <v/>
      </c>
      <c r="AG86" s="615"/>
      <c r="AH86" s="240">
        <v>1</v>
      </c>
      <c r="AI86" s="514">
        <f t="shared" ref="AI86:AN95" si="53">IF(OR(ScriptSourceCode=1,ScriptSourceCode=3),IF($AH117&lt;&gt;0,ROUND(AI117*INDEX(PxTxPhase1Adj,$AH117,9),0),0),0)</f>
        <v>0</v>
      </c>
      <c r="AJ86" s="514">
        <f t="shared" si="53"/>
        <v>0</v>
      </c>
      <c r="AK86" s="514">
        <f t="shared" si="53"/>
        <v>0</v>
      </c>
      <c r="AL86" s="514">
        <f t="shared" si="53"/>
        <v>0</v>
      </c>
      <c r="AM86" s="514">
        <f t="shared" si="53"/>
        <v>0</v>
      </c>
      <c r="AN86" s="514">
        <f t="shared" si="53"/>
        <v>0</v>
      </c>
      <c r="AO86" s="514">
        <f t="shared" ref="AO86:AT95" si="54">IF(OR(ScriptSourceCode=1,ScriptSourceCode=3),IF($AH117&lt;&gt;0,ROUND(AO117*INDEX(PxTxPhase2Adj,$AH117,9),0),0),0)</f>
        <v>0</v>
      </c>
      <c r="AP86" s="514">
        <f t="shared" si="54"/>
        <v>0</v>
      </c>
      <c r="AQ86" s="514">
        <f t="shared" si="54"/>
        <v>0</v>
      </c>
      <c r="AR86" s="514">
        <f t="shared" si="54"/>
        <v>0</v>
      </c>
      <c r="AS86" s="514">
        <f t="shared" si="54"/>
        <v>0</v>
      </c>
      <c r="AT86" s="514">
        <f t="shared" si="54"/>
        <v>0</v>
      </c>
    </row>
    <row r="87" spans="1:46" hidden="1" outlineLevel="1" x14ac:dyDescent="0.2">
      <c r="A87" s="125"/>
      <c r="B87" s="125"/>
      <c r="C87" s="125"/>
      <c r="D87" s="58">
        <v>2</v>
      </c>
      <c r="E87" s="524" t="str">
        <f t="shared" si="44"/>
        <v>** NOT USED **</v>
      </c>
      <c r="F87" s="32">
        <f t="shared" si="45"/>
        <v>0</v>
      </c>
      <c r="G87" s="32">
        <f t="shared" si="46"/>
        <v>0</v>
      </c>
      <c r="H87" s="32">
        <f t="shared" si="47"/>
        <v>0</v>
      </c>
      <c r="I87" s="32">
        <f t="shared" si="48"/>
        <v>0</v>
      </c>
      <c r="J87" s="32">
        <f t="shared" si="49"/>
        <v>0</v>
      </c>
      <c r="K87" s="32">
        <f t="shared" si="50"/>
        <v>0</v>
      </c>
      <c r="L87" s="125"/>
      <c r="M87" s="32">
        <f t="shared" si="51"/>
        <v>0</v>
      </c>
      <c r="N87" s="32">
        <f t="shared" si="51"/>
        <v>0</v>
      </c>
      <c r="O87" s="32">
        <f t="shared" si="51"/>
        <v>0</v>
      </c>
      <c r="P87" s="32">
        <f t="shared" si="51"/>
        <v>0</v>
      </c>
      <c r="Q87" s="32">
        <f t="shared" si="51"/>
        <v>0</v>
      </c>
      <c r="R87" s="32">
        <f t="shared" si="51"/>
        <v>0</v>
      </c>
      <c r="S87" s="125"/>
      <c r="T87" s="125"/>
      <c r="U87" s="125"/>
      <c r="V87" s="125"/>
      <c r="W87" s="125"/>
      <c r="X87" s="125"/>
      <c r="AE87" s="240">
        <v>2</v>
      </c>
      <c r="AF87" s="240" t="str">
        <f t="shared" si="52"/>
        <v/>
      </c>
      <c r="AG87" s="615"/>
      <c r="AH87" s="240">
        <v>2</v>
      </c>
      <c r="AI87" s="514">
        <f t="shared" si="53"/>
        <v>0</v>
      </c>
      <c r="AJ87" s="514">
        <f t="shared" si="53"/>
        <v>0</v>
      </c>
      <c r="AK87" s="514">
        <f t="shared" si="53"/>
        <v>0</v>
      </c>
      <c r="AL87" s="514">
        <f t="shared" si="53"/>
        <v>0</v>
      </c>
      <c r="AM87" s="514">
        <f t="shared" si="53"/>
        <v>0</v>
      </c>
      <c r="AN87" s="514">
        <f t="shared" si="53"/>
        <v>0</v>
      </c>
      <c r="AO87" s="514">
        <f t="shared" si="54"/>
        <v>0</v>
      </c>
      <c r="AP87" s="514">
        <f t="shared" si="54"/>
        <v>0</v>
      </c>
      <c r="AQ87" s="514">
        <f t="shared" si="54"/>
        <v>0</v>
      </c>
      <c r="AR87" s="514">
        <f t="shared" si="54"/>
        <v>0</v>
      </c>
      <c r="AS87" s="514">
        <f t="shared" si="54"/>
        <v>0</v>
      </c>
      <c r="AT87" s="514">
        <f t="shared" si="54"/>
        <v>0</v>
      </c>
    </row>
    <row r="88" spans="1:46" hidden="1" outlineLevel="1" x14ac:dyDescent="0.2">
      <c r="A88" s="125"/>
      <c r="B88" s="125"/>
      <c r="C88" s="125"/>
      <c r="D88" s="58">
        <v>3</v>
      </c>
      <c r="E88" s="524" t="str">
        <f t="shared" si="44"/>
        <v>** NOT USED **</v>
      </c>
      <c r="F88" s="32">
        <f t="shared" si="45"/>
        <v>0</v>
      </c>
      <c r="G88" s="32">
        <f t="shared" si="46"/>
        <v>0</v>
      </c>
      <c r="H88" s="32">
        <f t="shared" si="47"/>
        <v>0</v>
      </c>
      <c r="I88" s="32">
        <f t="shared" si="48"/>
        <v>0</v>
      </c>
      <c r="J88" s="32">
        <f t="shared" si="49"/>
        <v>0</v>
      </c>
      <c r="K88" s="32">
        <f t="shared" si="50"/>
        <v>0</v>
      </c>
      <c r="L88" s="125"/>
      <c r="M88" s="32">
        <f t="shared" si="51"/>
        <v>0</v>
      </c>
      <c r="N88" s="32">
        <f t="shared" si="51"/>
        <v>0</v>
      </c>
      <c r="O88" s="32">
        <f t="shared" si="51"/>
        <v>0</v>
      </c>
      <c r="P88" s="32">
        <f t="shared" si="51"/>
        <v>0</v>
      </c>
      <c r="Q88" s="32">
        <f t="shared" si="51"/>
        <v>0</v>
      </c>
      <c r="R88" s="32">
        <f t="shared" si="51"/>
        <v>0</v>
      </c>
      <c r="S88" s="125"/>
      <c r="T88" s="125"/>
      <c r="U88" s="125"/>
      <c r="V88" s="125"/>
      <c r="W88" s="125"/>
      <c r="X88" s="125"/>
      <c r="AE88" s="240">
        <v>3</v>
      </c>
      <c r="AF88" s="240" t="str">
        <f t="shared" si="52"/>
        <v/>
      </c>
      <c r="AG88" s="615"/>
      <c r="AH88" s="240">
        <v>3</v>
      </c>
      <c r="AI88" s="514">
        <f t="shared" si="53"/>
        <v>0</v>
      </c>
      <c r="AJ88" s="514">
        <f t="shared" si="53"/>
        <v>0</v>
      </c>
      <c r="AK88" s="514">
        <f t="shared" si="53"/>
        <v>0</v>
      </c>
      <c r="AL88" s="514">
        <f t="shared" si="53"/>
        <v>0</v>
      </c>
      <c r="AM88" s="514">
        <f t="shared" si="53"/>
        <v>0</v>
      </c>
      <c r="AN88" s="514">
        <f t="shared" si="53"/>
        <v>0</v>
      </c>
      <c r="AO88" s="514">
        <f t="shared" si="54"/>
        <v>0</v>
      </c>
      <c r="AP88" s="514">
        <f t="shared" si="54"/>
        <v>0</v>
      </c>
      <c r="AQ88" s="514">
        <f t="shared" si="54"/>
        <v>0</v>
      </c>
      <c r="AR88" s="514">
        <f t="shared" si="54"/>
        <v>0</v>
      </c>
      <c r="AS88" s="514">
        <f t="shared" si="54"/>
        <v>0</v>
      </c>
      <c r="AT88" s="514">
        <f t="shared" si="54"/>
        <v>0</v>
      </c>
    </row>
    <row r="89" spans="1:46" hidden="1" outlineLevel="1" x14ac:dyDescent="0.2">
      <c r="A89" s="125"/>
      <c r="B89" s="125"/>
      <c r="C89" s="125"/>
      <c r="D89" s="58">
        <v>4</v>
      </c>
      <c r="E89" s="524" t="str">
        <f t="shared" si="44"/>
        <v>** NOT USED **</v>
      </c>
      <c r="F89" s="32">
        <f t="shared" si="45"/>
        <v>0</v>
      </c>
      <c r="G89" s="32">
        <f t="shared" si="46"/>
        <v>0</v>
      </c>
      <c r="H89" s="32">
        <f t="shared" si="47"/>
        <v>0</v>
      </c>
      <c r="I89" s="32">
        <f t="shared" si="48"/>
        <v>0</v>
      </c>
      <c r="J89" s="32">
        <f t="shared" si="49"/>
        <v>0</v>
      </c>
      <c r="K89" s="32">
        <f t="shared" si="50"/>
        <v>0</v>
      </c>
      <c r="L89" s="125"/>
      <c r="M89" s="32">
        <f t="shared" si="51"/>
        <v>0</v>
      </c>
      <c r="N89" s="32">
        <f t="shared" si="51"/>
        <v>0</v>
      </c>
      <c r="O89" s="32">
        <f t="shared" si="51"/>
        <v>0</v>
      </c>
      <c r="P89" s="32">
        <f t="shared" si="51"/>
        <v>0</v>
      </c>
      <c r="Q89" s="32">
        <f t="shared" si="51"/>
        <v>0</v>
      </c>
      <c r="R89" s="32">
        <f t="shared" si="51"/>
        <v>0</v>
      </c>
      <c r="S89" s="125"/>
      <c r="T89" s="125"/>
      <c r="U89" s="125"/>
      <c r="V89" s="125"/>
      <c r="W89" s="125"/>
      <c r="X89" s="125"/>
      <c r="AE89" s="240">
        <v>4</v>
      </c>
      <c r="AF89" s="240" t="str">
        <f t="shared" si="52"/>
        <v/>
      </c>
      <c r="AG89" s="615"/>
      <c r="AH89" s="240">
        <v>4</v>
      </c>
      <c r="AI89" s="514">
        <f t="shared" si="53"/>
        <v>0</v>
      </c>
      <c r="AJ89" s="514">
        <f t="shared" si="53"/>
        <v>0</v>
      </c>
      <c r="AK89" s="514">
        <f t="shared" si="53"/>
        <v>0</v>
      </c>
      <c r="AL89" s="514">
        <f t="shared" si="53"/>
        <v>0</v>
      </c>
      <c r="AM89" s="514">
        <f t="shared" si="53"/>
        <v>0</v>
      </c>
      <c r="AN89" s="514">
        <f t="shared" si="53"/>
        <v>0</v>
      </c>
      <c r="AO89" s="514">
        <f t="shared" si="54"/>
        <v>0</v>
      </c>
      <c r="AP89" s="514">
        <f t="shared" si="54"/>
        <v>0</v>
      </c>
      <c r="AQ89" s="514">
        <f t="shared" si="54"/>
        <v>0</v>
      </c>
      <c r="AR89" s="514">
        <f t="shared" si="54"/>
        <v>0</v>
      </c>
      <c r="AS89" s="514">
        <f t="shared" si="54"/>
        <v>0</v>
      </c>
      <c r="AT89" s="514">
        <f t="shared" si="54"/>
        <v>0</v>
      </c>
    </row>
    <row r="90" spans="1:46" hidden="1" outlineLevel="1" x14ac:dyDescent="0.2">
      <c r="A90" s="125"/>
      <c r="B90" s="125"/>
      <c r="C90" s="125"/>
      <c r="D90" s="58">
        <v>5</v>
      </c>
      <c r="E90" s="524" t="str">
        <f t="shared" si="44"/>
        <v>** NOT USED **</v>
      </c>
      <c r="F90" s="32">
        <f t="shared" si="45"/>
        <v>0</v>
      </c>
      <c r="G90" s="32">
        <f t="shared" si="46"/>
        <v>0</v>
      </c>
      <c r="H90" s="32">
        <f t="shared" si="47"/>
        <v>0</v>
      </c>
      <c r="I90" s="32">
        <f t="shared" si="48"/>
        <v>0</v>
      </c>
      <c r="J90" s="32">
        <f t="shared" si="49"/>
        <v>0</v>
      </c>
      <c r="K90" s="32">
        <f t="shared" si="50"/>
        <v>0</v>
      </c>
      <c r="L90" s="125"/>
      <c r="M90" s="32">
        <f t="shared" si="51"/>
        <v>0</v>
      </c>
      <c r="N90" s="32">
        <f t="shared" si="51"/>
        <v>0</v>
      </c>
      <c r="O90" s="32">
        <f t="shared" si="51"/>
        <v>0</v>
      </c>
      <c r="P90" s="32">
        <f t="shared" si="51"/>
        <v>0</v>
      </c>
      <c r="Q90" s="32">
        <f t="shared" si="51"/>
        <v>0</v>
      </c>
      <c r="R90" s="32">
        <f t="shared" si="51"/>
        <v>0</v>
      </c>
      <c r="S90" s="125"/>
      <c r="T90" s="125"/>
      <c r="U90" s="125"/>
      <c r="V90" s="125"/>
      <c r="W90" s="125"/>
      <c r="X90" s="125"/>
      <c r="AE90" s="240">
        <v>5</v>
      </c>
      <c r="AF90" s="240" t="str">
        <f t="shared" si="52"/>
        <v/>
      </c>
      <c r="AG90" s="615"/>
      <c r="AH90" s="240">
        <v>5</v>
      </c>
      <c r="AI90" s="514">
        <f t="shared" si="53"/>
        <v>0</v>
      </c>
      <c r="AJ90" s="514">
        <f t="shared" si="53"/>
        <v>0</v>
      </c>
      <c r="AK90" s="514">
        <f t="shared" si="53"/>
        <v>0</v>
      </c>
      <c r="AL90" s="514">
        <f t="shared" si="53"/>
        <v>0</v>
      </c>
      <c r="AM90" s="514">
        <f t="shared" si="53"/>
        <v>0</v>
      </c>
      <c r="AN90" s="514">
        <f t="shared" si="53"/>
        <v>0</v>
      </c>
      <c r="AO90" s="514">
        <f t="shared" si="54"/>
        <v>0</v>
      </c>
      <c r="AP90" s="514">
        <f t="shared" si="54"/>
        <v>0</v>
      </c>
      <c r="AQ90" s="514">
        <f t="shared" si="54"/>
        <v>0</v>
      </c>
      <c r="AR90" s="514">
        <f t="shared" si="54"/>
        <v>0</v>
      </c>
      <c r="AS90" s="514">
        <f t="shared" si="54"/>
        <v>0</v>
      </c>
      <c r="AT90" s="514">
        <f t="shared" si="54"/>
        <v>0</v>
      </c>
    </row>
    <row r="91" spans="1:46" hidden="1" outlineLevel="1" x14ac:dyDescent="0.2">
      <c r="A91" s="125"/>
      <c r="B91" s="125"/>
      <c r="C91" s="125"/>
      <c r="D91" s="58">
        <v>6</v>
      </c>
      <c r="E91" s="524" t="str">
        <f t="shared" si="44"/>
        <v>** NOT USED **</v>
      </c>
      <c r="F91" s="32">
        <f t="shared" si="45"/>
        <v>0</v>
      </c>
      <c r="G91" s="32">
        <f t="shared" si="46"/>
        <v>0</v>
      </c>
      <c r="H91" s="32">
        <f t="shared" si="47"/>
        <v>0</v>
      </c>
      <c r="I91" s="32">
        <f t="shared" si="48"/>
        <v>0</v>
      </c>
      <c r="J91" s="32">
        <f t="shared" si="49"/>
        <v>0</v>
      </c>
      <c r="K91" s="32">
        <f t="shared" si="50"/>
        <v>0</v>
      </c>
      <c r="L91" s="125"/>
      <c r="M91" s="32">
        <f t="shared" si="51"/>
        <v>0</v>
      </c>
      <c r="N91" s="32">
        <f t="shared" si="51"/>
        <v>0</v>
      </c>
      <c r="O91" s="32">
        <f t="shared" si="51"/>
        <v>0</v>
      </c>
      <c r="P91" s="32">
        <f t="shared" si="51"/>
        <v>0</v>
      </c>
      <c r="Q91" s="32">
        <f t="shared" si="51"/>
        <v>0</v>
      </c>
      <c r="R91" s="32">
        <f t="shared" si="51"/>
        <v>0</v>
      </c>
      <c r="S91" s="125"/>
      <c r="T91" s="125"/>
      <c r="U91" s="125"/>
      <c r="V91" s="125"/>
      <c r="W91" s="125"/>
      <c r="X91" s="125"/>
      <c r="AE91" s="240">
        <v>6</v>
      </c>
      <c r="AF91" s="240" t="str">
        <f t="shared" si="52"/>
        <v/>
      </c>
      <c r="AG91" s="615"/>
      <c r="AH91" s="240">
        <v>6</v>
      </c>
      <c r="AI91" s="514">
        <f t="shared" si="53"/>
        <v>0</v>
      </c>
      <c r="AJ91" s="514">
        <f t="shared" si="53"/>
        <v>0</v>
      </c>
      <c r="AK91" s="514">
        <f t="shared" si="53"/>
        <v>0</v>
      </c>
      <c r="AL91" s="514">
        <f t="shared" si="53"/>
        <v>0</v>
      </c>
      <c r="AM91" s="514">
        <f t="shared" si="53"/>
        <v>0</v>
      </c>
      <c r="AN91" s="514">
        <f t="shared" si="53"/>
        <v>0</v>
      </c>
      <c r="AO91" s="514">
        <f t="shared" si="54"/>
        <v>0</v>
      </c>
      <c r="AP91" s="514">
        <f t="shared" si="54"/>
        <v>0</v>
      </c>
      <c r="AQ91" s="514">
        <f t="shared" si="54"/>
        <v>0</v>
      </c>
      <c r="AR91" s="514">
        <f t="shared" si="54"/>
        <v>0</v>
      </c>
      <c r="AS91" s="514">
        <f t="shared" si="54"/>
        <v>0</v>
      </c>
      <c r="AT91" s="514">
        <f t="shared" si="54"/>
        <v>0</v>
      </c>
    </row>
    <row r="92" spans="1:46" hidden="1" outlineLevel="1" x14ac:dyDescent="0.2">
      <c r="A92" s="125"/>
      <c r="B92" s="125"/>
      <c r="C92" s="125"/>
      <c r="D92" s="58">
        <v>7</v>
      </c>
      <c r="E92" s="524" t="str">
        <f t="shared" si="44"/>
        <v>** NOT USED **</v>
      </c>
      <c r="F92" s="32">
        <f t="shared" si="45"/>
        <v>0</v>
      </c>
      <c r="G92" s="32">
        <f t="shared" si="46"/>
        <v>0</v>
      </c>
      <c r="H92" s="32">
        <f t="shared" si="47"/>
        <v>0</v>
      </c>
      <c r="I92" s="32">
        <f t="shared" si="48"/>
        <v>0</v>
      </c>
      <c r="J92" s="32">
        <f t="shared" si="49"/>
        <v>0</v>
      </c>
      <c r="K92" s="32">
        <f t="shared" si="50"/>
        <v>0</v>
      </c>
      <c r="L92" s="125"/>
      <c r="M92" s="32">
        <f t="shared" si="51"/>
        <v>0</v>
      </c>
      <c r="N92" s="32">
        <f t="shared" si="51"/>
        <v>0</v>
      </c>
      <c r="O92" s="32">
        <f t="shared" si="51"/>
        <v>0</v>
      </c>
      <c r="P92" s="32">
        <f t="shared" si="51"/>
        <v>0</v>
      </c>
      <c r="Q92" s="32">
        <f t="shared" si="51"/>
        <v>0</v>
      </c>
      <c r="R92" s="32">
        <f t="shared" si="51"/>
        <v>0</v>
      </c>
      <c r="S92" s="125"/>
      <c r="T92" s="125"/>
      <c r="U92" s="125"/>
      <c r="V92" s="125"/>
      <c r="W92" s="125"/>
      <c r="X92" s="125"/>
      <c r="AE92" s="240">
        <v>7</v>
      </c>
      <c r="AF92" s="240" t="str">
        <f t="shared" si="52"/>
        <v/>
      </c>
      <c r="AG92" s="615"/>
      <c r="AH92" s="240">
        <v>7</v>
      </c>
      <c r="AI92" s="514">
        <f t="shared" si="53"/>
        <v>0</v>
      </c>
      <c r="AJ92" s="514">
        <f t="shared" si="53"/>
        <v>0</v>
      </c>
      <c r="AK92" s="514">
        <f t="shared" si="53"/>
        <v>0</v>
      </c>
      <c r="AL92" s="514">
        <f t="shared" si="53"/>
        <v>0</v>
      </c>
      <c r="AM92" s="514">
        <f t="shared" si="53"/>
        <v>0</v>
      </c>
      <c r="AN92" s="514">
        <f t="shared" si="53"/>
        <v>0</v>
      </c>
      <c r="AO92" s="514">
        <f t="shared" si="54"/>
        <v>0</v>
      </c>
      <c r="AP92" s="514">
        <f t="shared" si="54"/>
        <v>0</v>
      </c>
      <c r="AQ92" s="514">
        <f t="shared" si="54"/>
        <v>0</v>
      </c>
      <c r="AR92" s="514">
        <f t="shared" si="54"/>
        <v>0</v>
      </c>
      <c r="AS92" s="514">
        <f t="shared" si="54"/>
        <v>0</v>
      </c>
      <c r="AT92" s="514">
        <f t="shared" si="54"/>
        <v>0</v>
      </c>
    </row>
    <row r="93" spans="1:46" hidden="1" outlineLevel="1" x14ac:dyDescent="0.2">
      <c r="A93" s="125"/>
      <c r="B93" s="125"/>
      <c r="C93" s="125"/>
      <c r="D93" s="58">
        <v>8</v>
      </c>
      <c r="E93" s="524" t="str">
        <f t="shared" si="44"/>
        <v>** NOT USED **</v>
      </c>
      <c r="F93" s="32">
        <f t="shared" si="45"/>
        <v>0</v>
      </c>
      <c r="G93" s="32">
        <f t="shared" si="46"/>
        <v>0</v>
      </c>
      <c r="H93" s="32">
        <f t="shared" si="47"/>
        <v>0</v>
      </c>
      <c r="I93" s="32">
        <f t="shared" si="48"/>
        <v>0</v>
      </c>
      <c r="J93" s="32">
        <f t="shared" si="49"/>
        <v>0</v>
      </c>
      <c r="K93" s="32">
        <f t="shared" si="50"/>
        <v>0</v>
      </c>
      <c r="L93" s="125"/>
      <c r="M93" s="32">
        <f t="shared" si="51"/>
        <v>0</v>
      </c>
      <c r="N93" s="32">
        <f t="shared" si="51"/>
        <v>0</v>
      </c>
      <c r="O93" s="32">
        <f t="shared" si="51"/>
        <v>0</v>
      </c>
      <c r="P93" s="32">
        <f t="shared" si="51"/>
        <v>0</v>
      </c>
      <c r="Q93" s="32">
        <f t="shared" si="51"/>
        <v>0</v>
      </c>
      <c r="R93" s="32">
        <f t="shared" si="51"/>
        <v>0</v>
      </c>
      <c r="S93" s="125"/>
      <c r="T93" s="125"/>
      <c r="U93" s="125"/>
      <c r="V93" s="125"/>
      <c r="W93" s="125"/>
      <c r="X93" s="125"/>
      <c r="AE93" s="240">
        <v>8</v>
      </c>
      <c r="AF93" s="240" t="str">
        <f t="shared" si="52"/>
        <v/>
      </c>
      <c r="AG93" s="615"/>
      <c r="AH93" s="240">
        <v>8</v>
      </c>
      <c r="AI93" s="514">
        <f t="shared" si="53"/>
        <v>0</v>
      </c>
      <c r="AJ93" s="514">
        <f t="shared" si="53"/>
        <v>0</v>
      </c>
      <c r="AK93" s="514">
        <f t="shared" si="53"/>
        <v>0</v>
      </c>
      <c r="AL93" s="514">
        <f t="shared" si="53"/>
        <v>0</v>
      </c>
      <c r="AM93" s="514">
        <f t="shared" si="53"/>
        <v>0</v>
      </c>
      <c r="AN93" s="514">
        <f t="shared" si="53"/>
        <v>0</v>
      </c>
      <c r="AO93" s="514">
        <f t="shared" si="54"/>
        <v>0</v>
      </c>
      <c r="AP93" s="514">
        <f t="shared" si="54"/>
        <v>0</v>
      </c>
      <c r="AQ93" s="514">
        <f t="shared" si="54"/>
        <v>0</v>
      </c>
      <c r="AR93" s="514">
        <f t="shared" si="54"/>
        <v>0</v>
      </c>
      <c r="AS93" s="514">
        <f t="shared" si="54"/>
        <v>0</v>
      </c>
      <c r="AT93" s="514">
        <f t="shared" si="54"/>
        <v>0</v>
      </c>
    </row>
    <row r="94" spans="1:46" hidden="1" outlineLevel="1" x14ac:dyDescent="0.2">
      <c r="A94" s="125"/>
      <c r="B94" s="125"/>
      <c r="C94" s="125"/>
      <c r="D94" s="58">
        <v>9</v>
      </c>
      <c r="E94" s="524" t="str">
        <f t="shared" si="44"/>
        <v>** NOT USED **</v>
      </c>
      <c r="F94" s="32">
        <f t="shared" si="45"/>
        <v>0</v>
      </c>
      <c r="G94" s="32">
        <f t="shared" si="46"/>
        <v>0</v>
      </c>
      <c r="H94" s="32">
        <f t="shared" si="47"/>
        <v>0</v>
      </c>
      <c r="I94" s="32">
        <f t="shared" si="48"/>
        <v>0</v>
      </c>
      <c r="J94" s="32">
        <f t="shared" si="49"/>
        <v>0</v>
      </c>
      <c r="K94" s="32">
        <f t="shared" si="50"/>
        <v>0</v>
      </c>
      <c r="L94" s="125"/>
      <c r="M94" s="32">
        <f t="shared" si="51"/>
        <v>0</v>
      </c>
      <c r="N94" s="32">
        <f t="shared" si="51"/>
        <v>0</v>
      </c>
      <c r="O94" s="32">
        <f t="shared" si="51"/>
        <v>0</v>
      </c>
      <c r="P94" s="32">
        <f t="shared" si="51"/>
        <v>0</v>
      </c>
      <c r="Q94" s="32">
        <f t="shared" si="51"/>
        <v>0</v>
      </c>
      <c r="R94" s="32">
        <f t="shared" si="51"/>
        <v>0</v>
      </c>
      <c r="S94" s="125"/>
      <c r="T94" s="125"/>
      <c r="U94" s="125"/>
      <c r="V94" s="125"/>
      <c r="W94" s="125"/>
      <c r="X94" s="125"/>
      <c r="AE94" s="240">
        <v>9</v>
      </c>
      <c r="AF94" s="240" t="str">
        <f t="shared" si="52"/>
        <v/>
      </c>
      <c r="AG94" s="615"/>
      <c r="AH94" s="240">
        <v>9</v>
      </c>
      <c r="AI94" s="514">
        <f t="shared" si="53"/>
        <v>0</v>
      </c>
      <c r="AJ94" s="514">
        <f t="shared" si="53"/>
        <v>0</v>
      </c>
      <c r="AK94" s="514">
        <f t="shared" si="53"/>
        <v>0</v>
      </c>
      <c r="AL94" s="514">
        <f t="shared" si="53"/>
        <v>0</v>
      </c>
      <c r="AM94" s="514">
        <f t="shared" si="53"/>
        <v>0</v>
      </c>
      <c r="AN94" s="514">
        <f t="shared" si="53"/>
        <v>0</v>
      </c>
      <c r="AO94" s="514">
        <f t="shared" si="54"/>
        <v>0</v>
      </c>
      <c r="AP94" s="514">
        <f t="shared" si="54"/>
        <v>0</v>
      </c>
      <c r="AQ94" s="514">
        <f t="shared" si="54"/>
        <v>0</v>
      </c>
      <c r="AR94" s="514">
        <f t="shared" si="54"/>
        <v>0</v>
      </c>
      <c r="AS94" s="514">
        <f t="shared" si="54"/>
        <v>0</v>
      </c>
      <c r="AT94" s="514">
        <f t="shared" si="54"/>
        <v>0</v>
      </c>
    </row>
    <row r="95" spans="1:46" hidden="1" outlineLevel="1" x14ac:dyDescent="0.2">
      <c r="A95" s="125"/>
      <c r="B95" s="125"/>
      <c r="C95" s="125"/>
      <c r="D95" s="58">
        <v>10</v>
      </c>
      <c r="E95" s="524" t="str">
        <f t="shared" si="44"/>
        <v>** NOT USED **</v>
      </c>
      <c r="F95" s="32">
        <f t="shared" si="45"/>
        <v>0</v>
      </c>
      <c r="G95" s="32">
        <f t="shared" si="46"/>
        <v>0</v>
      </c>
      <c r="H95" s="32">
        <f t="shared" si="47"/>
        <v>0</v>
      </c>
      <c r="I95" s="32">
        <f t="shared" si="48"/>
        <v>0</v>
      </c>
      <c r="J95" s="32">
        <f t="shared" si="49"/>
        <v>0</v>
      </c>
      <c r="K95" s="32">
        <f t="shared" si="50"/>
        <v>0</v>
      </c>
      <c r="L95" s="125"/>
      <c r="M95" s="32">
        <f t="shared" si="51"/>
        <v>0</v>
      </c>
      <c r="N95" s="32">
        <f t="shared" si="51"/>
        <v>0</v>
      </c>
      <c r="O95" s="32">
        <f t="shared" si="51"/>
        <v>0</v>
      </c>
      <c r="P95" s="32">
        <f t="shared" si="51"/>
        <v>0</v>
      </c>
      <c r="Q95" s="32">
        <f t="shared" si="51"/>
        <v>0</v>
      </c>
      <c r="R95" s="32">
        <f t="shared" si="51"/>
        <v>0</v>
      </c>
      <c r="S95" s="125"/>
      <c r="T95" s="125"/>
      <c r="U95" s="125"/>
      <c r="V95" s="125"/>
      <c r="W95" s="125"/>
      <c r="X95" s="125"/>
      <c r="AE95" s="240">
        <v>10</v>
      </c>
      <c r="AF95" s="240" t="str">
        <f t="shared" si="52"/>
        <v/>
      </c>
      <c r="AG95" s="615"/>
      <c r="AH95" s="240">
        <v>10</v>
      </c>
      <c r="AI95" s="514">
        <f t="shared" si="53"/>
        <v>0</v>
      </c>
      <c r="AJ95" s="514">
        <f t="shared" si="53"/>
        <v>0</v>
      </c>
      <c r="AK95" s="514">
        <f t="shared" si="53"/>
        <v>0</v>
      </c>
      <c r="AL95" s="514">
        <f t="shared" si="53"/>
        <v>0</v>
      </c>
      <c r="AM95" s="514">
        <f t="shared" si="53"/>
        <v>0</v>
      </c>
      <c r="AN95" s="514">
        <f t="shared" si="53"/>
        <v>0</v>
      </c>
      <c r="AO95" s="514">
        <f t="shared" si="54"/>
        <v>0</v>
      </c>
      <c r="AP95" s="514">
        <f t="shared" si="54"/>
        <v>0</v>
      </c>
      <c r="AQ95" s="514">
        <f t="shared" si="54"/>
        <v>0</v>
      </c>
      <c r="AR95" s="514">
        <f t="shared" si="54"/>
        <v>0</v>
      </c>
      <c r="AS95" s="514">
        <f t="shared" si="54"/>
        <v>0</v>
      </c>
      <c r="AT95" s="514">
        <f t="shared" si="54"/>
        <v>0</v>
      </c>
    </row>
    <row r="96" spans="1:46" hidden="1" outlineLevel="1" x14ac:dyDescent="0.2">
      <c r="A96" s="125"/>
      <c r="B96" s="125"/>
      <c r="C96" s="125"/>
      <c r="D96" s="58">
        <v>11</v>
      </c>
      <c r="E96" s="524" t="str">
        <f t="shared" si="44"/>
        <v>** NOT USED **</v>
      </c>
      <c r="F96" s="32">
        <f t="shared" si="45"/>
        <v>0</v>
      </c>
      <c r="G96" s="32">
        <f t="shared" si="46"/>
        <v>0</v>
      </c>
      <c r="H96" s="32">
        <f t="shared" si="47"/>
        <v>0</v>
      </c>
      <c r="I96" s="32">
        <f t="shared" si="48"/>
        <v>0</v>
      </c>
      <c r="J96" s="32">
        <f t="shared" si="49"/>
        <v>0</v>
      </c>
      <c r="K96" s="32">
        <f t="shared" si="50"/>
        <v>0</v>
      </c>
      <c r="L96" s="125"/>
      <c r="M96" s="32">
        <f t="shared" ref="M96:R105" si="55">IF($E96&lt;&gt;MsgNotUsed,-INDEX(RPBSScriptsOld,$C154,M$83)*$AP154*M154,0)</f>
        <v>0</v>
      </c>
      <c r="N96" s="32">
        <f t="shared" si="55"/>
        <v>0</v>
      </c>
      <c r="O96" s="32">
        <f t="shared" si="55"/>
        <v>0</v>
      </c>
      <c r="P96" s="32">
        <f t="shared" si="55"/>
        <v>0</v>
      </c>
      <c r="Q96" s="32">
        <f t="shared" si="55"/>
        <v>0</v>
      </c>
      <c r="R96" s="32">
        <f t="shared" si="55"/>
        <v>0</v>
      </c>
      <c r="S96" s="125"/>
      <c r="T96" s="125"/>
      <c r="U96" s="125"/>
      <c r="V96" s="125"/>
      <c r="W96" s="125"/>
      <c r="X96" s="125"/>
      <c r="AE96" s="240">
        <v>11</v>
      </c>
      <c r="AF96" s="240" t="str">
        <f t="shared" si="52"/>
        <v/>
      </c>
      <c r="AG96" s="615"/>
      <c r="AH96" s="240">
        <v>11</v>
      </c>
      <c r="AI96" s="514">
        <f t="shared" ref="AI96:AN105" si="56">IF(OR(ScriptSourceCode=1,ScriptSourceCode=3),IF($AH127&lt;&gt;0,ROUND(AI127*INDEX(PxTxPhase1Adj,$AH127,9),0),0),0)</f>
        <v>0</v>
      </c>
      <c r="AJ96" s="514">
        <f t="shared" si="56"/>
        <v>0</v>
      </c>
      <c r="AK96" s="514">
        <f t="shared" si="56"/>
        <v>0</v>
      </c>
      <c r="AL96" s="514">
        <f t="shared" si="56"/>
        <v>0</v>
      </c>
      <c r="AM96" s="514">
        <f t="shared" si="56"/>
        <v>0</v>
      </c>
      <c r="AN96" s="514">
        <f t="shared" si="56"/>
        <v>0</v>
      </c>
      <c r="AO96" s="514">
        <f t="shared" ref="AO96:AT105" si="57">IF(OR(ScriptSourceCode=1,ScriptSourceCode=3),IF($AH127&lt;&gt;0,ROUND(AO127*INDEX(PxTxPhase2Adj,$AH127,9),0),0),0)</f>
        <v>0</v>
      </c>
      <c r="AP96" s="514">
        <f t="shared" si="57"/>
        <v>0</v>
      </c>
      <c r="AQ96" s="514">
        <f t="shared" si="57"/>
        <v>0</v>
      </c>
      <c r="AR96" s="514">
        <f t="shared" si="57"/>
        <v>0</v>
      </c>
      <c r="AS96" s="514">
        <f t="shared" si="57"/>
        <v>0</v>
      </c>
      <c r="AT96" s="514">
        <f t="shared" si="57"/>
        <v>0</v>
      </c>
    </row>
    <row r="97" spans="1:46" hidden="1" outlineLevel="1" x14ac:dyDescent="0.2">
      <c r="A97" s="125"/>
      <c r="B97" s="125"/>
      <c r="C97" s="125"/>
      <c r="D97" s="58">
        <v>12</v>
      </c>
      <c r="E97" s="524" t="str">
        <f t="shared" si="44"/>
        <v>** NOT USED **</v>
      </c>
      <c r="F97" s="32">
        <f t="shared" si="45"/>
        <v>0</v>
      </c>
      <c r="G97" s="32">
        <f t="shared" si="46"/>
        <v>0</v>
      </c>
      <c r="H97" s="32">
        <f t="shared" si="47"/>
        <v>0</v>
      </c>
      <c r="I97" s="32">
        <f t="shared" si="48"/>
        <v>0</v>
      </c>
      <c r="J97" s="32">
        <f t="shared" si="49"/>
        <v>0</v>
      </c>
      <c r="K97" s="32">
        <f t="shared" si="50"/>
        <v>0</v>
      </c>
      <c r="L97" s="125"/>
      <c r="M97" s="32">
        <f t="shared" si="55"/>
        <v>0</v>
      </c>
      <c r="N97" s="32">
        <f t="shared" si="55"/>
        <v>0</v>
      </c>
      <c r="O97" s="32">
        <f t="shared" si="55"/>
        <v>0</v>
      </c>
      <c r="P97" s="32">
        <f t="shared" si="55"/>
        <v>0</v>
      </c>
      <c r="Q97" s="32">
        <f t="shared" si="55"/>
        <v>0</v>
      </c>
      <c r="R97" s="32">
        <f t="shared" si="55"/>
        <v>0</v>
      </c>
      <c r="S97" s="125"/>
      <c r="T97" s="125"/>
      <c r="U97" s="125"/>
      <c r="V97" s="125"/>
      <c r="W97" s="125"/>
      <c r="X97" s="125"/>
      <c r="AE97" s="240">
        <v>12</v>
      </c>
      <c r="AF97" s="240" t="str">
        <f t="shared" si="52"/>
        <v/>
      </c>
      <c r="AG97" s="615"/>
      <c r="AH97" s="240">
        <v>12</v>
      </c>
      <c r="AI97" s="514">
        <f t="shared" si="56"/>
        <v>0</v>
      </c>
      <c r="AJ97" s="514">
        <f t="shared" si="56"/>
        <v>0</v>
      </c>
      <c r="AK97" s="514">
        <f t="shared" si="56"/>
        <v>0</v>
      </c>
      <c r="AL97" s="514">
        <f t="shared" si="56"/>
        <v>0</v>
      </c>
      <c r="AM97" s="514">
        <f t="shared" si="56"/>
        <v>0</v>
      </c>
      <c r="AN97" s="514">
        <f t="shared" si="56"/>
        <v>0</v>
      </c>
      <c r="AO97" s="514">
        <f t="shared" si="57"/>
        <v>0</v>
      </c>
      <c r="AP97" s="514">
        <f t="shared" si="57"/>
        <v>0</v>
      </c>
      <c r="AQ97" s="514">
        <f t="shared" si="57"/>
        <v>0</v>
      </c>
      <c r="AR97" s="514">
        <f t="shared" si="57"/>
        <v>0</v>
      </c>
      <c r="AS97" s="514">
        <f t="shared" si="57"/>
        <v>0</v>
      </c>
      <c r="AT97" s="514">
        <f t="shared" si="57"/>
        <v>0</v>
      </c>
    </row>
    <row r="98" spans="1:46" hidden="1" outlineLevel="1" x14ac:dyDescent="0.2">
      <c r="A98" s="125"/>
      <c r="B98" s="125"/>
      <c r="C98" s="125"/>
      <c r="D98" s="58">
        <v>13</v>
      </c>
      <c r="E98" s="524" t="str">
        <f t="shared" si="44"/>
        <v>** NOT USED **</v>
      </c>
      <c r="F98" s="32">
        <f t="shared" si="45"/>
        <v>0</v>
      </c>
      <c r="G98" s="32">
        <f t="shared" si="46"/>
        <v>0</v>
      </c>
      <c r="H98" s="32">
        <f t="shared" si="47"/>
        <v>0</v>
      </c>
      <c r="I98" s="32">
        <f t="shared" si="48"/>
        <v>0</v>
      </c>
      <c r="J98" s="32">
        <f t="shared" si="49"/>
        <v>0</v>
      </c>
      <c r="K98" s="32">
        <f t="shared" si="50"/>
        <v>0</v>
      </c>
      <c r="L98" s="125"/>
      <c r="M98" s="32">
        <f t="shared" si="55"/>
        <v>0</v>
      </c>
      <c r="N98" s="32">
        <f t="shared" si="55"/>
        <v>0</v>
      </c>
      <c r="O98" s="32">
        <f t="shared" si="55"/>
        <v>0</v>
      </c>
      <c r="P98" s="32">
        <f t="shared" si="55"/>
        <v>0</v>
      </c>
      <c r="Q98" s="32">
        <f t="shared" si="55"/>
        <v>0</v>
      </c>
      <c r="R98" s="32">
        <f t="shared" si="55"/>
        <v>0</v>
      </c>
      <c r="S98" s="125"/>
      <c r="T98" s="125"/>
      <c r="U98" s="125"/>
      <c r="V98" s="125"/>
      <c r="W98" s="125"/>
      <c r="X98" s="125"/>
      <c r="AE98" s="240">
        <v>13</v>
      </c>
      <c r="AF98" s="240" t="str">
        <f t="shared" si="52"/>
        <v/>
      </c>
      <c r="AG98" s="615"/>
      <c r="AH98" s="240">
        <v>13</v>
      </c>
      <c r="AI98" s="514">
        <f t="shared" si="56"/>
        <v>0</v>
      </c>
      <c r="AJ98" s="514">
        <f t="shared" si="56"/>
        <v>0</v>
      </c>
      <c r="AK98" s="514">
        <f t="shared" si="56"/>
        <v>0</v>
      </c>
      <c r="AL98" s="514">
        <f t="shared" si="56"/>
        <v>0</v>
      </c>
      <c r="AM98" s="514">
        <f t="shared" si="56"/>
        <v>0</v>
      </c>
      <c r="AN98" s="514">
        <f t="shared" si="56"/>
        <v>0</v>
      </c>
      <c r="AO98" s="514">
        <f t="shared" si="57"/>
        <v>0</v>
      </c>
      <c r="AP98" s="514">
        <f t="shared" si="57"/>
        <v>0</v>
      </c>
      <c r="AQ98" s="514">
        <f t="shared" si="57"/>
        <v>0</v>
      </c>
      <c r="AR98" s="514">
        <f t="shared" si="57"/>
        <v>0</v>
      </c>
      <c r="AS98" s="514">
        <f t="shared" si="57"/>
        <v>0</v>
      </c>
      <c r="AT98" s="514">
        <f t="shared" si="57"/>
        <v>0</v>
      </c>
    </row>
    <row r="99" spans="1:46" hidden="1" outlineLevel="1" x14ac:dyDescent="0.2">
      <c r="A99" s="125"/>
      <c r="B99" s="125"/>
      <c r="C99" s="125"/>
      <c r="D99" s="58">
        <v>14</v>
      </c>
      <c r="E99" s="524" t="str">
        <f t="shared" si="44"/>
        <v>** NOT USED **</v>
      </c>
      <c r="F99" s="32">
        <f t="shared" si="45"/>
        <v>0</v>
      </c>
      <c r="G99" s="32">
        <f t="shared" si="46"/>
        <v>0</v>
      </c>
      <c r="H99" s="32">
        <f t="shared" si="47"/>
        <v>0</v>
      </c>
      <c r="I99" s="32">
        <f t="shared" si="48"/>
        <v>0</v>
      </c>
      <c r="J99" s="32">
        <f t="shared" si="49"/>
        <v>0</v>
      </c>
      <c r="K99" s="32">
        <f t="shared" si="50"/>
        <v>0</v>
      </c>
      <c r="L99" s="125"/>
      <c r="M99" s="32">
        <f t="shared" si="55"/>
        <v>0</v>
      </c>
      <c r="N99" s="32">
        <f t="shared" si="55"/>
        <v>0</v>
      </c>
      <c r="O99" s="32">
        <f t="shared" si="55"/>
        <v>0</v>
      </c>
      <c r="P99" s="32">
        <f t="shared" si="55"/>
        <v>0</v>
      </c>
      <c r="Q99" s="32">
        <f t="shared" si="55"/>
        <v>0</v>
      </c>
      <c r="R99" s="32">
        <f t="shared" si="55"/>
        <v>0</v>
      </c>
      <c r="S99" s="125"/>
      <c r="T99" s="125"/>
      <c r="U99" s="125"/>
      <c r="V99" s="125"/>
      <c r="W99" s="125"/>
      <c r="X99" s="125"/>
      <c r="AE99" s="240">
        <v>14</v>
      </c>
      <c r="AF99" s="240" t="str">
        <f t="shared" si="52"/>
        <v/>
      </c>
      <c r="AG99" s="615"/>
      <c r="AH99" s="240">
        <v>14</v>
      </c>
      <c r="AI99" s="514">
        <f t="shared" si="56"/>
        <v>0</v>
      </c>
      <c r="AJ99" s="514">
        <f t="shared" si="56"/>
        <v>0</v>
      </c>
      <c r="AK99" s="514">
        <f t="shared" si="56"/>
        <v>0</v>
      </c>
      <c r="AL99" s="514">
        <f t="shared" si="56"/>
        <v>0</v>
      </c>
      <c r="AM99" s="514">
        <f t="shared" si="56"/>
        <v>0</v>
      </c>
      <c r="AN99" s="514">
        <f t="shared" si="56"/>
        <v>0</v>
      </c>
      <c r="AO99" s="514">
        <f t="shared" si="57"/>
        <v>0</v>
      </c>
      <c r="AP99" s="514">
        <f t="shared" si="57"/>
        <v>0</v>
      </c>
      <c r="AQ99" s="514">
        <f t="shared" si="57"/>
        <v>0</v>
      </c>
      <c r="AR99" s="514">
        <f t="shared" si="57"/>
        <v>0</v>
      </c>
      <c r="AS99" s="514">
        <f t="shared" si="57"/>
        <v>0</v>
      </c>
      <c r="AT99" s="514">
        <f t="shared" si="57"/>
        <v>0</v>
      </c>
    </row>
    <row r="100" spans="1:46" hidden="1" outlineLevel="1" x14ac:dyDescent="0.2">
      <c r="A100" s="125"/>
      <c r="B100" s="125"/>
      <c r="C100" s="125"/>
      <c r="D100" s="58">
        <v>15</v>
      </c>
      <c r="E100" s="524" t="str">
        <f t="shared" si="44"/>
        <v>** NOT USED **</v>
      </c>
      <c r="F100" s="32">
        <f t="shared" si="45"/>
        <v>0</v>
      </c>
      <c r="G100" s="32">
        <f t="shared" si="46"/>
        <v>0</v>
      </c>
      <c r="H100" s="32">
        <f t="shared" si="47"/>
        <v>0</v>
      </c>
      <c r="I100" s="32">
        <f t="shared" si="48"/>
        <v>0</v>
      </c>
      <c r="J100" s="32">
        <f t="shared" si="49"/>
        <v>0</v>
      </c>
      <c r="K100" s="32">
        <f t="shared" si="50"/>
        <v>0</v>
      </c>
      <c r="L100" s="125"/>
      <c r="M100" s="32">
        <f t="shared" si="55"/>
        <v>0</v>
      </c>
      <c r="N100" s="32">
        <f t="shared" si="55"/>
        <v>0</v>
      </c>
      <c r="O100" s="32">
        <f t="shared" si="55"/>
        <v>0</v>
      </c>
      <c r="P100" s="32">
        <f t="shared" si="55"/>
        <v>0</v>
      </c>
      <c r="Q100" s="32">
        <f t="shared" si="55"/>
        <v>0</v>
      </c>
      <c r="R100" s="32">
        <f t="shared" si="55"/>
        <v>0</v>
      </c>
      <c r="S100" s="125"/>
      <c r="T100" s="125"/>
      <c r="U100" s="125"/>
      <c r="V100" s="125"/>
      <c r="W100" s="125"/>
      <c r="X100" s="125"/>
      <c r="AE100" s="240">
        <v>15</v>
      </c>
      <c r="AF100" s="240" t="str">
        <f t="shared" si="52"/>
        <v/>
      </c>
      <c r="AG100" s="615"/>
      <c r="AH100" s="240">
        <v>15</v>
      </c>
      <c r="AI100" s="514">
        <f t="shared" si="56"/>
        <v>0</v>
      </c>
      <c r="AJ100" s="514">
        <f t="shared" si="56"/>
        <v>0</v>
      </c>
      <c r="AK100" s="514">
        <f t="shared" si="56"/>
        <v>0</v>
      </c>
      <c r="AL100" s="514">
        <f t="shared" si="56"/>
        <v>0</v>
      </c>
      <c r="AM100" s="514">
        <f t="shared" si="56"/>
        <v>0</v>
      </c>
      <c r="AN100" s="514">
        <f t="shared" si="56"/>
        <v>0</v>
      </c>
      <c r="AO100" s="514">
        <f t="shared" si="57"/>
        <v>0</v>
      </c>
      <c r="AP100" s="514">
        <f t="shared" si="57"/>
        <v>0</v>
      </c>
      <c r="AQ100" s="514">
        <f t="shared" si="57"/>
        <v>0</v>
      </c>
      <c r="AR100" s="514">
        <f t="shared" si="57"/>
        <v>0</v>
      </c>
      <c r="AS100" s="514">
        <f t="shared" si="57"/>
        <v>0</v>
      </c>
      <c r="AT100" s="514">
        <f t="shared" si="57"/>
        <v>0</v>
      </c>
    </row>
    <row r="101" spans="1:46" hidden="1" outlineLevel="1" x14ac:dyDescent="0.2">
      <c r="A101" s="125"/>
      <c r="B101" s="125"/>
      <c r="C101" s="125"/>
      <c r="D101" s="58">
        <v>16</v>
      </c>
      <c r="E101" s="524" t="str">
        <f t="shared" si="44"/>
        <v>** NOT USED **</v>
      </c>
      <c r="F101" s="32">
        <f t="shared" si="45"/>
        <v>0</v>
      </c>
      <c r="G101" s="32">
        <f t="shared" si="46"/>
        <v>0</v>
      </c>
      <c r="H101" s="32">
        <f t="shared" si="47"/>
        <v>0</v>
      </c>
      <c r="I101" s="32">
        <f t="shared" si="48"/>
        <v>0</v>
      </c>
      <c r="J101" s="32">
        <f t="shared" si="49"/>
        <v>0</v>
      </c>
      <c r="K101" s="32">
        <f t="shared" si="50"/>
        <v>0</v>
      </c>
      <c r="L101" s="125"/>
      <c r="M101" s="32">
        <f t="shared" si="55"/>
        <v>0</v>
      </c>
      <c r="N101" s="32">
        <f t="shared" si="55"/>
        <v>0</v>
      </c>
      <c r="O101" s="32">
        <f t="shared" si="55"/>
        <v>0</v>
      </c>
      <c r="P101" s="32">
        <f t="shared" si="55"/>
        <v>0</v>
      </c>
      <c r="Q101" s="32">
        <f t="shared" si="55"/>
        <v>0</v>
      </c>
      <c r="R101" s="32">
        <f t="shared" si="55"/>
        <v>0</v>
      </c>
      <c r="S101" s="125"/>
      <c r="T101" s="125"/>
      <c r="U101" s="125"/>
      <c r="V101" s="125"/>
      <c r="W101" s="125"/>
      <c r="X101" s="125"/>
      <c r="AE101" s="240">
        <v>16</v>
      </c>
      <c r="AF101" s="240" t="str">
        <f t="shared" si="52"/>
        <v/>
      </c>
      <c r="AG101" s="615"/>
      <c r="AH101" s="240">
        <v>16</v>
      </c>
      <c r="AI101" s="514">
        <f t="shared" si="56"/>
        <v>0</v>
      </c>
      <c r="AJ101" s="514">
        <f t="shared" si="56"/>
        <v>0</v>
      </c>
      <c r="AK101" s="514">
        <f t="shared" si="56"/>
        <v>0</v>
      </c>
      <c r="AL101" s="514">
        <f t="shared" si="56"/>
        <v>0</v>
      </c>
      <c r="AM101" s="514">
        <f t="shared" si="56"/>
        <v>0</v>
      </c>
      <c r="AN101" s="514">
        <f t="shared" si="56"/>
        <v>0</v>
      </c>
      <c r="AO101" s="514">
        <f t="shared" si="57"/>
        <v>0</v>
      </c>
      <c r="AP101" s="514">
        <f t="shared" si="57"/>
        <v>0</v>
      </c>
      <c r="AQ101" s="514">
        <f t="shared" si="57"/>
        <v>0</v>
      </c>
      <c r="AR101" s="514">
        <f t="shared" si="57"/>
        <v>0</v>
      </c>
      <c r="AS101" s="514">
        <f t="shared" si="57"/>
        <v>0</v>
      </c>
      <c r="AT101" s="514">
        <f t="shared" si="57"/>
        <v>0</v>
      </c>
    </row>
    <row r="102" spans="1:46" hidden="1" outlineLevel="1" x14ac:dyDescent="0.2">
      <c r="A102" s="125"/>
      <c r="B102" s="125"/>
      <c r="C102" s="125"/>
      <c r="D102" s="58">
        <v>17</v>
      </c>
      <c r="E102" s="524" t="str">
        <f t="shared" si="44"/>
        <v>** NOT USED **</v>
      </c>
      <c r="F102" s="32">
        <f t="shared" si="45"/>
        <v>0</v>
      </c>
      <c r="G102" s="32">
        <f t="shared" si="46"/>
        <v>0</v>
      </c>
      <c r="H102" s="32">
        <f t="shared" si="47"/>
        <v>0</v>
      </c>
      <c r="I102" s="32">
        <f t="shared" si="48"/>
        <v>0</v>
      </c>
      <c r="J102" s="32">
        <f t="shared" si="49"/>
        <v>0</v>
      </c>
      <c r="K102" s="32">
        <f t="shared" si="50"/>
        <v>0</v>
      </c>
      <c r="L102" s="125"/>
      <c r="M102" s="32">
        <f t="shared" si="55"/>
        <v>0</v>
      </c>
      <c r="N102" s="32">
        <f t="shared" si="55"/>
        <v>0</v>
      </c>
      <c r="O102" s="32">
        <f t="shared" si="55"/>
        <v>0</v>
      </c>
      <c r="P102" s="32">
        <f t="shared" si="55"/>
        <v>0</v>
      </c>
      <c r="Q102" s="32">
        <f t="shared" si="55"/>
        <v>0</v>
      </c>
      <c r="R102" s="32">
        <f t="shared" si="55"/>
        <v>0</v>
      </c>
      <c r="S102" s="125"/>
      <c r="T102" s="125"/>
      <c r="U102" s="125"/>
      <c r="V102" s="125"/>
      <c r="W102" s="125"/>
      <c r="X102" s="125"/>
      <c r="AE102" s="240">
        <v>17</v>
      </c>
      <c r="AF102" s="240" t="str">
        <f t="shared" si="52"/>
        <v/>
      </c>
      <c r="AG102" s="615"/>
      <c r="AH102" s="240">
        <v>17</v>
      </c>
      <c r="AI102" s="514">
        <f t="shared" si="56"/>
        <v>0</v>
      </c>
      <c r="AJ102" s="514">
        <f t="shared" si="56"/>
        <v>0</v>
      </c>
      <c r="AK102" s="514">
        <f t="shared" si="56"/>
        <v>0</v>
      </c>
      <c r="AL102" s="514">
        <f t="shared" si="56"/>
        <v>0</v>
      </c>
      <c r="AM102" s="514">
        <f t="shared" si="56"/>
        <v>0</v>
      </c>
      <c r="AN102" s="514">
        <f t="shared" si="56"/>
        <v>0</v>
      </c>
      <c r="AO102" s="514">
        <f t="shared" si="57"/>
        <v>0</v>
      </c>
      <c r="AP102" s="514">
        <f t="shared" si="57"/>
        <v>0</v>
      </c>
      <c r="AQ102" s="514">
        <f t="shared" si="57"/>
        <v>0</v>
      </c>
      <c r="AR102" s="514">
        <f t="shared" si="57"/>
        <v>0</v>
      </c>
      <c r="AS102" s="514">
        <f t="shared" si="57"/>
        <v>0</v>
      </c>
      <c r="AT102" s="514">
        <f t="shared" si="57"/>
        <v>0</v>
      </c>
    </row>
    <row r="103" spans="1:46" hidden="1" outlineLevel="1" x14ac:dyDescent="0.2">
      <c r="A103" s="125"/>
      <c r="B103" s="125"/>
      <c r="C103" s="125"/>
      <c r="D103" s="58">
        <v>18</v>
      </c>
      <c r="E103" s="524" t="str">
        <f t="shared" si="44"/>
        <v>** NOT USED **</v>
      </c>
      <c r="F103" s="32">
        <f t="shared" si="45"/>
        <v>0</v>
      </c>
      <c r="G103" s="32">
        <f t="shared" si="46"/>
        <v>0</v>
      </c>
      <c r="H103" s="32">
        <f t="shared" si="47"/>
        <v>0</v>
      </c>
      <c r="I103" s="32">
        <f t="shared" si="48"/>
        <v>0</v>
      </c>
      <c r="J103" s="32">
        <f t="shared" si="49"/>
        <v>0</v>
      </c>
      <c r="K103" s="32">
        <f t="shared" si="50"/>
        <v>0</v>
      </c>
      <c r="L103" s="125"/>
      <c r="M103" s="32">
        <f t="shared" si="55"/>
        <v>0</v>
      </c>
      <c r="N103" s="32">
        <f t="shared" si="55"/>
        <v>0</v>
      </c>
      <c r="O103" s="32">
        <f t="shared" si="55"/>
        <v>0</v>
      </c>
      <c r="P103" s="32">
        <f t="shared" si="55"/>
        <v>0</v>
      </c>
      <c r="Q103" s="32">
        <f t="shared" si="55"/>
        <v>0</v>
      </c>
      <c r="R103" s="32">
        <f t="shared" si="55"/>
        <v>0</v>
      </c>
      <c r="S103" s="125"/>
      <c r="T103" s="125"/>
      <c r="U103" s="125"/>
      <c r="V103" s="125"/>
      <c r="W103" s="125"/>
      <c r="X103" s="125"/>
      <c r="AE103" s="240">
        <v>18</v>
      </c>
      <c r="AF103" s="240" t="str">
        <f t="shared" si="52"/>
        <v/>
      </c>
      <c r="AG103" s="615"/>
      <c r="AH103" s="240">
        <v>18</v>
      </c>
      <c r="AI103" s="514">
        <f t="shared" si="56"/>
        <v>0</v>
      </c>
      <c r="AJ103" s="514">
        <f t="shared" si="56"/>
        <v>0</v>
      </c>
      <c r="AK103" s="514">
        <f t="shared" si="56"/>
        <v>0</v>
      </c>
      <c r="AL103" s="514">
        <f t="shared" si="56"/>
        <v>0</v>
      </c>
      <c r="AM103" s="514">
        <f t="shared" si="56"/>
        <v>0</v>
      </c>
      <c r="AN103" s="514">
        <f t="shared" si="56"/>
        <v>0</v>
      </c>
      <c r="AO103" s="514">
        <f t="shared" si="57"/>
        <v>0</v>
      </c>
      <c r="AP103" s="514">
        <f t="shared" si="57"/>
        <v>0</v>
      </c>
      <c r="AQ103" s="514">
        <f t="shared" si="57"/>
        <v>0</v>
      </c>
      <c r="AR103" s="514">
        <f t="shared" si="57"/>
        <v>0</v>
      </c>
      <c r="AS103" s="514">
        <f t="shared" si="57"/>
        <v>0</v>
      </c>
      <c r="AT103" s="514">
        <f t="shared" si="57"/>
        <v>0</v>
      </c>
    </row>
    <row r="104" spans="1:46" hidden="1" outlineLevel="1" x14ac:dyDescent="0.2">
      <c r="A104" s="125"/>
      <c r="B104" s="125"/>
      <c r="C104" s="125"/>
      <c r="D104" s="58">
        <v>19</v>
      </c>
      <c r="E104" s="524" t="str">
        <f t="shared" si="44"/>
        <v>** NOT USED **</v>
      </c>
      <c r="F104" s="32">
        <f t="shared" si="45"/>
        <v>0</v>
      </c>
      <c r="G104" s="32">
        <f t="shared" si="46"/>
        <v>0</v>
      </c>
      <c r="H104" s="32">
        <f t="shared" si="47"/>
        <v>0</v>
      </c>
      <c r="I104" s="32">
        <f t="shared" si="48"/>
        <v>0</v>
      </c>
      <c r="J104" s="32">
        <f t="shared" si="49"/>
        <v>0</v>
      </c>
      <c r="K104" s="32">
        <f t="shared" si="50"/>
        <v>0</v>
      </c>
      <c r="L104" s="125"/>
      <c r="M104" s="32">
        <f t="shared" si="55"/>
        <v>0</v>
      </c>
      <c r="N104" s="32">
        <f t="shared" si="55"/>
        <v>0</v>
      </c>
      <c r="O104" s="32">
        <f t="shared" si="55"/>
        <v>0</v>
      </c>
      <c r="P104" s="32">
        <f t="shared" si="55"/>
        <v>0</v>
      </c>
      <c r="Q104" s="32">
        <f t="shared" si="55"/>
        <v>0</v>
      </c>
      <c r="R104" s="32">
        <f t="shared" si="55"/>
        <v>0</v>
      </c>
      <c r="S104" s="125"/>
      <c r="T104" s="125"/>
      <c r="U104" s="125"/>
      <c r="V104" s="125"/>
      <c r="W104" s="125"/>
      <c r="X104" s="125"/>
      <c r="AE104" s="240">
        <v>19</v>
      </c>
      <c r="AF104" s="240" t="str">
        <f t="shared" si="52"/>
        <v/>
      </c>
      <c r="AG104" s="615"/>
      <c r="AH104" s="240">
        <v>19</v>
      </c>
      <c r="AI104" s="514">
        <f t="shared" si="56"/>
        <v>0</v>
      </c>
      <c r="AJ104" s="514">
        <f t="shared" si="56"/>
        <v>0</v>
      </c>
      <c r="AK104" s="514">
        <f t="shared" si="56"/>
        <v>0</v>
      </c>
      <c r="AL104" s="514">
        <f t="shared" si="56"/>
        <v>0</v>
      </c>
      <c r="AM104" s="514">
        <f t="shared" si="56"/>
        <v>0</v>
      </c>
      <c r="AN104" s="514">
        <f t="shared" si="56"/>
        <v>0</v>
      </c>
      <c r="AO104" s="514">
        <f t="shared" si="57"/>
        <v>0</v>
      </c>
      <c r="AP104" s="514">
        <f t="shared" si="57"/>
        <v>0</v>
      </c>
      <c r="AQ104" s="514">
        <f t="shared" si="57"/>
        <v>0</v>
      </c>
      <c r="AR104" s="514">
        <f t="shared" si="57"/>
        <v>0</v>
      </c>
      <c r="AS104" s="514">
        <f t="shared" si="57"/>
        <v>0</v>
      </c>
      <c r="AT104" s="514">
        <f t="shared" si="57"/>
        <v>0</v>
      </c>
    </row>
    <row r="105" spans="1:46" hidden="1" outlineLevel="1" x14ac:dyDescent="0.2">
      <c r="A105" s="125"/>
      <c r="B105" s="125"/>
      <c r="C105" s="125"/>
      <c r="D105" s="58">
        <v>20</v>
      </c>
      <c r="E105" s="524" t="str">
        <f t="shared" si="44"/>
        <v>** NOT USED **</v>
      </c>
      <c r="F105" s="32">
        <f t="shared" si="45"/>
        <v>0</v>
      </c>
      <c r="G105" s="32">
        <f t="shared" si="46"/>
        <v>0</v>
      </c>
      <c r="H105" s="32">
        <f t="shared" si="47"/>
        <v>0</v>
      </c>
      <c r="I105" s="32">
        <f t="shared" si="48"/>
        <v>0</v>
      </c>
      <c r="J105" s="32">
        <f t="shared" si="49"/>
        <v>0</v>
      </c>
      <c r="K105" s="32">
        <f t="shared" si="50"/>
        <v>0</v>
      </c>
      <c r="L105" s="125"/>
      <c r="M105" s="32">
        <f t="shared" si="55"/>
        <v>0</v>
      </c>
      <c r="N105" s="32">
        <f t="shared" si="55"/>
        <v>0</v>
      </c>
      <c r="O105" s="32">
        <f t="shared" si="55"/>
        <v>0</v>
      </c>
      <c r="P105" s="32">
        <f t="shared" si="55"/>
        <v>0</v>
      </c>
      <c r="Q105" s="32">
        <f t="shared" si="55"/>
        <v>0</v>
      </c>
      <c r="R105" s="32">
        <f t="shared" si="55"/>
        <v>0</v>
      </c>
      <c r="S105" s="125"/>
      <c r="T105" s="125"/>
      <c r="U105" s="125"/>
      <c r="V105" s="125"/>
      <c r="W105" s="125"/>
      <c r="X105" s="125"/>
      <c r="AE105" s="240">
        <v>20</v>
      </c>
      <c r="AF105" s="240" t="str">
        <f t="shared" si="52"/>
        <v/>
      </c>
      <c r="AG105" s="615"/>
      <c r="AH105" s="240">
        <v>20</v>
      </c>
      <c r="AI105" s="514">
        <f t="shared" si="56"/>
        <v>0</v>
      </c>
      <c r="AJ105" s="514">
        <f t="shared" si="56"/>
        <v>0</v>
      </c>
      <c r="AK105" s="514">
        <f t="shared" si="56"/>
        <v>0</v>
      </c>
      <c r="AL105" s="514">
        <f t="shared" si="56"/>
        <v>0</v>
      </c>
      <c r="AM105" s="514">
        <f t="shared" si="56"/>
        <v>0</v>
      </c>
      <c r="AN105" s="514">
        <f t="shared" si="56"/>
        <v>0</v>
      </c>
      <c r="AO105" s="514">
        <f t="shared" si="57"/>
        <v>0</v>
      </c>
      <c r="AP105" s="514">
        <f t="shared" si="57"/>
        <v>0</v>
      </c>
      <c r="AQ105" s="514">
        <f t="shared" si="57"/>
        <v>0</v>
      </c>
      <c r="AR105" s="514">
        <f t="shared" si="57"/>
        <v>0</v>
      </c>
      <c r="AS105" s="514">
        <f t="shared" si="57"/>
        <v>0</v>
      </c>
      <c r="AT105" s="514">
        <f t="shared" si="57"/>
        <v>0</v>
      </c>
    </row>
    <row r="106" spans="1:46" hidden="1" outlineLevel="1" x14ac:dyDescent="0.2">
      <c r="A106" s="125"/>
      <c r="B106" s="125"/>
      <c r="C106" s="125"/>
      <c r="D106" s="125"/>
      <c r="E106" s="62" t="s">
        <v>222</v>
      </c>
      <c r="F106" s="35">
        <f t="shared" ref="F106:K106" si="58">SUM(F86:F105)</f>
        <v>0</v>
      </c>
      <c r="G106" s="35">
        <f t="shared" si="58"/>
        <v>0</v>
      </c>
      <c r="H106" s="35">
        <f t="shared" si="58"/>
        <v>0</v>
      </c>
      <c r="I106" s="35">
        <f t="shared" si="58"/>
        <v>0</v>
      </c>
      <c r="J106" s="35">
        <f t="shared" si="58"/>
        <v>0</v>
      </c>
      <c r="K106" s="35">
        <f t="shared" si="58"/>
        <v>0</v>
      </c>
      <c r="L106" s="125"/>
      <c r="M106" s="35">
        <f t="shared" ref="M106:R106" si="59">SUM(M86:M105)</f>
        <v>0</v>
      </c>
      <c r="N106" s="35">
        <f t="shared" si="59"/>
        <v>0</v>
      </c>
      <c r="O106" s="35">
        <f t="shared" si="59"/>
        <v>0</v>
      </c>
      <c r="P106" s="35">
        <f t="shared" si="59"/>
        <v>0</v>
      </c>
      <c r="Q106" s="35">
        <f t="shared" si="59"/>
        <v>0</v>
      </c>
      <c r="R106" s="35">
        <f t="shared" si="59"/>
        <v>0</v>
      </c>
      <c r="S106" s="125"/>
      <c r="T106" s="125"/>
      <c r="U106" s="125"/>
      <c r="V106" s="125"/>
      <c r="W106" s="125"/>
      <c r="X106" s="125"/>
      <c r="AE106" s="615"/>
      <c r="AF106" s="615"/>
      <c r="AG106" s="615"/>
      <c r="AH106" s="615"/>
    </row>
    <row r="107" spans="1:46" s="416" customFormat="1" hidden="1" outlineLevel="1" x14ac:dyDescent="0.2">
      <c r="A107" s="125"/>
      <c r="B107" s="125"/>
      <c r="C107" s="125"/>
      <c r="D107" s="125"/>
      <c r="E107" s="678"/>
      <c r="F107"/>
      <c r="G107"/>
      <c r="H107"/>
      <c r="I107"/>
      <c r="J107"/>
      <c r="K107"/>
      <c r="L107" s="125"/>
      <c r="M107"/>
      <c r="N107"/>
      <c r="O107"/>
      <c r="P107"/>
      <c r="Q107"/>
      <c r="R107"/>
      <c r="S107" s="125"/>
      <c r="T107" s="125"/>
      <c r="U107" s="125"/>
      <c r="V107" s="125"/>
      <c r="W107" s="125"/>
      <c r="X107" s="125"/>
      <c r="AE107" s="615"/>
      <c r="AF107" s="615"/>
      <c r="AG107" s="615"/>
      <c r="AH107" s="615"/>
    </row>
    <row r="108" spans="1:46" s="416" customFormat="1" hidden="1" outlineLevel="1" x14ac:dyDescent="0.2">
      <c r="A108" s="125"/>
      <c r="B108" s="125"/>
      <c r="C108" s="125"/>
      <c r="D108" s="125"/>
      <c r="E108" s="162"/>
      <c r="F108" s="540">
        <f>FirstYear</f>
        <v>2021</v>
      </c>
      <c r="G108" s="540">
        <f>F108+1</f>
        <v>2022</v>
      </c>
      <c r="H108" s="540">
        <f>G108+1</f>
        <v>2023</v>
      </c>
      <c r="I108" s="540">
        <f>H108+1</f>
        <v>2024</v>
      </c>
      <c r="J108" s="540">
        <f>I108+1</f>
        <v>2025</v>
      </c>
      <c r="K108" s="540">
        <f>J108+1</f>
        <v>2026</v>
      </c>
      <c r="L108" s="125"/>
      <c r="M108"/>
      <c r="N108"/>
      <c r="O108"/>
      <c r="P108"/>
      <c r="Q108"/>
      <c r="R108"/>
      <c r="S108" s="125"/>
      <c r="T108" s="125"/>
      <c r="U108" s="125"/>
      <c r="V108" s="125"/>
      <c r="W108" s="125"/>
      <c r="X108" s="125"/>
      <c r="AE108" s="615"/>
      <c r="AF108" s="615"/>
      <c r="AG108" s="615"/>
      <c r="AH108" s="615"/>
    </row>
    <row r="109" spans="1:46" s="416" customFormat="1" hidden="1" outlineLevel="1" x14ac:dyDescent="0.2">
      <c r="A109" s="125"/>
      <c r="B109" s="125"/>
      <c r="C109" s="125"/>
      <c r="D109" s="125"/>
      <c r="E109" s="5" t="s">
        <v>232</v>
      </c>
      <c r="F109" s="40">
        <f t="shared" ref="F109:K109" si="60">F106+M106</f>
        <v>0</v>
      </c>
      <c r="G109" s="40">
        <f t="shared" si="60"/>
        <v>0</v>
      </c>
      <c r="H109" s="40">
        <f t="shared" si="60"/>
        <v>0</v>
      </c>
      <c r="I109" s="40">
        <f t="shared" si="60"/>
        <v>0</v>
      </c>
      <c r="J109" s="40">
        <f t="shared" si="60"/>
        <v>0</v>
      </c>
      <c r="K109" s="40">
        <f t="shared" si="60"/>
        <v>0</v>
      </c>
      <c r="L109" s="125"/>
      <c r="M109" s="615"/>
      <c r="N109" s="615"/>
      <c r="O109" s="615"/>
      <c r="P109" s="615"/>
      <c r="Q109" s="615"/>
      <c r="R109" s="615"/>
      <c r="S109" s="125"/>
      <c r="T109" s="125"/>
      <c r="U109" s="125"/>
      <c r="V109" s="125"/>
      <c r="W109" s="125"/>
      <c r="X109" s="125"/>
      <c r="AE109" s="615"/>
      <c r="AF109" s="615"/>
      <c r="AG109" s="615"/>
      <c r="AH109" s="615"/>
    </row>
    <row r="110" spans="1:46" hidden="1" outlineLevel="1" x14ac:dyDescent="0.2">
      <c r="A110" s="162"/>
      <c r="B110" s="162"/>
      <c r="C110" s="162"/>
      <c r="D110" s="162"/>
      <c r="E110" s="643"/>
      <c r="F110" s="702"/>
      <c r="G110" s="702"/>
      <c r="H110" s="702"/>
      <c r="I110" s="702"/>
      <c r="J110" s="702"/>
      <c r="K110" s="711"/>
      <c r="L110" s="162"/>
      <c r="M110" s="162"/>
      <c r="N110" s="162"/>
      <c r="O110" s="162"/>
      <c r="P110" s="162"/>
      <c r="Q110" s="162"/>
      <c r="R110" s="162"/>
      <c r="S110" s="710"/>
      <c r="T110" s="710"/>
      <c r="U110" s="710"/>
      <c r="V110" s="710"/>
      <c r="W110" s="710"/>
      <c r="X110" s="710"/>
      <c r="AE110" s="641"/>
      <c r="AF110" s="641"/>
      <c r="AG110" s="641"/>
      <c r="AH110" s="641"/>
    </row>
    <row r="111" spans="1:46" collapsed="1" x14ac:dyDescent="0.2">
      <c r="A111" s="162"/>
      <c r="B111" s="162"/>
      <c r="C111" s="162"/>
      <c r="D111" s="162"/>
      <c r="E111" s="643"/>
      <c r="F111" s="702"/>
      <c r="G111" s="702"/>
      <c r="H111" s="702"/>
      <c r="I111" s="702"/>
      <c r="J111" s="702"/>
      <c r="K111" s="702"/>
      <c r="L111" s="162"/>
      <c r="M111" s="162"/>
      <c r="N111" s="162"/>
      <c r="O111" s="162"/>
      <c r="P111" s="162"/>
      <c r="Q111" s="162"/>
      <c r="R111" s="162"/>
      <c r="S111" s="710"/>
      <c r="T111" s="710"/>
      <c r="U111" s="710"/>
      <c r="V111" s="710"/>
      <c r="W111" s="710"/>
      <c r="X111" s="710"/>
      <c r="AE111" s="641"/>
      <c r="AF111" s="641"/>
      <c r="AG111" s="641"/>
      <c r="AH111" s="641"/>
    </row>
    <row r="112" spans="1:46" ht="15.75" x14ac:dyDescent="0.2">
      <c r="A112" s="125"/>
      <c r="B112" s="125"/>
      <c r="C112" s="125"/>
      <c r="D112" s="125"/>
      <c r="E112" s="123" t="s">
        <v>866</v>
      </c>
      <c r="F112" s="142"/>
      <c r="G112" s="127"/>
      <c r="H112" s="127"/>
      <c r="I112" s="127"/>
      <c r="J112" s="529"/>
      <c r="K112" s="530"/>
      <c r="L112" s="127"/>
      <c r="M112" s="127"/>
      <c r="N112" s="127"/>
      <c r="O112" s="127"/>
      <c r="P112" s="127"/>
      <c r="Q112" s="127"/>
      <c r="R112" s="127"/>
      <c r="S112" s="124"/>
      <c r="T112" s="124"/>
      <c r="U112" s="124"/>
      <c r="V112" s="124"/>
      <c r="W112" s="124"/>
      <c r="X112" s="124"/>
      <c r="Y112" s="124"/>
      <c r="Z112" s="124"/>
      <c r="AA112" s="124"/>
      <c r="AB112" s="124"/>
      <c r="AC112" s="124"/>
      <c r="AD112" s="124"/>
      <c r="AE112" s="124"/>
      <c r="AF112" s="124"/>
      <c r="AG112" s="124"/>
      <c r="AH112" s="124"/>
      <c r="AI112" s="124"/>
      <c r="AJ112" s="124"/>
      <c r="AK112" s="124"/>
      <c r="AL112" s="124"/>
      <c r="AM112" s="124"/>
      <c r="AN112" s="124"/>
      <c r="AO112" s="124"/>
      <c r="AP112" s="124"/>
      <c r="AQ112" s="124"/>
      <c r="AR112" s="124"/>
      <c r="AS112" s="124"/>
      <c r="AT112" s="124"/>
    </row>
    <row r="113" spans="1:46" ht="15.75" hidden="1" outlineLevel="1" x14ac:dyDescent="0.2">
      <c r="A113" s="125"/>
      <c r="B113" s="125"/>
      <c r="C113" s="125"/>
      <c r="D113" s="125"/>
      <c r="E113" s="655"/>
      <c r="F113" s="656"/>
      <c r="G113" s="125"/>
      <c r="H113" s="125"/>
      <c r="I113" s="125"/>
      <c r="J113" s="125"/>
      <c r="K113" s="125"/>
      <c r="L113" s="125"/>
      <c r="M113" s="125"/>
      <c r="N113" s="125"/>
      <c r="O113" s="615"/>
      <c r="P113" s="615"/>
      <c r="Q113" s="615"/>
      <c r="R113" s="615"/>
      <c r="S113" s="125"/>
      <c r="T113" s="125"/>
      <c r="U113" s="125"/>
      <c r="V113" s="125"/>
      <c r="W113" s="125"/>
      <c r="X113" s="125"/>
      <c r="Y113" s="125"/>
      <c r="Z113" s="125"/>
      <c r="AA113" s="125"/>
      <c r="AB113" s="125"/>
      <c r="AC113" s="125"/>
      <c r="AD113" s="125"/>
      <c r="AE113" s="125"/>
      <c r="AF113" s="125"/>
      <c r="AG113" s="125"/>
      <c r="AH113" s="125"/>
      <c r="AI113" s="125"/>
      <c r="AJ113" s="125"/>
      <c r="AK113" s="125"/>
      <c r="AL113" s="125"/>
      <c r="AM113" s="125"/>
      <c r="AN113" s="125"/>
      <c r="AO113" s="125"/>
      <c r="AP113" s="125"/>
      <c r="AQ113" s="125"/>
      <c r="AR113" s="125"/>
      <c r="AS113" s="125"/>
      <c r="AT113" s="125"/>
    </row>
    <row r="114" spans="1:46" hidden="1" outlineLevel="1" x14ac:dyDescent="0.2">
      <c r="A114" s="125"/>
      <c r="B114" s="125"/>
      <c r="C114" s="125"/>
      <c r="D114" s="125"/>
      <c r="E114" s="162" t="s">
        <v>822</v>
      </c>
      <c r="F114" s="656"/>
      <c r="G114" s="125"/>
      <c r="H114" s="125"/>
      <c r="I114" s="125"/>
      <c r="J114" s="125"/>
      <c r="K114" s="125"/>
      <c r="L114" s="125"/>
      <c r="M114" s="125"/>
      <c r="N114" s="125"/>
      <c r="O114" s="125"/>
      <c r="P114" s="615"/>
      <c r="Q114" s="615"/>
      <c r="R114" s="677"/>
      <c r="S114" s="677"/>
      <c r="T114" s="677"/>
      <c r="U114" s="677"/>
      <c r="V114" s="677"/>
      <c r="W114" s="677"/>
      <c r="X114" s="677"/>
      <c r="Y114" s="615"/>
      <c r="Z114" s="615"/>
      <c r="AA114" s="615"/>
      <c r="AB114" s="615"/>
      <c r="AC114" s="615"/>
      <c r="AD114" s="615"/>
      <c r="AE114" s="615"/>
      <c r="AF114" s="615"/>
      <c r="AG114" s="615"/>
      <c r="AH114" s="615"/>
      <c r="AI114" s="141">
        <v>1</v>
      </c>
      <c r="AJ114" s="141">
        <v>2</v>
      </c>
      <c r="AK114" s="141">
        <v>3</v>
      </c>
      <c r="AL114" s="141">
        <v>4</v>
      </c>
      <c r="AM114" s="141">
        <v>5</v>
      </c>
      <c r="AN114" s="141">
        <v>6</v>
      </c>
      <c r="AO114" s="141">
        <v>1</v>
      </c>
      <c r="AP114" s="141">
        <v>2</v>
      </c>
      <c r="AQ114" s="141">
        <v>3</v>
      </c>
      <c r="AR114" s="141">
        <v>4</v>
      </c>
      <c r="AS114" s="141">
        <v>5</v>
      </c>
      <c r="AT114" s="141">
        <v>6</v>
      </c>
    </row>
    <row r="115" spans="1:46" hidden="1" outlineLevel="1" x14ac:dyDescent="0.2">
      <c r="A115" s="125"/>
      <c r="B115" s="125"/>
      <c r="C115" s="125"/>
      <c r="D115" s="125"/>
      <c r="E115" s="162"/>
      <c r="F115" s="656"/>
      <c r="G115" s="125"/>
      <c r="H115" s="125"/>
      <c r="I115" s="125"/>
      <c r="J115" s="125"/>
      <c r="K115" s="125"/>
      <c r="L115" s="125"/>
      <c r="M115" s="125"/>
      <c r="N115" s="125"/>
      <c r="O115" s="125"/>
      <c r="P115" s="125"/>
      <c r="Q115" s="125"/>
      <c r="R115" s="125"/>
      <c r="S115" s="125"/>
      <c r="T115" s="125"/>
      <c r="U115" s="125"/>
      <c r="V115" s="125"/>
      <c r="W115" s="125"/>
      <c r="X115" s="125"/>
      <c r="Y115" s="615"/>
      <c r="Z115" s="615"/>
      <c r="AA115" s="615"/>
      <c r="AB115" s="615"/>
      <c r="AC115" s="615"/>
      <c r="AD115" s="615"/>
      <c r="AE115" s="615"/>
      <c r="AF115" s="125"/>
      <c r="AG115" s="125"/>
      <c r="AH115" s="125"/>
      <c r="AI115" s="855" t="str">
        <f>AI84</f>
        <v/>
      </c>
      <c r="AJ115" s="855"/>
      <c r="AK115" s="855"/>
      <c r="AL115" s="855"/>
      <c r="AM115" s="855"/>
      <c r="AN115" s="855"/>
      <c r="AO115" s="855" t="str">
        <f>AO84</f>
        <v/>
      </c>
      <c r="AP115" s="855"/>
      <c r="AQ115" s="855"/>
      <c r="AR115" s="855"/>
      <c r="AS115" s="855"/>
      <c r="AT115" s="855"/>
    </row>
    <row r="116" spans="1:46" ht="25.5" hidden="1" outlineLevel="1" x14ac:dyDescent="0.2">
      <c r="A116" s="125"/>
      <c r="B116" s="125"/>
      <c r="C116" s="125"/>
      <c r="D116" s="125"/>
      <c r="E116" s="82" t="s">
        <v>813</v>
      </c>
      <c r="F116" s="830" t="s">
        <v>110</v>
      </c>
      <c r="G116" s="831"/>
      <c r="H116" s="832"/>
      <c r="I116" s="82" t="s">
        <v>56</v>
      </c>
      <c r="J116" s="82" t="s">
        <v>302</v>
      </c>
      <c r="K116" s="82" t="s">
        <v>119</v>
      </c>
      <c r="L116" s="82" t="s">
        <v>375</v>
      </c>
      <c r="M116" s="82" t="s">
        <v>374</v>
      </c>
      <c r="N116" s="67" t="s">
        <v>367</v>
      </c>
      <c r="O116" s="67" t="str">
        <f>"Scripts / " &amp; IF(TxDuration=1,"year","treatment")</f>
        <v>Scripts / treatment</v>
      </c>
      <c r="P116" s="82" t="s">
        <v>364</v>
      </c>
      <c r="Q116" s="827" t="s">
        <v>1191</v>
      </c>
      <c r="R116" s="827"/>
      <c r="S116" s="827"/>
      <c r="T116" s="827"/>
      <c r="U116" s="827"/>
      <c r="V116" s="690"/>
      <c r="W116" s="615"/>
      <c r="X116" s="615"/>
      <c r="Y116" s="615"/>
      <c r="Z116" s="615"/>
      <c r="AA116" s="615"/>
      <c r="AB116" s="615"/>
      <c r="AC116" s="615"/>
      <c r="AD116" s="615"/>
      <c r="AE116" s="641"/>
      <c r="AF116" s="227" t="s">
        <v>279</v>
      </c>
      <c r="AG116" s="228" t="s">
        <v>291</v>
      </c>
      <c r="AH116" s="231" t="s">
        <v>1192</v>
      </c>
      <c r="AI116" s="229">
        <f>FirstYear</f>
        <v>2021</v>
      </c>
      <c r="AJ116" s="229">
        <f>AI116+1</f>
        <v>2022</v>
      </c>
      <c r="AK116" s="229">
        <f>AJ116+1</f>
        <v>2023</v>
      </c>
      <c r="AL116" s="229">
        <f>AK116+1</f>
        <v>2024</v>
      </c>
      <c r="AM116" s="229">
        <f>AL116+1</f>
        <v>2025</v>
      </c>
      <c r="AN116" s="229">
        <f>AM116+1</f>
        <v>2026</v>
      </c>
      <c r="AO116" s="229">
        <f>FirstYear</f>
        <v>2021</v>
      </c>
      <c r="AP116" s="229">
        <f>AO116+1</f>
        <v>2022</v>
      </c>
      <c r="AQ116" s="229">
        <f>AP116+1</f>
        <v>2023</v>
      </c>
      <c r="AR116" s="229">
        <f>AQ116+1</f>
        <v>2024</v>
      </c>
      <c r="AS116" s="229">
        <f>AR116+1</f>
        <v>2025</v>
      </c>
      <c r="AT116" s="229">
        <f>AS116+1</f>
        <v>2026</v>
      </c>
    </row>
    <row r="117" spans="1:46" ht="12.75" hidden="1" customHeight="1" outlineLevel="1" x14ac:dyDescent="0.2">
      <c r="A117" s="701"/>
      <c r="B117" s="701"/>
      <c r="C117" s="701"/>
      <c r="D117" s="58">
        <v>1</v>
      </c>
      <c r="E117" s="482"/>
      <c r="F117" s="847"/>
      <c r="G117" s="848"/>
      <c r="H117" s="849"/>
      <c r="I117" s="266"/>
      <c r="J117" s="152"/>
      <c r="K117" s="151"/>
      <c r="L117" s="153"/>
      <c r="M117" s="266"/>
      <c r="N117" s="241"/>
      <c r="O117" s="154" t="str">
        <f>IF(AND(K117&lt;&gt;0,N117&lt;&gt;0,K117&lt;&gt;0,N117&lt;&gt;0),L117/(K117/N117)*J117,"")</f>
        <v/>
      </c>
      <c r="P117" s="152"/>
      <c r="Q117" s="851"/>
      <c r="R117" s="851"/>
      <c r="S117" s="851"/>
      <c r="T117" s="851"/>
      <c r="U117" s="851"/>
      <c r="V117" s="615"/>
      <c r="W117" s="843" t="str">
        <f t="shared" ref="W117" si="61">IF(AND(E117&lt;&gt;"",R117&lt;&gt;""),IF(INDEX(PxTxPhase1Adj,AH117,7)=1,VLOOKUP("ExtendTxPop",WarningMessages,2,FALSE),""),"")</f>
        <v/>
      </c>
      <c r="X117" s="843"/>
      <c r="Y117" s="843"/>
      <c r="Z117" s="615"/>
      <c r="AA117" s="843" t="str">
        <f>IF(AND(E117&lt;&gt;"",R117&lt;&gt;""),IF(INDEX(PxTxPhase1Adj,AH117,7)=1,VLOOKUP("ExtendTxPop",WarningMessages,2,FALSE),""),"")</f>
        <v/>
      </c>
      <c r="AB117" s="843"/>
      <c r="AC117" s="843"/>
      <c r="AD117" s="615"/>
      <c r="AE117" s="641"/>
      <c r="AF117" s="71" t="str">
        <f t="shared" ref="AF117:AF136" si="62">IF(E117&lt;&gt;"",CONCATENATE(E117," ",F117, " - ",I117),MsgNotUsed)</f>
        <v>** NOT USED **</v>
      </c>
      <c r="AG117" s="470" t="str">
        <f t="shared" ref="AG117:AG136" si="63">IF(I117&lt;&gt;"",VLOOKUP(I117,TPShortCode,3,FALSE),"")</f>
        <v/>
      </c>
      <c r="AH117" s="472">
        <f t="shared" ref="AH117:AH136" ca="1" si="64">IFERROR(MATCH(Q117,DTGPops,0),0)</f>
        <v>0</v>
      </c>
      <c r="AI117" s="514">
        <f t="shared" ref="AI117:AN126" ca="1" si="65">IF($AH117&lt;&gt;0,INDEX(PxTxPhase1Adj,$AH117,AI$114),0)</f>
        <v>0</v>
      </c>
      <c r="AJ117" s="514">
        <f t="shared" ca="1" si="65"/>
        <v>0</v>
      </c>
      <c r="AK117" s="514">
        <f t="shared" ca="1" si="65"/>
        <v>0</v>
      </c>
      <c r="AL117" s="514">
        <f t="shared" ca="1" si="65"/>
        <v>0</v>
      </c>
      <c r="AM117" s="514">
        <f t="shared" ca="1" si="65"/>
        <v>0</v>
      </c>
      <c r="AN117" s="514">
        <f t="shared" ca="1" si="65"/>
        <v>0</v>
      </c>
      <c r="AO117" s="514">
        <f t="shared" ref="AO117:AT126" ca="1" si="66">IF($AH117&lt;&gt;0,INDEX(PxTxPhase2Adj,$AH117,AO$114),0)</f>
        <v>0</v>
      </c>
      <c r="AP117" s="514">
        <f t="shared" ca="1" si="66"/>
        <v>0</v>
      </c>
      <c r="AQ117" s="514">
        <f t="shared" ca="1" si="66"/>
        <v>0</v>
      </c>
      <c r="AR117" s="514">
        <f t="shared" ca="1" si="66"/>
        <v>0</v>
      </c>
      <c r="AS117" s="514">
        <f t="shared" ca="1" si="66"/>
        <v>0</v>
      </c>
      <c r="AT117" s="514">
        <f t="shared" ca="1" si="66"/>
        <v>0</v>
      </c>
    </row>
    <row r="118" spans="1:46" hidden="1" outlineLevel="1" x14ac:dyDescent="0.2">
      <c r="A118" s="701"/>
      <c r="B118" s="701"/>
      <c r="C118" s="701"/>
      <c r="D118" s="58">
        <v>2</v>
      </c>
      <c r="E118" s="482"/>
      <c r="F118" s="847"/>
      <c r="G118" s="848"/>
      <c r="H118" s="849"/>
      <c r="I118" s="266"/>
      <c r="J118" s="152"/>
      <c r="K118" s="151"/>
      <c r="L118" s="153"/>
      <c r="M118" s="266"/>
      <c r="N118" s="241"/>
      <c r="O118" s="154" t="str">
        <f t="shared" ref="O118:O136" si="67">IF(AND(K118&lt;&gt;"",N118&lt;&gt;"",K118&lt;&gt;0,N118&lt;&gt;0),L118/(K118/N118)*J118,"")</f>
        <v/>
      </c>
      <c r="P118" s="152"/>
      <c r="Q118" s="851"/>
      <c r="R118" s="851"/>
      <c r="S118" s="851"/>
      <c r="T118" s="851"/>
      <c r="U118" s="851"/>
      <c r="V118" s="615"/>
      <c r="W118" s="843" t="str">
        <f t="shared" ref="W118:W136" si="68">IF(AND(E118&lt;&gt;"",R118&lt;&gt;""),IF(INDEX(PxTxPhase1Adj,AH118,7)=1,VLOOKUP("ExtendTxPop",WarningMessages,2,FALSE),""),"")</f>
        <v/>
      </c>
      <c r="X118" s="843"/>
      <c r="Y118" s="843"/>
      <c r="Z118" s="615"/>
      <c r="AA118" s="615"/>
      <c r="AB118" s="615"/>
      <c r="AC118" s="615"/>
      <c r="AD118" s="615"/>
      <c r="AE118" s="641"/>
      <c r="AF118" s="71" t="str">
        <f t="shared" si="62"/>
        <v>** NOT USED **</v>
      </c>
      <c r="AG118" s="470" t="str">
        <f t="shared" si="63"/>
        <v/>
      </c>
      <c r="AH118" s="634">
        <f t="shared" ca="1" si="64"/>
        <v>0</v>
      </c>
      <c r="AI118" s="514">
        <f t="shared" ca="1" si="65"/>
        <v>0</v>
      </c>
      <c r="AJ118" s="514">
        <f t="shared" ca="1" si="65"/>
        <v>0</v>
      </c>
      <c r="AK118" s="514">
        <f t="shared" ca="1" si="65"/>
        <v>0</v>
      </c>
      <c r="AL118" s="514">
        <f t="shared" ca="1" si="65"/>
        <v>0</v>
      </c>
      <c r="AM118" s="514">
        <f t="shared" ca="1" si="65"/>
        <v>0</v>
      </c>
      <c r="AN118" s="514">
        <f t="shared" ca="1" si="65"/>
        <v>0</v>
      </c>
      <c r="AO118" s="514">
        <f t="shared" ca="1" si="66"/>
        <v>0</v>
      </c>
      <c r="AP118" s="514">
        <f t="shared" ca="1" si="66"/>
        <v>0</v>
      </c>
      <c r="AQ118" s="514">
        <f t="shared" ca="1" si="66"/>
        <v>0</v>
      </c>
      <c r="AR118" s="514">
        <f t="shared" ca="1" si="66"/>
        <v>0</v>
      </c>
      <c r="AS118" s="514">
        <f t="shared" ca="1" si="66"/>
        <v>0</v>
      </c>
      <c r="AT118" s="514">
        <f t="shared" ca="1" si="66"/>
        <v>0</v>
      </c>
    </row>
    <row r="119" spans="1:46" hidden="1" outlineLevel="1" x14ac:dyDescent="0.2">
      <c r="A119" s="701"/>
      <c r="B119" s="701"/>
      <c r="C119" s="701"/>
      <c r="D119" s="58">
        <v>3</v>
      </c>
      <c r="E119" s="482"/>
      <c r="F119" s="847"/>
      <c r="G119" s="848"/>
      <c r="H119" s="849"/>
      <c r="I119" s="266"/>
      <c r="J119" s="56"/>
      <c r="K119" s="151"/>
      <c r="L119" s="153"/>
      <c r="M119" s="266"/>
      <c r="N119" s="241"/>
      <c r="O119" s="154" t="str">
        <f t="shared" si="67"/>
        <v/>
      </c>
      <c r="P119" s="152"/>
      <c r="Q119" s="851"/>
      <c r="R119" s="851"/>
      <c r="S119" s="851"/>
      <c r="T119" s="851"/>
      <c r="U119" s="851"/>
      <c r="V119" s="615"/>
      <c r="W119" s="843" t="str">
        <f t="shared" si="68"/>
        <v/>
      </c>
      <c r="X119" s="843"/>
      <c r="Y119" s="843"/>
      <c r="Z119" s="615"/>
      <c r="AA119" s="615"/>
      <c r="AB119" s="615"/>
      <c r="AC119" s="615"/>
      <c r="AD119" s="615"/>
      <c r="AE119" s="641"/>
      <c r="AF119" s="71" t="str">
        <f t="shared" si="62"/>
        <v>** NOT USED **</v>
      </c>
      <c r="AG119" s="470" t="str">
        <f t="shared" si="63"/>
        <v/>
      </c>
      <c r="AH119" s="634">
        <f t="shared" ca="1" si="64"/>
        <v>0</v>
      </c>
      <c r="AI119" s="514">
        <f t="shared" ca="1" si="65"/>
        <v>0</v>
      </c>
      <c r="AJ119" s="514">
        <f t="shared" ca="1" si="65"/>
        <v>0</v>
      </c>
      <c r="AK119" s="514">
        <f t="shared" ca="1" si="65"/>
        <v>0</v>
      </c>
      <c r="AL119" s="514">
        <f t="shared" ca="1" si="65"/>
        <v>0</v>
      </c>
      <c r="AM119" s="514">
        <f t="shared" ca="1" si="65"/>
        <v>0</v>
      </c>
      <c r="AN119" s="514">
        <f t="shared" ca="1" si="65"/>
        <v>0</v>
      </c>
      <c r="AO119" s="514">
        <f t="shared" ca="1" si="66"/>
        <v>0</v>
      </c>
      <c r="AP119" s="514">
        <f t="shared" ca="1" si="66"/>
        <v>0</v>
      </c>
      <c r="AQ119" s="514">
        <f t="shared" ca="1" si="66"/>
        <v>0</v>
      </c>
      <c r="AR119" s="514">
        <f t="shared" ca="1" si="66"/>
        <v>0</v>
      </c>
      <c r="AS119" s="514">
        <f t="shared" ca="1" si="66"/>
        <v>0</v>
      </c>
      <c r="AT119" s="514">
        <f t="shared" ca="1" si="66"/>
        <v>0</v>
      </c>
    </row>
    <row r="120" spans="1:46" hidden="1" outlineLevel="1" x14ac:dyDescent="0.2">
      <c r="A120" s="701"/>
      <c r="B120" s="701"/>
      <c r="C120" s="701"/>
      <c r="D120" s="58">
        <v>4</v>
      </c>
      <c r="E120" s="482"/>
      <c r="F120" s="847"/>
      <c r="G120" s="848"/>
      <c r="H120" s="849"/>
      <c r="I120" s="266"/>
      <c r="J120" s="152"/>
      <c r="K120" s="151"/>
      <c r="L120" s="153"/>
      <c r="M120" s="266"/>
      <c r="N120" s="241"/>
      <c r="O120" s="154" t="str">
        <f t="shared" si="67"/>
        <v/>
      </c>
      <c r="P120" s="152"/>
      <c r="Q120" s="851"/>
      <c r="R120" s="851"/>
      <c r="S120" s="851"/>
      <c r="T120" s="851"/>
      <c r="U120" s="851"/>
      <c r="V120" s="615"/>
      <c r="W120" s="843" t="str">
        <f t="shared" si="68"/>
        <v/>
      </c>
      <c r="X120" s="843"/>
      <c r="Y120" s="843"/>
      <c r="Z120" s="615"/>
      <c r="AA120" s="615"/>
      <c r="AB120" s="615"/>
      <c r="AC120" s="615"/>
      <c r="AD120" s="615"/>
      <c r="AE120" s="641"/>
      <c r="AF120" s="71" t="str">
        <f t="shared" si="62"/>
        <v>** NOT USED **</v>
      </c>
      <c r="AG120" s="470" t="str">
        <f t="shared" si="63"/>
        <v/>
      </c>
      <c r="AH120" s="634">
        <f t="shared" ca="1" si="64"/>
        <v>0</v>
      </c>
      <c r="AI120" s="514">
        <f t="shared" ca="1" si="65"/>
        <v>0</v>
      </c>
      <c r="AJ120" s="514">
        <f t="shared" ca="1" si="65"/>
        <v>0</v>
      </c>
      <c r="AK120" s="514">
        <f t="shared" ca="1" si="65"/>
        <v>0</v>
      </c>
      <c r="AL120" s="514">
        <f t="shared" ca="1" si="65"/>
        <v>0</v>
      </c>
      <c r="AM120" s="514">
        <f t="shared" ca="1" si="65"/>
        <v>0</v>
      </c>
      <c r="AN120" s="514">
        <f t="shared" ca="1" si="65"/>
        <v>0</v>
      </c>
      <c r="AO120" s="514">
        <f t="shared" ca="1" si="66"/>
        <v>0</v>
      </c>
      <c r="AP120" s="514">
        <f t="shared" ca="1" si="66"/>
        <v>0</v>
      </c>
      <c r="AQ120" s="514">
        <f t="shared" ca="1" si="66"/>
        <v>0</v>
      </c>
      <c r="AR120" s="514">
        <f t="shared" ca="1" si="66"/>
        <v>0</v>
      </c>
      <c r="AS120" s="514">
        <f t="shared" ca="1" si="66"/>
        <v>0</v>
      </c>
      <c r="AT120" s="514">
        <f t="shared" ca="1" si="66"/>
        <v>0</v>
      </c>
    </row>
    <row r="121" spans="1:46" hidden="1" outlineLevel="1" x14ac:dyDescent="0.2">
      <c r="A121" s="701"/>
      <c r="B121" s="701"/>
      <c r="C121" s="701"/>
      <c r="D121" s="58">
        <v>5</v>
      </c>
      <c r="E121" s="482"/>
      <c r="F121" s="847"/>
      <c r="G121" s="848"/>
      <c r="H121" s="849"/>
      <c r="I121" s="266"/>
      <c r="J121" s="152"/>
      <c r="K121" s="151"/>
      <c r="L121" s="153"/>
      <c r="M121" s="266"/>
      <c r="N121" s="241"/>
      <c r="O121" s="154" t="str">
        <f t="shared" si="67"/>
        <v/>
      </c>
      <c r="P121" s="152"/>
      <c r="Q121" s="851"/>
      <c r="R121" s="851"/>
      <c r="S121" s="851"/>
      <c r="T121" s="851"/>
      <c r="U121" s="851"/>
      <c r="V121" s="615"/>
      <c r="W121" s="843" t="str">
        <f t="shared" si="68"/>
        <v/>
      </c>
      <c r="X121" s="843"/>
      <c r="Y121" s="843"/>
      <c r="Z121" s="615"/>
      <c r="AA121" s="615"/>
      <c r="AB121" s="615"/>
      <c r="AC121" s="615"/>
      <c r="AD121" s="615"/>
      <c r="AE121" s="641"/>
      <c r="AF121" s="71" t="str">
        <f t="shared" si="62"/>
        <v>** NOT USED **</v>
      </c>
      <c r="AG121" s="470" t="str">
        <f t="shared" si="63"/>
        <v/>
      </c>
      <c r="AH121" s="634">
        <f t="shared" ca="1" si="64"/>
        <v>0</v>
      </c>
      <c r="AI121" s="514">
        <f t="shared" ca="1" si="65"/>
        <v>0</v>
      </c>
      <c r="AJ121" s="514">
        <f t="shared" ca="1" si="65"/>
        <v>0</v>
      </c>
      <c r="AK121" s="514">
        <f t="shared" ca="1" si="65"/>
        <v>0</v>
      </c>
      <c r="AL121" s="514">
        <f t="shared" ca="1" si="65"/>
        <v>0</v>
      </c>
      <c r="AM121" s="514">
        <f t="shared" ca="1" si="65"/>
        <v>0</v>
      </c>
      <c r="AN121" s="514">
        <f t="shared" ca="1" si="65"/>
        <v>0</v>
      </c>
      <c r="AO121" s="514">
        <f t="shared" ca="1" si="66"/>
        <v>0</v>
      </c>
      <c r="AP121" s="514">
        <f t="shared" ca="1" si="66"/>
        <v>0</v>
      </c>
      <c r="AQ121" s="514">
        <f t="shared" ca="1" si="66"/>
        <v>0</v>
      </c>
      <c r="AR121" s="514">
        <f t="shared" ca="1" si="66"/>
        <v>0</v>
      </c>
      <c r="AS121" s="514">
        <f t="shared" ca="1" si="66"/>
        <v>0</v>
      </c>
      <c r="AT121" s="514">
        <f t="shared" ca="1" si="66"/>
        <v>0</v>
      </c>
    </row>
    <row r="122" spans="1:46" hidden="1" outlineLevel="1" x14ac:dyDescent="0.2">
      <c r="A122" s="701"/>
      <c r="B122" s="701"/>
      <c r="C122" s="701"/>
      <c r="D122" s="58">
        <v>6</v>
      </c>
      <c r="E122" s="482"/>
      <c r="F122" s="847"/>
      <c r="G122" s="848"/>
      <c r="H122" s="849"/>
      <c r="I122" s="266"/>
      <c r="J122" s="152"/>
      <c r="K122" s="151"/>
      <c r="L122" s="153"/>
      <c r="M122" s="266"/>
      <c r="N122" s="241"/>
      <c r="O122" s="154" t="str">
        <f t="shared" si="67"/>
        <v/>
      </c>
      <c r="P122" s="404"/>
      <c r="Q122" s="851"/>
      <c r="R122" s="851"/>
      <c r="S122" s="851"/>
      <c r="T122" s="851"/>
      <c r="U122" s="851"/>
      <c r="V122" s="615"/>
      <c r="W122" s="843" t="str">
        <f t="shared" si="68"/>
        <v/>
      </c>
      <c r="X122" s="843"/>
      <c r="Y122" s="843"/>
      <c r="Z122" s="615"/>
      <c r="AA122" s="615"/>
      <c r="AB122" s="615"/>
      <c r="AC122" s="615"/>
      <c r="AD122" s="615"/>
      <c r="AE122" s="641"/>
      <c r="AF122" s="71" t="str">
        <f t="shared" si="62"/>
        <v>** NOT USED **</v>
      </c>
      <c r="AG122" s="470" t="str">
        <f t="shared" si="63"/>
        <v/>
      </c>
      <c r="AH122" s="634">
        <f t="shared" ca="1" si="64"/>
        <v>0</v>
      </c>
      <c r="AI122" s="514">
        <f t="shared" ca="1" si="65"/>
        <v>0</v>
      </c>
      <c r="AJ122" s="514">
        <f t="shared" ca="1" si="65"/>
        <v>0</v>
      </c>
      <c r="AK122" s="514">
        <f t="shared" ca="1" si="65"/>
        <v>0</v>
      </c>
      <c r="AL122" s="514">
        <f t="shared" ca="1" si="65"/>
        <v>0</v>
      </c>
      <c r="AM122" s="514">
        <f t="shared" ca="1" si="65"/>
        <v>0</v>
      </c>
      <c r="AN122" s="514">
        <f t="shared" ca="1" si="65"/>
        <v>0</v>
      </c>
      <c r="AO122" s="514">
        <f t="shared" ca="1" si="66"/>
        <v>0</v>
      </c>
      <c r="AP122" s="514">
        <f t="shared" ca="1" si="66"/>
        <v>0</v>
      </c>
      <c r="AQ122" s="514">
        <f t="shared" ca="1" si="66"/>
        <v>0</v>
      </c>
      <c r="AR122" s="514">
        <f t="shared" ca="1" si="66"/>
        <v>0</v>
      </c>
      <c r="AS122" s="514">
        <f t="shared" ca="1" si="66"/>
        <v>0</v>
      </c>
      <c r="AT122" s="514">
        <f t="shared" ca="1" si="66"/>
        <v>0</v>
      </c>
    </row>
    <row r="123" spans="1:46" hidden="1" outlineLevel="1" x14ac:dyDescent="0.2">
      <c r="A123" s="701"/>
      <c r="B123" s="701"/>
      <c r="C123" s="701"/>
      <c r="D123" s="58">
        <v>7</v>
      </c>
      <c r="E123" s="482"/>
      <c r="F123" s="847"/>
      <c r="G123" s="848"/>
      <c r="H123" s="849"/>
      <c r="I123" s="266"/>
      <c r="J123" s="152"/>
      <c r="K123" s="151"/>
      <c r="L123" s="153"/>
      <c r="M123" s="266"/>
      <c r="N123" s="241"/>
      <c r="O123" s="154" t="str">
        <f t="shared" si="67"/>
        <v/>
      </c>
      <c r="P123" s="152"/>
      <c r="Q123" s="851"/>
      <c r="R123" s="851"/>
      <c r="S123" s="851"/>
      <c r="T123" s="851"/>
      <c r="U123" s="851"/>
      <c r="V123" s="615"/>
      <c r="W123" s="843" t="str">
        <f t="shared" si="68"/>
        <v/>
      </c>
      <c r="X123" s="843"/>
      <c r="Y123" s="843"/>
      <c r="Z123" s="615"/>
      <c r="AA123" s="615"/>
      <c r="AB123" s="615"/>
      <c r="AC123" s="615"/>
      <c r="AD123" s="615"/>
      <c r="AE123" s="641"/>
      <c r="AF123" s="71" t="str">
        <f t="shared" si="62"/>
        <v>** NOT USED **</v>
      </c>
      <c r="AG123" s="470" t="str">
        <f t="shared" si="63"/>
        <v/>
      </c>
      <c r="AH123" s="634">
        <f t="shared" ca="1" si="64"/>
        <v>0</v>
      </c>
      <c r="AI123" s="514">
        <f t="shared" ca="1" si="65"/>
        <v>0</v>
      </c>
      <c r="AJ123" s="514">
        <f t="shared" ca="1" si="65"/>
        <v>0</v>
      </c>
      <c r="AK123" s="514">
        <f t="shared" ca="1" si="65"/>
        <v>0</v>
      </c>
      <c r="AL123" s="514">
        <f t="shared" ca="1" si="65"/>
        <v>0</v>
      </c>
      <c r="AM123" s="514">
        <f t="shared" ca="1" si="65"/>
        <v>0</v>
      </c>
      <c r="AN123" s="514">
        <f t="shared" ca="1" si="65"/>
        <v>0</v>
      </c>
      <c r="AO123" s="514">
        <f t="shared" ca="1" si="66"/>
        <v>0</v>
      </c>
      <c r="AP123" s="514">
        <f t="shared" ca="1" si="66"/>
        <v>0</v>
      </c>
      <c r="AQ123" s="514">
        <f t="shared" ca="1" si="66"/>
        <v>0</v>
      </c>
      <c r="AR123" s="514">
        <f t="shared" ca="1" si="66"/>
        <v>0</v>
      </c>
      <c r="AS123" s="514">
        <f t="shared" ca="1" si="66"/>
        <v>0</v>
      </c>
      <c r="AT123" s="514">
        <f t="shared" ca="1" si="66"/>
        <v>0</v>
      </c>
    </row>
    <row r="124" spans="1:46" ht="14.25" hidden="1" customHeight="1" outlineLevel="1" x14ac:dyDescent="0.2">
      <c r="A124" s="701"/>
      <c r="B124" s="701"/>
      <c r="C124" s="701"/>
      <c r="D124" s="58">
        <v>8</v>
      </c>
      <c r="E124" s="482"/>
      <c r="F124" s="847"/>
      <c r="G124" s="848"/>
      <c r="H124" s="849"/>
      <c r="I124" s="266"/>
      <c r="J124" s="152"/>
      <c r="K124" s="151"/>
      <c r="L124" s="153"/>
      <c r="M124" s="266"/>
      <c r="N124" s="241"/>
      <c r="O124" s="154" t="str">
        <f t="shared" si="67"/>
        <v/>
      </c>
      <c r="P124" s="152"/>
      <c r="Q124" s="851"/>
      <c r="R124" s="851"/>
      <c r="S124" s="851"/>
      <c r="T124" s="851"/>
      <c r="U124" s="851"/>
      <c r="V124" s="615"/>
      <c r="W124" s="843" t="str">
        <f t="shared" si="68"/>
        <v/>
      </c>
      <c r="X124" s="843"/>
      <c r="Y124" s="843"/>
      <c r="Z124" s="615"/>
      <c r="AA124" s="615"/>
      <c r="AB124" s="615"/>
      <c r="AC124" s="615"/>
      <c r="AD124" s="615"/>
      <c r="AE124" s="641"/>
      <c r="AF124" s="71" t="str">
        <f t="shared" si="62"/>
        <v>** NOT USED **</v>
      </c>
      <c r="AG124" s="470" t="str">
        <f t="shared" si="63"/>
        <v/>
      </c>
      <c r="AH124" s="634">
        <f t="shared" ca="1" si="64"/>
        <v>0</v>
      </c>
      <c r="AI124" s="514">
        <f t="shared" ca="1" si="65"/>
        <v>0</v>
      </c>
      <c r="AJ124" s="514">
        <f t="shared" ca="1" si="65"/>
        <v>0</v>
      </c>
      <c r="AK124" s="514">
        <f t="shared" ca="1" si="65"/>
        <v>0</v>
      </c>
      <c r="AL124" s="514">
        <f t="shared" ca="1" si="65"/>
        <v>0</v>
      </c>
      <c r="AM124" s="514">
        <f t="shared" ca="1" si="65"/>
        <v>0</v>
      </c>
      <c r="AN124" s="514">
        <f t="shared" ca="1" si="65"/>
        <v>0</v>
      </c>
      <c r="AO124" s="514">
        <f t="shared" ca="1" si="66"/>
        <v>0</v>
      </c>
      <c r="AP124" s="514">
        <f t="shared" ca="1" si="66"/>
        <v>0</v>
      </c>
      <c r="AQ124" s="514">
        <f t="shared" ca="1" si="66"/>
        <v>0</v>
      </c>
      <c r="AR124" s="514">
        <f t="shared" ca="1" si="66"/>
        <v>0</v>
      </c>
      <c r="AS124" s="514">
        <f t="shared" ca="1" si="66"/>
        <v>0</v>
      </c>
      <c r="AT124" s="514">
        <f t="shared" ca="1" si="66"/>
        <v>0</v>
      </c>
    </row>
    <row r="125" spans="1:46" hidden="1" outlineLevel="1" x14ac:dyDescent="0.2">
      <c r="A125" s="701"/>
      <c r="B125" s="701"/>
      <c r="C125" s="701"/>
      <c r="D125" s="58">
        <v>9</v>
      </c>
      <c r="E125" s="482"/>
      <c r="F125" s="847"/>
      <c r="G125" s="848"/>
      <c r="H125" s="849"/>
      <c r="I125" s="266"/>
      <c r="J125" s="152"/>
      <c r="K125" s="151"/>
      <c r="L125" s="153"/>
      <c r="M125" s="266"/>
      <c r="N125" s="241"/>
      <c r="O125" s="154" t="str">
        <f t="shared" si="67"/>
        <v/>
      </c>
      <c r="P125" s="152"/>
      <c r="Q125" s="851"/>
      <c r="R125" s="851"/>
      <c r="S125" s="851"/>
      <c r="T125" s="851"/>
      <c r="U125" s="851"/>
      <c r="V125" s="615"/>
      <c r="W125" s="843" t="str">
        <f t="shared" si="68"/>
        <v/>
      </c>
      <c r="X125" s="843"/>
      <c r="Y125" s="843"/>
      <c r="Z125" s="615"/>
      <c r="AA125" s="615"/>
      <c r="AB125" s="615"/>
      <c r="AC125" s="615"/>
      <c r="AD125" s="615"/>
      <c r="AE125" s="641"/>
      <c r="AF125" s="71" t="str">
        <f t="shared" si="62"/>
        <v>** NOT USED **</v>
      </c>
      <c r="AG125" s="470" t="str">
        <f t="shared" si="63"/>
        <v/>
      </c>
      <c r="AH125" s="634">
        <f t="shared" ca="1" si="64"/>
        <v>0</v>
      </c>
      <c r="AI125" s="514">
        <f t="shared" ca="1" si="65"/>
        <v>0</v>
      </c>
      <c r="AJ125" s="514">
        <f t="shared" ca="1" si="65"/>
        <v>0</v>
      </c>
      <c r="AK125" s="514">
        <f t="shared" ca="1" si="65"/>
        <v>0</v>
      </c>
      <c r="AL125" s="514">
        <f t="shared" ca="1" si="65"/>
        <v>0</v>
      </c>
      <c r="AM125" s="514">
        <f t="shared" ca="1" si="65"/>
        <v>0</v>
      </c>
      <c r="AN125" s="514">
        <f t="shared" ca="1" si="65"/>
        <v>0</v>
      </c>
      <c r="AO125" s="514">
        <f t="shared" ca="1" si="66"/>
        <v>0</v>
      </c>
      <c r="AP125" s="514">
        <f t="shared" ca="1" si="66"/>
        <v>0</v>
      </c>
      <c r="AQ125" s="514">
        <f t="shared" ca="1" si="66"/>
        <v>0</v>
      </c>
      <c r="AR125" s="514">
        <f t="shared" ca="1" si="66"/>
        <v>0</v>
      </c>
      <c r="AS125" s="514">
        <f t="shared" ca="1" si="66"/>
        <v>0</v>
      </c>
      <c r="AT125" s="514">
        <f t="shared" ca="1" si="66"/>
        <v>0</v>
      </c>
    </row>
    <row r="126" spans="1:46" hidden="1" outlineLevel="1" x14ac:dyDescent="0.2">
      <c r="A126" s="701"/>
      <c r="B126" s="701"/>
      <c r="C126" s="701"/>
      <c r="D126" s="58">
        <v>10</v>
      </c>
      <c r="E126" s="482"/>
      <c r="F126" s="847"/>
      <c r="G126" s="848"/>
      <c r="H126" s="849"/>
      <c r="I126" s="266"/>
      <c r="J126" s="152"/>
      <c r="K126" s="151"/>
      <c r="L126" s="153"/>
      <c r="M126" s="266"/>
      <c r="N126" s="241"/>
      <c r="O126" s="154" t="str">
        <f t="shared" si="67"/>
        <v/>
      </c>
      <c r="P126" s="152"/>
      <c r="Q126" s="851"/>
      <c r="R126" s="851"/>
      <c r="S126" s="851"/>
      <c r="T126" s="851"/>
      <c r="U126" s="851"/>
      <c r="V126" s="615"/>
      <c r="W126" s="843" t="str">
        <f t="shared" si="68"/>
        <v/>
      </c>
      <c r="X126" s="843"/>
      <c r="Y126" s="843"/>
      <c r="Z126" s="615"/>
      <c r="AA126" s="615"/>
      <c r="AB126" s="615"/>
      <c r="AC126" s="615"/>
      <c r="AD126" s="615"/>
      <c r="AE126" s="641"/>
      <c r="AF126" s="71" t="str">
        <f t="shared" si="62"/>
        <v>** NOT USED **</v>
      </c>
      <c r="AG126" s="470" t="str">
        <f t="shared" si="63"/>
        <v/>
      </c>
      <c r="AH126" s="634">
        <f t="shared" ca="1" si="64"/>
        <v>0</v>
      </c>
      <c r="AI126" s="514">
        <f t="shared" ca="1" si="65"/>
        <v>0</v>
      </c>
      <c r="AJ126" s="514">
        <f t="shared" ca="1" si="65"/>
        <v>0</v>
      </c>
      <c r="AK126" s="514">
        <f t="shared" ca="1" si="65"/>
        <v>0</v>
      </c>
      <c r="AL126" s="514">
        <f t="shared" ca="1" si="65"/>
        <v>0</v>
      </c>
      <c r="AM126" s="514">
        <f t="shared" ca="1" si="65"/>
        <v>0</v>
      </c>
      <c r="AN126" s="514">
        <f t="shared" ca="1" si="65"/>
        <v>0</v>
      </c>
      <c r="AO126" s="514">
        <f t="shared" ca="1" si="66"/>
        <v>0</v>
      </c>
      <c r="AP126" s="514">
        <f t="shared" ca="1" si="66"/>
        <v>0</v>
      </c>
      <c r="AQ126" s="514">
        <f t="shared" ca="1" si="66"/>
        <v>0</v>
      </c>
      <c r="AR126" s="514">
        <f t="shared" ca="1" si="66"/>
        <v>0</v>
      </c>
      <c r="AS126" s="514">
        <f t="shared" ca="1" si="66"/>
        <v>0</v>
      </c>
      <c r="AT126" s="514">
        <f t="shared" ca="1" si="66"/>
        <v>0</v>
      </c>
    </row>
    <row r="127" spans="1:46" hidden="1" outlineLevel="1" x14ac:dyDescent="0.2">
      <c r="A127" s="701"/>
      <c r="B127" s="701"/>
      <c r="C127" s="701"/>
      <c r="D127" s="58">
        <v>11</v>
      </c>
      <c r="E127" s="449"/>
      <c r="F127" s="847"/>
      <c r="G127" s="848"/>
      <c r="H127" s="849"/>
      <c r="I127" s="266"/>
      <c r="J127" s="152"/>
      <c r="K127" s="151"/>
      <c r="L127" s="153"/>
      <c r="M127" s="266"/>
      <c r="N127" s="241"/>
      <c r="O127" s="154" t="str">
        <f t="shared" si="67"/>
        <v/>
      </c>
      <c r="P127" s="152"/>
      <c r="Q127" s="851"/>
      <c r="R127" s="851"/>
      <c r="S127" s="851"/>
      <c r="T127" s="851"/>
      <c r="U127" s="851"/>
      <c r="V127" s="615"/>
      <c r="W127" s="843" t="str">
        <f t="shared" si="68"/>
        <v/>
      </c>
      <c r="X127" s="843"/>
      <c r="Y127" s="843"/>
      <c r="Z127" s="615"/>
      <c r="AA127" s="615"/>
      <c r="AB127" s="615"/>
      <c r="AC127" s="615"/>
      <c r="AD127" s="615"/>
      <c r="AE127" s="641"/>
      <c r="AF127" s="71" t="str">
        <f t="shared" si="62"/>
        <v>** NOT USED **</v>
      </c>
      <c r="AG127" s="470" t="str">
        <f t="shared" si="63"/>
        <v/>
      </c>
      <c r="AH127" s="634">
        <f t="shared" ca="1" si="64"/>
        <v>0</v>
      </c>
      <c r="AI127" s="514">
        <f t="shared" ref="AI127:AN136" ca="1" si="69">IF($AH127&lt;&gt;0,INDEX(PxTxPhase1Adj,$AH127,AI$114),0)</f>
        <v>0</v>
      </c>
      <c r="AJ127" s="514">
        <f t="shared" ca="1" si="69"/>
        <v>0</v>
      </c>
      <c r="AK127" s="514">
        <f t="shared" ca="1" si="69"/>
        <v>0</v>
      </c>
      <c r="AL127" s="514">
        <f t="shared" ca="1" si="69"/>
        <v>0</v>
      </c>
      <c r="AM127" s="514">
        <f t="shared" ca="1" si="69"/>
        <v>0</v>
      </c>
      <c r="AN127" s="514">
        <f t="shared" ca="1" si="69"/>
        <v>0</v>
      </c>
      <c r="AO127" s="514">
        <f t="shared" ref="AO127:AT136" ca="1" si="70">IF($AH127&lt;&gt;0,INDEX(PxTxPhase2Adj,$AH127,AO$114),0)</f>
        <v>0</v>
      </c>
      <c r="AP127" s="514">
        <f t="shared" ca="1" si="70"/>
        <v>0</v>
      </c>
      <c r="AQ127" s="514">
        <f t="shared" ca="1" si="70"/>
        <v>0</v>
      </c>
      <c r="AR127" s="514">
        <f t="shared" ca="1" si="70"/>
        <v>0</v>
      </c>
      <c r="AS127" s="514">
        <f t="shared" ca="1" si="70"/>
        <v>0</v>
      </c>
      <c r="AT127" s="514">
        <f t="shared" ca="1" si="70"/>
        <v>0</v>
      </c>
    </row>
    <row r="128" spans="1:46" hidden="1" outlineLevel="1" x14ac:dyDescent="0.2">
      <c r="A128" s="701"/>
      <c r="B128" s="701"/>
      <c r="C128" s="701"/>
      <c r="D128" s="58">
        <v>12</v>
      </c>
      <c r="E128" s="449"/>
      <c r="F128" s="847"/>
      <c r="G128" s="848"/>
      <c r="H128" s="849"/>
      <c r="I128" s="266"/>
      <c r="J128" s="152"/>
      <c r="K128" s="151"/>
      <c r="L128" s="153"/>
      <c r="M128" s="266"/>
      <c r="N128" s="241"/>
      <c r="O128" s="154" t="str">
        <f t="shared" si="67"/>
        <v/>
      </c>
      <c r="P128" s="152"/>
      <c r="Q128" s="851"/>
      <c r="R128" s="851"/>
      <c r="S128" s="851"/>
      <c r="T128" s="851"/>
      <c r="U128" s="851"/>
      <c r="V128" s="615"/>
      <c r="W128" s="843" t="str">
        <f t="shared" si="68"/>
        <v/>
      </c>
      <c r="X128" s="843"/>
      <c r="Y128" s="843"/>
      <c r="Z128" s="615"/>
      <c r="AA128" s="615"/>
      <c r="AB128" s="615"/>
      <c r="AC128" s="615"/>
      <c r="AD128" s="615"/>
      <c r="AE128" s="641"/>
      <c r="AF128" s="71" t="str">
        <f t="shared" si="62"/>
        <v>** NOT USED **</v>
      </c>
      <c r="AG128" s="470" t="str">
        <f t="shared" si="63"/>
        <v/>
      </c>
      <c r="AH128" s="634">
        <f t="shared" ca="1" si="64"/>
        <v>0</v>
      </c>
      <c r="AI128" s="514">
        <f t="shared" ca="1" si="69"/>
        <v>0</v>
      </c>
      <c r="AJ128" s="514">
        <f t="shared" ca="1" si="69"/>
        <v>0</v>
      </c>
      <c r="AK128" s="514">
        <f t="shared" ca="1" si="69"/>
        <v>0</v>
      </c>
      <c r="AL128" s="514">
        <f t="shared" ca="1" si="69"/>
        <v>0</v>
      </c>
      <c r="AM128" s="514">
        <f t="shared" ca="1" si="69"/>
        <v>0</v>
      </c>
      <c r="AN128" s="514">
        <f t="shared" ca="1" si="69"/>
        <v>0</v>
      </c>
      <c r="AO128" s="514">
        <f t="shared" ca="1" si="70"/>
        <v>0</v>
      </c>
      <c r="AP128" s="514">
        <f t="shared" ca="1" si="70"/>
        <v>0</v>
      </c>
      <c r="AQ128" s="514">
        <f t="shared" ca="1" si="70"/>
        <v>0</v>
      </c>
      <c r="AR128" s="514">
        <f t="shared" ca="1" si="70"/>
        <v>0</v>
      </c>
      <c r="AS128" s="514">
        <f t="shared" ca="1" si="70"/>
        <v>0</v>
      </c>
      <c r="AT128" s="514">
        <f t="shared" ca="1" si="70"/>
        <v>0</v>
      </c>
    </row>
    <row r="129" spans="1:47" hidden="1" outlineLevel="1" x14ac:dyDescent="0.2">
      <c r="A129" s="701"/>
      <c r="B129" s="701"/>
      <c r="C129" s="701"/>
      <c r="D129" s="58">
        <v>13</v>
      </c>
      <c r="E129" s="449"/>
      <c r="F129" s="847"/>
      <c r="G129" s="848"/>
      <c r="H129" s="849"/>
      <c r="I129" s="266"/>
      <c r="J129" s="152"/>
      <c r="K129" s="151"/>
      <c r="L129" s="153"/>
      <c r="M129" s="266"/>
      <c r="N129" s="241"/>
      <c r="O129" s="154" t="str">
        <f t="shared" si="67"/>
        <v/>
      </c>
      <c r="P129" s="152"/>
      <c r="Q129" s="851"/>
      <c r="R129" s="851"/>
      <c r="S129" s="851"/>
      <c r="T129" s="851"/>
      <c r="U129" s="851"/>
      <c r="V129" s="615"/>
      <c r="W129" s="843" t="str">
        <f t="shared" si="68"/>
        <v/>
      </c>
      <c r="X129" s="843"/>
      <c r="Y129" s="843"/>
      <c r="Z129" s="615"/>
      <c r="AA129" s="615"/>
      <c r="AB129" s="615"/>
      <c r="AC129" s="615"/>
      <c r="AD129" s="615"/>
      <c r="AE129" s="641"/>
      <c r="AF129" s="71" t="str">
        <f t="shared" si="62"/>
        <v>** NOT USED **</v>
      </c>
      <c r="AG129" s="470" t="str">
        <f t="shared" si="63"/>
        <v/>
      </c>
      <c r="AH129" s="634">
        <f t="shared" ca="1" si="64"/>
        <v>0</v>
      </c>
      <c r="AI129" s="514">
        <f t="shared" ca="1" si="69"/>
        <v>0</v>
      </c>
      <c r="AJ129" s="514">
        <f t="shared" ca="1" si="69"/>
        <v>0</v>
      </c>
      <c r="AK129" s="514">
        <f t="shared" ca="1" si="69"/>
        <v>0</v>
      </c>
      <c r="AL129" s="514">
        <f t="shared" ca="1" si="69"/>
        <v>0</v>
      </c>
      <c r="AM129" s="514">
        <f t="shared" ca="1" si="69"/>
        <v>0</v>
      </c>
      <c r="AN129" s="514">
        <f t="shared" ca="1" si="69"/>
        <v>0</v>
      </c>
      <c r="AO129" s="514">
        <f t="shared" ca="1" si="70"/>
        <v>0</v>
      </c>
      <c r="AP129" s="514">
        <f t="shared" ca="1" si="70"/>
        <v>0</v>
      </c>
      <c r="AQ129" s="514">
        <f t="shared" ca="1" si="70"/>
        <v>0</v>
      </c>
      <c r="AR129" s="514">
        <f t="shared" ca="1" si="70"/>
        <v>0</v>
      </c>
      <c r="AS129" s="514">
        <f t="shared" ca="1" si="70"/>
        <v>0</v>
      </c>
      <c r="AT129" s="514">
        <f t="shared" ca="1" si="70"/>
        <v>0</v>
      </c>
    </row>
    <row r="130" spans="1:47" hidden="1" outlineLevel="1" x14ac:dyDescent="0.2">
      <c r="A130" s="701"/>
      <c r="B130" s="701"/>
      <c r="C130" s="701"/>
      <c r="D130" s="58">
        <v>14</v>
      </c>
      <c r="E130" s="449"/>
      <c r="F130" s="847"/>
      <c r="G130" s="848"/>
      <c r="H130" s="849"/>
      <c r="I130" s="266"/>
      <c r="J130" s="152"/>
      <c r="K130" s="151"/>
      <c r="L130" s="153"/>
      <c r="M130" s="266"/>
      <c r="N130" s="241"/>
      <c r="O130" s="154" t="str">
        <f t="shared" si="67"/>
        <v/>
      </c>
      <c r="P130" s="152"/>
      <c r="Q130" s="851"/>
      <c r="R130" s="851"/>
      <c r="S130" s="851"/>
      <c r="T130" s="851"/>
      <c r="U130" s="851"/>
      <c r="V130" s="615"/>
      <c r="W130" s="843" t="str">
        <f t="shared" si="68"/>
        <v/>
      </c>
      <c r="X130" s="843"/>
      <c r="Y130" s="843"/>
      <c r="Z130" s="615"/>
      <c r="AA130" s="615"/>
      <c r="AB130" s="615"/>
      <c r="AC130" s="615"/>
      <c r="AD130" s="615"/>
      <c r="AE130" s="641"/>
      <c r="AF130" s="71" t="str">
        <f t="shared" si="62"/>
        <v>** NOT USED **</v>
      </c>
      <c r="AG130" s="470" t="str">
        <f t="shared" si="63"/>
        <v/>
      </c>
      <c r="AH130" s="634">
        <f t="shared" ca="1" si="64"/>
        <v>0</v>
      </c>
      <c r="AI130" s="514">
        <f t="shared" ca="1" si="69"/>
        <v>0</v>
      </c>
      <c r="AJ130" s="514">
        <f t="shared" ca="1" si="69"/>
        <v>0</v>
      </c>
      <c r="AK130" s="514">
        <f t="shared" ca="1" si="69"/>
        <v>0</v>
      </c>
      <c r="AL130" s="514">
        <f t="shared" ca="1" si="69"/>
        <v>0</v>
      </c>
      <c r="AM130" s="514">
        <f t="shared" ca="1" si="69"/>
        <v>0</v>
      </c>
      <c r="AN130" s="514">
        <f t="shared" ca="1" si="69"/>
        <v>0</v>
      </c>
      <c r="AO130" s="514">
        <f t="shared" ca="1" si="70"/>
        <v>0</v>
      </c>
      <c r="AP130" s="514">
        <f t="shared" ca="1" si="70"/>
        <v>0</v>
      </c>
      <c r="AQ130" s="514">
        <f t="shared" ca="1" si="70"/>
        <v>0</v>
      </c>
      <c r="AR130" s="514">
        <f t="shared" ca="1" si="70"/>
        <v>0</v>
      </c>
      <c r="AS130" s="514">
        <f t="shared" ca="1" si="70"/>
        <v>0</v>
      </c>
      <c r="AT130" s="514">
        <f t="shared" ca="1" si="70"/>
        <v>0</v>
      </c>
    </row>
    <row r="131" spans="1:47" hidden="1" outlineLevel="1" x14ac:dyDescent="0.2">
      <c r="A131" s="701"/>
      <c r="B131" s="701"/>
      <c r="C131" s="701"/>
      <c r="D131" s="58">
        <v>15</v>
      </c>
      <c r="E131" s="449"/>
      <c r="F131" s="847"/>
      <c r="G131" s="848"/>
      <c r="H131" s="849"/>
      <c r="I131" s="266"/>
      <c r="J131" s="152"/>
      <c r="K131" s="151"/>
      <c r="L131" s="153"/>
      <c r="M131" s="266"/>
      <c r="N131" s="241"/>
      <c r="O131" s="154" t="str">
        <f t="shared" si="67"/>
        <v/>
      </c>
      <c r="P131" s="152"/>
      <c r="Q131" s="851"/>
      <c r="R131" s="851"/>
      <c r="S131" s="851"/>
      <c r="T131" s="851"/>
      <c r="U131" s="851"/>
      <c r="V131" s="615"/>
      <c r="W131" s="843" t="str">
        <f t="shared" si="68"/>
        <v/>
      </c>
      <c r="X131" s="843"/>
      <c r="Y131" s="843"/>
      <c r="Z131" s="615"/>
      <c r="AA131" s="615"/>
      <c r="AB131" s="615"/>
      <c r="AC131" s="615"/>
      <c r="AD131" s="615"/>
      <c r="AE131" s="641"/>
      <c r="AF131" s="71" t="str">
        <f t="shared" si="62"/>
        <v>** NOT USED **</v>
      </c>
      <c r="AG131" s="470" t="str">
        <f t="shared" si="63"/>
        <v/>
      </c>
      <c r="AH131" s="634">
        <f t="shared" ca="1" si="64"/>
        <v>0</v>
      </c>
      <c r="AI131" s="514">
        <f t="shared" ca="1" si="69"/>
        <v>0</v>
      </c>
      <c r="AJ131" s="514">
        <f t="shared" ca="1" si="69"/>
        <v>0</v>
      </c>
      <c r="AK131" s="514">
        <f t="shared" ca="1" si="69"/>
        <v>0</v>
      </c>
      <c r="AL131" s="514">
        <f t="shared" ca="1" si="69"/>
        <v>0</v>
      </c>
      <c r="AM131" s="514">
        <f t="shared" ca="1" si="69"/>
        <v>0</v>
      </c>
      <c r="AN131" s="514">
        <f t="shared" ca="1" si="69"/>
        <v>0</v>
      </c>
      <c r="AO131" s="514">
        <f t="shared" ca="1" si="70"/>
        <v>0</v>
      </c>
      <c r="AP131" s="514">
        <f t="shared" ca="1" si="70"/>
        <v>0</v>
      </c>
      <c r="AQ131" s="514">
        <f t="shared" ca="1" si="70"/>
        <v>0</v>
      </c>
      <c r="AR131" s="514">
        <f t="shared" ca="1" si="70"/>
        <v>0</v>
      </c>
      <c r="AS131" s="514">
        <f t="shared" ca="1" si="70"/>
        <v>0</v>
      </c>
      <c r="AT131" s="514">
        <f t="shared" ca="1" si="70"/>
        <v>0</v>
      </c>
    </row>
    <row r="132" spans="1:47" hidden="1" outlineLevel="1" x14ac:dyDescent="0.2">
      <c r="A132" s="701"/>
      <c r="B132" s="701"/>
      <c r="C132" s="701"/>
      <c r="D132" s="58">
        <v>16</v>
      </c>
      <c r="E132" s="449"/>
      <c r="F132" s="847"/>
      <c r="G132" s="848"/>
      <c r="H132" s="849"/>
      <c r="I132" s="266"/>
      <c r="J132" s="152"/>
      <c r="K132" s="151"/>
      <c r="L132" s="153"/>
      <c r="M132" s="266"/>
      <c r="N132" s="241"/>
      <c r="O132" s="154" t="str">
        <f t="shared" si="67"/>
        <v/>
      </c>
      <c r="P132" s="152"/>
      <c r="Q132" s="851"/>
      <c r="R132" s="851"/>
      <c r="S132" s="851"/>
      <c r="T132" s="851"/>
      <c r="U132" s="851"/>
      <c r="V132" s="615"/>
      <c r="W132" s="843" t="str">
        <f t="shared" si="68"/>
        <v/>
      </c>
      <c r="X132" s="843"/>
      <c r="Y132" s="843"/>
      <c r="Z132" s="615"/>
      <c r="AA132" s="615"/>
      <c r="AB132" s="615"/>
      <c r="AC132" s="615"/>
      <c r="AD132" s="615"/>
      <c r="AE132" s="641"/>
      <c r="AF132" s="71" t="str">
        <f t="shared" si="62"/>
        <v>** NOT USED **</v>
      </c>
      <c r="AG132" s="470" t="str">
        <f t="shared" si="63"/>
        <v/>
      </c>
      <c r="AH132" s="634">
        <f t="shared" ca="1" si="64"/>
        <v>0</v>
      </c>
      <c r="AI132" s="514">
        <f t="shared" ca="1" si="69"/>
        <v>0</v>
      </c>
      <c r="AJ132" s="514">
        <f t="shared" ca="1" si="69"/>
        <v>0</v>
      </c>
      <c r="AK132" s="514">
        <f t="shared" ca="1" si="69"/>
        <v>0</v>
      </c>
      <c r="AL132" s="514">
        <f t="shared" ca="1" si="69"/>
        <v>0</v>
      </c>
      <c r="AM132" s="514">
        <f t="shared" ca="1" si="69"/>
        <v>0</v>
      </c>
      <c r="AN132" s="514">
        <f t="shared" ca="1" si="69"/>
        <v>0</v>
      </c>
      <c r="AO132" s="514">
        <f t="shared" ca="1" si="70"/>
        <v>0</v>
      </c>
      <c r="AP132" s="514">
        <f t="shared" ca="1" si="70"/>
        <v>0</v>
      </c>
      <c r="AQ132" s="514">
        <f t="shared" ca="1" si="70"/>
        <v>0</v>
      </c>
      <c r="AR132" s="514">
        <f t="shared" ca="1" si="70"/>
        <v>0</v>
      </c>
      <c r="AS132" s="514">
        <f t="shared" ca="1" si="70"/>
        <v>0</v>
      </c>
      <c r="AT132" s="514">
        <f t="shared" ca="1" si="70"/>
        <v>0</v>
      </c>
    </row>
    <row r="133" spans="1:47" hidden="1" outlineLevel="1" x14ac:dyDescent="0.2">
      <c r="A133" s="701"/>
      <c r="B133" s="701"/>
      <c r="C133" s="701"/>
      <c r="D133" s="58">
        <v>17</v>
      </c>
      <c r="E133" s="449"/>
      <c r="F133" s="847"/>
      <c r="G133" s="848"/>
      <c r="H133" s="849"/>
      <c r="I133" s="266"/>
      <c r="J133" s="152"/>
      <c r="K133" s="151"/>
      <c r="L133" s="153"/>
      <c r="M133" s="266"/>
      <c r="N133" s="241"/>
      <c r="O133" s="154" t="str">
        <f t="shared" si="67"/>
        <v/>
      </c>
      <c r="P133" s="152"/>
      <c r="Q133" s="851"/>
      <c r="R133" s="851"/>
      <c r="S133" s="851"/>
      <c r="T133" s="851"/>
      <c r="U133" s="851"/>
      <c r="V133" s="615"/>
      <c r="W133" s="843" t="str">
        <f t="shared" si="68"/>
        <v/>
      </c>
      <c r="X133" s="843"/>
      <c r="Y133" s="843"/>
      <c r="Z133" s="615"/>
      <c r="AA133" s="615"/>
      <c r="AB133" s="615"/>
      <c r="AC133" s="615"/>
      <c r="AD133" s="615"/>
      <c r="AE133" s="641"/>
      <c r="AF133" s="71" t="str">
        <f t="shared" si="62"/>
        <v>** NOT USED **</v>
      </c>
      <c r="AG133" s="470" t="str">
        <f t="shared" si="63"/>
        <v/>
      </c>
      <c r="AH133" s="634">
        <f t="shared" ca="1" si="64"/>
        <v>0</v>
      </c>
      <c r="AI133" s="514">
        <f t="shared" ca="1" si="69"/>
        <v>0</v>
      </c>
      <c r="AJ133" s="514">
        <f t="shared" ca="1" si="69"/>
        <v>0</v>
      </c>
      <c r="AK133" s="514">
        <f t="shared" ca="1" si="69"/>
        <v>0</v>
      </c>
      <c r="AL133" s="514">
        <f t="shared" ca="1" si="69"/>
        <v>0</v>
      </c>
      <c r="AM133" s="514">
        <f t="shared" ca="1" si="69"/>
        <v>0</v>
      </c>
      <c r="AN133" s="514">
        <f t="shared" ca="1" si="69"/>
        <v>0</v>
      </c>
      <c r="AO133" s="514">
        <f t="shared" ca="1" si="70"/>
        <v>0</v>
      </c>
      <c r="AP133" s="514">
        <f t="shared" ca="1" si="70"/>
        <v>0</v>
      </c>
      <c r="AQ133" s="514">
        <f t="shared" ca="1" si="70"/>
        <v>0</v>
      </c>
      <c r="AR133" s="514">
        <f t="shared" ca="1" si="70"/>
        <v>0</v>
      </c>
      <c r="AS133" s="514">
        <f t="shared" ca="1" si="70"/>
        <v>0</v>
      </c>
      <c r="AT133" s="514">
        <f t="shared" ca="1" si="70"/>
        <v>0</v>
      </c>
    </row>
    <row r="134" spans="1:47" hidden="1" outlineLevel="1" x14ac:dyDescent="0.2">
      <c r="A134" s="701"/>
      <c r="B134" s="701"/>
      <c r="C134" s="701"/>
      <c r="D134" s="58">
        <v>18</v>
      </c>
      <c r="E134" s="449"/>
      <c r="F134" s="847"/>
      <c r="G134" s="848"/>
      <c r="H134" s="849"/>
      <c r="I134" s="266"/>
      <c r="J134" s="152"/>
      <c r="K134" s="151"/>
      <c r="L134" s="153"/>
      <c r="M134" s="266"/>
      <c r="N134" s="241"/>
      <c r="O134" s="154" t="str">
        <f t="shared" si="67"/>
        <v/>
      </c>
      <c r="P134" s="152"/>
      <c r="Q134" s="851"/>
      <c r="R134" s="851"/>
      <c r="S134" s="851"/>
      <c r="T134" s="851"/>
      <c r="U134" s="851"/>
      <c r="V134" s="615"/>
      <c r="W134" s="843" t="str">
        <f t="shared" si="68"/>
        <v/>
      </c>
      <c r="X134" s="843"/>
      <c r="Y134" s="843"/>
      <c r="Z134" s="615"/>
      <c r="AA134" s="615"/>
      <c r="AB134" s="615"/>
      <c r="AC134" s="615"/>
      <c r="AD134" s="615"/>
      <c r="AE134" s="641"/>
      <c r="AF134" s="71" t="str">
        <f t="shared" si="62"/>
        <v>** NOT USED **</v>
      </c>
      <c r="AG134" s="470" t="str">
        <f t="shared" si="63"/>
        <v/>
      </c>
      <c r="AH134" s="634">
        <f t="shared" ca="1" si="64"/>
        <v>0</v>
      </c>
      <c r="AI134" s="514">
        <f t="shared" ca="1" si="69"/>
        <v>0</v>
      </c>
      <c r="AJ134" s="514">
        <f t="shared" ca="1" si="69"/>
        <v>0</v>
      </c>
      <c r="AK134" s="514">
        <f t="shared" ca="1" si="69"/>
        <v>0</v>
      </c>
      <c r="AL134" s="514">
        <f t="shared" ca="1" si="69"/>
        <v>0</v>
      </c>
      <c r="AM134" s="514">
        <f t="shared" ca="1" si="69"/>
        <v>0</v>
      </c>
      <c r="AN134" s="514">
        <f t="shared" ca="1" si="69"/>
        <v>0</v>
      </c>
      <c r="AO134" s="514">
        <f t="shared" ca="1" si="70"/>
        <v>0</v>
      </c>
      <c r="AP134" s="514">
        <f t="shared" ca="1" si="70"/>
        <v>0</v>
      </c>
      <c r="AQ134" s="514">
        <f t="shared" ca="1" si="70"/>
        <v>0</v>
      </c>
      <c r="AR134" s="514">
        <f t="shared" ca="1" si="70"/>
        <v>0</v>
      </c>
      <c r="AS134" s="514">
        <f t="shared" ca="1" si="70"/>
        <v>0</v>
      </c>
      <c r="AT134" s="514">
        <f t="shared" ca="1" si="70"/>
        <v>0</v>
      </c>
    </row>
    <row r="135" spans="1:47" hidden="1" outlineLevel="1" x14ac:dyDescent="0.2">
      <c r="A135" s="701"/>
      <c r="B135" s="701"/>
      <c r="C135" s="701"/>
      <c r="D135" s="58">
        <v>19</v>
      </c>
      <c r="E135" s="449"/>
      <c r="F135" s="847"/>
      <c r="G135" s="848"/>
      <c r="H135" s="849"/>
      <c r="I135" s="266"/>
      <c r="J135" s="152"/>
      <c r="K135" s="151"/>
      <c r="L135" s="153"/>
      <c r="M135" s="266"/>
      <c r="N135" s="241"/>
      <c r="O135" s="154" t="str">
        <f t="shared" si="67"/>
        <v/>
      </c>
      <c r="P135" s="152"/>
      <c r="Q135" s="851"/>
      <c r="R135" s="851"/>
      <c r="S135" s="851"/>
      <c r="T135" s="851"/>
      <c r="U135" s="851"/>
      <c r="V135" s="615"/>
      <c r="W135" s="843" t="str">
        <f t="shared" si="68"/>
        <v/>
      </c>
      <c r="X135" s="843"/>
      <c r="Y135" s="843"/>
      <c r="Z135" s="615"/>
      <c r="AA135" s="615"/>
      <c r="AB135" s="615"/>
      <c r="AC135" s="615"/>
      <c r="AD135" s="615"/>
      <c r="AE135" s="641"/>
      <c r="AF135" s="71" t="str">
        <f t="shared" si="62"/>
        <v>** NOT USED **</v>
      </c>
      <c r="AG135" s="470" t="str">
        <f t="shared" si="63"/>
        <v/>
      </c>
      <c r="AH135" s="634">
        <f t="shared" ca="1" si="64"/>
        <v>0</v>
      </c>
      <c r="AI135" s="514">
        <f t="shared" ca="1" si="69"/>
        <v>0</v>
      </c>
      <c r="AJ135" s="514">
        <f t="shared" ca="1" si="69"/>
        <v>0</v>
      </c>
      <c r="AK135" s="514">
        <f t="shared" ca="1" si="69"/>
        <v>0</v>
      </c>
      <c r="AL135" s="514">
        <f t="shared" ca="1" si="69"/>
        <v>0</v>
      </c>
      <c r="AM135" s="514">
        <f t="shared" ca="1" si="69"/>
        <v>0</v>
      </c>
      <c r="AN135" s="514">
        <f t="shared" ca="1" si="69"/>
        <v>0</v>
      </c>
      <c r="AO135" s="514">
        <f t="shared" ca="1" si="70"/>
        <v>0</v>
      </c>
      <c r="AP135" s="514">
        <f t="shared" ca="1" si="70"/>
        <v>0</v>
      </c>
      <c r="AQ135" s="514">
        <f t="shared" ca="1" si="70"/>
        <v>0</v>
      </c>
      <c r="AR135" s="514">
        <f t="shared" ca="1" si="70"/>
        <v>0</v>
      </c>
      <c r="AS135" s="514">
        <f t="shared" ca="1" si="70"/>
        <v>0</v>
      </c>
      <c r="AT135" s="514">
        <f t="shared" ca="1" si="70"/>
        <v>0</v>
      </c>
    </row>
    <row r="136" spans="1:47" hidden="1" outlineLevel="1" x14ac:dyDescent="0.2">
      <c r="A136" s="701"/>
      <c r="B136" s="701"/>
      <c r="C136" s="701"/>
      <c r="D136" s="58">
        <v>20</v>
      </c>
      <c r="E136" s="449"/>
      <c r="F136" s="847"/>
      <c r="G136" s="848"/>
      <c r="H136" s="849"/>
      <c r="I136" s="266"/>
      <c r="J136" s="152"/>
      <c r="K136" s="151"/>
      <c r="L136" s="153"/>
      <c r="M136" s="266"/>
      <c r="N136" s="241"/>
      <c r="O136" s="154" t="str">
        <f t="shared" si="67"/>
        <v/>
      </c>
      <c r="P136" s="152"/>
      <c r="Q136" s="851"/>
      <c r="R136" s="851"/>
      <c r="S136" s="851"/>
      <c r="T136" s="851"/>
      <c r="U136" s="851"/>
      <c r="V136" s="615"/>
      <c r="W136" s="843" t="str">
        <f t="shared" si="68"/>
        <v/>
      </c>
      <c r="X136" s="843"/>
      <c r="Y136" s="843"/>
      <c r="Z136" s="615"/>
      <c r="AA136" s="615"/>
      <c r="AB136" s="615"/>
      <c r="AC136" s="615"/>
      <c r="AD136" s="615"/>
      <c r="AE136" s="641"/>
      <c r="AF136" s="71" t="str">
        <f t="shared" si="62"/>
        <v>** NOT USED **</v>
      </c>
      <c r="AG136" s="470" t="str">
        <f t="shared" si="63"/>
        <v/>
      </c>
      <c r="AH136" s="634">
        <f t="shared" ca="1" si="64"/>
        <v>0</v>
      </c>
      <c r="AI136" s="514">
        <f t="shared" ca="1" si="69"/>
        <v>0</v>
      </c>
      <c r="AJ136" s="514">
        <f t="shared" ca="1" si="69"/>
        <v>0</v>
      </c>
      <c r="AK136" s="514">
        <f t="shared" ca="1" si="69"/>
        <v>0</v>
      </c>
      <c r="AL136" s="514">
        <f t="shared" ca="1" si="69"/>
        <v>0</v>
      </c>
      <c r="AM136" s="514">
        <f t="shared" ca="1" si="69"/>
        <v>0</v>
      </c>
      <c r="AN136" s="514">
        <f t="shared" ca="1" si="69"/>
        <v>0</v>
      </c>
      <c r="AO136" s="514">
        <f t="shared" ca="1" si="70"/>
        <v>0</v>
      </c>
      <c r="AP136" s="514">
        <f t="shared" ca="1" si="70"/>
        <v>0</v>
      </c>
      <c r="AQ136" s="514">
        <f t="shared" ca="1" si="70"/>
        <v>0</v>
      </c>
      <c r="AR136" s="514">
        <f t="shared" ca="1" si="70"/>
        <v>0</v>
      </c>
      <c r="AS136" s="514">
        <f t="shared" ca="1" si="70"/>
        <v>0</v>
      </c>
      <c r="AT136" s="514">
        <f t="shared" ca="1" si="70"/>
        <v>0</v>
      </c>
    </row>
    <row r="137" spans="1:47" hidden="1" outlineLevel="1" x14ac:dyDescent="0.2">
      <c r="A137" s="125"/>
      <c r="B137" s="125"/>
      <c r="C137" s="125"/>
      <c r="D137" s="242">
        <f>COUNTA(E117:E136)</f>
        <v>0</v>
      </c>
      <c r="E137" s="125"/>
      <c r="F137" s="125"/>
      <c r="G137" s="125"/>
      <c r="H137" s="125"/>
      <c r="I137" s="125"/>
      <c r="J137" s="125"/>
      <c r="K137" s="125"/>
      <c r="L137" s="125"/>
      <c r="M137" s="125"/>
      <c r="N137" s="125"/>
      <c r="O137" s="125"/>
      <c r="P137" s="125"/>
      <c r="Q137" s="125"/>
      <c r="R137" s="125"/>
      <c r="S137" s="125"/>
      <c r="T137" s="125"/>
      <c r="U137" s="125"/>
      <c r="V137" s="125"/>
      <c r="W137" s="125"/>
      <c r="X137" s="125"/>
      <c r="Y137" s="615"/>
      <c r="Z137" s="615"/>
      <c r="AA137" s="615"/>
      <c r="AB137" s="615"/>
      <c r="AC137" s="615"/>
      <c r="AD137" s="615"/>
      <c r="AE137" s="615"/>
      <c r="AF137" s="615"/>
      <c r="AG137" s="615"/>
      <c r="AH137" s="615"/>
      <c r="AI137" s="615"/>
      <c r="AJ137" s="615"/>
      <c r="AK137" s="615"/>
      <c r="AL137" s="615"/>
      <c r="AM137" s="615"/>
      <c r="AN137" s="615"/>
      <c r="AO137" s="615"/>
      <c r="AP137" s="615"/>
      <c r="AQ137" s="615"/>
      <c r="AR137" s="615"/>
      <c r="AS137" s="615"/>
      <c r="AT137" s="615"/>
      <c r="AU137" s="615"/>
    </row>
    <row r="138" spans="1:47" collapsed="1" x14ac:dyDescent="0.2">
      <c r="A138" s="125"/>
      <c r="B138" s="125"/>
      <c r="C138" s="125"/>
      <c r="D138" s="125"/>
      <c r="E138" s="162"/>
      <c r="F138" s="656"/>
      <c r="G138" s="125"/>
      <c r="H138" s="125"/>
      <c r="I138" s="125"/>
      <c r="J138" s="125"/>
      <c r="K138" s="125"/>
      <c r="L138" s="125"/>
      <c r="M138" s="125"/>
      <c r="N138" s="125"/>
      <c r="O138" s="125"/>
      <c r="P138" s="125"/>
      <c r="Q138" s="125"/>
      <c r="R138" s="125"/>
      <c r="S138" s="125"/>
      <c r="T138" s="125"/>
      <c r="U138" s="125"/>
      <c r="V138" s="125"/>
      <c r="W138" s="125"/>
      <c r="X138" s="125"/>
      <c r="Y138" s="125"/>
      <c r="Z138" s="125"/>
      <c r="AA138" s="125"/>
      <c r="AB138" s="125"/>
      <c r="AC138" s="125"/>
      <c r="AD138" s="125"/>
      <c r="AE138" s="615"/>
      <c r="AF138" s="615"/>
      <c r="AG138" s="615"/>
      <c r="AH138" s="615"/>
      <c r="AI138" s="615"/>
      <c r="AJ138" s="615"/>
      <c r="AK138" s="615"/>
      <c r="AL138" s="615"/>
      <c r="AM138" s="615"/>
      <c r="AN138" s="615"/>
      <c r="AO138" s="615"/>
      <c r="AP138" s="615"/>
      <c r="AQ138" s="615"/>
      <c r="AR138" s="615"/>
      <c r="AS138" s="615"/>
      <c r="AT138" s="615"/>
      <c r="AU138" s="615"/>
    </row>
    <row r="139" spans="1:47" ht="15.75" x14ac:dyDescent="0.2">
      <c r="A139" s="125"/>
      <c r="B139" s="125"/>
      <c r="C139" s="125"/>
      <c r="D139" s="125"/>
      <c r="E139" s="123" t="s">
        <v>867</v>
      </c>
      <c r="F139" s="142"/>
      <c r="G139" s="127"/>
      <c r="H139" s="127"/>
      <c r="I139" s="127"/>
      <c r="J139" s="839" t="str">
        <f>IF(AND(ScriptSourceCode&lt;&gt;2,ScriptSourceCode&lt;&gt;3),MsgNotRequired,"")</f>
        <v>** NOT REQUIRED **</v>
      </c>
      <c r="K139" s="840"/>
      <c r="L139" s="127"/>
      <c r="M139" s="127"/>
      <c r="N139" s="127"/>
      <c r="O139" s="127"/>
      <c r="P139" s="127"/>
      <c r="Q139" s="127"/>
      <c r="R139" s="127"/>
      <c r="S139" s="127"/>
      <c r="T139" s="127"/>
      <c r="U139" s="127"/>
      <c r="V139" s="127"/>
      <c r="W139" s="124"/>
      <c r="X139" s="124"/>
      <c r="Y139" s="124"/>
      <c r="Z139" s="124"/>
      <c r="AA139" s="124"/>
      <c r="AB139" s="124"/>
      <c r="AC139" s="124"/>
      <c r="AD139" s="124"/>
      <c r="AE139" s="124"/>
      <c r="AF139" s="124"/>
      <c r="AG139" s="124"/>
      <c r="AH139" s="124"/>
      <c r="AI139" s="124"/>
      <c r="AJ139" s="124"/>
      <c r="AK139" s="124"/>
      <c r="AL139" s="124"/>
      <c r="AM139" s="124"/>
      <c r="AN139" s="124"/>
      <c r="AO139" s="124"/>
      <c r="AP139" s="124"/>
      <c r="AQ139" s="124"/>
      <c r="AR139" s="124"/>
      <c r="AS139" s="124"/>
      <c r="AT139" s="124"/>
    </row>
    <row r="140" spans="1:47" hidden="1" outlineLevel="1" x14ac:dyDescent="0.2">
      <c r="A140" s="162"/>
      <c r="B140" s="162"/>
      <c r="C140" s="162"/>
      <c r="D140" s="162"/>
      <c r="E140" s="616"/>
      <c r="F140" s="700"/>
      <c r="G140" s="162"/>
      <c r="H140" s="642"/>
      <c r="I140" s="162"/>
      <c r="J140" s="162"/>
      <c r="K140" s="162"/>
      <c r="L140" s="162"/>
      <c r="M140" s="642"/>
      <c r="N140" s="642"/>
      <c r="O140" s="162"/>
      <c r="P140" s="162"/>
      <c r="Q140" s="642"/>
      <c r="R140" s="642"/>
      <c r="S140" s="642"/>
      <c r="T140" s="642"/>
      <c r="U140" s="642"/>
      <c r="V140" s="642"/>
      <c r="W140" s="125"/>
      <c r="X140" s="125"/>
      <c r="Y140" s="125"/>
      <c r="Z140" s="125"/>
      <c r="AA140" s="125"/>
      <c r="AB140" s="125"/>
      <c r="AC140" s="125"/>
      <c r="AD140" s="125"/>
      <c r="AE140" s="125"/>
      <c r="AF140" s="125"/>
      <c r="AG140" s="125"/>
      <c r="AH140" s="595" t="s">
        <v>289</v>
      </c>
      <c r="AI140" s="595" t="s">
        <v>142</v>
      </c>
      <c r="AJ140" s="595" t="s">
        <v>290</v>
      </c>
      <c r="AK140" s="125"/>
      <c r="AL140" s="125"/>
      <c r="AM140" s="125"/>
      <c r="AN140" s="125"/>
      <c r="AO140" s="125"/>
      <c r="AP140" s="125"/>
      <c r="AQ140" s="125"/>
      <c r="AR140" s="125"/>
      <c r="AS140" s="125"/>
      <c r="AT140" s="125"/>
    </row>
    <row r="141" spans="1:47" hidden="1" outlineLevel="1" x14ac:dyDescent="0.2">
      <c r="A141" s="125"/>
      <c r="B141" s="125"/>
      <c r="C141" s="125"/>
      <c r="D141" s="125"/>
      <c r="E141" s="162" t="s">
        <v>823</v>
      </c>
      <c r="F141" s="656"/>
      <c r="G141" s="125"/>
      <c r="H141" s="125"/>
      <c r="I141" s="125"/>
      <c r="J141" s="125"/>
      <c r="K141" s="615"/>
      <c r="L141" s="615"/>
      <c r="M141" s="615"/>
      <c r="N141" s="615"/>
      <c r="O141" s="615"/>
      <c r="P141" s="615"/>
      <c r="Q141" s="615"/>
      <c r="R141" s="615"/>
      <c r="S141" s="615"/>
      <c r="T141" s="615"/>
      <c r="U141" s="615"/>
      <c r="V141" s="615"/>
      <c r="W141" s="125"/>
      <c r="X141" s="125"/>
      <c r="Y141" s="615"/>
      <c r="Z141" s="615"/>
      <c r="AA141" s="615"/>
      <c r="AB141" s="615"/>
      <c r="AC141" s="615"/>
      <c r="AD141" s="615"/>
      <c r="AE141" s="615"/>
      <c r="AF141" s="615"/>
      <c r="AG141" s="596" t="s">
        <v>73</v>
      </c>
      <c r="AH141" s="538">
        <f>IF(COUNTIF($AG$117:$AG$136,AH140)&gt;=1,1,0)</f>
        <v>0</v>
      </c>
      <c r="AI141" s="538">
        <f>IF(COUNTIF($AG$117:$AG$136,AI140)&gt;=1,1,0)</f>
        <v>0</v>
      </c>
      <c r="AJ141" s="538">
        <f>IF(COUNTIF($AG$117:$AG$136,AJ140)&gt;=1,1,0)</f>
        <v>0</v>
      </c>
      <c r="AK141" s="615"/>
      <c r="AL141" s="615"/>
      <c r="AM141" s="615"/>
      <c r="AN141" s="615"/>
      <c r="AO141" s="615"/>
      <c r="AP141" s="615"/>
      <c r="AQ141" s="615"/>
      <c r="AR141" s="615"/>
      <c r="AS141" s="615"/>
      <c r="AT141" s="615"/>
    </row>
    <row r="142" spans="1:47" hidden="1" outlineLevel="1" x14ac:dyDescent="0.2">
      <c r="A142" s="125"/>
      <c r="B142" s="125"/>
      <c r="C142" s="125"/>
      <c r="D142" s="125"/>
      <c r="E142" s="712"/>
      <c r="F142" s="712"/>
      <c r="G142" s="712"/>
      <c r="H142" s="712"/>
      <c r="I142" s="615"/>
      <c r="J142" s="827" t="s">
        <v>138</v>
      </c>
      <c r="K142" s="827"/>
      <c r="L142" s="827"/>
      <c r="M142" s="836" t="s">
        <v>127</v>
      </c>
      <c r="N142" s="836"/>
      <c r="O142" s="836"/>
      <c r="P142" s="836"/>
      <c r="Q142" s="836"/>
      <c r="R142" s="836"/>
      <c r="T142" s="615"/>
      <c r="U142" s="615"/>
      <c r="V142" s="615"/>
      <c r="W142" s="125"/>
      <c r="X142" s="125"/>
      <c r="Y142" s="615"/>
      <c r="Z142" s="615"/>
      <c r="AA142" s="615"/>
      <c r="AB142" s="615"/>
      <c r="AC142" s="615"/>
      <c r="AD142" s="615"/>
      <c r="AE142" s="615"/>
      <c r="AF142" s="615"/>
      <c r="AG142" s="615"/>
      <c r="AH142" s="615"/>
      <c r="AI142" s="615"/>
      <c r="AJ142" s="615"/>
      <c r="AK142" s="615"/>
      <c r="AL142" s="615"/>
      <c r="AM142" s="615"/>
      <c r="AN142" s="615"/>
      <c r="AO142" s="615"/>
      <c r="AP142" s="615"/>
      <c r="AQ142" s="615"/>
      <c r="AR142" s="615"/>
      <c r="AS142" s="615"/>
      <c r="AT142" s="615"/>
    </row>
    <row r="143" spans="1:47" ht="25.5" hidden="1" outlineLevel="1" x14ac:dyDescent="0.2">
      <c r="A143" s="125"/>
      <c r="B143" s="125"/>
      <c r="C143" s="125"/>
      <c r="D143" s="125"/>
      <c r="E143" s="82" t="s">
        <v>814</v>
      </c>
      <c r="F143" s="827" t="s">
        <v>852</v>
      </c>
      <c r="G143" s="850"/>
      <c r="H143" s="850"/>
      <c r="I143" s="568" t="str">
        <f>IF(ScriptSplit=2,"Percentage of current scripts","")</f>
        <v/>
      </c>
      <c r="J143" s="567" t="s">
        <v>321</v>
      </c>
      <c r="K143" s="567" t="s">
        <v>855</v>
      </c>
      <c r="L143" s="567" t="s">
        <v>127</v>
      </c>
      <c r="M143" s="540">
        <f>FirstYear</f>
        <v>2021</v>
      </c>
      <c r="N143" s="540">
        <f>M143+1</f>
        <v>2022</v>
      </c>
      <c r="O143" s="540">
        <f>N143+1</f>
        <v>2023</v>
      </c>
      <c r="P143" s="540">
        <f>O143+1</f>
        <v>2024</v>
      </c>
      <c r="Q143" s="540">
        <f>P143+1</f>
        <v>2025</v>
      </c>
      <c r="R143" s="540">
        <f>Q143+1</f>
        <v>2026</v>
      </c>
      <c r="S143" s="523" t="s">
        <v>756</v>
      </c>
      <c r="T143" s="690"/>
      <c r="U143" s="690"/>
      <c r="V143" s="690"/>
      <c r="W143" s="125"/>
      <c r="X143" s="125"/>
      <c r="Y143" s="615"/>
      <c r="Z143" s="615"/>
      <c r="AA143" s="615"/>
      <c r="AB143" s="615"/>
      <c r="AC143" s="615"/>
      <c r="AD143" s="615"/>
      <c r="AE143" s="615"/>
      <c r="AF143" s="227" t="s">
        <v>279</v>
      </c>
      <c r="AG143" s="230" t="s">
        <v>291</v>
      </c>
      <c r="AI143" s="852" t="s">
        <v>279</v>
      </c>
      <c r="AJ143" s="853"/>
      <c r="AK143" s="853"/>
      <c r="AL143" s="854"/>
      <c r="AM143" s="230" t="s">
        <v>774</v>
      </c>
      <c r="AN143" s="615"/>
      <c r="AO143" s="615"/>
      <c r="AP143" s="615"/>
      <c r="AQ143" s="615"/>
      <c r="AR143" s="615"/>
      <c r="AS143" s="615"/>
      <c r="AT143" s="615"/>
    </row>
    <row r="144" spans="1:47" hidden="1" outlineLevel="1" x14ac:dyDescent="0.2">
      <c r="A144" s="125"/>
      <c r="B144" s="242" t="str">
        <f t="shared" ref="B144:B163" si="71">IF(AND(E144="",F144&lt;&gt;""),1,IF(AND(E144&lt;&gt;"",F144=""),2,""))</f>
        <v/>
      </c>
      <c r="C144" s="242" t="str">
        <f t="shared" ref="C144:C163" si="72">IF(AND(E144&lt;&gt;"",F144&lt;&gt;"",OR(ScriptSourceCode=2,ScriptSourceCode=3)),VLOOKUP(E144,NamesOverallChangedCode,2,FALSE),"")</f>
        <v/>
      </c>
      <c r="D144" s="242" t="str">
        <f t="shared" ref="D144:D163" si="73">IF(AND(E144&lt;&gt;"",F144&lt;&gt;"",OR(ScriptSourceCode=2,ScriptSourceCode=3)),VLOOKUP(F144,CoPayBandLink,6,FALSE),"")</f>
        <v/>
      </c>
      <c r="E144" s="478"/>
      <c r="F144" s="845"/>
      <c r="G144" s="846"/>
      <c r="H144" s="846"/>
      <c r="I144" s="570"/>
      <c r="J144" s="542"/>
      <c r="K144" s="542"/>
      <c r="L144" s="479" t="str">
        <f t="shared" ref="L144:L163" si="74">IF(AND(J144&lt;&gt;"",K144&lt;&gt;""),ROUND(K144/J144,2),IF(AF144&lt;&gt;MsgNotUsed,1,""))</f>
        <v/>
      </c>
      <c r="M144" s="56"/>
      <c r="N144" s="56"/>
      <c r="O144" s="56"/>
      <c r="P144" s="56"/>
      <c r="Q144" s="56"/>
      <c r="R144" s="56"/>
      <c r="S144" s="526" t="str">
        <f t="shared" ref="S144:S163" si="75">IF(AF144&lt;&gt;MsgNotUsed,AM144,"")</f>
        <v/>
      </c>
      <c r="T144" s="615"/>
      <c r="U144" s="615"/>
      <c r="V144" s="615"/>
      <c r="W144" s="843" t="str">
        <f t="shared" ref="W144:W163" si="76">IF(B144&lt;&gt;"",MsgError,"")&amp;IF(B144=1,VLOOKUP("NoMS",ErrorMessages,2,FALSE),IF(B144=2,VLOOKUP("NoNew",ErrorMessages,2,FALSE),""))</f>
        <v/>
      </c>
      <c r="X144" s="843"/>
      <c r="Y144" s="843"/>
      <c r="Z144" s="668"/>
      <c r="AA144" s="843" t="str">
        <f t="shared" ref="AA144:AA163" si="77">IF(AND(ScriptSplit=2,E144&lt;&gt;"",SUM(M144:R144)=0),MsgError &amp; VLOOKUP("NoSplit",ErrorMessages,2,FALSE),IF(AT144=1,MsgError &amp; VLOOKUP("SplitErr",ErrorMessages,2,FALSE),""))</f>
        <v/>
      </c>
      <c r="AB144" s="843"/>
      <c r="AC144" s="843"/>
      <c r="AD144" s="668"/>
      <c r="AE144" s="615"/>
      <c r="AF144" s="71" t="str">
        <f t="shared" ref="AF144:AF163" si="78">IF(AND(E144&lt;&gt;"",F144&lt;&gt;"",OR(ScriptSourceCode=2,ScriptSourceCode=3)),CONCATENATE(F144," &lt;= ",E144),MsgNotUsed)</f>
        <v>** NOT USED **</v>
      </c>
      <c r="AG144" s="470" t="str">
        <f t="shared" ref="AG144:AG163" si="79">IF(AF144&lt;&gt;MsgNotUsed,VLOOKUP(F144,TxPhaseNew,2,FALSE),"")</f>
        <v/>
      </c>
      <c r="AI144" s="844" t="str">
        <f t="shared" ref="AI144:AI163" si="80">IF(AF144&lt;&gt;MsgNotUsed,F144,IF(AF117&lt;&gt;MsgNotUsed,AF117,""))</f>
        <v/>
      </c>
      <c r="AJ144" s="844"/>
      <c r="AK144" s="844"/>
      <c r="AL144" s="844"/>
      <c r="AM144" s="242" t="str">
        <f t="shared" ref="AM144:AM163" ca="1" si="81">IF(AF144&lt;&gt;MsgNotUsed,INDEX(CoPayBandMS,C144),IF($AH117&lt;&gt;0,INDEX(PxTxPhase1Adj,$AH117,8),""))</f>
        <v/>
      </c>
      <c r="AN144" s="242">
        <v>1</v>
      </c>
      <c r="AP144" s="569">
        <f t="shared" ref="AP144:AP163" si="82">IFERROR(IF(ScriptSplit=2,$I144,1) *$L144,0)</f>
        <v>0</v>
      </c>
      <c r="AR144" s="242">
        <v>1</v>
      </c>
      <c r="AS144" s="71">
        <f>SUMPRODUCT(($C$144:$C$163=AR144)*($M$144:$R$163))</f>
        <v>0</v>
      </c>
      <c r="AT144" s="71">
        <f>IF(OR(AS144=6,AS144=0),0,1)</f>
        <v>0</v>
      </c>
    </row>
    <row r="145" spans="1:46" hidden="1" outlineLevel="1" x14ac:dyDescent="0.2">
      <c r="A145" s="125"/>
      <c r="B145" s="242" t="str">
        <f t="shared" si="71"/>
        <v/>
      </c>
      <c r="C145" s="242" t="str">
        <f t="shared" si="72"/>
        <v/>
      </c>
      <c r="D145" s="242" t="str">
        <f t="shared" si="73"/>
        <v/>
      </c>
      <c r="E145" s="478"/>
      <c r="F145" s="845"/>
      <c r="G145" s="846"/>
      <c r="H145" s="846"/>
      <c r="I145" s="570"/>
      <c r="J145" s="543"/>
      <c r="K145" s="543"/>
      <c r="L145" s="479" t="str">
        <f t="shared" si="74"/>
        <v/>
      </c>
      <c r="M145" s="56"/>
      <c r="N145" s="56"/>
      <c r="O145" s="56"/>
      <c r="P145" s="56"/>
      <c r="Q145" s="56"/>
      <c r="R145" s="56"/>
      <c r="S145" s="526" t="str">
        <f t="shared" si="75"/>
        <v/>
      </c>
      <c r="T145" s="615"/>
      <c r="U145" s="615"/>
      <c r="V145" s="615"/>
      <c r="W145" s="843" t="str">
        <f t="shared" si="76"/>
        <v/>
      </c>
      <c r="X145" s="843"/>
      <c r="Y145" s="843"/>
      <c r="Z145" s="668"/>
      <c r="AA145" s="843" t="str">
        <f t="shared" si="77"/>
        <v/>
      </c>
      <c r="AB145" s="843"/>
      <c r="AC145" s="843"/>
      <c r="AD145" s="668"/>
      <c r="AE145" s="615"/>
      <c r="AF145" s="71" t="str">
        <f t="shared" si="78"/>
        <v>** NOT USED **</v>
      </c>
      <c r="AG145" s="470" t="str">
        <f t="shared" si="79"/>
        <v/>
      </c>
      <c r="AI145" s="844" t="str">
        <f t="shared" si="80"/>
        <v/>
      </c>
      <c r="AJ145" s="844"/>
      <c r="AK145" s="844"/>
      <c r="AL145" s="844"/>
      <c r="AM145" s="242" t="str">
        <f t="shared" ca="1" si="81"/>
        <v/>
      </c>
      <c r="AN145" s="242">
        <v>2</v>
      </c>
      <c r="AP145" s="569">
        <f t="shared" si="82"/>
        <v>0</v>
      </c>
      <c r="AR145" s="242">
        <v>2</v>
      </c>
      <c r="AS145" s="71">
        <f t="shared" ref="AS145:AS163" si="83">SUMPRODUCT(($C$144:$C$163=AR145)*($M$144:$R$163))</f>
        <v>0</v>
      </c>
      <c r="AT145" s="71">
        <f t="shared" ref="AT145:AT163" si="84">IF(OR(AS145=6,AS145=0),0,1)</f>
        <v>0</v>
      </c>
    </row>
    <row r="146" spans="1:46" hidden="1" outlineLevel="1" x14ac:dyDescent="0.2">
      <c r="A146" s="125"/>
      <c r="B146" s="242" t="str">
        <f t="shared" si="71"/>
        <v/>
      </c>
      <c r="C146" s="242" t="str">
        <f t="shared" si="72"/>
        <v/>
      </c>
      <c r="D146" s="242" t="str">
        <f t="shared" si="73"/>
        <v/>
      </c>
      <c r="E146" s="478"/>
      <c r="F146" s="845"/>
      <c r="G146" s="846"/>
      <c r="H146" s="846"/>
      <c r="I146" s="570"/>
      <c r="J146" s="543"/>
      <c r="K146" s="543"/>
      <c r="L146" s="479" t="str">
        <f t="shared" si="74"/>
        <v/>
      </c>
      <c r="M146" s="56"/>
      <c r="N146" s="56"/>
      <c r="O146" s="56"/>
      <c r="P146" s="56"/>
      <c r="Q146" s="56"/>
      <c r="R146" s="56"/>
      <c r="S146" s="526" t="str">
        <f t="shared" si="75"/>
        <v/>
      </c>
      <c r="T146" s="615"/>
      <c r="U146" s="615"/>
      <c r="V146" s="615"/>
      <c r="W146" s="843" t="str">
        <f t="shared" si="76"/>
        <v/>
      </c>
      <c r="X146" s="843"/>
      <c r="Y146" s="843"/>
      <c r="Z146" s="668"/>
      <c r="AA146" s="843" t="str">
        <f t="shared" si="77"/>
        <v/>
      </c>
      <c r="AB146" s="843"/>
      <c r="AC146" s="843"/>
      <c r="AD146" s="668"/>
      <c r="AE146" s="615"/>
      <c r="AF146" s="71" t="str">
        <f t="shared" si="78"/>
        <v>** NOT USED **</v>
      </c>
      <c r="AG146" s="470" t="str">
        <f t="shared" si="79"/>
        <v/>
      </c>
      <c r="AI146" s="844" t="str">
        <f t="shared" si="80"/>
        <v/>
      </c>
      <c r="AJ146" s="844"/>
      <c r="AK146" s="844"/>
      <c r="AL146" s="844"/>
      <c r="AM146" s="242" t="str">
        <f t="shared" ca="1" si="81"/>
        <v/>
      </c>
      <c r="AN146" s="242">
        <v>3</v>
      </c>
      <c r="AP146" s="569">
        <f t="shared" si="82"/>
        <v>0</v>
      </c>
      <c r="AR146" s="242">
        <v>3</v>
      </c>
      <c r="AS146" s="71">
        <f t="shared" si="83"/>
        <v>0</v>
      </c>
      <c r="AT146" s="71">
        <f t="shared" si="84"/>
        <v>0</v>
      </c>
    </row>
    <row r="147" spans="1:46" hidden="1" outlineLevel="1" x14ac:dyDescent="0.2">
      <c r="A147" s="125"/>
      <c r="B147" s="242" t="str">
        <f t="shared" si="71"/>
        <v/>
      </c>
      <c r="C147" s="242" t="str">
        <f t="shared" si="72"/>
        <v/>
      </c>
      <c r="D147" s="242" t="str">
        <f t="shared" si="73"/>
        <v/>
      </c>
      <c r="E147" s="478"/>
      <c r="F147" s="845"/>
      <c r="G147" s="846"/>
      <c r="H147" s="846"/>
      <c r="I147" s="570"/>
      <c r="J147" s="543"/>
      <c r="K147" s="543"/>
      <c r="L147" s="479" t="str">
        <f t="shared" si="74"/>
        <v/>
      </c>
      <c r="M147" s="56"/>
      <c r="N147" s="56"/>
      <c r="O147" s="56"/>
      <c r="P147" s="56"/>
      <c r="Q147" s="56"/>
      <c r="R147" s="56"/>
      <c r="S147" s="526" t="str">
        <f t="shared" si="75"/>
        <v/>
      </c>
      <c r="T147" s="615"/>
      <c r="U147" s="615"/>
      <c r="V147" s="615"/>
      <c r="W147" s="843" t="str">
        <f t="shared" si="76"/>
        <v/>
      </c>
      <c r="X147" s="843"/>
      <c r="Y147" s="843"/>
      <c r="Z147" s="668"/>
      <c r="AA147" s="843" t="str">
        <f t="shared" si="77"/>
        <v/>
      </c>
      <c r="AB147" s="843"/>
      <c r="AC147" s="843"/>
      <c r="AD147" s="668"/>
      <c r="AE147" s="615"/>
      <c r="AF147" s="71" t="str">
        <f t="shared" si="78"/>
        <v>** NOT USED **</v>
      </c>
      <c r="AG147" s="470" t="str">
        <f t="shared" si="79"/>
        <v/>
      </c>
      <c r="AI147" s="844" t="str">
        <f t="shared" si="80"/>
        <v/>
      </c>
      <c r="AJ147" s="844"/>
      <c r="AK147" s="844"/>
      <c r="AL147" s="844"/>
      <c r="AM147" s="242" t="str">
        <f t="shared" ca="1" si="81"/>
        <v/>
      </c>
      <c r="AN147" s="242">
        <v>4</v>
      </c>
      <c r="AP147" s="569">
        <f t="shared" si="82"/>
        <v>0</v>
      </c>
      <c r="AR147" s="242">
        <v>4</v>
      </c>
      <c r="AS147" s="71">
        <f t="shared" si="83"/>
        <v>0</v>
      </c>
      <c r="AT147" s="71">
        <f t="shared" si="84"/>
        <v>0</v>
      </c>
    </row>
    <row r="148" spans="1:46" hidden="1" outlineLevel="1" x14ac:dyDescent="0.2">
      <c r="A148" s="125"/>
      <c r="B148" s="242" t="str">
        <f t="shared" si="71"/>
        <v/>
      </c>
      <c r="C148" s="242" t="str">
        <f t="shared" si="72"/>
        <v/>
      </c>
      <c r="D148" s="242" t="str">
        <f t="shared" si="73"/>
        <v/>
      </c>
      <c r="E148" s="478"/>
      <c r="F148" s="845"/>
      <c r="G148" s="846"/>
      <c r="H148" s="846"/>
      <c r="I148" s="570"/>
      <c r="J148" s="543"/>
      <c r="K148" s="543"/>
      <c r="L148" s="479" t="str">
        <f t="shared" si="74"/>
        <v/>
      </c>
      <c r="M148" s="56"/>
      <c r="N148" s="56"/>
      <c r="O148" s="56"/>
      <c r="P148" s="56"/>
      <c r="Q148" s="56"/>
      <c r="R148" s="56"/>
      <c r="S148" s="526" t="str">
        <f t="shared" si="75"/>
        <v/>
      </c>
      <c r="T148" s="615"/>
      <c r="U148" s="615"/>
      <c r="V148" s="615"/>
      <c r="W148" s="843" t="str">
        <f t="shared" si="76"/>
        <v/>
      </c>
      <c r="X148" s="843"/>
      <c r="Y148" s="843"/>
      <c r="Z148" s="668"/>
      <c r="AA148" s="843" t="str">
        <f t="shared" si="77"/>
        <v/>
      </c>
      <c r="AB148" s="843"/>
      <c r="AC148" s="843"/>
      <c r="AD148" s="668"/>
      <c r="AE148" s="615"/>
      <c r="AF148" s="71" t="str">
        <f t="shared" si="78"/>
        <v>** NOT USED **</v>
      </c>
      <c r="AG148" s="470" t="str">
        <f t="shared" si="79"/>
        <v/>
      </c>
      <c r="AI148" s="844" t="str">
        <f t="shared" si="80"/>
        <v/>
      </c>
      <c r="AJ148" s="844"/>
      <c r="AK148" s="844"/>
      <c r="AL148" s="844"/>
      <c r="AM148" s="242" t="str">
        <f t="shared" ca="1" si="81"/>
        <v/>
      </c>
      <c r="AN148" s="242">
        <v>5</v>
      </c>
      <c r="AP148" s="569">
        <f t="shared" si="82"/>
        <v>0</v>
      </c>
      <c r="AR148" s="242">
        <v>5</v>
      </c>
      <c r="AS148" s="71">
        <f t="shared" si="83"/>
        <v>0</v>
      </c>
      <c r="AT148" s="71">
        <f t="shared" si="84"/>
        <v>0</v>
      </c>
    </row>
    <row r="149" spans="1:46" hidden="1" outlineLevel="1" x14ac:dyDescent="0.2">
      <c r="A149" s="125"/>
      <c r="B149" s="242" t="str">
        <f t="shared" si="71"/>
        <v/>
      </c>
      <c r="C149" s="242" t="str">
        <f t="shared" si="72"/>
        <v/>
      </c>
      <c r="D149" s="242" t="str">
        <f t="shared" si="73"/>
        <v/>
      </c>
      <c r="E149" s="478"/>
      <c r="F149" s="845"/>
      <c r="G149" s="846"/>
      <c r="H149" s="846"/>
      <c r="I149" s="570"/>
      <c r="J149" s="543"/>
      <c r="K149" s="543"/>
      <c r="L149" s="479" t="str">
        <f t="shared" si="74"/>
        <v/>
      </c>
      <c r="M149" s="56"/>
      <c r="N149" s="56"/>
      <c r="O149" s="56"/>
      <c r="P149" s="56"/>
      <c r="Q149" s="56"/>
      <c r="R149" s="56"/>
      <c r="S149" s="526" t="str">
        <f t="shared" si="75"/>
        <v/>
      </c>
      <c r="T149" s="615"/>
      <c r="U149" s="615"/>
      <c r="V149" s="615"/>
      <c r="W149" s="843" t="str">
        <f t="shared" si="76"/>
        <v/>
      </c>
      <c r="X149" s="843"/>
      <c r="Y149" s="843"/>
      <c r="Z149" s="668"/>
      <c r="AA149" s="843" t="str">
        <f t="shared" si="77"/>
        <v/>
      </c>
      <c r="AB149" s="843"/>
      <c r="AC149" s="843"/>
      <c r="AD149" s="668"/>
      <c r="AE149" s="615"/>
      <c r="AF149" s="71" t="str">
        <f t="shared" si="78"/>
        <v>** NOT USED **</v>
      </c>
      <c r="AG149" s="470" t="str">
        <f t="shared" si="79"/>
        <v/>
      </c>
      <c r="AI149" s="844" t="str">
        <f t="shared" si="80"/>
        <v/>
      </c>
      <c r="AJ149" s="844"/>
      <c r="AK149" s="844"/>
      <c r="AL149" s="844"/>
      <c r="AM149" s="242" t="str">
        <f t="shared" ca="1" si="81"/>
        <v/>
      </c>
      <c r="AN149" s="242">
        <v>6</v>
      </c>
      <c r="AP149" s="569">
        <f t="shared" si="82"/>
        <v>0</v>
      </c>
      <c r="AR149" s="242">
        <v>6</v>
      </c>
      <c r="AS149" s="71">
        <f t="shared" si="83"/>
        <v>0</v>
      </c>
      <c r="AT149" s="71">
        <f t="shared" si="84"/>
        <v>0</v>
      </c>
    </row>
    <row r="150" spans="1:46" hidden="1" outlineLevel="1" x14ac:dyDescent="0.2">
      <c r="A150" s="125"/>
      <c r="B150" s="242" t="str">
        <f t="shared" si="71"/>
        <v/>
      </c>
      <c r="C150" s="242" t="str">
        <f t="shared" si="72"/>
        <v/>
      </c>
      <c r="D150" s="242" t="str">
        <f t="shared" si="73"/>
        <v/>
      </c>
      <c r="E150" s="478"/>
      <c r="F150" s="845"/>
      <c r="G150" s="846"/>
      <c r="H150" s="846"/>
      <c r="I150" s="570"/>
      <c r="J150" s="543"/>
      <c r="K150" s="543"/>
      <c r="L150" s="479" t="str">
        <f t="shared" si="74"/>
        <v/>
      </c>
      <c r="M150" s="56"/>
      <c r="N150" s="56"/>
      <c r="O150" s="56"/>
      <c r="P150" s="56"/>
      <c r="Q150" s="56"/>
      <c r="R150" s="56"/>
      <c r="S150" s="526" t="str">
        <f t="shared" si="75"/>
        <v/>
      </c>
      <c r="T150" s="615"/>
      <c r="U150" s="615"/>
      <c r="V150" s="615"/>
      <c r="W150" s="843" t="str">
        <f t="shared" si="76"/>
        <v/>
      </c>
      <c r="X150" s="843"/>
      <c r="Y150" s="843"/>
      <c r="Z150" s="668"/>
      <c r="AA150" s="843" t="str">
        <f t="shared" si="77"/>
        <v/>
      </c>
      <c r="AB150" s="843"/>
      <c r="AC150" s="843"/>
      <c r="AD150" s="668"/>
      <c r="AE150" s="615"/>
      <c r="AF150" s="71" t="str">
        <f t="shared" si="78"/>
        <v>** NOT USED **</v>
      </c>
      <c r="AG150" s="470" t="str">
        <f t="shared" si="79"/>
        <v/>
      </c>
      <c r="AI150" s="844" t="str">
        <f t="shared" si="80"/>
        <v/>
      </c>
      <c r="AJ150" s="844"/>
      <c r="AK150" s="844"/>
      <c r="AL150" s="844"/>
      <c r="AM150" s="242" t="str">
        <f t="shared" ca="1" si="81"/>
        <v/>
      </c>
      <c r="AN150" s="242">
        <v>7</v>
      </c>
      <c r="AP150" s="569">
        <f t="shared" si="82"/>
        <v>0</v>
      </c>
      <c r="AR150" s="242">
        <v>7</v>
      </c>
      <c r="AS150" s="71">
        <f t="shared" si="83"/>
        <v>0</v>
      </c>
      <c r="AT150" s="71">
        <f t="shared" si="84"/>
        <v>0</v>
      </c>
    </row>
    <row r="151" spans="1:46" hidden="1" outlineLevel="1" x14ac:dyDescent="0.2">
      <c r="A151" s="125"/>
      <c r="B151" s="242" t="str">
        <f t="shared" si="71"/>
        <v/>
      </c>
      <c r="C151" s="242" t="str">
        <f t="shared" si="72"/>
        <v/>
      </c>
      <c r="D151" s="242" t="str">
        <f t="shared" si="73"/>
        <v/>
      </c>
      <c r="E151" s="478"/>
      <c r="F151" s="845"/>
      <c r="G151" s="846"/>
      <c r="H151" s="846"/>
      <c r="I151" s="570"/>
      <c r="J151" s="543"/>
      <c r="K151" s="543"/>
      <c r="L151" s="479" t="str">
        <f t="shared" si="74"/>
        <v/>
      </c>
      <c r="M151" s="56"/>
      <c r="N151" s="56"/>
      <c r="O151" s="56"/>
      <c r="P151" s="56"/>
      <c r="Q151" s="56"/>
      <c r="R151" s="56"/>
      <c r="S151" s="526" t="str">
        <f t="shared" si="75"/>
        <v/>
      </c>
      <c r="T151" s="615"/>
      <c r="U151" s="615"/>
      <c r="V151" s="615"/>
      <c r="W151" s="843" t="str">
        <f t="shared" si="76"/>
        <v/>
      </c>
      <c r="X151" s="843"/>
      <c r="Y151" s="843"/>
      <c r="Z151" s="668"/>
      <c r="AA151" s="843" t="str">
        <f t="shared" si="77"/>
        <v/>
      </c>
      <c r="AB151" s="843"/>
      <c r="AC151" s="843"/>
      <c r="AD151" s="668"/>
      <c r="AE151" s="615"/>
      <c r="AF151" s="71" t="str">
        <f t="shared" si="78"/>
        <v>** NOT USED **</v>
      </c>
      <c r="AG151" s="470" t="str">
        <f t="shared" si="79"/>
        <v/>
      </c>
      <c r="AI151" s="844" t="str">
        <f t="shared" si="80"/>
        <v/>
      </c>
      <c r="AJ151" s="844"/>
      <c r="AK151" s="844"/>
      <c r="AL151" s="844"/>
      <c r="AM151" s="242" t="str">
        <f t="shared" ca="1" si="81"/>
        <v/>
      </c>
      <c r="AN151" s="242">
        <v>8</v>
      </c>
      <c r="AP151" s="569">
        <f t="shared" si="82"/>
        <v>0</v>
      </c>
      <c r="AR151" s="242">
        <v>8</v>
      </c>
      <c r="AS151" s="71">
        <f t="shared" si="83"/>
        <v>0</v>
      </c>
      <c r="AT151" s="71">
        <f t="shared" si="84"/>
        <v>0</v>
      </c>
    </row>
    <row r="152" spans="1:46" hidden="1" outlineLevel="1" x14ac:dyDescent="0.2">
      <c r="A152" s="125"/>
      <c r="B152" s="242" t="str">
        <f t="shared" si="71"/>
        <v/>
      </c>
      <c r="C152" s="242" t="str">
        <f t="shared" si="72"/>
        <v/>
      </c>
      <c r="D152" s="242" t="str">
        <f t="shared" si="73"/>
        <v/>
      </c>
      <c r="E152" s="478"/>
      <c r="F152" s="845"/>
      <c r="G152" s="846"/>
      <c r="H152" s="846"/>
      <c r="I152" s="570"/>
      <c r="J152" s="543"/>
      <c r="K152" s="543"/>
      <c r="L152" s="479" t="str">
        <f t="shared" si="74"/>
        <v/>
      </c>
      <c r="M152" s="56"/>
      <c r="N152" s="56"/>
      <c r="O152" s="56"/>
      <c r="P152" s="56"/>
      <c r="Q152" s="56"/>
      <c r="R152" s="56"/>
      <c r="S152" s="526" t="str">
        <f t="shared" si="75"/>
        <v/>
      </c>
      <c r="T152" s="615"/>
      <c r="U152" s="615"/>
      <c r="V152" s="615"/>
      <c r="W152" s="843" t="str">
        <f t="shared" si="76"/>
        <v/>
      </c>
      <c r="X152" s="843"/>
      <c r="Y152" s="843"/>
      <c r="Z152" s="668"/>
      <c r="AA152" s="843" t="str">
        <f t="shared" si="77"/>
        <v/>
      </c>
      <c r="AB152" s="843"/>
      <c r="AC152" s="843"/>
      <c r="AD152" s="668"/>
      <c r="AE152" s="615"/>
      <c r="AF152" s="71" t="str">
        <f t="shared" si="78"/>
        <v>** NOT USED **</v>
      </c>
      <c r="AG152" s="470" t="str">
        <f t="shared" si="79"/>
        <v/>
      </c>
      <c r="AI152" s="844" t="str">
        <f t="shared" si="80"/>
        <v/>
      </c>
      <c r="AJ152" s="844"/>
      <c r="AK152" s="844"/>
      <c r="AL152" s="844"/>
      <c r="AM152" s="242" t="str">
        <f t="shared" ca="1" si="81"/>
        <v/>
      </c>
      <c r="AN152" s="242">
        <v>9</v>
      </c>
      <c r="AP152" s="569">
        <f t="shared" si="82"/>
        <v>0</v>
      </c>
      <c r="AR152" s="242">
        <v>9</v>
      </c>
      <c r="AS152" s="71">
        <f t="shared" si="83"/>
        <v>0</v>
      </c>
      <c r="AT152" s="71">
        <f t="shared" si="84"/>
        <v>0</v>
      </c>
    </row>
    <row r="153" spans="1:46" hidden="1" outlineLevel="1" x14ac:dyDescent="0.2">
      <c r="A153" s="125"/>
      <c r="B153" s="242" t="str">
        <f t="shared" si="71"/>
        <v/>
      </c>
      <c r="C153" s="242" t="str">
        <f t="shared" si="72"/>
        <v/>
      </c>
      <c r="D153" s="242" t="str">
        <f t="shared" si="73"/>
        <v/>
      </c>
      <c r="E153" s="478"/>
      <c r="F153" s="845"/>
      <c r="G153" s="846"/>
      <c r="H153" s="846"/>
      <c r="I153" s="570"/>
      <c r="J153" s="543"/>
      <c r="K153" s="543"/>
      <c r="L153" s="479" t="str">
        <f t="shared" si="74"/>
        <v/>
      </c>
      <c r="M153" s="56"/>
      <c r="N153" s="56"/>
      <c r="O153" s="56"/>
      <c r="P153" s="56"/>
      <c r="Q153" s="56"/>
      <c r="R153" s="56"/>
      <c r="S153" s="526" t="str">
        <f t="shared" si="75"/>
        <v/>
      </c>
      <c r="T153" s="615"/>
      <c r="U153" s="615"/>
      <c r="V153" s="615"/>
      <c r="W153" s="843" t="str">
        <f t="shared" si="76"/>
        <v/>
      </c>
      <c r="X153" s="843"/>
      <c r="Y153" s="843"/>
      <c r="Z153" s="668"/>
      <c r="AA153" s="843" t="str">
        <f t="shared" si="77"/>
        <v/>
      </c>
      <c r="AB153" s="843"/>
      <c r="AC153" s="843"/>
      <c r="AD153" s="668"/>
      <c r="AE153" s="615"/>
      <c r="AF153" s="71" t="str">
        <f t="shared" si="78"/>
        <v>** NOT USED **</v>
      </c>
      <c r="AG153" s="470" t="str">
        <f t="shared" si="79"/>
        <v/>
      </c>
      <c r="AI153" s="844" t="str">
        <f t="shared" si="80"/>
        <v/>
      </c>
      <c r="AJ153" s="844"/>
      <c r="AK153" s="844"/>
      <c r="AL153" s="844"/>
      <c r="AM153" s="242" t="str">
        <f t="shared" ca="1" si="81"/>
        <v/>
      </c>
      <c r="AN153" s="242">
        <v>10</v>
      </c>
      <c r="AP153" s="569">
        <f t="shared" si="82"/>
        <v>0</v>
      </c>
      <c r="AR153" s="242">
        <v>10</v>
      </c>
      <c r="AS153" s="71">
        <f t="shared" si="83"/>
        <v>0</v>
      </c>
      <c r="AT153" s="71">
        <f t="shared" si="84"/>
        <v>0</v>
      </c>
    </row>
    <row r="154" spans="1:46" hidden="1" outlineLevel="1" x14ac:dyDescent="0.2">
      <c r="A154" s="125"/>
      <c r="B154" s="242" t="str">
        <f t="shared" si="71"/>
        <v/>
      </c>
      <c r="C154" s="242" t="str">
        <f t="shared" si="72"/>
        <v/>
      </c>
      <c r="D154" s="242" t="str">
        <f t="shared" si="73"/>
        <v/>
      </c>
      <c r="E154" s="478"/>
      <c r="F154" s="845"/>
      <c r="G154" s="846"/>
      <c r="H154" s="846"/>
      <c r="I154" s="570"/>
      <c r="J154" s="543"/>
      <c r="K154" s="543"/>
      <c r="L154" s="479" t="str">
        <f t="shared" si="74"/>
        <v/>
      </c>
      <c r="M154" s="56"/>
      <c r="N154" s="56"/>
      <c r="O154" s="56"/>
      <c r="P154" s="56"/>
      <c r="Q154" s="56"/>
      <c r="R154" s="56"/>
      <c r="S154" s="526" t="str">
        <f t="shared" si="75"/>
        <v/>
      </c>
      <c r="T154" s="615"/>
      <c r="U154" s="615"/>
      <c r="V154" s="615"/>
      <c r="W154" s="843" t="str">
        <f t="shared" si="76"/>
        <v/>
      </c>
      <c r="X154" s="843"/>
      <c r="Y154" s="843"/>
      <c r="Z154" s="668"/>
      <c r="AA154" s="843" t="str">
        <f t="shared" si="77"/>
        <v/>
      </c>
      <c r="AB154" s="843"/>
      <c r="AC154" s="843"/>
      <c r="AD154" s="668"/>
      <c r="AE154" s="615"/>
      <c r="AF154" s="71" t="str">
        <f t="shared" si="78"/>
        <v>** NOT USED **</v>
      </c>
      <c r="AG154" s="470" t="str">
        <f t="shared" si="79"/>
        <v/>
      </c>
      <c r="AI154" s="844" t="str">
        <f t="shared" si="80"/>
        <v/>
      </c>
      <c r="AJ154" s="844"/>
      <c r="AK154" s="844"/>
      <c r="AL154" s="844"/>
      <c r="AM154" s="242" t="str">
        <f t="shared" ca="1" si="81"/>
        <v/>
      </c>
      <c r="AN154" s="242">
        <v>11</v>
      </c>
      <c r="AP154" s="569">
        <f t="shared" si="82"/>
        <v>0</v>
      </c>
      <c r="AR154" s="242">
        <v>11</v>
      </c>
      <c r="AS154" s="71">
        <f t="shared" si="83"/>
        <v>0</v>
      </c>
      <c r="AT154" s="71">
        <f t="shared" si="84"/>
        <v>0</v>
      </c>
    </row>
    <row r="155" spans="1:46" hidden="1" outlineLevel="1" x14ac:dyDescent="0.2">
      <c r="A155" s="125"/>
      <c r="B155" s="242" t="str">
        <f t="shared" si="71"/>
        <v/>
      </c>
      <c r="C155" s="242" t="str">
        <f t="shared" si="72"/>
        <v/>
      </c>
      <c r="D155" s="242" t="str">
        <f t="shared" si="73"/>
        <v/>
      </c>
      <c r="E155" s="478"/>
      <c r="F155" s="845"/>
      <c r="G155" s="846"/>
      <c r="H155" s="846"/>
      <c r="I155" s="570"/>
      <c r="J155" s="543"/>
      <c r="K155" s="543"/>
      <c r="L155" s="479" t="str">
        <f t="shared" si="74"/>
        <v/>
      </c>
      <c r="M155" s="56"/>
      <c r="N155" s="56"/>
      <c r="O155" s="56"/>
      <c r="P155" s="56"/>
      <c r="Q155" s="56"/>
      <c r="R155" s="56"/>
      <c r="S155" s="526" t="str">
        <f t="shared" si="75"/>
        <v/>
      </c>
      <c r="T155" s="615"/>
      <c r="U155" s="615"/>
      <c r="V155" s="615"/>
      <c r="W155" s="843" t="str">
        <f t="shared" si="76"/>
        <v/>
      </c>
      <c r="X155" s="843"/>
      <c r="Y155" s="843"/>
      <c r="Z155" s="668"/>
      <c r="AA155" s="843" t="str">
        <f t="shared" si="77"/>
        <v/>
      </c>
      <c r="AB155" s="843"/>
      <c r="AC155" s="843"/>
      <c r="AD155" s="668"/>
      <c r="AE155" s="615"/>
      <c r="AF155" s="71" t="str">
        <f t="shared" si="78"/>
        <v>** NOT USED **</v>
      </c>
      <c r="AG155" s="470" t="str">
        <f t="shared" si="79"/>
        <v/>
      </c>
      <c r="AI155" s="844" t="str">
        <f t="shared" si="80"/>
        <v/>
      </c>
      <c r="AJ155" s="844"/>
      <c r="AK155" s="844"/>
      <c r="AL155" s="844"/>
      <c r="AM155" s="242" t="str">
        <f t="shared" ca="1" si="81"/>
        <v/>
      </c>
      <c r="AN155" s="242">
        <v>12</v>
      </c>
      <c r="AP155" s="569">
        <f t="shared" si="82"/>
        <v>0</v>
      </c>
      <c r="AR155" s="242">
        <v>12</v>
      </c>
      <c r="AS155" s="71">
        <f t="shared" si="83"/>
        <v>0</v>
      </c>
      <c r="AT155" s="71">
        <f t="shared" si="84"/>
        <v>0</v>
      </c>
    </row>
    <row r="156" spans="1:46" hidden="1" outlineLevel="1" x14ac:dyDescent="0.2">
      <c r="A156" s="125"/>
      <c r="B156" s="242" t="str">
        <f t="shared" si="71"/>
        <v/>
      </c>
      <c r="C156" s="242" t="str">
        <f t="shared" si="72"/>
        <v/>
      </c>
      <c r="D156" s="242" t="str">
        <f t="shared" si="73"/>
        <v/>
      </c>
      <c r="E156" s="478"/>
      <c r="F156" s="845"/>
      <c r="G156" s="846"/>
      <c r="H156" s="846"/>
      <c r="I156" s="570"/>
      <c r="J156" s="543"/>
      <c r="K156" s="543"/>
      <c r="L156" s="479" t="str">
        <f t="shared" si="74"/>
        <v/>
      </c>
      <c r="M156" s="56"/>
      <c r="N156" s="56"/>
      <c r="O156" s="56"/>
      <c r="P156" s="56"/>
      <c r="Q156" s="56"/>
      <c r="R156" s="56"/>
      <c r="S156" s="526" t="str">
        <f t="shared" si="75"/>
        <v/>
      </c>
      <c r="T156" s="615"/>
      <c r="U156" s="615"/>
      <c r="V156" s="615"/>
      <c r="W156" s="843" t="str">
        <f t="shared" si="76"/>
        <v/>
      </c>
      <c r="X156" s="843"/>
      <c r="Y156" s="843"/>
      <c r="Z156" s="668"/>
      <c r="AA156" s="843" t="str">
        <f t="shared" si="77"/>
        <v/>
      </c>
      <c r="AB156" s="843"/>
      <c r="AC156" s="843"/>
      <c r="AD156" s="668"/>
      <c r="AE156" s="615"/>
      <c r="AF156" s="71" t="str">
        <f t="shared" si="78"/>
        <v>** NOT USED **</v>
      </c>
      <c r="AG156" s="470" t="str">
        <f t="shared" si="79"/>
        <v/>
      </c>
      <c r="AI156" s="844" t="str">
        <f t="shared" si="80"/>
        <v/>
      </c>
      <c r="AJ156" s="844"/>
      <c r="AK156" s="844"/>
      <c r="AL156" s="844"/>
      <c r="AM156" s="242" t="str">
        <f t="shared" ca="1" si="81"/>
        <v/>
      </c>
      <c r="AN156" s="242">
        <v>13</v>
      </c>
      <c r="AP156" s="569">
        <f t="shared" si="82"/>
        <v>0</v>
      </c>
      <c r="AR156" s="242">
        <v>13</v>
      </c>
      <c r="AS156" s="71">
        <f t="shared" si="83"/>
        <v>0</v>
      </c>
      <c r="AT156" s="71">
        <f t="shared" si="84"/>
        <v>0</v>
      </c>
    </row>
    <row r="157" spans="1:46" hidden="1" outlineLevel="1" x14ac:dyDescent="0.2">
      <c r="A157" s="125"/>
      <c r="B157" s="242" t="str">
        <f t="shared" si="71"/>
        <v/>
      </c>
      <c r="C157" s="242" t="str">
        <f t="shared" si="72"/>
        <v/>
      </c>
      <c r="D157" s="242" t="str">
        <f t="shared" si="73"/>
        <v/>
      </c>
      <c r="E157" s="478"/>
      <c r="F157" s="845"/>
      <c r="G157" s="846"/>
      <c r="H157" s="846"/>
      <c r="I157" s="570"/>
      <c r="J157" s="543"/>
      <c r="K157" s="543"/>
      <c r="L157" s="479" t="str">
        <f t="shared" si="74"/>
        <v/>
      </c>
      <c r="M157" s="56"/>
      <c r="N157" s="56"/>
      <c r="O157" s="56"/>
      <c r="P157" s="56"/>
      <c r="Q157" s="56"/>
      <c r="R157" s="56"/>
      <c r="S157" s="526" t="str">
        <f t="shared" si="75"/>
        <v/>
      </c>
      <c r="T157" s="615"/>
      <c r="U157" s="615"/>
      <c r="V157" s="615"/>
      <c r="W157" s="843" t="str">
        <f t="shared" si="76"/>
        <v/>
      </c>
      <c r="X157" s="843"/>
      <c r="Y157" s="843"/>
      <c r="Z157" s="668"/>
      <c r="AA157" s="843" t="str">
        <f t="shared" si="77"/>
        <v/>
      </c>
      <c r="AB157" s="843"/>
      <c r="AC157" s="843"/>
      <c r="AD157" s="668"/>
      <c r="AE157" s="615"/>
      <c r="AF157" s="71" t="str">
        <f t="shared" si="78"/>
        <v>** NOT USED **</v>
      </c>
      <c r="AG157" s="470" t="str">
        <f t="shared" si="79"/>
        <v/>
      </c>
      <c r="AI157" s="844" t="str">
        <f t="shared" si="80"/>
        <v/>
      </c>
      <c r="AJ157" s="844"/>
      <c r="AK157" s="844"/>
      <c r="AL157" s="844"/>
      <c r="AM157" s="242" t="str">
        <f t="shared" ca="1" si="81"/>
        <v/>
      </c>
      <c r="AN157" s="242">
        <v>14</v>
      </c>
      <c r="AP157" s="569">
        <f t="shared" si="82"/>
        <v>0</v>
      </c>
      <c r="AR157" s="242">
        <v>14</v>
      </c>
      <c r="AS157" s="71">
        <f t="shared" si="83"/>
        <v>0</v>
      </c>
      <c r="AT157" s="71">
        <f t="shared" si="84"/>
        <v>0</v>
      </c>
    </row>
    <row r="158" spans="1:46" hidden="1" outlineLevel="1" x14ac:dyDescent="0.2">
      <c r="A158" s="125"/>
      <c r="B158" s="242" t="str">
        <f t="shared" si="71"/>
        <v/>
      </c>
      <c r="C158" s="242" t="str">
        <f t="shared" si="72"/>
        <v/>
      </c>
      <c r="D158" s="242" t="str">
        <f t="shared" si="73"/>
        <v/>
      </c>
      <c r="E158" s="478"/>
      <c r="F158" s="845"/>
      <c r="G158" s="846"/>
      <c r="H158" s="846"/>
      <c r="I158" s="570"/>
      <c r="J158" s="543"/>
      <c r="K158" s="543"/>
      <c r="L158" s="479" t="str">
        <f t="shared" si="74"/>
        <v/>
      </c>
      <c r="M158" s="56"/>
      <c r="N158" s="56"/>
      <c r="O158" s="56"/>
      <c r="P158" s="56"/>
      <c r="Q158" s="56"/>
      <c r="R158" s="56"/>
      <c r="S158" s="526" t="str">
        <f t="shared" si="75"/>
        <v/>
      </c>
      <c r="T158" s="615"/>
      <c r="U158" s="615"/>
      <c r="V158" s="615"/>
      <c r="W158" s="843" t="str">
        <f t="shared" si="76"/>
        <v/>
      </c>
      <c r="X158" s="843"/>
      <c r="Y158" s="843"/>
      <c r="Z158" s="668"/>
      <c r="AA158" s="843" t="str">
        <f t="shared" si="77"/>
        <v/>
      </c>
      <c r="AB158" s="843"/>
      <c r="AC158" s="843"/>
      <c r="AD158" s="668"/>
      <c r="AE158" s="615"/>
      <c r="AF158" s="71" t="str">
        <f t="shared" si="78"/>
        <v>** NOT USED **</v>
      </c>
      <c r="AG158" s="470" t="str">
        <f t="shared" si="79"/>
        <v/>
      </c>
      <c r="AI158" s="844" t="str">
        <f t="shared" si="80"/>
        <v/>
      </c>
      <c r="AJ158" s="844"/>
      <c r="AK158" s="844"/>
      <c r="AL158" s="844"/>
      <c r="AM158" s="242" t="str">
        <f t="shared" ca="1" si="81"/>
        <v/>
      </c>
      <c r="AN158" s="242">
        <v>15</v>
      </c>
      <c r="AP158" s="569">
        <f t="shared" si="82"/>
        <v>0</v>
      </c>
      <c r="AR158" s="242">
        <v>15</v>
      </c>
      <c r="AS158" s="71">
        <f t="shared" si="83"/>
        <v>0</v>
      </c>
      <c r="AT158" s="71">
        <f t="shared" si="84"/>
        <v>0</v>
      </c>
    </row>
    <row r="159" spans="1:46" hidden="1" outlineLevel="1" x14ac:dyDescent="0.2">
      <c r="A159" s="125"/>
      <c r="B159" s="242" t="str">
        <f t="shared" si="71"/>
        <v/>
      </c>
      <c r="C159" s="242" t="str">
        <f t="shared" si="72"/>
        <v/>
      </c>
      <c r="D159" s="242" t="str">
        <f t="shared" si="73"/>
        <v/>
      </c>
      <c r="E159" s="478"/>
      <c r="F159" s="845"/>
      <c r="G159" s="846"/>
      <c r="H159" s="846"/>
      <c r="I159" s="570"/>
      <c r="J159" s="543"/>
      <c r="K159" s="543"/>
      <c r="L159" s="479" t="str">
        <f t="shared" si="74"/>
        <v/>
      </c>
      <c r="M159" s="56"/>
      <c r="N159" s="56"/>
      <c r="O159" s="56"/>
      <c r="P159" s="56"/>
      <c r="Q159" s="56"/>
      <c r="R159" s="56"/>
      <c r="S159" s="526" t="str">
        <f t="shared" si="75"/>
        <v/>
      </c>
      <c r="T159" s="615"/>
      <c r="U159" s="615"/>
      <c r="V159" s="615"/>
      <c r="W159" s="843" t="str">
        <f t="shared" si="76"/>
        <v/>
      </c>
      <c r="X159" s="843"/>
      <c r="Y159" s="843"/>
      <c r="Z159" s="668"/>
      <c r="AA159" s="843" t="str">
        <f t="shared" si="77"/>
        <v/>
      </c>
      <c r="AB159" s="843"/>
      <c r="AC159" s="843"/>
      <c r="AD159" s="668"/>
      <c r="AE159" s="615"/>
      <c r="AF159" s="71" t="str">
        <f t="shared" si="78"/>
        <v>** NOT USED **</v>
      </c>
      <c r="AG159" s="470" t="str">
        <f t="shared" si="79"/>
        <v/>
      </c>
      <c r="AI159" s="844" t="str">
        <f t="shared" si="80"/>
        <v/>
      </c>
      <c r="AJ159" s="844"/>
      <c r="AK159" s="844"/>
      <c r="AL159" s="844"/>
      <c r="AM159" s="242" t="str">
        <f t="shared" ca="1" si="81"/>
        <v/>
      </c>
      <c r="AN159" s="242">
        <v>16</v>
      </c>
      <c r="AP159" s="569">
        <f t="shared" si="82"/>
        <v>0</v>
      </c>
      <c r="AR159" s="242">
        <v>16</v>
      </c>
      <c r="AS159" s="71">
        <f t="shared" si="83"/>
        <v>0</v>
      </c>
      <c r="AT159" s="71">
        <f t="shared" si="84"/>
        <v>0</v>
      </c>
    </row>
    <row r="160" spans="1:46" hidden="1" outlineLevel="1" x14ac:dyDescent="0.2">
      <c r="A160" s="125"/>
      <c r="B160" s="242" t="str">
        <f t="shared" si="71"/>
        <v/>
      </c>
      <c r="C160" s="242" t="str">
        <f t="shared" si="72"/>
        <v/>
      </c>
      <c r="D160" s="242" t="str">
        <f t="shared" si="73"/>
        <v/>
      </c>
      <c r="E160" s="478"/>
      <c r="F160" s="845"/>
      <c r="G160" s="846"/>
      <c r="H160" s="846"/>
      <c r="I160" s="570"/>
      <c r="J160" s="543"/>
      <c r="K160" s="543"/>
      <c r="L160" s="479" t="str">
        <f t="shared" si="74"/>
        <v/>
      </c>
      <c r="M160" s="56"/>
      <c r="N160" s="56"/>
      <c r="O160" s="56"/>
      <c r="P160" s="56"/>
      <c r="Q160" s="56"/>
      <c r="R160" s="56"/>
      <c r="S160" s="526" t="str">
        <f t="shared" si="75"/>
        <v/>
      </c>
      <c r="T160" s="615"/>
      <c r="U160" s="615"/>
      <c r="V160" s="615"/>
      <c r="W160" s="843" t="str">
        <f t="shared" si="76"/>
        <v/>
      </c>
      <c r="X160" s="843"/>
      <c r="Y160" s="843"/>
      <c r="Z160" s="668"/>
      <c r="AA160" s="843" t="str">
        <f t="shared" si="77"/>
        <v/>
      </c>
      <c r="AB160" s="843"/>
      <c r="AC160" s="843"/>
      <c r="AD160" s="668"/>
      <c r="AE160" s="615"/>
      <c r="AF160" s="71" t="str">
        <f t="shared" si="78"/>
        <v>** NOT USED **</v>
      </c>
      <c r="AG160" s="470" t="str">
        <f t="shared" si="79"/>
        <v/>
      </c>
      <c r="AI160" s="844" t="str">
        <f t="shared" si="80"/>
        <v/>
      </c>
      <c r="AJ160" s="844"/>
      <c r="AK160" s="844"/>
      <c r="AL160" s="844"/>
      <c r="AM160" s="242" t="str">
        <f t="shared" ca="1" si="81"/>
        <v/>
      </c>
      <c r="AN160" s="242">
        <v>17</v>
      </c>
      <c r="AP160" s="569">
        <f t="shared" si="82"/>
        <v>0</v>
      </c>
      <c r="AR160" s="242">
        <v>17</v>
      </c>
      <c r="AS160" s="71">
        <f t="shared" si="83"/>
        <v>0</v>
      </c>
      <c r="AT160" s="71">
        <f t="shared" si="84"/>
        <v>0</v>
      </c>
    </row>
    <row r="161" spans="1:47" hidden="1" outlineLevel="1" x14ac:dyDescent="0.2">
      <c r="A161" s="125"/>
      <c r="B161" s="242" t="str">
        <f t="shared" si="71"/>
        <v/>
      </c>
      <c r="C161" s="242" t="str">
        <f t="shared" si="72"/>
        <v/>
      </c>
      <c r="D161" s="242" t="str">
        <f t="shared" si="73"/>
        <v/>
      </c>
      <c r="E161" s="478"/>
      <c r="F161" s="845"/>
      <c r="G161" s="846"/>
      <c r="H161" s="846"/>
      <c r="I161" s="570"/>
      <c r="J161" s="543"/>
      <c r="K161" s="543"/>
      <c r="L161" s="479" t="str">
        <f t="shared" si="74"/>
        <v/>
      </c>
      <c r="M161" s="56"/>
      <c r="N161" s="56"/>
      <c r="O161" s="56"/>
      <c r="P161" s="56"/>
      <c r="Q161" s="56"/>
      <c r="R161" s="56"/>
      <c r="S161" s="526" t="str">
        <f t="shared" si="75"/>
        <v/>
      </c>
      <c r="T161" s="615"/>
      <c r="U161" s="615"/>
      <c r="V161" s="615"/>
      <c r="W161" s="843" t="str">
        <f t="shared" si="76"/>
        <v/>
      </c>
      <c r="X161" s="843"/>
      <c r="Y161" s="843"/>
      <c r="Z161" s="668"/>
      <c r="AA161" s="843" t="str">
        <f t="shared" si="77"/>
        <v/>
      </c>
      <c r="AB161" s="843"/>
      <c r="AC161" s="843"/>
      <c r="AD161" s="668"/>
      <c r="AE161" s="615"/>
      <c r="AF161" s="71" t="str">
        <f t="shared" si="78"/>
        <v>** NOT USED **</v>
      </c>
      <c r="AG161" s="470" t="str">
        <f t="shared" si="79"/>
        <v/>
      </c>
      <c r="AI161" s="844" t="str">
        <f t="shared" si="80"/>
        <v/>
      </c>
      <c r="AJ161" s="844"/>
      <c r="AK161" s="844"/>
      <c r="AL161" s="844"/>
      <c r="AM161" s="242" t="str">
        <f t="shared" ca="1" si="81"/>
        <v/>
      </c>
      <c r="AN161" s="242">
        <v>18</v>
      </c>
      <c r="AP161" s="569">
        <f t="shared" si="82"/>
        <v>0</v>
      </c>
      <c r="AR161" s="242">
        <v>18</v>
      </c>
      <c r="AS161" s="71">
        <f t="shared" si="83"/>
        <v>0</v>
      </c>
      <c r="AT161" s="71">
        <f t="shared" si="84"/>
        <v>0</v>
      </c>
    </row>
    <row r="162" spans="1:47" hidden="1" outlineLevel="1" x14ac:dyDescent="0.2">
      <c r="A162" s="125"/>
      <c r="B162" s="242" t="str">
        <f t="shared" si="71"/>
        <v/>
      </c>
      <c r="C162" s="242" t="str">
        <f t="shared" si="72"/>
        <v/>
      </c>
      <c r="D162" s="242" t="str">
        <f t="shared" si="73"/>
        <v/>
      </c>
      <c r="E162" s="478"/>
      <c r="F162" s="845"/>
      <c r="G162" s="846"/>
      <c r="H162" s="846"/>
      <c r="I162" s="570"/>
      <c r="J162" s="543"/>
      <c r="K162" s="543"/>
      <c r="L162" s="479" t="str">
        <f t="shared" si="74"/>
        <v/>
      </c>
      <c r="M162" s="56"/>
      <c r="N162" s="56"/>
      <c r="O162" s="56"/>
      <c r="P162" s="56"/>
      <c r="Q162" s="56"/>
      <c r="R162" s="56"/>
      <c r="S162" s="526" t="str">
        <f t="shared" si="75"/>
        <v/>
      </c>
      <c r="T162" s="615"/>
      <c r="U162" s="615"/>
      <c r="V162" s="615"/>
      <c r="W162" s="843" t="str">
        <f t="shared" si="76"/>
        <v/>
      </c>
      <c r="X162" s="843"/>
      <c r="Y162" s="843"/>
      <c r="Z162" s="668"/>
      <c r="AA162" s="843" t="str">
        <f t="shared" si="77"/>
        <v/>
      </c>
      <c r="AB162" s="843"/>
      <c r="AC162" s="843"/>
      <c r="AD162" s="668"/>
      <c r="AE162" s="615"/>
      <c r="AF162" s="71" t="str">
        <f t="shared" si="78"/>
        <v>** NOT USED **</v>
      </c>
      <c r="AG162" s="470" t="str">
        <f t="shared" si="79"/>
        <v/>
      </c>
      <c r="AI162" s="844" t="str">
        <f t="shared" si="80"/>
        <v/>
      </c>
      <c r="AJ162" s="844"/>
      <c r="AK162" s="844"/>
      <c r="AL162" s="844"/>
      <c r="AM162" s="242" t="str">
        <f t="shared" ca="1" si="81"/>
        <v/>
      </c>
      <c r="AN162" s="242">
        <v>19</v>
      </c>
      <c r="AP162" s="569">
        <f t="shared" si="82"/>
        <v>0</v>
      </c>
      <c r="AR162" s="242">
        <v>19</v>
      </c>
      <c r="AS162" s="71">
        <f t="shared" si="83"/>
        <v>0</v>
      </c>
      <c r="AT162" s="71">
        <f t="shared" si="84"/>
        <v>0</v>
      </c>
    </row>
    <row r="163" spans="1:47" hidden="1" outlineLevel="1" x14ac:dyDescent="0.2">
      <c r="A163" s="125"/>
      <c r="B163" s="242" t="str">
        <f t="shared" si="71"/>
        <v/>
      </c>
      <c r="C163" s="242" t="str">
        <f t="shared" si="72"/>
        <v/>
      </c>
      <c r="D163" s="242" t="str">
        <f t="shared" si="73"/>
        <v/>
      </c>
      <c r="E163" s="478"/>
      <c r="F163" s="845"/>
      <c r="G163" s="846"/>
      <c r="H163" s="846"/>
      <c r="I163" s="570"/>
      <c r="J163" s="543"/>
      <c r="K163" s="543"/>
      <c r="L163" s="479" t="str">
        <f t="shared" si="74"/>
        <v/>
      </c>
      <c r="M163" s="56"/>
      <c r="N163" s="56"/>
      <c r="O163" s="56"/>
      <c r="P163" s="56"/>
      <c r="Q163" s="56"/>
      <c r="R163" s="56"/>
      <c r="S163" s="526" t="str">
        <f t="shared" si="75"/>
        <v/>
      </c>
      <c r="T163" s="615"/>
      <c r="U163" s="615"/>
      <c r="V163" s="615"/>
      <c r="W163" s="843" t="str">
        <f t="shared" si="76"/>
        <v/>
      </c>
      <c r="X163" s="843"/>
      <c r="Y163" s="843"/>
      <c r="Z163" s="668"/>
      <c r="AA163" s="843" t="str">
        <f t="shared" si="77"/>
        <v/>
      </c>
      <c r="AB163" s="843"/>
      <c r="AC163" s="843"/>
      <c r="AD163" s="668"/>
      <c r="AE163" s="615"/>
      <c r="AF163" s="71" t="str">
        <f t="shared" si="78"/>
        <v>** NOT USED **</v>
      </c>
      <c r="AG163" s="470" t="str">
        <f t="shared" si="79"/>
        <v/>
      </c>
      <c r="AI163" s="844" t="str">
        <f t="shared" si="80"/>
        <v/>
      </c>
      <c r="AJ163" s="844"/>
      <c r="AK163" s="844"/>
      <c r="AL163" s="844"/>
      <c r="AM163" s="242" t="str">
        <f t="shared" ca="1" si="81"/>
        <v/>
      </c>
      <c r="AN163" s="242">
        <v>20</v>
      </c>
      <c r="AP163" s="569">
        <f t="shared" si="82"/>
        <v>0</v>
      </c>
      <c r="AR163" s="242">
        <v>20</v>
      </c>
      <c r="AS163" s="71">
        <f t="shared" si="83"/>
        <v>0</v>
      </c>
      <c r="AT163" s="71">
        <f t="shared" si="84"/>
        <v>0</v>
      </c>
    </row>
    <row r="164" spans="1:47" ht="14.25" collapsed="1" x14ac:dyDescent="0.2">
      <c r="A164" s="125"/>
      <c r="B164" s="125"/>
      <c r="C164" s="242">
        <f>COUNTIF(C144:C163,"&gt;1")</f>
        <v>0</v>
      </c>
      <c r="D164" s="125"/>
      <c r="E164" s="162"/>
      <c r="F164" s="656"/>
      <c r="G164" s="125"/>
      <c r="H164" s="125"/>
      <c r="I164" s="125"/>
      <c r="J164" s="125"/>
      <c r="K164" s="125"/>
      <c r="L164" s="696"/>
      <c r="M164" s="696"/>
      <c r="N164" s="615"/>
      <c r="O164" s="615"/>
      <c r="T164" s="615"/>
      <c r="U164" s="615"/>
      <c r="V164" s="615"/>
      <c r="W164" s="615"/>
      <c r="X164" s="125"/>
      <c r="Y164" s="615"/>
      <c r="Z164" s="615"/>
      <c r="AA164" s="615"/>
      <c r="AB164" s="615"/>
      <c r="AC164" s="615"/>
      <c r="AD164" s="615"/>
      <c r="AE164" s="615"/>
      <c r="AF164" s="615"/>
      <c r="AG164" s="615"/>
      <c r="AH164" s="615"/>
      <c r="AI164" s="615"/>
      <c r="AJ164" s="615"/>
      <c r="AK164" s="615"/>
      <c r="AL164" s="615"/>
      <c r="AM164" s="615"/>
      <c r="AN164" s="615"/>
      <c r="AO164" s="615"/>
      <c r="AP164" s="615"/>
      <c r="AQ164" s="615"/>
      <c r="AR164" s="615"/>
      <c r="AS164" s="615"/>
      <c r="AT164" s="615"/>
      <c r="AU164" s="615"/>
    </row>
    <row r="165" spans="1:47" ht="15.75" x14ac:dyDescent="0.2">
      <c r="A165" s="125"/>
      <c r="B165" s="125"/>
      <c r="C165" s="125"/>
      <c r="D165" s="125"/>
      <c r="E165" s="123" t="s">
        <v>868</v>
      </c>
      <c r="F165" s="126"/>
      <c r="G165" s="126"/>
      <c r="H165" s="126"/>
      <c r="I165" s="126"/>
      <c r="J165" s="126"/>
      <c r="K165" s="126"/>
      <c r="L165" s="126"/>
      <c r="M165" s="126"/>
      <c r="N165" s="126"/>
      <c r="O165" s="126"/>
      <c r="P165" s="126"/>
      <c r="Q165" s="126"/>
      <c r="R165" s="126"/>
      <c r="S165" s="124"/>
      <c r="T165" s="124"/>
      <c r="U165" s="124"/>
      <c r="V165" s="124"/>
      <c r="W165" s="124"/>
      <c r="X165" s="124"/>
      <c r="Y165" s="124"/>
      <c r="Z165" s="124"/>
      <c r="AA165" s="124"/>
      <c r="AB165" s="124"/>
      <c r="AC165" s="124"/>
      <c r="AD165" s="124"/>
      <c r="AE165" s="124"/>
      <c r="AF165" s="124"/>
      <c r="AG165" s="124"/>
      <c r="AH165" s="124"/>
      <c r="AI165" s="124"/>
      <c r="AJ165" s="124"/>
      <c r="AK165" s="124"/>
      <c r="AL165" s="124"/>
      <c r="AM165" s="124"/>
      <c r="AN165" s="124"/>
      <c r="AO165" s="124"/>
      <c r="AP165" s="124"/>
      <c r="AQ165" s="124"/>
      <c r="AR165" s="124"/>
      <c r="AS165" s="124"/>
      <c r="AT165" s="124"/>
    </row>
    <row r="166" spans="1:47" x14ac:dyDescent="0.2">
      <c r="A166" s="615"/>
      <c r="B166" s="615"/>
      <c r="C166" s="615"/>
      <c r="D166" s="615"/>
      <c r="E166" s="641"/>
      <c r="F166" s="641"/>
      <c r="G166" s="641"/>
      <c r="H166" s="641"/>
      <c r="I166" s="641"/>
      <c r="J166" s="641"/>
      <c r="K166" s="641"/>
      <c r="L166" s="641"/>
      <c r="M166" s="641"/>
      <c r="N166" s="641"/>
      <c r="O166" s="641"/>
      <c r="P166" s="641"/>
      <c r="Q166" s="641"/>
      <c r="R166" s="641"/>
      <c r="S166" s="641"/>
      <c r="T166" s="641"/>
      <c r="U166" s="641"/>
      <c r="V166" s="641"/>
      <c r="W166" s="641"/>
      <c r="X166" s="641"/>
      <c r="Y166" s="641"/>
      <c r="Z166" s="641"/>
      <c r="AA166" s="641"/>
      <c r="AB166" s="641"/>
      <c r="AC166" s="641"/>
      <c r="AD166" s="641"/>
      <c r="AE166" s="641"/>
      <c r="AF166" s="641"/>
      <c r="AG166" s="641"/>
      <c r="AH166" s="641"/>
      <c r="AI166" s="641"/>
      <c r="AJ166" s="641"/>
      <c r="AK166" s="641"/>
      <c r="AL166" s="641"/>
      <c r="AM166" s="641"/>
      <c r="AN166" s="641"/>
      <c r="AO166" s="641"/>
      <c r="AP166" s="641"/>
      <c r="AQ166" s="641"/>
      <c r="AR166" s="641"/>
      <c r="AS166" s="641"/>
      <c r="AT166" s="641"/>
    </row>
    <row r="167" spans="1:47" x14ac:dyDescent="0.2">
      <c r="A167" s="615"/>
      <c r="B167" s="615"/>
      <c r="C167" s="615"/>
      <c r="D167" s="615"/>
      <c r="E167" s="698" t="s">
        <v>23</v>
      </c>
      <c r="F167" s="698"/>
      <c r="G167" s="698"/>
      <c r="H167" s="698"/>
      <c r="I167" s="698"/>
      <c r="J167" s="698"/>
      <c r="K167" s="698"/>
      <c r="L167" s="698"/>
      <c r="M167" s="9"/>
      <c r="N167" s="9"/>
      <c r="O167" s="9"/>
      <c r="P167" s="9"/>
      <c r="Q167" s="9"/>
      <c r="R167" s="641"/>
      <c r="S167" s="641"/>
      <c r="T167" s="641"/>
      <c r="U167" s="641"/>
      <c r="V167" s="641"/>
      <c r="W167" s="641"/>
      <c r="X167" s="641"/>
      <c r="Y167" s="615"/>
      <c r="Z167" s="615"/>
      <c r="AA167" s="615"/>
      <c r="AB167" s="615"/>
      <c r="AC167" s="615"/>
      <c r="AD167" s="615"/>
      <c r="AE167" s="641"/>
      <c r="AF167" s="641"/>
      <c r="AG167" s="615"/>
      <c r="AH167" s="615"/>
      <c r="AI167" s="615"/>
      <c r="AJ167" s="615"/>
      <c r="AK167" s="615"/>
      <c r="AL167" s="615"/>
      <c r="AM167" s="615"/>
      <c r="AN167" s="615"/>
      <c r="AO167" s="615"/>
      <c r="AP167" s="615"/>
      <c r="AQ167" s="615"/>
      <c r="AR167" s="615"/>
      <c r="AS167" s="615"/>
      <c r="AT167" s="615"/>
    </row>
    <row r="168" spans="1:47" ht="12.75" customHeight="1" x14ac:dyDescent="0.2">
      <c r="A168" s="615"/>
      <c r="E168" s="615"/>
      <c r="F168" s="615"/>
      <c r="G168" s="615"/>
      <c r="H168" s="615"/>
      <c r="I168" s="615"/>
      <c r="J168" s="615"/>
      <c r="K168" s="615"/>
      <c r="L168" s="615"/>
      <c r="M168" s="615"/>
      <c r="N168" s="615"/>
      <c r="O168" s="615"/>
      <c r="P168" s="615"/>
      <c r="Q168" s="615"/>
      <c r="R168" s="615"/>
      <c r="S168" s="615"/>
      <c r="T168" s="615"/>
      <c r="U168" s="615"/>
      <c r="V168" s="615"/>
      <c r="W168" s="615"/>
      <c r="X168" s="615"/>
      <c r="Y168" s="615"/>
      <c r="Z168" s="615"/>
      <c r="AA168" s="615"/>
      <c r="AB168" s="615"/>
      <c r="AC168" s="615"/>
      <c r="AD168" s="615"/>
      <c r="AE168" s="615"/>
      <c r="AF168" s="615"/>
      <c r="AG168" s="615"/>
      <c r="AH168" s="615"/>
      <c r="AI168" s="615"/>
      <c r="AJ168" s="615"/>
      <c r="AK168" s="615"/>
      <c r="AL168" s="615"/>
      <c r="AM168" s="615"/>
      <c r="AN168" s="615"/>
      <c r="AO168" s="615"/>
      <c r="AP168" s="615"/>
      <c r="AQ168" s="615"/>
      <c r="AR168" s="615"/>
      <c r="AS168" s="615"/>
      <c r="AT168" s="615"/>
    </row>
  </sheetData>
  <mergeCells count="168">
    <mergeCell ref="F160:H160"/>
    <mergeCell ref="W162:Y162"/>
    <mergeCell ref="W163:Y163"/>
    <mergeCell ref="W153:Y153"/>
    <mergeCell ref="W154:Y154"/>
    <mergeCell ref="W155:Y155"/>
    <mergeCell ref="W156:Y156"/>
    <mergeCell ref="W157:Y157"/>
    <mergeCell ref="W158:Y158"/>
    <mergeCell ref="W159:Y159"/>
    <mergeCell ref="W160:Y160"/>
    <mergeCell ref="W161:Y161"/>
    <mergeCell ref="F162:H162"/>
    <mergeCell ref="F163:H163"/>
    <mergeCell ref="F157:H157"/>
    <mergeCell ref="F158:H158"/>
    <mergeCell ref="F159:H159"/>
    <mergeCell ref="F153:H153"/>
    <mergeCell ref="F144:H144"/>
    <mergeCell ref="F133:H133"/>
    <mergeCell ref="F136:H136"/>
    <mergeCell ref="Q126:U126"/>
    <mergeCell ref="Q127:U127"/>
    <mergeCell ref="Q128:U128"/>
    <mergeCell ref="Q129:U129"/>
    <mergeCell ref="Q130:U130"/>
    <mergeCell ref="Q131:U131"/>
    <mergeCell ref="F118:H118"/>
    <mergeCell ref="F119:H119"/>
    <mergeCell ref="W119:Y119"/>
    <mergeCell ref="Q116:U116"/>
    <mergeCell ref="Q117:U117"/>
    <mergeCell ref="Q118:U118"/>
    <mergeCell ref="Q119:U119"/>
    <mergeCell ref="F161:H161"/>
    <mergeCell ref="F154:H154"/>
    <mergeCell ref="F155:H155"/>
    <mergeCell ref="F156:H156"/>
    <mergeCell ref="F134:H134"/>
    <mergeCell ref="F127:H127"/>
    <mergeCell ref="F130:H130"/>
    <mergeCell ref="W118:Y118"/>
    <mergeCell ref="Q120:U120"/>
    <mergeCell ref="Q121:U121"/>
    <mergeCell ref="Q122:U122"/>
    <mergeCell ref="Q123:U123"/>
    <mergeCell ref="Q124:U124"/>
    <mergeCell ref="Q125:U125"/>
    <mergeCell ref="W146:Y146"/>
    <mergeCell ref="F128:H128"/>
    <mergeCell ref="F129:H129"/>
    <mergeCell ref="F14:K14"/>
    <mergeCell ref="M14:R14"/>
    <mergeCell ref="F46:K46"/>
    <mergeCell ref="M46:R46"/>
    <mergeCell ref="J42:K42"/>
    <mergeCell ref="Q42:R42"/>
    <mergeCell ref="AO115:AT115"/>
    <mergeCell ref="F116:H116"/>
    <mergeCell ref="F117:H117"/>
    <mergeCell ref="AI115:AN115"/>
    <mergeCell ref="AI83:AT83"/>
    <mergeCell ref="AI84:AN84"/>
    <mergeCell ref="AO84:AT84"/>
    <mergeCell ref="AI45:AT45"/>
    <mergeCell ref="AI46:AN46"/>
    <mergeCell ref="AO46:AT46"/>
    <mergeCell ref="W117:Y117"/>
    <mergeCell ref="F78:K78"/>
    <mergeCell ref="F84:K84"/>
    <mergeCell ref="Q74:R74"/>
    <mergeCell ref="M78:R78"/>
    <mergeCell ref="M84:R84"/>
    <mergeCell ref="J74:K74"/>
    <mergeCell ref="AA117:AC117"/>
    <mergeCell ref="AI143:AL143"/>
    <mergeCell ref="AI144:AL144"/>
    <mergeCell ref="F125:H125"/>
    <mergeCell ref="J142:L142"/>
    <mergeCell ref="F126:H126"/>
    <mergeCell ref="F120:H120"/>
    <mergeCell ref="F121:H121"/>
    <mergeCell ref="F122:H122"/>
    <mergeCell ref="F135:H135"/>
    <mergeCell ref="W120:Y120"/>
    <mergeCell ref="W121:Y121"/>
    <mergeCell ref="W122:Y122"/>
    <mergeCell ref="W123:Y123"/>
    <mergeCell ref="W124:Y124"/>
    <mergeCell ref="W125:Y125"/>
    <mergeCell ref="W126:Y126"/>
    <mergeCell ref="F123:H123"/>
    <mergeCell ref="W127:Y127"/>
    <mergeCell ref="W131:Y131"/>
    <mergeCell ref="W132:Y132"/>
    <mergeCell ref="W133:Y133"/>
    <mergeCell ref="W134:Y134"/>
    <mergeCell ref="W135:Y135"/>
    <mergeCell ref="F124:H124"/>
    <mergeCell ref="W128:Y128"/>
    <mergeCell ref="W129:Y129"/>
    <mergeCell ref="W130:Y130"/>
    <mergeCell ref="W147:Y147"/>
    <mergeCell ref="W148:Y148"/>
    <mergeCell ref="W149:Y149"/>
    <mergeCell ref="W150:Y150"/>
    <mergeCell ref="W151:Y151"/>
    <mergeCell ref="F148:H148"/>
    <mergeCell ref="F131:H131"/>
    <mergeCell ref="F132:H132"/>
    <mergeCell ref="W144:Y144"/>
    <mergeCell ref="F143:H143"/>
    <mergeCell ref="M142:R142"/>
    <mergeCell ref="W136:Y136"/>
    <mergeCell ref="W145:Y145"/>
    <mergeCell ref="Q132:U132"/>
    <mergeCell ref="Q133:U133"/>
    <mergeCell ref="Q134:U134"/>
    <mergeCell ref="Q135:U135"/>
    <mergeCell ref="Q136:U136"/>
    <mergeCell ref="J139:K139"/>
    <mergeCell ref="F145:H145"/>
    <mergeCell ref="F146:H146"/>
    <mergeCell ref="W152:Y152"/>
    <mergeCell ref="F147:H147"/>
    <mergeCell ref="F151:H151"/>
    <mergeCell ref="F152:H152"/>
    <mergeCell ref="F149:H149"/>
    <mergeCell ref="F150:H150"/>
    <mergeCell ref="AA163:AC163"/>
    <mergeCell ref="AA144:AC144"/>
    <mergeCell ref="AI162:AL162"/>
    <mergeCell ref="AI163:AL163"/>
    <mergeCell ref="AI152:AL152"/>
    <mergeCell ref="AI153:AL153"/>
    <mergeCell ref="AI154:AL154"/>
    <mergeCell ref="AI155:AL155"/>
    <mergeCell ref="AI156:AL156"/>
    <mergeCell ref="AI157:AL157"/>
    <mergeCell ref="AI158:AL158"/>
    <mergeCell ref="AI159:AL159"/>
    <mergeCell ref="AI160:AL160"/>
    <mergeCell ref="AI161:AL161"/>
    <mergeCell ref="AI150:AL150"/>
    <mergeCell ref="AI151:AL151"/>
    <mergeCell ref="AI147:AL147"/>
    <mergeCell ref="AI148:AL148"/>
    <mergeCell ref="AI149:AL149"/>
    <mergeCell ref="AI145:AL145"/>
    <mergeCell ref="AI146:AL146"/>
    <mergeCell ref="AA154:AC154"/>
    <mergeCell ref="AA155:AC155"/>
    <mergeCell ref="AA156:AC156"/>
    <mergeCell ref="AA157:AC157"/>
    <mergeCell ref="AA158:AC158"/>
    <mergeCell ref="AA159:AC159"/>
    <mergeCell ref="AA160:AC160"/>
    <mergeCell ref="AA161:AC161"/>
    <mergeCell ref="AA162:AC162"/>
    <mergeCell ref="AA145:AC145"/>
    <mergeCell ref="AA146:AC146"/>
    <mergeCell ref="AA147:AC147"/>
    <mergeCell ref="AA148:AC148"/>
    <mergeCell ref="AA149:AC149"/>
    <mergeCell ref="AA150:AC150"/>
    <mergeCell ref="AA151:AC151"/>
    <mergeCell ref="AA152:AC152"/>
    <mergeCell ref="AA153:AC153"/>
  </mergeCells>
  <conditionalFormatting sqref="M81:R81 E81:K81">
    <cfRule type="expression" dxfId="170" priority="180">
      <formula>$E$81=""</formula>
    </cfRule>
  </conditionalFormatting>
  <conditionalFormatting sqref="E144:S163">
    <cfRule type="expression" dxfId="169" priority="9">
      <formula>AND(ScriptSourceCode&lt;&gt;2,ScriptSourceCode&lt;&gt;3)</formula>
    </cfRule>
  </conditionalFormatting>
  <conditionalFormatting sqref="J117:Q136">
    <cfRule type="expression" dxfId="168" priority="2">
      <formula>ScriptSourceCode = 2</formula>
    </cfRule>
  </conditionalFormatting>
  <conditionalFormatting sqref="E144:E163">
    <cfRule type="duplicateValues" dxfId="167" priority="13"/>
  </conditionalFormatting>
  <conditionalFormatting sqref="F144:H163">
    <cfRule type="duplicateValues" dxfId="166" priority="7"/>
  </conditionalFormatting>
  <conditionalFormatting sqref="I143:I163">
    <cfRule type="expression" dxfId="165" priority="1">
      <formula>ScriptSplit &lt;&gt; 2</formula>
    </cfRule>
  </conditionalFormatting>
  <conditionalFormatting sqref="AA144:AC163">
    <cfRule type="notContainsBlanks" dxfId="164" priority="6">
      <formula>LEN(TRIM(AA144))&gt;0</formula>
    </cfRule>
  </conditionalFormatting>
  <conditionalFormatting sqref="AA117:AC117 W117:Y136">
    <cfRule type="notContainsBlanks" dxfId="163" priority="4">
      <formula>LEN(TRIM(W117))&gt;0</formula>
    </cfRule>
  </conditionalFormatting>
  <conditionalFormatting sqref="W144:Y163">
    <cfRule type="notContainsBlanks" dxfId="162" priority="3">
      <formula>LEN(TRIM(W144))&gt;0</formula>
    </cfRule>
  </conditionalFormatting>
  <conditionalFormatting sqref="F117:U136">
    <cfRule type="expression" dxfId="161" priority="77">
      <formula>$E117=""</formula>
    </cfRule>
  </conditionalFormatting>
  <conditionalFormatting sqref="F144:S163">
    <cfRule type="expression" dxfId="160" priority="133">
      <formula>$E144=""</formula>
    </cfRule>
  </conditionalFormatting>
  <dataValidations count="5">
    <dataValidation type="list" allowBlank="1" showInputMessage="1" showErrorMessage="1" sqref="I117:I136">
      <formula1>TPShort</formula1>
    </dataValidation>
    <dataValidation type="list" allowBlank="1" showInputMessage="1" showErrorMessage="1" sqref="F144:H163">
      <formula1>NamesNewTx</formula1>
    </dataValidation>
    <dataValidation type="list" allowBlank="1" showInputMessage="1" showErrorMessage="1" sqref="M117:M136">
      <formula1>TimeUnit</formula1>
    </dataValidation>
    <dataValidation type="list" allowBlank="1" showInputMessage="1" showErrorMessage="1" sqref="E144:E163">
      <formula1>NamesScriptsChangedTx</formula1>
    </dataValidation>
    <dataValidation type="list" allowBlank="1" showInputMessage="1" showErrorMessage="1" sqref="Q117:U136">
      <formula1>DTGPops</formula1>
    </dataValidation>
  </dataValidations>
  <pageMargins left="0.25" right="0.25" top="0.75" bottom="0.75" header="0.3" footer="0.3"/>
  <pageSetup paperSize="8" scale="43" orientation="portrait" verticalDpi="300" r:id="rId1"/>
  <ignoredErrors>
    <ignoredError sqref="AO47" formula="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4"/>
    <pageSetUpPr fitToPage="1"/>
  </sheetPr>
  <dimension ref="A1:T300"/>
  <sheetViews>
    <sheetView showGridLines="0" zoomScaleNormal="100" workbookViewId="0">
      <pane ySplit="3" topLeftCell="A4" activePane="bottomLeft" state="frozen"/>
      <selection activeCell="B7" sqref="B7:G7"/>
      <selection pane="bottomLeft"/>
    </sheetView>
  </sheetViews>
  <sheetFormatPr defaultRowHeight="12.75" customHeight="1" outlineLevelRow="1" x14ac:dyDescent="0.2"/>
  <cols>
    <col min="1" max="1" width="3.7109375" customWidth="1"/>
    <col min="2" max="2" width="3.7109375" hidden="1" customWidth="1"/>
    <col min="3" max="3" width="20.7109375" customWidth="1"/>
    <col min="4" max="13" width="15.7109375" customWidth="1"/>
    <col min="14" max="14" width="15.7109375" style="416" customWidth="1"/>
    <col min="15" max="15" width="3.7109375" hidden="1" customWidth="1"/>
    <col min="16" max="16" width="10.7109375" style="416" hidden="1" customWidth="1"/>
    <col min="17" max="20" width="10.7109375" hidden="1" customWidth="1"/>
  </cols>
  <sheetData>
    <row r="1" spans="1:14" ht="23.25" x14ac:dyDescent="0.2">
      <c r="A1" s="346">
        <f>IF((SUM(D24:I24)&lt;&gt;0),2,0)</f>
        <v>0</v>
      </c>
      <c r="B1" s="342"/>
      <c r="C1" s="343" t="s">
        <v>936</v>
      </c>
      <c r="D1" s="343"/>
      <c r="E1" s="343"/>
      <c r="F1" s="342"/>
      <c r="G1" s="342"/>
      <c r="H1" s="342"/>
      <c r="I1" s="342"/>
      <c r="J1" s="342"/>
      <c r="K1" s="342"/>
      <c r="L1" s="866" t="str">
        <f>IF(A1=0,MsgNotUsed,"")</f>
        <v>** NOT USED **</v>
      </c>
      <c r="M1" s="866"/>
      <c r="N1" s="866"/>
    </row>
    <row r="2" spans="1:14" ht="15.75" x14ac:dyDescent="0.2">
      <c r="A2" s="342"/>
      <c r="B2" s="342"/>
      <c r="C2" s="344" t="str">
        <f>CONCATENATE("Name of medicine: ", MedicineBrand)</f>
        <v xml:space="preserve">Name of medicine: </v>
      </c>
      <c r="D2" s="345"/>
      <c r="E2" s="345"/>
      <c r="F2" s="342"/>
      <c r="G2" s="342"/>
      <c r="H2" s="342"/>
      <c r="I2" s="342"/>
      <c r="J2" s="342"/>
      <c r="K2" s="342"/>
      <c r="L2" s="342"/>
      <c r="M2" s="342"/>
      <c r="N2" s="342"/>
    </row>
    <row r="3" spans="1:14" ht="15.75" x14ac:dyDescent="0.2">
      <c r="A3" s="342"/>
      <c r="B3" s="342"/>
      <c r="C3" s="344" t="str">
        <f>CONCATENATE("Indication: ",Indication)</f>
        <v xml:space="preserve">Indication: </v>
      </c>
      <c r="D3" s="345"/>
      <c r="E3" s="345"/>
      <c r="F3" s="342"/>
      <c r="G3" s="342"/>
      <c r="H3" s="342"/>
      <c r="I3" s="342"/>
      <c r="J3" s="342"/>
      <c r="K3" s="342"/>
      <c r="L3" s="342"/>
      <c r="M3" s="342"/>
      <c r="N3" s="342"/>
    </row>
    <row r="4" spans="1:14" s="420" customFormat="1" x14ac:dyDescent="0.2">
      <c r="A4" s="650"/>
      <c r="B4" s="650"/>
      <c r="C4" s="662"/>
      <c r="D4" s="662"/>
      <c r="E4" s="662"/>
      <c r="F4" s="650"/>
      <c r="G4" s="650"/>
      <c r="H4" s="650"/>
      <c r="I4" s="650"/>
      <c r="J4" s="650"/>
      <c r="K4" s="650"/>
      <c r="L4" s="650"/>
      <c r="M4" s="650"/>
      <c r="N4" s="650"/>
    </row>
    <row r="5" spans="1:14" ht="15.75" x14ac:dyDescent="0.2">
      <c r="A5" s="122"/>
      <c r="B5" s="122"/>
      <c r="C5" s="123" t="s">
        <v>2</v>
      </c>
      <c r="D5" s="123"/>
      <c r="E5" s="123"/>
      <c r="F5" s="142"/>
      <c r="G5" s="127"/>
      <c r="H5" s="127"/>
      <c r="I5" s="127"/>
      <c r="J5" s="127"/>
      <c r="K5" s="127"/>
      <c r="L5" s="127"/>
      <c r="M5" s="127"/>
      <c r="N5" s="127"/>
    </row>
    <row r="6" spans="1:14" ht="14.25" x14ac:dyDescent="0.2">
      <c r="A6" s="125"/>
      <c r="B6" s="125"/>
      <c r="C6" s="647"/>
      <c r="D6" s="647"/>
      <c r="E6" s="647"/>
      <c r="F6" s="656"/>
      <c r="G6" s="125"/>
      <c r="H6" s="125"/>
      <c r="I6" s="125"/>
      <c r="J6" s="125"/>
      <c r="K6" s="125"/>
      <c r="L6" s="125"/>
      <c r="M6" s="125"/>
      <c r="N6" s="125"/>
    </row>
    <row r="7" spans="1:14" x14ac:dyDescent="0.2">
      <c r="A7" s="125"/>
      <c r="B7" s="125"/>
      <c r="C7" s="162" t="s">
        <v>824</v>
      </c>
      <c r="D7" s="162"/>
      <c r="E7" s="162"/>
      <c r="F7" s="700"/>
      <c r="G7" s="700"/>
      <c r="H7" s="700"/>
      <c r="I7" s="700"/>
      <c r="J7" s="700"/>
      <c r="K7" s="700"/>
      <c r="L7" s="700"/>
      <c r="M7" s="700"/>
      <c r="N7" s="700"/>
    </row>
    <row r="8" spans="1:14" x14ac:dyDescent="0.2">
      <c r="A8" s="125"/>
      <c r="B8" s="125"/>
      <c r="C8" s="644"/>
      <c r="D8" s="644"/>
      <c r="E8" s="644"/>
      <c r="F8" s="660"/>
      <c r="G8" s="660"/>
      <c r="H8" s="660"/>
      <c r="I8" s="660"/>
      <c r="J8" s="660"/>
      <c r="K8" s="660"/>
      <c r="L8" s="660"/>
      <c r="M8" s="660"/>
      <c r="N8" s="660"/>
    </row>
    <row r="9" spans="1:14" x14ac:dyDescent="0.2">
      <c r="A9" s="125"/>
      <c r="B9" s="125"/>
      <c r="C9" s="162"/>
      <c r="D9" s="162"/>
      <c r="E9" s="162"/>
      <c r="F9" s="162"/>
      <c r="G9" s="162"/>
      <c r="H9" s="162"/>
      <c r="I9" s="162"/>
      <c r="J9" s="162"/>
      <c r="K9" s="162"/>
      <c r="L9" s="162"/>
      <c r="M9" s="162"/>
      <c r="N9" s="162"/>
    </row>
    <row r="10" spans="1:14" ht="15.75" x14ac:dyDescent="0.2">
      <c r="A10" s="125"/>
      <c r="B10" s="125"/>
      <c r="C10" s="123" t="s">
        <v>869</v>
      </c>
      <c r="D10" s="123"/>
      <c r="E10" s="123"/>
      <c r="F10" s="142"/>
      <c r="G10" s="127"/>
      <c r="H10" s="127"/>
      <c r="I10" s="127"/>
      <c r="J10" s="127"/>
      <c r="K10" s="127"/>
      <c r="L10" s="127"/>
      <c r="M10" s="127"/>
      <c r="N10" s="127"/>
    </row>
    <row r="11" spans="1:14" ht="15.75" x14ac:dyDescent="0.2">
      <c r="A11" s="125"/>
      <c r="B11" s="125"/>
      <c r="C11" s="655"/>
      <c r="D11" s="655"/>
      <c r="E11" s="655"/>
      <c r="F11" s="656"/>
      <c r="G11" s="125"/>
      <c r="H11" s="125"/>
      <c r="I11" s="125"/>
      <c r="J11" s="125"/>
      <c r="K11" s="125"/>
      <c r="L11" s="125"/>
      <c r="M11" s="125"/>
      <c r="N11" s="125"/>
    </row>
    <row r="12" spans="1:14" x14ac:dyDescent="0.2">
      <c r="A12" s="125"/>
      <c r="B12" s="125"/>
      <c r="C12" s="646" t="s">
        <v>825</v>
      </c>
      <c r="D12" s="646"/>
      <c r="E12" s="646"/>
      <c r="F12" s="646"/>
      <c r="G12" s="646"/>
      <c r="H12" s="646"/>
      <c r="I12" s="646"/>
      <c r="J12" s="646"/>
      <c r="K12" s="646"/>
      <c r="L12" s="646"/>
      <c r="M12" s="646"/>
      <c r="N12" s="646"/>
    </row>
    <row r="13" spans="1:14" x14ac:dyDescent="0.2">
      <c r="A13" s="125"/>
      <c r="B13" s="125"/>
      <c r="C13" s="657"/>
      <c r="D13" s="657"/>
      <c r="E13" s="657"/>
      <c r="F13" s="125"/>
      <c r="G13" s="125"/>
      <c r="H13" s="125"/>
      <c r="I13" s="125"/>
      <c r="J13" s="125"/>
      <c r="K13" s="125"/>
      <c r="L13" s="125"/>
      <c r="M13" s="657"/>
      <c r="N13" s="657"/>
    </row>
    <row r="14" spans="1:14" ht="15.75" x14ac:dyDescent="0.2">
      <c r="A14" s="125"/>
      <c r="B14" s="125"/>
      <c r="C14" s="655" t="s">
        <v>101</v>
      </c>
      <c r="D14" s="630">
        <f>FirstYear</f>
        <v>2021</v>
      </c>
      <c r="E14" s="630">
        <f>D14+1</f>
        <v>2022</v>
      </c>
      <c r="F14" s="630">
        <f>E14+1</f>
        <v>2023</v>
      </c>
      <c r="G14" s="630">
        <f>F14+1</f>
        <v>2024</v>
      </c>
      <c r="H14" s="630">
        <f>G14+1</f>
        <v>2025</v>
      </c>
      <c r="I14" s="630">
        <f>H14+1</f>
        <v>2026</v>
      </c>
      <c r="J14" s="125"/>
      <c r="K14" s="125"/>
      <c r="L14" s="125"/>
      <c r="M14" s="125"/>
      <c r="N14" s="125"/>
    </row>
    <row r="15" spans="1:14" x14ac:dyDescent="0.2">
      <c r="A15" s="125"/>
      <c r="B15" s="125"/>
      <c r="C15" s="294" t="s">
        <v>86</v>
      </c>
      <c r="D15" s="283">
        <f>D31+D43+D55+D67+D79+D91+D103+D115+D127+D139+D151+D163+D175+D187+D199+D211+D223+D235+D247+D259</f>
        <v>0</v>
      </c>
      <c r="E15" s="283">
        <f t="shared" ref="E15:I16" si="0">E31+E43+E55+E67+E79+E91+E103+E115+E127+E139+E151+E163+E175+E187+E199+E211+E223+E235+E247+E259</f>
        <v>0</v>
      </c>
      <c r="F15" s="283">
        <f t="shared" si="0"/>
        <v>0</v>
      </c>
      <c r="G15" s="283">
        <f t="shared" si="0"/>
        <v>0</v>
      </c>
      <c r="H15" s="283">
        <f t="shared" si="0"/>
        <v>0</v>
      </c>
      <c r="I15" s="283">
        <f t="shared" si="0"/>
        <v>0</v>
      </c>
      <c r="J15" s="125"/>
      <c r="K15" s="125"/>
      <c r="L15" s="125"/>
      <c r="M15" s="125"/>
      <c r="N15" s="125"/>
    </row>
    <row r="16" spans="1:14" x14ac:dyDescent="0.2">
      <c r="A16" s="125"/>
      <c r="B16" s="125"/>
      <c r="C16" s="5" t="s">
        <v>111</v>
      </c>
      <c r="D16" s="283">
        <f>D32+D44+D56+D68+D80+D92+D104+D116+D128+D140+D152+D164+D176+D188+D200+D212+D224+D236+D248+D260</f>
        <v>0</v>
      </c>
      <c r="E16" s="283">
        <f t="shared" si="0"/>
        <v>0</v>
      </c>
      <c r="F16" s="283">
        <f t="shared" si="0"/>
        <v>0</v>
      </c>
      <c r="G16" s="283">
        <f t="shared" si="0"/>
        <v>0</v>
      </c>
      <c r="H16" s="283">
        <f t="shared" si="0"/>
        <v>0</v>
      </c>
      <c r="I16" s="283">
        <f t="shared" si="0"/>
        <v>0</v>
      </c>
      <c r="J16" s="125"/>
      <c r="K16" s="125"/>
      <c r="L16" s="125"/>
      <c r="M16" s="125"/>
      <c r="N16" s="125"/>
    </row>
    <row r="17" spans="1:14" x14ac:dyDescent="0.2">
      <c r="A17" s="125"/>
      <c r="B17" s="125"/>
      <c r="C17" s="5" t="s">
        <v>88</v>
      </c>
      <c r="D17" s="284">
        <f t="shared" ref="D17:I17" si="1">D15+D16</f>
        <v>0</v>
      </c>
      <c r="E17" s="284">
        <f t="shared" si="1"/>
        <v>0</v>
      </c>
      <c r="F17" s="284">
        <f t="shared" si="1"/>
        <v>0</v>
      </c>
      <c r="G17" s="284">
        <f t="shared" si="1"/>
        <v>0</v>
      </c>
      <c r="H17" s="284">
        <f t="shared" si="1"/>
        <v>0</v>
      </c>
      <c r="I17" s="284">
        <f t="shared" si="1"/>
        <v>0</v>
      </c>
      <c r="J17" s="125"/>
      <c r="K17" s="125"/>
      <c r="L17" s="125"/>
      <c r="M17" s="125"/>
      <c r="N17" s="125"/>
    </row>
    <row r="18" spans="1:14" x14ac:dyDescent="0.2">
      <c r="A18" s="125"/>
      <c r="B18" s="125"/>
      <c r="C18" s="658"/>
      <c r="D18" s="658"/>
      <c r="E18" s="658"/>
      <c r="F18" s="36"/>
      <c r="G18" s="36"/>
      <c r="H18" s="36"/>
      <c r="I18" s="36"/>
      <c r="J18" s="36"/>
      <c r="K18" s="36"/>
      <c r="L18" s="36"/>
      <c r="M18" s="125"/>
      <c r="N18" s="125"/>
    </row>
    <row r="19" spans="1:14" ht="15.75" x14ac:dyDescent="0.2">
      <c r="A19" s="125"/>
      <c r="B19" s="125"/>
      <c r="C19" s="655" t="s">
        <v>102</v>
      </c>
      <c r="D19" s="630">
        <f>FirstYear</f>
        <v>2021</v>
      </c>
      <c r="E19" s="630">
        <f>D19+1</f>
        <v>2022</v>
      </c>
      <c r="F19" s="630">
        <f>E19+1</f>
        <v>2023</v>
      </c>
      <c r="G19" s="630">
        <f>F19+1</f>
        <v>2024</v>
      </c>
      <c r="H19" s="630">
        <f>G19+1</f>
        <v>2025</v>
      </c>
      <c r="I19" s="630">
        <f>H19+1</f>
        <v>2026</v>
      </c>
      <c r="J19" s="125"/>
      <c r="K19" s="125"/>
      <c r="L19" s="125"/>
      <c r="M19" s="125"/>
      <c r="N19" s="125"/>
    </row>
    <row r="20" spans="1:14" x14ac:dyDescent="0.2">
      <c r="A20" s="125"/>
      <c r="B20" s="125"/>
      <c r="C20" s="294" t="s">
        <v>87</v>
      </c>
      <c r="D20" s="282">
        <f>D36+D48+D60+D72+D84+D96+D108+D120+D132+D144+D156+D168+D180+D192+D204+D216+D228+D240+D252+D264</f>
        <v>0</v>
      </c>
      <c r="E20" s="282">
        <f t="shared" ref="E20:I21" si="2">E36+E48+E60+E72+E84+E96+E108+E120+E132+E144+E156+E168+E180+E192+E204+E216+E228+E240+E252+E264</f>
        <v>0</v>
      </c>
      <c r="F20" s="282">
        <f t="shared" si="2"/>
        <v>0</v>
      </c>
      <c r="G20" s="282">
        <f t="shared" si="2"/>
        <v>0</v>
      </c>
      <c r="H20" s="282">
        <f t="shared" si="2"/>
        <v>0</v>
      </c>
      <c r="I20" s="282">
        <f t="shared" si="2"/>
        <v>0</v>
      </c>
      <c r="J20" s="125"/>
      <c r="K20" s="125"/>
      <c r="L20" s="125"/>
      <c r="M20" s="125"/>
      <c r="N20" s="125"/>
    </row>
    <row r="21" spans="1:14" x14ac:dyDescent="0.2">
      <c r="A21" s="125"/>
      <c r="B21" s="125"/>
      <c r="C21" s="5" t="s">
        <v>111</v>
      </c>
      <c r="D21" s="282">
        <f>D37+D49+D61+D73+D85+D97+D109+D121+D133+D145+D157+D169+D181+D193+D205+D217+D229+D241+D253+D265</f>
        <v>0</v>
      </c>
      <c r="E21" s="282">
        <f t="shared" si="2"/>
        <v>0</v>
      </c>
      <c r="F21" s="282">
        <f t="shared" si="2"/>
        <v>0</v>
      </c>
      <c r="G21" s="282">
        <f t="shared" si="2"/>
        <v>0</v>
      </c>
      <c r="H21" s="282">
        <f t="shared" si="2"/>
        <v>0</v>
      </c>
      <c r="I21" s="282">
        <f t="shared" si="2"/>
        <v>0</v>
      </c>
      <c r="J21" s="125"/>
      <c r="K21" s="125"/>
      <c r="L21" s="125"/>
      <c r="M21" s="125"/>
      <c r="N21" s="125"/>
    </row>
    <row r="22" spans="1:14" x14ac:dyDescent="0.2">
      <c r="A22" s="125"/>
      <c r="B22" s="125"/>
      <c r="C22" s="5" t="s">
        <v>89</v>
      </c>
      <c r="D22" s="286">
        <f t="shared" ref="D22:I22" si="3">D20+D21</f>
        <v>0</v>
      </c>
      <c r="E22" s="286">
        <f t="shared" si="3"/>
        <v>0</v>
      </c>
      <c r="F22" s="286">
        <f t="shared" si="3"/>
        <v>0</v>
      </c>
      <c r="G22" s="286">
        <f t="shared" si="3"/>
        <v>0</v>
      </c>
      <c r="H22" s="286">
        <f t="shared" si="3"/>
        <v>0</v>
      </c>
      <c r="I22" s="286">
        <f t="shared" si="3"/>
        <v>0</v>
      </c>
      <c r="J22" s="125"/>
      <c r="K22" s="125"/>
      <c r="L22" s="125"/>
      <c r="M22" s="125"/>
      <c r="N22" s="125"/>
    </row>
    <row r="23" spans="1:14" x14ac:dyDescent="0.2">
      <c r="A23" s="125"/>
      <c r="B23" s="125"/>
      <c r="C23" s="658"/>
      <c r="D23" s="658"/>
      <c r="E23" s="658"/>
      <c r="F23" s="36"/>
      <c r="G23" s="36"/>
      <c r="H23" s="36"/>
      <c r="I23" s="36"/>
      <c r="J23" s="36"/>
      <c r="K23" s="36"/>
      <c r="L23" s="36"/>
      <c r="M23" s="125"/>
      <c r="N23" s="125"/>
    </row>
    <row r="24" spans="1:14" x14ac:dyDescent="0.2">
      <c r="A24" s="125"/>
      <c r="B24" s="125"/>
      <c r="C24" s="273" t="s">
        <v>845</v>
      </c>
      <c r="D24" s="285">
        <f t="shared" ref="D24:I24" si="4">D22+D17</f>
        <v>0</v>
      </c>
      <c r="E24" s="285">
        <f t="shared" si="4"/>
        <v>0</v>
      </c>
      <c r="F24" s="285">
        <f t="shared" si="4"/>
        <v>0</v>
      </c>
      <c r="G24" s="285">
        <f t="shared" si="4"/>
        <v>0</v>
      </c>
      <c r="H24" s="285">
        <f t="shared" si="4"/>
        <v>0</v>
      </c>
      <c r="I24" s="285">
        <f t="shared" si="4"/>
        <v>0</v>
      </c>
      <c r="J24" s="36"/>
      <c r="K24" s="36"/>
      <c r="L24" s="36"/>
      <c r="M24" s="125"/>
      <c r="N24" s="125"/>
    </row>
    <row r="25" spans="1:14" x14ac:dyDescent="0.2">
      <c r="A25" s="125"/>
      <c r="B25" s="125"/>
      <c r="C25" s="658"/>
      <c r="D25" s="658"/>
      <c r="E25" s="658"/>
      <c r="F25" s="36"/>
      <c r="G25" s="36"/>
      <c r="H25" s="36"/>
      <c r="I25" s="36"/>
      <c r="J25" s="36"/>
      <c r="K25" s="36"/>
      <c r="L25" s="36"/>
      <c r="M25" s="125"/>
      <c r="N25" s="125"/>
    </row>
    <row r="26" spans="1:14" ht="15.75" x14ac:dyDescent="0.2">
      <c r="A26" s="125"/>
      <c r="B26" s="125"/>
      <c r="C26" s="123" t="s">
        <v>870</v>
      </c>
      <c r="D26" s="123"/>
      <c r="E26" s="123"/>
      <c r="F26" s="132"/>
      <c r="G26" s="132"/>
      <c r="H26" s="132"/>
      <c r="I26" s="132"/>
      <c r="J26" s="132"/>
      <c r="K26" s="132"/>
      <c r="L26" s="132"/>
      <c r="M26" s="127"/>
      <c r="N26" s="127"/>
    </row>
    <row r="27" spans="1:14" x14ac:dyDescent="0.2">
      <c r="A27" s="125"/>
      <c r="B27" s="125"/>
      <c r="C27" s="658"/>
      <c r="D27" s="658"/>
      <c r="E27" s="658"/>
      <c r="F27" s="36"/>
      <c r="G27" s="36"/>
      <c r="H27" s="36"/>
      <c r="I27" s="36"/>
      <c r="J27" s="36"/>
      <c r="K27" s="36"/>
      <c r="L27" s="36"/>
      <c r="M27" s="36"/>
      <c r="N27" s="36"/>
    </row>
    <row r="28" spans="1:14" ht="15" x14ac:dyDescent="0.2">
      <c r="A28" s="125"/>
      <c r="B28" s="298">
        <v>1</v>
      </c>
      <c r="C28" s="147" t="str">
        <f>INDEX(PBSScriptsNew,B28,1)</f>
        <v>** NOT USED **</v>
      </c>
      <c r="D28" s="139"/>
      <c r="E28" s="139"/>
      <c r="F28" s="139"/>
      <c r="G28" s="139"/>
      <c r="H28" s="139"/>
      <c r="I28" s="139"/>
      <c r="J28" s="133"/>
      <c r="K28" s="132"/>
      <c r="L28" s="821" t="str">
        <f>IF(C28&lt;&gt;MsgNotUsed,"Co-payment group " &amp; INDEX(DPMQCoPayNewPub,B28,3),"")</f>
        <v/>
      </c>
      <c r="M28" s="821"/>
      <c r="N28" s="633"/>
    </row>
    <row r="29" spans="1:14" outlineLevel="1" x14ac:dyDescent="0.2">
      <c r="A29" s="125"/>
      <c r="B29" s="242">
        <f>INDEX(SANew,B28,5)</f>
        <v>0</v>
      </c>
      <c r="C29" s="658"/>
      <c r="D29" s="697">
        <v>2</v>
      </c>
      <c r="E29" s="697">
        <v>3</v>
      </c>
      <c r="F29" s="650">
        <v>4</v>
      </c>
      <c r="G29" s="650">
        <v>5</v>
      </c>
      <c r="H29" s="650">
        <v>6</v>
      </c>
      <c r="I29" s="650">
        <v>7</v>
      </c>
      <c r="J29" s="125"/>
      <c r="K29" s="36"/>
      <c r="L29" s="36"/>
      <c r="M29" s="36"/>
      <c r="N29" s="36"/>
    </row>
    <row r="30" spans="1:14" outlineLevel="1" x14ac:dyDescent="0.2">
      <c r="A30" s="125"/>
      <c r="B30" s="148"/>
      <c r="C30" s="125"/>
      <c r="D30" s="630">
        <f>FirstYear</f>
        <v>2021</v>
      </c>
      <c r="E30" s="630">
        <f>D30+1</f>
        <v>2022</v>
      </c>
      <c r="F30" s="630">
        <f>E30+1</f>
        <v>2023</v>
      </c>
      <c r="G30" s="630">
        <f>F30+1</f>
        <v>2024</v>
      </c>
      <c r="H30" s="630">
        <f>G30+1</f>
        <v>2025</v>
      </c>
      <c r="I30" s="630">
        <f>H30+1</f>
        <v>2026</v>
      </c>
      <c r="J30" s="125"/>
      <c r="K30" s="125"/>
      <c r="L30" s="125"/>
      <c r="M30" s="125"/>
      <c r="N30" s="125"/>
    </row>
    <row r="31" spans="1:14" outlineLevel="1" x14ac:dyDescent="0.2">
      <c r="A31" s="125"/>
      <c r="B31" s="298">
        <v>1</v>
      </c>
      <c r="C31" s="294" t="s">
        <v>86</v>
      </c>
      <c r="D31" s="282">
        <f t="shared" ref="D31:I31" si="5">INDEX(PBSScriptsNew,$B28,D29)*INDEX(DPMQCoPayNewPub,$B28,$B31)</f>
        <v>0</v>
      </c>
      <c r="E31" s="282">
        <f t="shared" si="5"/>
        <v>0</v>
      </c>
      <c r="F31" s="282">
        <f t="shared" si="5"/>
        <v>0</v>
      </c>
      <c r="G31" s="282">
        <f t="shared" si="5"/>
        <v>0</v>
      </c>
      <c r="H31" s="282">
        <f t="shared" si="5"/>
        <v>0</v>
      </c>
      <c r="I31" s="282">
        <f t="shared" si="5"/>
        <v>0</v>
      </c>
      <c r="J31" s="125"/>
      <c r="K31" s="125"/>
      <c r="L31" s="125"/>
      <c r="M31" s="125"/>
      <c r="N31" s="125"/>
    </row>
    <row r="32" spans="1:14" outlineLevel="1" x14ac:dyDescent="0.2">
      <c r="A32" s="125"/>
      <c r="B32" s="298">
        <v>4</v>
      </c>
      <c r="C32" s="5" t="s">
        <v>111</v>
      </c>
      <c r="D32" s="282">
        <f t="shared" ref="D32:I32" si="6">INDEX(PBSScriptsNew,$B28,D29)*(INDEX(DPMQCoPayNewPub,$B28,$B32)/INDEX(CoPayCountNew,$B28))</f>
        <v>0</v>
      </c>
      <c r="E32" s="282">
        <f t="shared" si="6"/>
        <v>0</v>
      </c>
      <c r="F32" s="282">
        <f t="shared" si="6"/>
        <v>0</v>
      </c>
      <c r="G32" s="282">
        <f t="shared" si="6"/>
        <v>0</v>
      </c>
      <c r="H32" s="282">
        <f t="shared" si="6"/>
        <v>0</v>
      </c>
      <c r="I32" s="282">
        <f t="shared" si="6"/>
        <v>0</v>
      </c>
      <c r="J32" s="125"/>
      <c r="K32" s="811" t="str">
        <f>IF(B29&lt;&gt;0,MsgNote&amp;IF(B29="Yes",INDEX(CoPayMethod,1),INDEX(CoPayMethod,2)),"")</f>
        <v/>
      </c>
      <c r="L32" s="811"/>
      <c r="M32" s="811"/>
      <c r="N32" s="628"/>
    </row>
    <row r="33" spans="1:14" outlineLevel="1" x14ac:dyDescent="0.2">
      <c r="A33" s="125"/>
      <c r="B33" s="300"/>
      <c r="C33" s="5" t="s">
        <v>88</v>
      </c>
      <c r="D33" s="282">
        <f t="shared" ref="D33:I33" si="7">D31+D32</f>
        <v>0</v>
      </c>
      <c r="E33" s="282">
        <f t="shared" si="7"/>
        <v>0</v>
      </c>
      <c r="F33" s="282">
        <f t="shared" si="7"/>
        <v>0</v>
      </c>
      <c r="G33" s="282">
        <f t="shared" si="7"/>
        <v>0</v>
      </c>
      <c r="H33" s="282">
        <f t="shared" si="7"/>
        <v>0</v>
      </c>
      <c r="I33" s="282">
        <f t="shared" si="7"/>
        <v>0</v>
      </c>
      <c r="J33" s="125"/>
      <c r="K33" s="125"/>
      <c r="L33" s="125"/>
      <c r="M33" s="125"/>
      <c r="N33" s="125"/>
    </row>
    <row r="34" spans="1:14" outlineLevel="1" x14ac:dyDescent="0.2">
      <c r="A34" s="125"/>
      <c r="B34" s="300"/>
      <c r="C34" s="125"/>
      <c r="D34" s="125"/>
      <c r="E34" s="125"/>
      <c r="F34" s="125"/>
      <c r="G34" s="125"/>
      <c r="H34" s="125"/>
      <c r="I34" s="125"/>
      <c r="J34" s="125"/>
      <c r="K34" s="125"/>
      <c r="L34" s="125"/>
      <c r="M34" s="125"/>
      <c r="N34" s="125"/>
    </row>
    <row r="35" spans="1:14" ht="15.75" outlineLevel="1" x14ac:dyDescent="0.2">
      <c r="A35" s="125"/>
      <c r="B35" s="300"/>
      <c r="C35" s="655"/>
      <c r="D35" s="630">
        <f>FirstYear</f>
        <v>2021</v>
      </c>
      <c r="E35" s="630">
        <f>D35+1</f>
        <v>2022</v>
      </c>
      <c r="F35" s="630">
        <f>E35+1</f>
        <v>2023</v>
      </c>
      <c r="G35" s="630">
        <f>F35+1</f>
        <v>2024</v>
      </c>
      <c r="H35" s="630">
        <f>G35+1</f>
        <v>2025</v>
      </c>
      <c r="I35" s="630">
        <f>H35+1</f>
        <v>2026</v>
      </c>
      <c r="J35" s="125"/>
      <c r="K35" s="125"/>
      <c r="L35" s="125"/>
      <c r="M35" s="125"/>
      <c r="N35" s="125"/>
    </row>
    <row r="36" spans="1:14" outlineLevel="1" x14ac:dyDescent="0.2">
      <c r="A36" s="125"/>
      <c r="B36" s="298">
        <v>1</v>
      </c>
      <c r="C36" s="294" t="s">
        <v>87</v>
      </c>
      <c r="D36" s="282">
        <f t="shared" ref="D36:I36" si="8">INDEX(RPBSScriptsNew,$B28,D29)*INDEX(DPMQCoPayNewPub,$B28,$B36)</f>
        <v>0</v>
      </c>
      <c r="E36" s="282">
        <f t="shared" si="8"/>
        <v>0</v>
      </c>
      <c r="F36" s="282">
        <f t="shared" si="8"/>
        <v>0</v>
      </c>
      <c r="G36" s="282">
        <f t="shared" si="8"/>
        <v>0</v>
      </c>
      <c r="H36" s="282">
        <f t="shared" si="8"/>
        <v>0</v>
      </c>
      <c r="I36" s="282">
        <f t="shared" si="8"/>
        <v>0</v>
      </c>
      <c r="J36" s="125"/>
      <c r="K36" s="125"/>
      <c r="L36" s="125"/>
      <c r="M36" s="125"/>
      <c r="N36" s="125"/>
    </row>
    <row r="37" spans="1:14" outlineLevel="1" x14ac:dyDescent="0.2">
      <c r="A37" s="125"/>
      <c r="B37" s="298">
        <v>5</v>
      </c>
      <c r="C37" s="5" t="s">
        <v>111</v>
      </c>
      <c r="D37" s="282">
        <f t="shared" ref="D37:I37" si="9">INDEX(RPBSScriptsNew,$B28,D29)*(INDEX(DPMQCoPayNewPub,$B28,$B37)/INDEX(CoPayCountNew,$B28))</f>
        <v>0</v>
      </c>
      <c r="E37" s="282">
        <f t="shared" si="9"/>
        <v>0</v>
      </c>
      <c r="F37" s="282">
        <f t="shared" si="9"/>
        <v>0</v>
      </c>
      <c r="G37" s="282">
        <f t="shared" si="9"/>
        <v>0</v>
      </c>
      <c r="H37" s="282">
        <f t="shared" si="9"/>
        <v>0</v>
      </c>
      <c r="I37" s="282">
        <f t="shared" si="9"/>
        <v>0</v>
      </c>
      <c r="J37" s="125"/>
      <c r="K37" s="125"/>
      <c r="L37" s="125"/>
      <c r="M37" s="125"/>
      <c r="N37" s="125"/>
    </row>
    <row r="38" spans="1:14" outlineLevel="1" x14ac:dyDescent="0.2">
      <c r="A38" s="125"/>
      <c r="B38" s="300"/>
      <c r="C38" s="5" t="s">
        <v>89</v>
      </c>
      <c r="D38" s="282">
        <f t="shared" ref="D38:I38" si="10">D36+D37</f>
        <v>0</v>
      </c>
      <c r="E38" s="282">
        <f t="shared" si="10"/>
        <v>0</v>
      </c>
      <c r="F38" s="282">
        <f t="shared" si="10"/>
        <v>0</v>
      </c>
      <c r="G38" s="282">
        <f t="shared" si="10"/>
        <v>0</v>
      </c>
      <c r="H38" s="282">
        <f t="shared" si="10"/>
        <v>0</v>
      </c>
      <c r="I38" s="282">
        <f t="shared" si="10"/>
        <v>0</v>
      </c>
      <c r="J38" s="125"/>
      <c r="K38" s="125"/>
      <c r="L38" s="125"/>
      <c r="M38" s="125"/>
      <c r="N38" s="125"/>
    </row>
    <row r="39" spans="1:14" x14ac:dyDescent="0.2">
      <c r="A39" s="125"/>
      <c r="B39" s="300"/>
      <c r="C39" s="658"/>
      <c r="D39" s="658"/>
      <c r="E39" s="658"/>
      <c r="F39" s="36"/>
      <c r="G39" s="36"/>
      <c r="H39" s="36"/>
      <c r="I39" s="36"/>
      <c r="J39" s="36"/>
      <c r="K39" s="36"/>
      <c r="L39" s="36"/>
      <c r="M39" s="36"/>
      <c r="N39" s="36"/>
    </row>
    <row r="40" spans="1:14" ht="15" x14ac:dyDescent="0.2">
      <c r="A40" s="125"/>
      <c r="B40" s="298">
        <v>2</v>
      </c>
      <c r="C40" s="147" t="str">
        <f>INDEX(PBSScriptsNew,B40,1)</f>
        <v>** NOT USED **</v>
      </c>
      <c r="D40" s="139"/>
      <c r="E40" s="139"/>
      <c r="F40" s="139"/>
      <c r="G40" s="139"/>
      <c r="H40" s="139"/>
      <c r="I40" s="139"/>
      <c r="J40" s="133"/>
      <c r="K40" s="132"/>
      <c r="L40" s="821" t="str">
        <f>IF(C40&lt;&gt;MsgNotUsed,"Co-payment group " &amp; INDEX(DPMQCoPayNewPub,B40,3),"")</f>
        <v/>
      </c>
      <c r="M40" s="821"/>
      <c r="N40" s="633"/>
    </row>
    <row r="41" spans="1:14" outlineLevel="1" x14ac:dyDescent="0.2">
      <c r="A41" s="125"/>
      <c r="B41" s="242">
        <f>INDEX(SANew,B40,5)</f>
        <v>0</v>
      </c>
      <c r="C41" s="658"/>
      <c r="D41" s="697">
        <v>2</v>
      </c>
      <c r="E41" s="697">
        <v>3</v>
      </c>
      <c r="F41" s="650">
        <v>4</v>
      </c>
      <c r="G41" s="650">
        <v>5</v>
      </c>
      <c r="H41" s="650">
        <v>6</v>
      </c>
      <c r="I41" s="650">
        <v>7</v>
      </c>
      <c r="J41" s="125"/>
      <c r="K41" s="36"/>
      <c r="L41" s="36"/>
      <c r="M41" s="36"/>
      <c r="N41" s="36"/>
    </row>
    <row r="42" spans="1:14" outlineLevel="1" x14ac:dyDescent="0.2">
      <c r="A42" s="125"/>
      <c r="B42" s="148"/>
      <c r="C42" s="125"/>
      <c r="D42" s="630">
        <f>FirstYear</f>
        <v>2021</v>
      </c>
      <c r="E42" s="630">
        <f>D42+1</f>
        <v>2022</v>
      </c>
      <c r="F42" s="630">
        <f>E42+1</f>
        <v>2023</v>
      </c>
      <c r="G42" s="630">
        <f>F42+1</f>
        <v>2024</v>
      </c>
      <c r="H42" s="630">
        <f>G42+1</f>
        <v>2025</v>
      </c>
      <c r="I42" s="630">
        <f>H42+1</f>
        <v>2026</v>
      </c>
      <c r="J42" s="125"/>
      <c r="K42" s="125"/>
      <c r="L42" s="125"/>
      <c r="M42" s="125"/>
      <c r="N42" s="125"/>
    </row>
    <row r="43" spans="1:14" outlineLevel="1" x14ac:dyDescent="0.2">
      <c r="A43" s="125"/>
      <c r="B43" s="298">
        <v>1</v>
      </c>
      <c r="C43" s="294" t="s">
        <v>86</v>
      </c>
      <c r="D43" s="282">
        <f t="shared" ref="D43:I43" si="11">INDEX(PBSScriptsNew,$B40,D41)*INDEX(DPMQCoPayNewPub,$B40,$B43)</f>
        <v>0</v>
      </c>
      <c r="E43" s="282">
        <f t="shared" si="11"/>
        <v>0</v>
      </c>
      <c r="F43" s="282">
        <f t="shared" si="11"/>
        <v>0</v>
      </c>
      <c r="G43" s="282">
        <f t="shared" si="11"/>
        <v>0</v>
      </c>
      <c r="H43" s="282">
        <f t="shared" si="11"/>
        <v>0</v>
      </c>
      <c r="I43" s="282">
        <f t="shared" si="11"/>
        <v>0</v>
      </c>
      <c r="J43" s="125"/>
      <c r="K43" s="125"/>
      <c r="L43" s="125"/>
      <c r="M43" s="125"/>
      <c r="N43" s="125"/>
    </row>
    <row r="44" spans="1:14" outlineLevel="1" x14ac:dyDescent="0.2">
      <c r="A44" s="125"/>
      <c r="B44" s="298">
        <v>4</v>
      </c>
      <c r="C44" s="5" t="s">
        <v>111</v>
      </c>
      <c r="D44" s="282">
        <f t="shared" ref="D44:I44" si="12">INDEX(PBSScriptsNew,$B40,D41)*(INDEX(DPMQCoPayNewPub,$B40,$B44)/INDEX(CoPayCountNew,$B40))</f>
        <v>0</v>
      </c>
      <c r="E44" s="282">
        <f t="shared" si="12"/>
        <v>0</v>
      </c>
      <c r="F44" s="282">
        <f t="shared" si="12"/>
        <v>0</v>
      </c>
      <c r="G44" s="282">
        <f t="shared" si="12"/>
        <v>0</v>
      </c>
      <c r="H44" s="282">
        <f t="shared" si="12"/>
        <v>0</v>
      </c>
      <c r="I44" s="282">
        <f t="shared" si="12"/>
        <v>0</v>
      </c>
      <c r="J44" s="125"/>
      <c r="K44" s="811" t="str">
        <f>IF(B41&lt;&gt;0,MsgNote&amp;IF(B41="Yes",INDEX(CoPayMethod,1),INDEX(CoPayMethod,2)),"")</f>
        <v/>
      </c>
      <c r="L44" s="811"/>
      <c r="M44" s="811"/>
      <c r="N44" s="628"/>
    </row>
    <row r="45" spans="1:14" outlineLevel="1" x14ac:dyDescent="0.2">
      <c r="A45" s="125"/>
      <c r="B45" s="300"/>
      <c r="C45" s="5" t="s">
        <v>88</v>
      </c>
      <c r="D45" s="282">
        <f t="shared" ref="D45:I45" si="13">D43+D44</f>
        <v>0</v>
      </c>
      <c r="E45" s="282">
        <f t="shared" si="13"/>
        <v>0</v>
      </c>
      <c r="F45" s="282">
        <f t="shared" si="13"/>
        <v>0</v>
      </c>
      <c r="G45" s="282">
        <f t="shared" si="13"/>
        <v>0</v>
      </c>
      <c r="H45" s="282">
        <f t="shared" si="13"/>
        <v>0</v>
      </c>
      <c r="I45" s="282">
        <f t="shared" si="13"/>
        <v>0</v>
      </c>
      <c r="J45" s="125"/>
      <c r="K45" s="125"/>
      <c r="L45" s="125"/>
      <c r="M45" s="125"/>
      <c r="N45" s="125"/>
    </row>
    <row r="46" spans="1:14" outlineLevel="1" x14ac:dyDescent="0.2">
      <c r="A46" s="125"/>
      <c r="B46" s="300"/>
      <c r="C46" s="125"/>
      <c r="D46" s="125"/>
      <c r="E46" s="125"/>
      <c r="F46" s="125"/>
      <c r="G46" s="125"/>
      <c r="H46" s="125"/>
      <c r="I46" s="125"/>
      <c r="J46" s="125"/>
      <c r="K46" s="125"/>
      <c r="L46" s="125"/>
      <c r="M46" s="125"/>
      <c r="N46" s="125"/>
    </row>
    <row r="47" spans="1:14" ht="15.75" outlineLevel="1" x14ac:dyDescent="0.2">
      <c r="A47" s="125"/>
      <c r="B47" s="300"/>
      <c r="C47" s="655"/>
      <c r="D47" s="630">
        <f>FirstYear</f>
        <v>2021</v>
      </c>
      <c r="E47" s="630">
        <f>D47+1</f>
        <v>2022</v>
      </c>
      <c r="F47" s="630">
        <f>E47+1</f>
        <v>2023</v>
      </c>
      <c r="G47" s="630">
        <f>F47+1</f>
        <v>2024</v>
      </c>
      <c r="H47" s="630">
        <f>G47+1</f>
        <v>2025</v>
      </c>
      <c r="I47" s="630">
        <f>H47+1</f>
        <v>2026</v>
      </c>
      <c r="J47" s="125"/>
      <c r="K47" s="125"/>
      <c r="L47" s="125"/>
      <c r="M47" s="125"/>
      <c r="N47" s="125"/>
    </row>
    <row r="48" spans="1:14" outlineLevel="1" x14ac:dyDescent="0.2">
      <c r="A48" s="125"/>
      <c r="B48" s="298">
        <v>1</v>
      </c>
      <c r="C48" s="294" t="s">
        <v>87</v>
      </c>
      <c r="D48" s="282">
        <f t="shared" ref="D48:I48" si="14">INDEX(RPBSScriptsNew,$B40,D41)*INDEX(DPMQCoPayNewPub,$B40,$B48)</f>
        <v>0</v>
      </c>
      <c r="E48" s="282">
        <f t="shared" si="14"/>
        <v>0</v>
      </c>
      <c r="F48" s="282">
        <f t="shared" si="14"/>
        <v>0</v>
      </c>
      <c r="G48" s="282">
        <f t="shared" si="14"/>
        <v>0</v>
      </c>
      <c r="H48" s="282">
        <f t="shared" si="14"/>
        <v>0</v>
      </c>
      <c r="I48" s="282">
        <f t="shared" si="14"/>
        <v>0</v>
      </c>
      <c r="J48" s="125"/>
      <c r="K48" s="125"/>
      <c r="L48" s="125"/>
      <c r="M48" s="125"/>
      <c r="N48" s="125"/>
    </row>
    <row r="49" spans="1:14" outlineLevel="1" x14ac:dyDescent="0.2">
      <c r="A49" s="125"/>
      <c r="B49" s="298">
        <v>5</v>
      </c>
      <c r="C49" s="5" t="s">
        <v>111</v>
      </c>
      <c r="D49" s="282">
        <f t="shared" ref="D49:I49" si="15">INDEX(RPBSScriptsNew,$B40,D41)*(INDEX(DPMQCoPayNewPub,$B40,$B49)/INDEX(CoPayCountNew,$B40))</f>
        <v>0</v>
      </c>
      <c r="E49" s="282">
        <f t="shared" si="15"/>
        <v>0</v>
      </c>
      <c r="F49" s="282">
        <f t="shared" si="15"/>
        <v>0</v>
      </c>
      <c r="G49" s="282">
        <f t="shared" si="15"/>
        <v>0</v>
      </c>
      <c r="H49" s="282">
        <f t="shared" si="15"/>
        <v>0</v>
      </c>
      <c r="I49" s="282">
        <f t="shared" si="15"/>
        <v>0</v>
      </c>
      <c r="J49" s="125"/>
      <c r="K49" s="125"/>
      <c r="L49" s="125"/>
      <c r="M49" s="125"/>
      <c r="N49" s="125"/>
    </row>
    <row r="50" spans="1:14" outlineLevel="1" x14ac:dyDescent="0.2">
      <c r="A50" s="125"/>
      <c r="B50" s="300"/>
      <c r="C50" s="5" t="s">
        <v>89</v>
      </c>
      <c r="D50" s="282">
        <f t="shared" ref="D50:I50" si="16">D48+D49</f>
        <v>0</v>
      </c>
      <c r="E50" s="282">
        <f t="shared" si="16"/>
        <v>0</v>
      </c>
      <c r="F50" s="282">
        <f t="shared" si="16"/>
        <v>0</v>
      </c>
      <c r="G50" s="282">
        <f t="shared" si="16"/>
        <v>0</v>
      </c>
      <c r="H50" s="282">
        <f t="shared" si="16"/>
        <v>0</v>
      </c>
      <c r="I50" s="282">
        <f t="shared" si="16"/>
        <v>0</v>
      </c>
      <c r="J50" s="125"/>
      <c r="K50" s="125"/>
      <c r="L50" s="125"/>
      <c r="M50" s="125"/>
      <c r="N50" s="125"/>
    </row>
    <row r="51" spans="1:14" x14ac:dyDescent="0.2">
      <c r="A51" s="125"/>
      <c r="B51" s="300"/>
      <c r="C51" s="658"/>
      <c r="D51" s="658"/>
      <c r="E51" s="658"/>
      <c r="F51" s="36"/>
      <c r="G51" s="36"/>
      <c r="H51" s="36"/>
      <c r="I51" s="36"/>
      <c r="J51" s="36"/>
      <c r="K51" s="36"/>
      <c r="L51" s="36"/>
      <c r="M51" s="36"/>
      <c r="N51" s="36"/>
    </row>
    <row r="52" spans="1:14" ht="15" x14ac:dyDescent="0.2">
      <c r="A52" s="125"/>
      <c r="B52" s="298">
        <v>3</v>
      </c>
      <c r="C52" s="147" t="str">
        <f>INDEX(PBSScriptsNew,B52,1)</f>
        <v>** NOT USED **</v>
      </c>
      <c r="D52" s="139"/>
      <c r="E52" s="139"/>
      <c r="F52" s="139"/>
      <c r="G52" s="139"/>
      <c r="H52" s="139"/>
      <c r="I52" s="139"/>
      <c r="J52" s="133"/>
      <c r="K52" s="132"/>
      <c r="L52" s="821" t="str">
        <f>IF(C52&lt;&gt;MsgNotUsed,"Co-payment group " &amp; INDEX(DPMQCoPayNewPub,B52,3),"")</f>
        <v/>
      </c>
      <c r="M52" s="821"/>
      <c r="N52" s="633"/>
    </row>
    <row r="53" spans="1:14" outlineLevel="1" x14ac:dyDescent="0.2">
      <c r="A53" s="125"/>
      <c r="B53" s="242">
        <f>INDEX(SANew,B52,5)</f>
        <v>0</v>
      </c>
      <c r="C53" s="658"/>
      <c r="D53" s="697">
        <v>2</v>
      </c>
      <c r="E53" s="697">
        <v>3</v>
      </c>
      <c r="F53" s="650">
        <v>4</v>
      </c>
      <c r="G53" s="650">
        <v>5</v>
      </c>
      <c r="H53" s="650">
        <v>6</v>
      </c>
      <c r="I53" s="650">
        <v>7</v>
      </c>
      <c r="J53" s="125"/>
      <c r="K53" s="36"/>
      <c r="L53" s="36"/>
      <c r="M53" s="36"/>
      <c r="N53" s="36"/>
    </row>
    <row r="54" spans="1:14" outlineLevel="1" x14ac:dyDescent="0.2">
      <c r="A54" s="125"/>
      <c r="B54" s="148"/>
      <c r="C54" s="125"/>
      <c r="D54" s="630">
        <f>FirstYear</f>
        <v>2021</v>
      </c>
      <c r="E54" s="630">
        <f>D54+1</f>
        <v>2022</v>
      </c>
      <c r="F54" s="630">
        <f>E54+1</f>
        <v>2023</v>
      </c>
      <c r="G54" s="630">
        <f>F54+1</f>
        <v>2024</v>
      </c>
      <c r="H54" s="630">
        <f>G54+1</f>
        <v>2025</v>
      </c>
      <c r="I54" s="630">
        <f>H54+1</f>
        <v>2026</v>
      </c>
      <c r="J54" s="125"/>
      <c r="K54" s="125"/>
      <c r="L54" s="125"/>
      <c r="M54" s="125"/>
      <c r="N54" s="125"/>
    </row>
    <row r="55" spans="1:14" outlineLevel="1" x14ac:dyDescent="0.2">
      <c r="A55" s="125"/>
      <c r="B55" s="298">
        <v>1</v>
      </c>
      <c r="C55" s="294" t="s">
        <v>86</v>
      </c>
      <c r="D55" s="282">
        <f t="shared" ref="D55:I55" si="17">INDEX(PBSScriptsNew,$B52,D53)*INDEX(DPMQCoPayNewPub,$B52,$B55)</f>
        <v>0</v>
      </c>
      <c r="E55" s="282">
        <f t="shared" si="17"/>
        <v>0</v>
      </c>
      <c r="F55" s="282">
        <f t="shared" si="17"/>
        <v>0</v>
      </c>
      <c r="G55" s="282">
        <f t="shared" si="17"/>
        <v>0</v>
      </c>
      <c r="H55" s="282">
        <f t="shared" si="17"/>
        <v>0</v>
      </c>
      <c r="I55" s="282">
        <f t="shared" si="17"/>
        <v>0</v>
      </c>
      <c r="J55" s="125"/>
      <c r="K55" s="125"/>
      <c r="L55" s="125"/>
      <c r="M55" s="125"/>
      <c r="N55" s="125"/>
    </row>
    <row r="56" spans="1:14" outlineLevel="1" x14ac:dyDescent="0.2">
      <c r="A56" s="125"/>
      <c r="B56" s="298">
        <v>4</v>
      </c>
      <c r="C56" s="5" t="s">
        <v>111</v>
      </c>
      <c r="D56" s="282">
        <f t="shared" ref="D56:I56" si="18">INDEX(PBSScriptsNew,$B52,D53)*(INDEX(DPMQCoPayNewPub,$B52,$B56)/INDEX(CoPayCountNew,$B52))</f>
        <v>0</v>
      </c>
      <c r="E56" s="282">
        <f t="shared" si="18"/>
        <v>0</v>
      </c>
      <c r="F56" s="282">
        <f t="shared" si="18"/>
        <v>0</v>
      </c>
      <c r="G56" s="282">
        <f t="shared" si="18"/>
        <v>0</v>
      </c>
      <c r="H56" s="282">
        <f t="shared" si="18"/>
        <v>0</v>
      </c>
      <c r="I56" s="282">
        <f t="shared" si="18"/>
        <v>0</v>
      </c>
      <c r="J56" s="125"/>
      <c r="K56" s="811" t="str">
        <f>IF(B53&lt;&gt;0,MsgNote&amp;IF(B53="Yes",INDEX(CoPayMethod,1),INDEX(CoPayMethod,2)),"")</f>
        <v/>
      </c>
      <c r="L56" s="811"/>
      <c r="M56" s="811"/>
      <c r="N56" s="628"/>
    </row>
    <row r="57" spans="1:14" outlineLevel="1" x14ac:dyDescent="0.2">
      <c r="A57" s="125"/>
      <c r="B57" s="300"/>
      <c r="C57" s="5" t="s">
        <v>88</v>
      </c>
      <c r="D57" s="282">
        <f t="shared" ref="D57:I57" si="19">D55+D56</f>
        <v>0</v>
      </c>
      <c r="E57" s="282">
        <f t="shared" si="19"/>
        <v>0</v>
      </c>
      <c r="F57" s="282">
        <f t="shared" si="19"/>
        <v>0</v>
      </c>
      <c r="G57" s="282">
        <f t="shared" si="19"/>
        <v>0</v>
      </c>
      <c r="H57" s="282">
        <f t="shared" si="19"/>
        <v>0</v>
      </c>
      <c r="I57" s="282">
        <f t="shared" si="19"/>
        <v>0</v>
      </c>
      <c r="J57" s="125"/>
      <c r="K57" s="125"/>
      <c r="L57" s="125"/>
      <c r="M57" s="125"/>
      <c r="N57" s="125"/>
    </row>
    <row r="58" spans="1:14" outlineLevel="1" x14ac:dyDescent="0.2">
      <c r="A58" s="125"/>
      <c r="B58" s="300"/>
      <c r="C58" s="125"/>
      <c r="D58" s="125"/>
      <c r="E58" s="125"/>
      <c r="F58" s="125"/>
      <c r="G58" s="125"/>
      <c r="H58" s="125"/>
      <c r="I58" s="125"/>
      <c r="J58" s="125"/>
      <c r="K58" s="125"/>
      <c r="L58" s="125"/>
      <c r="M58" s="125"/>
      <c r="N58" s="125"/>
    </row>
    <row r="59" spans="1:14" ht="15.75" outlineLevel="1" x14ac:dyDescent="0.2">
      <c r="A59" s="125"/>
      <c r="B59" s="300"/>
      <c r="C59" s="655"/>
      <c r="D59" s="630">
        <f>FirstYear</f>
        <v>2021</v>
      </c>
      <c r="E59" s="630">
        <f>D59+1</f>
        <v>2022</v>
      </c>
      <c r="F59" s="630">
        <f>E59+1</f>
        <v>2023</v>
      </c>
      <c r="G59" s="630">
        <f>F59+1</f>
        <v>2024</v>
      </c>
      <c r="H59" s="630">
        <f>G59+1</f>
        <v>2025</v>
      </c>
      <c r="I59" s="630">
        <f>H59+1</f>
        <v>2026</v>
      </c>
      <c r="J59" s="125"/>
      <c r="K59" s="125"/>
      <c r="L59" s="125"/>
      <c r="M59" s="125"/>
      <c r="N59" s="125"/>
    </row>
    <row r="60" spans="1:14" outlineLevel="1" x14ac:dyDescent="0.2">
      <c r="A60" s="125"/>
      <c r="B60" s="298">
        <v>1</v>
      </c>
      <c r="C60" s="294" t="s">
        <v>87</v>
      </c>
      <c r="D60" s="282">
        <f t="shared" ref="D60:I60" si="20">INDEX(RPBSScriptsNew,$B52,D53)*INDEX(DPMQCoPayNewPub,$B52,$B60)</f>
        <v>0</v>
      </c>
      <c r="E60" s="282">
        <f t="shared" si="20"/>
        <v>0</v>
      </c>
      <c r="F60" s="282">
        <f t="shared" si="20"/>
        <v>0</v>
      </c>
      <c r="G60" s="282">
        <f t="shared" si="20"/>
        <v>0</v>
      </c>
      <c r="H60" s="282">
        <f t="shared" si="20"/>
        <v>0</v>
      </c>
      <c r="I60" s="282">
        <f t="shared" si="20"/>
        <v>0</v>
      </c>
      <c r="J60" s="125"/>
      <c r="K60" s="125"/>
      <c r="L60" s="125"/>
      <c r="M60" s="125"/>
      <c r="N60" s="125"/>
    </row>
    <row r="61" spans="1:14" outlineLevel="1" x14ac:dyDescent="0.2">
      <c r="A61" s="125"/>
      <c r="B61" s="298">
        <v>5</v>
      </c>
      <c r="C61" s="5" t="s">
        <v>111</v>
      </c>
      <c r="D61" s="282">
        <f t="shared" ref="D61:I61" si="21">INDEX(RPBSScriptsNew,$B52,D53)*(INDEX(DPMQCoPayNewPub,$B52,$B61)/INDEX(CoPayCountNew,$B52))</f>
        <v>0</v>
      </c>
      <c r="E61" s="282">
        <f t="shared" si="21"/>
        <v>0</v>
      </c>
      <c r="F61" s="282">
        <f t="shared" si="21"/>
        <v>0</v>
      </c>
      <c r="G61" s="282">
        <f t="shared" si="21"/>
        <v>0</v>
      </c>
      <c r="H61" s="282">
        <f t="shared" si="21"/>
        <v>0</v>
      </c>
      <c r="I61" s="282">
        <f t="shared" si="21"/>
        <v>0</v>
      </c>
      <c r="J61" s="125"/>
      <c r="K61" s="125"/>
      <c r="L61" s="125"/>
      <c r="M61" s="125"/>
      <c r="N61" s="125"/>
    </row>
    <row r="62" spans="1:14" outlineLevel="1" x14ac:dyDescent="0.2">
      <c r="A62" s="125"/>
      <c r="B62" s="300"/>
      <c r="C62" s="5" t="s">
        <v>89</v>
      </c>
      <c r="D62" s="282">
        <f t="shared" ref="D62:I62" si="22">D60+D61</f>
        <v>0</v>
      </c>
      <c r="E62" s="282">
        <f t="shared" si="22"/>
        <v>0</v>
      </c>
      <c r="F62" s="282">
        <f t="shared" si="22"/>
        <v>0</v>
      </c>
      <c r="G62" s="282">
        <f t="shared" si="22"/>
        <v>0</v>
      </c>
      <c r="H62" s="282">
        <f t="shared" si="22"/>
        <v>0</v>
      </c>
      <c r="I62" s="282">
        <f t="shared" si="22"/>
        <v>0</v>
      </c>
      <c r="J62" s="125"/>
      <c r="K62" s="125"/>
      <c r="L62" s="125"/>
      <c r="M62" s="125"/>
      <c r="N62" s="125"/>
    </row>
    <row r="63" spans="1:14" x14ac:dyDescent="0.2">
      <c r="A63" s="125"/>
      <c r="B63" s="300"/>
      <c r="C63" s="658"/>
      <c r="D63" s="658"/>
      <c r="E63" s="658"/>
      <c r="F63" s="36"/>
      <c r="G63" s="36"/>
      <c r="H63" s="36"/>
      <c r="I63" s="36"/>
      <c r="J63" s="36"/>
      <c r="K63" s="36"/>
      <c r="L63" s="36"/>
      <c r="M63" s="36"/>
      <c r="N63" s="36"/>
    </row>
    <row r="64" spans="1:14" ht="15" x14ac:dyDescent="0.2">
      <c r="A64" s="125"/>
      <c r="B64" s="298">
        <v>4</v>
      </c>
      <c r="C64" s="147" t="str">
        <f>INDEX(PBSScriptsNew,B64,1)</f>
        <v>** NOT USED **</v>
      </c>
      <c r="D64" s="139"/>
      <c r="E64" s="139"/>
      <c r="F64" s="139"/>
      <c r="G64" s="139"/>
      <c r="H64" s="139"/>
      <c r="I64" s="139"/>
      <c r="J64" s="133"/>
      <c r="K64" s="132"/>
      <c r="L64" s="821" t="str">
        <f>IF(C64&lt;&gt;MsgNotUsed,"Co-payment group " &amp; INDEX(DPMQCoPayNewPub,B64,3),"")</f>
        <v/>
      </c>
      <c r="M64" s="821"/>
      <c r="N64" s="633"/>
    </row>
    <row r="65" spans="1:14" outlineLevel="1" x14ac:dyDescent="0.2">
      <c r="A65" s="125"/>
      <c r="B65" s="242">
        <f>INDEX(SANew,B64,5)</f>
        <v>0</v>
      </c>
      <c r="C65" s="658"/>
      <c r="D65" s="697">
        <v>2</v>
      </c>
      <c r="E65" s="697">
        <v>3</v>
      </c>
      <c r="F65" s="650">
        <v>4</v>
      </c>
      <c r="G65" s="650">
        <v>5</v>
      </c>
      <c r="H65" s="650">
        <v>6</v>
      </c>
      <c r="I65" s="650">
        <v>7</v>
      </c>
      <c r="J65" s="125"/>
      <c r="K65" s="36"/>
      <c r="L65" s="36"/>
      <c r="M65" s="36"/>
      <c r="N65" s="36"/>
    </row>
    <row r="66" spans="1:14" outlineLevel="1" x14ac:dyDescent="0.2">
      <c r="A66" s="125"/>
      <c r="B66" s="148"/>
      <c r="C66" s="125"/>
      <c r="D66" s="630">
        <f>FirstYear</f>
        <v>2021</v>
      </c>
      <c r="E66" s="630">
        <f>D66+1</f>
        <v>2022</v>
      </c>
      <c r="F66" s="630">
        <f>E66+1</f>
        <v>2023</v>
      </c>
      <c r="G66" s="630">
        <f>F66+1</f>
        <v>2024</v>
      </c>
      <c r="H66" s="630">
        <f>G66+1</f>
        <v>2025</v>
      </c>
      <c r="I66" s="630">
        <f>H66+1</f>
        <v>2026</v>
      </c>
      <c r="J66" s="125"/>
      <c r="K66" s="125"/>
      <c r="L66" s="125"/>
      <c r="M66" s="125"/>
      <c r="N66" s="125"/>
    </row>
    <row r="67" spans="1:14" outlineLevel="1" x14ac:dyDescent="0.2">
      <c r="A67" s="125"/>
      <c r="B67" s="298">
        <v>1</v>
      </c>
      <c r="C67" s="294" t="s">
        <v>86</v>
      </c>
      <c r="D67" s="282">
        <f t="shared" ref="D67:I67" si="23">INDEX(PBSScriptsNew,$B64,D65)*INDEX(DPMQCoPayNewPub,$B64,$B67)</f>
        <v>0</v>
      </c>
      <c r="E67" s="282">
        <f t="shared" si="23"/>
        <v>0</v>
      </c>
      <c r="F67" s="282">
        <f t="shared" si="23"/>
        <v>0</v>
      </c>
      <c r="G67" s="282">
        <f t="shared" si="23"/>
        <v>0</v>
      </c>
      <c r="H67" s="282">
        <f t="shared" si="23"/>
        <v>0</v>
      </c>
      <c r="I67" s="282">
        <f t="shared" si="23"/>
        <v>0</v>
      </c>
      <c r="J67" s="125"/>
      <c r="K67" s="125"/>
      <c r="L67" s="125"/>
      <c r="M67" s="125"/>
      <c r="N67" s="125"/>
    </row>
    <row r="68" spans="1:14" outlineLevel="1" x14ac:dyDescent="0.2">
      <c r="A68" s="125"/>
      <c r="B68" s="298">
        <v>4</v>
      </c>
      <c r="C68" s="5" t="s">
        <v>111</v>
      </c>
      <c r="D68" s="282">
        <f t="shared" ref="D68:I68" si="24">INDEX(PBSScriptsNew,$B64,D65)*(INDEX(DPMQCoPayNewPub,$B64,$B68)/INDEX(CoPayCountNew,$B64))</f>
        <v>0</v>
      </c>
      <c r="E68" s="282">
        <f t="shared" si="24"/>
        <v>0</v>
      </c>
      <c r="F68" s="282">
        <f t="shared" si="24"/>
        <v>0</v>
      </c>
      <c r="G68" s="282">
        <f t="shared" si="24"/>
        <v>0</v>
      </c>
      <c r="H68" s="282">
        <f t="shared" si="24"/>
        <v>0</v>
      </c>
      <c r="I68" s="282">
        <f t="shared" si="24"/>
        <v>0</v>
      </c>
      <c r="J68" s="125"/>
      <c r="K68" s="811" t="str">
        <f>IF(B65&lt;&gt;0,MsgNote&amp;IF(B65="Yes",INDEX(CoPayMethod,1),INDEX(CoPayMethod,2)),"")</f>
        <v/>
      </c>
      <c r="L68" s="811"/>
      <c r="M68" s="811"/>
      <c r="N68" s="628"/>
    </row>
    <row r="69" spans="1:14" outlineLevel="1" x14ac:dyDescent="0.2">
      <c r="A69" s="125"/>
      <c r="B69" s="300"/>
      <c r="C69" s="5" t="s">
        <v>88</v>
      </c>
      <c r="D69" s="282">
        <f t="shared" ref="D69:I69" si="25">D67+D68</f>
        <v>0</v>
      </c>
      <c r="E69" s="282">
        <f t="shared" si="25"/>
        <v>0</v>
      </c>
      <c r="F69" s="282">
        <f t="shared" si="25"/>
        <v>0</v>
      </c>
      <c r="G69" s="282">
        <f t="shared" si="25"/>
        <v>0</v>
      </c>
      <c r="H69" s="282">
        <f t="shared" si="25"/>
        <v>0</v>
      </c>
      <c r="I69" s="282">
        <f t="shared" si="25"/>
        <v>0</v>
      </c>
      <c r="J69" s="125"/>
      <c r="K69" s="125"/>
      <c r="L69" s="125"/>
      <c r="M69" s="125"/>
      <c r="N69" s="125"/>
    </row>
    <row r="70" spans="1:14" outlineLevel="1" x14ac:dyDescent="0.2">
      <c r="A70" s="125"/>
      <c r="B70" s="300"/>
      <c r="C70" s="125"/>
      <c r="D70" s="125"/>
      <c r="E70" s="125"/>
      <c r="F70" s="125"/>
      <c r="G70" s="125"/>
      <c r="H70" s="125"/>
      <c r="I70" s="125"/>
      <c r="J70" s="125"/>
      <c r="K70" s="125"/>
      <c r="L70" s="125"/>
      <c r="M70" s="125"/>
      <c r="N70" s="125"/>
    </row>
    <row r="71" spans="1:14" ht="15.75" outlineLevel="1" x14ac:dyDescent="0.2">
      <c r="A71" s="125"/>
      <c r="B71" s="300"/>
      <c r="C71" s="655"/>
      <c r="D71" s="630">
        <f>FirstYear</f>
        <v>2021</v>
      </c>
      <c r="E71" s="630">
        <f>D71+1</f>
        <v>2022</v>
      </c>
      <c r="F71" s="630">
        <f>E71+1</f>
        <v>2023</v>
      </c>
      <c r="G71" s="630">
        <f>F71+1</f>
        <v>2024</v>
      </c>
      <c r="H71" s="630">
        <f>G71+1</f>
        <v>2025</v>
      </c>
      <c r="I71" s="630">
        <f>H71+1</f>
        <v>2026</v>
      </c>
      <c r="J71" s="125"/>
      <c r="K71" s="125"/>
      <c r="L71" s="125"/>
      <c r="M71" s="125"/>
      <c r="N71" s="125"/>
    </row>
    <row r="72" spans="1:14" outlineLevel="1" x14ac:dyDescent="0.2">
      <c r="A72" s="125"/>
      <c r="B72" s="298">
        <v>1</v>
      </c>
      <c r="C72" s="294" t="s">
        <v>87</v>
      </c>
      <c r="D72" s="282">
        <f t="shared" ref="D72:I72" si="26">INDEX(RPBSScriptsNew,$B64,D65)*INDEX(DPMQCoPayNewPub,$B64,$B72)</f>
        <v>0</v>
      </c>
      <c r="E72" s="282">
        <f t="shared" si="26"/>
        <v>0</v>
      </c>
      <c r="F72" s="282">
        <f t="shared" si="26"/>
        <v>0</v>
      </c>
      <c r="G72" s="282">
        <f t="shared" si="26"/>
        <v>0</v>
      </c>
      <c r="H72" s="282">
        <f t="shared" si="26"/>
        <v>0</v>
      </c>
      <c r="I72" s="282">
        <f t="shared" si="26"/>
        <v>0</v>
      </c>
      <c r="J72" s="125"/>
      <c r="K72" s="125"/>
      <c r="L72" s="125"/>
      <c r="M72" s="125"/>
      <c r="N72" s="125"/>
    </row>
    <row r="73" spans="1:14" outlineLevel="1" x14ac:dyDescent="0.2">
      <c r="A73" s="125"/>
      <c r="B73" s="298">
        <v>5</v>
      </c>
      <c r="C73" s="5" t="s">
        <v>111</v>
      </c>
      <c r="D73" s="282">
        <f t="shared" ref="D73:I73" si="27">INDEX(RPBSScriptsNew,$B64,D65)*(INDEX(DPMQCoPayNewPub,$B64,$B73)/INDEX(CoPayCountNew,$B64))</f>
        <v>0</v>
      </c>
      <c r="E73" s="282">
        <f t="shared" si="27"/>
        <v>0</v>
      </c>
      <c r="F73" s="282">
        <f t="shared" si="27"/>
        <v>0</v>
      </c>
      <c r="G73" s="282">
        <f t="shared" si="27"/>
        <v>0</v>
      </c>
      <c r="H73" s="282">
        <f t="shared" si="27"/>
        <v>0</v>
      </c>
      <c r="I73" s="282">
        <f t="shared" si="27"/>
        <v>0</v>
      </c>
      <c r="J73" s="125"/>
      <c r="K73" s="125"/>
      <c r="L73" s="125"/>
      <c r="M73" s="125"/>
      <c r="N73" s="125"/>
    </row>
    <row r="74" spans="1:14" outlineLevel="1" x14ac:dyDescent="0.2">
      <c r="A74" s="125"/>
      <c r="B74" s="300"/>
      <c r="C74" s="5" t="s">
        <v>89</v>
      </c>
      <c r="D74" s="282">
        <f t="shared" ref="D74:I74" si="28">D72+D73</f>
        <v>0</v>
      </c>
      <c r="E74" s="282">
        <f t="shared" si="28"/>
        <v>0</v>
      </c>
      <c r="F74" s="282">
        <f t="shared" si="28"/>
        <v>0</v>
      </c>
      <c r="G74" s="282">
        <f t="shared" si="28"/>
        <v>0</v>
      </c>
      <c r="H74" s="282">
        <f t="shared" si="28"/>
        <v>0</v>
      </c>
      <c r="I74" s="282">
        <f t="shared" si="28"/>
        <v>0</v>
      </c>
      <c r="J74" s="125"/>
      <c r="K74" s="125"/>
      <c r="L74" s="125"/>
      <c r="M74" s="125"/>
      <c r="N74" s="125"/>
    </row>
    <row r="75" spans="1:14" x14ac:dyDescent="0.2">
      <c r="A75" s="125"/>
      <c r="B75" s="300"/>
      <c r="C75" s="658"/>
      <c r="D75" s="658"/>
      <c r="E75" s="658"/>
      <c r="F75" s="36"/>
      <c r="G75" s="36"/>
      <c r="H75" s="36"/>
      <c r="I75" s="36"/>
      <c r="J75" s="36"/>
      <c r="K75" s="36"/>
      <c r="L75" s="36"/>
      <c r="M75" s="36"/>
      <c r="N75" s="36"/>
    </row>
    <row r="76" spans="1:14" ht="15" x14ac:dyDescent="0.2">
      <c r="A76" s="125"/>
      <c r="B76" s="298">
        <v>5</v>
      </c>
      <c r="C76" s="147" t="str">
        <f>INDEX(PBSScriptsNew,B76,1)</f>
        <v>** NOT USED **</v>
      </c>
      <c r="D76" s="139"/>
      <c r="E76" s="139"/>
      <c r="F76" s="139"/>
      <c r="G76" s="139"/>
      <c r="H76" s="139"/>
      <c r="I76" s="139"/>
      <c r="J76" s="133"/>
      <c r="K76" s="132"/>
      <c r="L76" s="821" t="str">
        <f>IF(C76&lt;&gt;MsgNotUsed,"Co-payment group " &amp; INDEX(DPMQCoPayNewPub,B76,3),"")</f>
        <v/>
      </c>
      <c r="M76" s="821"/>
      <c r="N76" s="633"/>
    </row>
    <row r="77" spans="1:14" outlineLevel="1" x14ac:dyDescent="0.2">
      <c r="A77" s="125"/>
      <c r="B77" s="242">
        <f>INDEX(SANew,B76,5)</f>
        <v>0</v>
      </c>
      <c r="C77" s="658"/>
      <c r="D77" s="697">
        <v>2</v>
      </c>
      <c r="E77" s="697">
        <v>3</v>
      </c>
      <c r="F77" s="650">
        <v>4</v>
      </c>
      <c r="G77" s="650">
        <v>5</v>
      </c>
      <c r="H77" s="650">
        <v>6</v>
      </c>
      <c r="I77" s="650">
        <v>7</v>
      </c>
      <c r="J77" s="125"/>
      <c r="K77" s="36"/>
      <c r="L77" s="36"/>
      <c r="M77" s="36"/>
      <c r="N77" s="36"/>
    </row>
    <row r="78" spans="1:14" outlineLevel="1" x14ac:dyDescent="0.2">
      <c r="A78" s="125"/>
      <c r="B78" s="148"/>
      <c r="C78" s="125"/>
      <c r="D78" s="630">
        <f>FirstYear</f>
        <v>2021</v>
      </c>
      <c r="E78" s="630">
        <f>D78+1</f>
        <v>2022</v>
      </c>
      <c r="F78" s="630">
        <f>E78+1</f>
        <v>2023</v>
      </c>
      <c r="G78" s="630">
        <f>F78+1</f>
        <v>2024</v>
      </c>
      <c r="H78" s="630">
        <f>G78+1</f>
        <v>2025</v>
      </c>
      <c r="I78" s="630">
        <f>H78+1</f>
        <v>2026</v>
      </c>
      <c r="J78" s="125"/>
      <c r="K78" s="125"/>
      <c r="L78" s="125"/>
      <c r="M78" s="125"/>
      <c r="N78" s="125"/>
    </row>
    <row r="79" spans="1:14" outlineLevel="1" x14ac:dyDescent="0.2">
      <c r="A79" s="125"/>
      <c r="B79" s="298">
        <v>1</v>
      </c>
      <c r="C79" s="294" t="s">
        <v>86</v>
      </c>
      <c r="D79" s="282">
        <f t="shared" ref="D79:I79" si="29">INDEX(PBSScriptsNew,$B76,D77)*INDEX(DPMQCoPayNewPub,$B76,$B79)</f>
        <v>0</v>
      </c>
      <c r="E79" s="282">
        <f t="shared" si="29"/>
        <v>0</v>
      </c>
      <c r="F79" s="282">
        <f t="shared" si="29"/>
        <v>0</v>
      </c>
      <c r="G79" s="282">
        <f t="shared" si="29"/>
        <v>0</v>
      </c>
      <c r="H79" s="282">
        <f t="shared" si="29"/>
        <v>0</v>
      </c>
      <c r="I79" s="282">
        <f t="shared" si="29"/>
        <v>0</v>
      </c>
      <c r="J79" s="125"/>
      <c r="K79" s="125"/>
      <c r="L79" s="125"/>
      <c r="M79" s="125"/>
      <c r="N79" s="125"/>
    </row>
    <row r="80" spans="1:14" outlineLevel="1" x14ac:dyDescent="0.2">
      <c r="A80" s="125"/>
      <c r="B80" s="298">
        <v>4</v>
      </c>
      <c r="C80" s="5" t="s">
        <v>111</v>
      </c>
      <c r="D80" s="282">
        <f t="shared" ref="D80:I80" si="30">INDEX(PBSScriptsNew,$B76,D77)*(INDEX(DPMQCoPayNewPub,$B76,$B80)/INDEX(CoPayCountNew,$B76))</f>
        <v>0</v>
      </c>
      <c r="E80" s="282">
        <f t="shared" si="30"/>
        <v>0</v>
      </c>
      <c r="F80" s="282">
        <f t="shared" si="30"/>
        <v>0</v>
      </c>
      <c r="G80" s="282">
        <f t="shared" si="30"/>
        <v>0</v>
      </c>
      <c r="H80" s="282">
        <f t="shared" si="30"/>
        <v>0</v>
      </c>
      <c r="I80" s="282">
        <f t="shared" si="30"/>
        <v>0</v>
      </c>
      <c r="J80" s="125"/>
      <c r="K80" s="811" t="str">
        <f>IF(B77&lt;&gt;0,MsgNote&amp;IF(B77="Yes",INDEX(CoPayMethod,1),INDEX(CoPayMethod,2)),"")</f>
        <v/>
      </c>
      <c r="L80" s="811"/>
      <c r="M80" s="811"/>
      <c r="N80" s="628"/>
    </row>
    <row r="81" spans="1:14" outlineLevel="1" x14ac:dyDescent="0.2">
      <c r="A81" s="125"/>
      <c r="B81" s="300"/>
      <c r="C81" s="5" t="s">
        <v>88</v>
      </c>
      <c r="D81" s="282">
        <f t="shared" ref="D81:I81" si="31">D79+D80</f>
        <v>0</v>
      </c>
      <c r="E81" s="282">
        <f t="shared" si="31"/>
        <v>0</v>
      </c>
      <c r="F81" s="282">
        <f t="shared" si="31"/>
        <v>0</v>
      </c>
      <c r="G81" s="282">
        <f t="shared" si="31"/>
        <v>0</v>
      </c>
      <c r="H81" s="282">
        <f t="shared" si="31"/>
        <v>0</v>
      </c>
      <c r="I81" s="282">
        <f t="shared" si="31"/>
        <v>0</v>
      </c>
      <c r="J81" s="125"/>
      <c r="K81" s="125"/>
      <c r="L81" s="125"/>
      <c r="M81" s="125"/>
      <c r="N81" s="125"/>
    </row>
    <row r="82" spans="1:14" outlineLevel="1" x14ac:dyDescent="0.2">
      <c r="A82" s="125"/>
      <c r="B82" s="300"/>
      <c r="C82" s="125"/>
      <c r="D82" s="125"/>
      <c r="E82" s="125"/>
      <c r="F82" s="125"/>
      <c r="G82" s="125"/>
      <c r="H82" s="125"/>
      <c r="I82" s="125"/>
      <c r="J82" s="125"/>
      <c r="K82" s="125"/>
      <c r="L82" s="125"/>
      <c r="M82" s="125"/>
      <c r="N82" s="125"/>
    </row>
    <row r="83" spans="1:14" ht="15.75" outlineLevel="1" x14ac:dyDescent="0.2">
      <c r="A83" s="125"/>
      <c r="B83" s="300"/>
      <c r="C83" s="655"/>
      <c r="D83" s="630">
        <f>FirstYear</f>
        <v>2021</v>
      </c>
      <c r="E83" s="630">
        <f>D83+1</f>
        <v>2022</v>
      </c>
      <c r="F83" s="630">
        <f>E83+1</f>
        <v>2023</v>
      </c>
      <c r="G83" s="630">
        <f>F83+1</f>
        <v>2024</v>
      </c>
      <c r="H83" s="630">
        <f>G83+1</f>
        <v>2025</v>
      </c>
      <c r="I83" s="630">
        <f>H83+1</f>
        <v>2026</v>
      </c>
      <c r="J83" s="125"/>
      <c r="K83" s="125"/>
      <c r="L83" s="125"/>
      <c r="M83" s="125"/>
      <c r="N83" s="125"/>
    </row>
    <row r="84" spans="1:14" outlineLevel="1" x14ac:dyDescent="0.2">
      <c r="A84" s="125"/>
      <c r="B84" s="298">
        <v>1</v>
      </c>
      <c r="C84" s="294" t="s">
        <v>87</v>
      </c>
      <c r="D84" s="282">
        <f t="shared" ref="D84:I84" si="32">INDEX(RPBSScriptsNew,$B76,D77)*INDEX(DPMQCoPayNewPub,$B76,$B84)</f>
        <v>0</v>
      </c>
      <c r="E84" s="282">
        <f t="shared" si="32"/>
        <v>0</v>
      </c>
      <c r="F84" s="282">
        <f t="shared" si="32"/>
        <v>0</v>
      </c>
      <c r="G84" s="282">
        <f t="shared" si="32"/>
        <v>0</v>
      </c>
      <c r="H84" s="282">
        <f t="shared" si="32"/>
        <v>0</v>
      </c>
      <c r="I84" s="282">
        <f t="shared" si="32"/>
        <v>0</v>
      </c>
      <c r="J84" s="125"/>
      <c r="K84" s="125"/>
      <c r="L84" s="125"/>
      <c r="M84" s="125"/>
      <c r="N84" s="125"/>
    </row>
    <row r="85" spans="1:14" outlineLevel="1" x14ac:dyDescent="0.2">
      <c r="A85" s="125"/>
      <c r="B85" s="298">
        <v>5</v>
      </c>
      <c r="C85" s="5" t="s">
        <v>111</v>
      </c>
      <c r="D85" s="282">
        <f t="shared" ref="D85:I85" si="33">INDEX(RPBSScriptsNew,$B76,D77)*(INDEX(DPMQCoPayNewPub,$B76,$B85)/INDEX(CoPayCountNew,$B76))</f>
        <v>0</v>
      </c>
      <c r="E85" s="282">
        <f t="shared" si="33"/>
        <v>0</v>
      </c>
      <c r="F85" s="282">
        <f t="shared" si="33"/>
        <v>0</v>
      </c>
      <c r="G85" s="282">
        <f t="shared" si="33"/>
        <v>0</v>
      </c>
      <c r="H85" s="282">
        <f t="shared" si="33"/>
        <v>0</v>
      </c>
      <c r="I85" s="282">
        <f t="shared" si="33"/>
        <v>0</v>
      </c>
      <c r="J85" s="125"/>
      <c r="K85" s="125"/>
      <c r="L85" s="125"/>
      <c r="M85" s="125"/>
      <c r="N85" s="125"/>
    </row>
    <row r="86" spans="1:14" outlineLevel="1" x14ac:dyDescent="0.2">
      <c r="A86" s="125"/>
      <c r="B86" s="300"/>
      <c r="C86" s="5" t="s">
        <v>89</v>
      </c>
      <c r="D86" s="282">
        <f t="shared" ref="D86:I86" si="34">D84+D85</f>
        <v>0</v>
      </c>
      <c r="E86" s="282">
        <f t="shared" si="34"/>
        <v>0</v>
      </c>
      <c r="F86" s="282">
        <f t="shared" si="34"/>
        <v>0</v>
      </c>
      <c r="G86" s="282">
        <f t="shared" si="34"/>
        <v>0</v>
      </c>
      <c r="H86" s="282">
        <f t="shared" si="34"/>
        <v>0</v>
      </c>
      <c r="I86" s="282">
        <f t="shared" si="34"/>
        <v>0</v>
      </c>
      <c r="J86" s="125"/>
      <c r="K86" s="125"/>
      <c r="L86" s="125"/>
      <c r="M86" s="125"/>
      <c r="N86" s="125"/>
    </row>
    <row r="87" spans="1:14" x14ac:dyDescent="0.2">
      <c r="A87" s="125"/>
      <c r="B87" s="300"/>
      <c r="C87" s="658"/>
      <c r="D87" s="658"/>
      <c r="E87" s="658"/>
      <c r="F87" s="36"/>
      <c r="G87" s="36"/>
      <c r="H87" s="36"/>
      <c r="I87" s="36"/>
      <c r="J87" s="36"/>
      <c r="K87" s="36"/>
      <c r="L87" s="36"/>
      <c r="M87" s="36"/>
      <c r="N87" s="36"/>
    </row>
    <row r="88" spans="1:14" ht="15" x14ac:dyDescent="0.2">
      <c r="A88" s="125"/>
      <c r="B88" s="298">
        <v>6</v>
      </c>
      <c r="C88" s="147" t="str">
        <f>INDEX(PBSScriptsNew,B88,1)</f>
        <v>** NOT USED **</v>
      </c>
      <c r="D88" s="139"/>
      <c r="E88" s="139"/>
      <c r="F88" s="139"/>
      <c r="G88" s="139"/>
      <c r="H88" s="139"/>
      <c r="I88" s="139"/>
      <c r="J88" s="133"/>
      <c r="K88" s="132"/>
      <c r="L88" s="821" t="str">
        <f>IF(C88&lt;&gt;MsgNotUsed,"Co-payment group " &amp; INDEX(DPMQCoPayNewPub,B88,3),"")</f>
        <v/>
      </c>
      <c r="M88" s="821"/>
      <c r="N88" s="633"/>
    </row>
    <row r="89" spans="1:14" outlineLevel="1" x14ac:dyDescent="0.2">
      <c r="A89" s="125"/>
      <c r="B89" s="242">
        <f>INDEX(SANew,B88,5)</f>
        <v>0</v>
      </c>
      <c r="C89" s="658"/>
      <c r="D89" s="697">
        <v>2</v>
      </c>
      <c r="E89" s="697">
        <v>3</v>
      </c>
      <c r="F89" s="650">
        <v>4</v>
      </c>
      <c r="G89" s="650">
        <v>5</v>
      </c>
      <c r="H89" s="650">
        <v>6</v>
      </c>
      <c r="I89" s="650">
        <v>7</v>
      </c>
      <c r="J89" s="125"/>
      <c r="K89" s="36"/>
      <c r="L89" s="36"/>
      <c r="M89" s="36"/>
      <c r="N89" s="36"/>
    </row>
    <row r="90" spans="1:14" outlineLevel="1" x14ac:dyDescent="0.2">
      <c r="A90" s="125"/>
      <c r="B90" s="148"/>
      <c r="C90" s="125"/>
      <c r="D90" s="630">
        <f>FirstYear</f>
        <v>2021</v>
      </c>
      <c r="E90" s="630">
        <f>D90+1</f>
        <v>2022</v>
      </c>
      <c r="F90" s="630">
        <f>E90+1</f>
        <v>2023</v>
      </c>
      <c r="G90" s="630">
        <f>F90+1</f>
        <v>2024</v>
      </c>
      <c r="H90" s="630">
        <f>G90+1</f>
        <v>2025</v>
      </c>
      <c r="I90" s="630">
        <f>H90+1</f>
        <v>2026</v>
      </c>
      <c r="J90" s="125"/>
      <c r="K90" s="125"/>
      <c r="L90" s="125"/>
      <c r="M90" s="125"/>
      <c r="N90" s="125"/>
    </row>
    <row r="91" spans="1:14" outlineLevel="1" x14ac:dyDescent="0.2">
      <c r="A91" s="125"/>
      <c r="B91" s="298">
        <v>1</v>
      </c>
      <c r="C91" s="294" t="s">
        <v>86</v>
      </c>
      <c r="D91" s="282">
        <f t="shared" ref="D91:I91" si="35">INDEX(PBSScriptsNew,$B88,D89)*INDEX(DPMQCoPayNewPub,$B88,$B91)</f>
        <v>0</v>
      </c>
      <c r="E91" s="282">
        <f t="shared" si="35"/>
        <v>0</v>
      </c>
      <c r="F91" s="282">
        <f t="shared" si="35"/>
        <v>0</v>
      </c>
      <c r="G91" s="282">
        <f t="shared" si="35"/>
        <v>0</v>
      </c>
      <c r="H91" s="282">
        <f t="shared" si="35"/>
        <v>0</v>
      </c>
      <c r="I91" s="282">
        <f t="shared" si="35"/>
        <v>0</v>
      </c>
      <c r="J91" s="125"/>
      <c r="K91" s="125"/>
      <c r="L91" s="125"/>
      <c r="M91" s="125"/>
      <c r="N91" s="125"/>
    </row>
    <row r="92" spans="1:14" outlineLevel="1" x14ac:dyDescent="0.2">
      <c r="A92" s="125"/>
      <c r="B92" s="298">
        <v>4</v>
      </c>
      <c r="C92" s="5" t="s">
        <v>111</v>
      </c>
      <c r="D92" s="282">
        <f t="shared" ref="D92:I92" si="36">INDEX(PBSScriptsNew,$B88,D89)*(INDEX(DPMQCoPayNewPub,$B88,$B92)/INDEX(CoPayCountNew,$B88))</f>
        <v>0</v>
      </c>
      <c r="E92" s="282">
        <f t="shared" si="36"/>
        <v>0</v>
      </c>
      <c r="F92" s="282">
        <f t="shared" si="36"/>
        <v>0</v>
      </c>
      <c r="G92" s="282">
        <f t="shared" si="36"/>
        <v>0</v>
      </c>
      <c r="H92" s="282">
        <f t="shared" si="36"/>
        <v>0</v>
      </c>
      <c r="I92" s="282">
        <f t="shared" si="36"/>
        <v>0</v>
      </c>
      <c r="J92" s="125"/>
      <c r="K92" s="811" t="str">
        <f>IF(B89&lt;&gt;0,MsgNote&amp;IF(B89="Yes",INDEX(CoPayMethod,1),INDEX(CoPayMethod,2)),"")</f>
        <v/>
      </c>
      <c r="L92" s="811"/>
      <c r="M92" s="811"/>
      <c r="N92" s="628"/>
    </row>
    <row r="93" spans="1:14" outlineLevel="1" x14ac:dyDescent="0.2">
      <c r="A93" s="125"/>
      <c r="B93" s="300"/>
      <c r="C93" s="5" t="s">
        <v>88</v>
      </c>
      <c r="D93" s="282">
        <f t="shared" ref="D93:I93" si="37">D91+D92</f>
        <v>0</v>
      </c>
      <c r="E93" s="282">
        <f t="shared" si="37"/>
        <v>0</v>
      </c>
      <c r="F93" s="282">
        <f t="shared" si="37"/>
        <v>0</v>
      </c>
      <c r="G93" s="282">
        <f t="shared" si="37"/>
        <v>0</v>
      </c>
      <c r="H93" s="282">
        <f t="shared" si="37"/>
        <v>0</v>
      </c>
      <c r="I93" s="282">
        <f t="shared" si="37"/>
        <v>0</v>
      </c>
      <c r="J93" s="125"/>
      <c r="K93" s="125"/>
      <c r="L93" s="125"/>
      <c r="M93" s="125"/>
      <c r="N93" s="125"/>
    </row>
    <row r="94" spans="1:14" outlineLevel="1" x14ac:dyDescent="0.2">
      <c r="A94" s="125"/>
      <c r="B94" s="300"/>
      <c r="C94" s="125"/>
      <c r="D94" s="125"/>
      <c r="E94" s="125"/>
      <c r="F94" s="125"/>
      <c r="G94" s="125"/>
      <c r="H94" s="125"/>
      <c r="I94" s="125"/>
      <c r="J94" s="125"/>
      <c r="K94" s="125"/>
      <c r="L94" s="125"/>
      <c r="M94" s="125"/>
      <c r="N94" s="125"/>
    </row>
    <row r="95" spans="1:14" ht="15.75" outlineLevel="1" x14ac:dyDescent="0.2">
      <c r="A95" s="125"/>
      <c r="B95" s="300"/>
      <c r="C95" s="655"/>
      <c r="D95" s="630">
        <f>FirstYear</f>
        <v>2021</v>
      </c>
      <c r="E95" s="630">
        <f>D95+1</f>
        <v>2022</v>
      </c>
      <c r="F95" s="630">
        <f>E95+1</f>
        <v>2023</v>
      </c>
      <c r="G95" s="630">
        <f>F95+1</f>
        <v>2024</v>
      </c>
      <c r="H95" s="630">
        <f>G95+1</f>
        <v>2025</v>
      </c>
      <c r="I95" s="630">
        <f>H95+1</f>
        <v>2026</v>
      </c>
      <c r="J95" s="125"/>
      <c r="K95" s="125"/>
      <c r="L95" s="125"/>
      <c r="M95" s="125"/>
      <c r="N95" s="125"/>
    </row>
    <row r="96" spans="1:14" outlineLevel="1" x14ac:dyDescent="0.2">
      <c r="A96" s="125"/>
      <c r="B96" s="298">
        <v>1</v>
      </c>
      <c r="C96" s="294" t="s">
        <v>87</v>
      </c>
      <c r="D96" s="282">
        <f t="shared" ref="D96:I96" si="38">INDEX(RPBSScriptsNew,$B88,D89)*INDEX(DPMQCoPayNewPub,$B88,$B96)</f>
        <v>0</v>
      </c>
      <c r="E96" s="282">
        <f t="shared" si="38"/>
        <v>0</v>
      </c>
      <c r="F96" s="282">
        <f t="shared" si="38"/>
        <v>0</v>
      </c>
      <c r="G96" s="282">
        <f t="shared" si="38"/>
        <v>0</v>
      </c>
      <c r="H96" s="282">
        <f t="shared" si="38"/>
        <v>0</v>
      </c>
      <c r="I96" s="282">
        <f t="shared" si="38"/>
        <v>0</v>
      </c>
      <c r="J96" s="125"/>
      <c r="K96" s="125"/>
      <c r="L96" s="125"/>
      <c r="M96" s="125"/>
      <c r="N96" s="125"/>
    </row>
    <row r="97" spans="1:14" outlineLevel="1" x14ac:dyDescent="0.2">
      <c r="A97" s="125"/>
      <c r="B97" s="298">
        <v>5</v>
      </c>
      <c r="C97" s="5" t="s">
        <v>111</v>
      </c>
      <c r="D97" s="282">
        <f t="shared" ref="D97:I97" si="39">INDEX(RPBSScriptsNew,$B88,D89)*(INDEX(DPMQCoPayNewPub,$B88,$B97)/INDEX(CoPayCountNew,$B88))</f>
        <v>0</v>
      </c>
      <c r="E97" s="282">
        <f t="shared" si="39"/>
        <v>0</v>
      </c>
      <c r="F97" s="282">
        <f t="shared" si="39"/>
        <v>0</v>
      </c>
      <c r="G97" s="282">
        <f t="shared" si="39"/>
        <v>0</v>
      </c>
      <c r="H97" s="282">
        <f t="shared" si="39"/>
        <v>0</v>
      </c>
      <c r="I97" s="282">
        <f t="shared" si="39"/>
        <v>0</v>
      </c>
      <c r="J97" s="125"/>
      <c r="K97" s="125"/>
      <c r="L97" s="125"/>
      <c r="M97" s="125"/>
      <c r="N97" s="125"/>
    </row>
    <row r="98" spans="1:14" outlineLevel="1" x14ac:dyDescent="0.2">
      <c r="A98" s="125"/>
      <c r="B98" s="300"/>
      <c r="C98" s="5" t="s">
        <v>89</v>
      </c>
      <c r="D98" s="282">
        <f t="shared" ref="D98:I98" si="40">D96+D97</f>
        <v>0</v>
      </c>
      <c r="E98" s="282">
        <f t="shared" si="40"/>
        <v>0</v>
      </c>
      <c r="F98" s="282">
        <f t="shared" si="40"/>
        <v>0</v>
      </c>
      <c r="G98" s="282">
        <f t="shared" si="40"/>
        <v>0</v>
      </c>
      <c r="H98" s="282">
        <f t="shared" si="40"/>
        <v>0</v>
      </c>
      <c r="I98" s="282">
        <f t="shared" si="40"/>
        <v>0</v>
      </c>
      <c r="J98" s="125"/>
      <c r="K98" s="125"/>
      <c r="L98" s="125"/>
      <c r="M98" s="125"/>
      <c r="N98" s="125"/>
    </row>
    <row r="99" spans="1:14" x14ac:dyDescent="0.2">
      <c r="A99" s="125"/>
      <c r="B99" s="300"/>
      <c r="C99" s="658"/>
      <c r="D99" s="658"/>
      <c r="E99" s="658"/>
      <c r="F99" s="36"/>
      <c r="G99" s="36"/>
      <c r="H99" s="36"/>
      <c r="I99" s="36"/>
      <c r="J99" s="36"/>
      <c r="K99" s="36"/>
      <c r="L99" s="36"/>
      <c r="M99" s="36"/>
      <c r="N99" s="36"/>
    </row>
    <row r="100" spans="1:14" ht="15" x14ac:dyDescent="0.2">
      <c r="A100" s="125"/>
      <c r="B100" s="298">
        <v>7</v>
      </c>
      <c r="C100" s="147" t="str">
        <f>INDEX(PBSScriptsNew,B100,1)</f>
        <v>** NOT USED **</v>
      </c>
      <c r="D100" s="139"/>
      <c r="E100" s="139"/>
      <c r="F100" s="139"/>
      <c r="G100" s="139"/>
      <c r="H100" s="139"/>
      <c r="I100" s="139"/>
      <c r="J100" s="133"/>
      <c r="K100" s="132"/>
      <c r="L100" s="821" t="str">
        <f>IF(C100&lt;&gt;MsgNotUsed,"Co-payment group " &amp; INDEX(DPMQCoPayNewPub,B100,3),"")</f>
        <v/>
      </c>
      <c r="M100" s="821"/>
      <c r="N100" s="633"/>
    </row>
    <row r="101" spans="1:14" outlineLevel="1" x14ac:dyDescent="0.2">
      <c r="A101" s="125"/>
      <c r="B101" s="242">
        <f>INDEX(SANew,B100,5)</f>
        <v>0</v>
      </c>
      <c r="C101" s="658"/>
      <c r="D101" s="697">
        <v>2</v>
      </c>
      <c r="E101" s="697">
        <v>3</v>
      </c>
      <c r="F101" s="650">
        <v>4</v>
      </c>
      <c r="G101" s="650">
        <v>5</v>
      </c>
      <c r="H101" s="650">
        <v>6</v>
      </c>
      <c r="I101" s="650">
        <v>7</v>
      </c>
      <c r="J101" s="125"/>
      <c r="K101" s="36"/>
      <c r="L101" s="36"/>
      <c r="M101" s="36"/>
      <c r="N101" s="36"/>
    </row>
    <row r="102" spans="1:14" outlineLevel="1" x14ac:dyDescent="0.2">
      <c r="A102" s="125"/>
      <c r="B102" s="148"/>
      <c r="C102" s="125"/>
      <c r="D102" s="630">
        <f>FirstYear</f>
        <v>2021</v>
      </c>
      <c r="E102" s="630">
        <f>D102+1</f>
        <v>2022</v>
      </c>
      <c r="F102" s="630">
        <f>E102+1</f>
        <v>2023</v>
      </c>
      <c r="G102" s="630">
        <f>F102+1</f>
        <v>2024</v>
      </c>
      <c r="H102" s="630">
        <f>G102+1</f>
        <v>2025</v>
      </c>
      <c r="I102" s="630">
        <f>H102+1</f>
        <v>2026</v>
      </c>
      <c r="J102" s="125"/>
      <c r="K102" s="125"/>
      <c r="L102" s="125"/>
      <c r="M102" s="125"/>
      <c r="N102" s="125"/>
    </row>
    <row r="103" spans="1:14" outlineLevel="1" x14ac:dyDescent="0.2">
      <c r="A103" s="125"/>
      <c r="B103" s="298">
        <v>1</v>
      </c>
      <c r="C103" s="294" t="s">
        <v>86</v>
      </c>
      <c r="D103" s="282">
        <f t="shared" ref="D103:I103" si="41">INDEX(PBSScriptsNew,$B100,D101)*INDEX(DPMQCoPayNewPub,$B100,$B103)</f>
        <v>0</v>
      </c>
      <c r="E103" s="282">
        <f t="shared" si="41"/>
        <v>0</v>
      </c>
      <c r="F103" s="282">
        <f t="shared" si="41"/>
        <v>0</v>
      </c>
      <c r="G103" s="282">
        <f t="shared" si="41"/>
        <v>0</v>
      </c>
      <c r="H103" s="282">
        <f t="shared" si="41"/>
        <v>0</v>
      </c>
      <c r="I103" s="282">
        <f t="shared" si="41"/>
        <v>0</v>
      </c>
      <c r="J103" s="125"/>
      <c r="K103" s="125"/>
      <c r="L103" s="125"/>
      <c r="M103" s="125"/>
      <c r="N103" s="125"/>
    </row>
    <row r="104" spans="1:14" outlineLevel="1" x14ac:dyDescent="0.2">
      <c r="A104" s="125"/>
      <c r="B104" s="298">
        <v>4</v>
      </c>
      <c r="C104" s="5" t="s">
        <v>111</v>
      </c>
      <c r="D104" s="282">
        <f t="shared" ref="D104:I104" si="42">INDEX(PBSScriptsNew,$B100,D101)*(INDEX(DPMQCoPayNewPub,$B100,$B104)/INDEX(CoPayCountNew,$B100))</f>
        <v>0</v>
      </c>
      <c r="E104" s="282">
        <f t="shared" si="42"/>
        <v>0</v>
      </c>
      <c r="F104" s="282">
        <f t="shared" si="42"/>
        <v>0</v>
      </c>
      <c r="G104" s="282">
        <f t="shared" si="42"/>
        <v>0</v>
      </c>
      <c r="H104" s="282">
        <f t="shared" si="42"/>
        <v>0</v>
      </c>
      <c r="I104" s="282">
        <f t="shared" si="42"/>
        <v>0</v>
      </c>
      <c r="J104" s="125"/>
      <c r="K104" s="811" t="str">
        <f>IF(B101&lt;&gt;0,MsgNote&amp;IF(B101="Yes",INDEX(CoPayMethod,1),INDEX(CoPayMethod,2)),"")</f>
        <v/>
      </c>
      <c r="L104" s="811"/>
      <c r="M104" s="811"/>
      <c r="N104" s="628"/>
    </row>
    <row r="105" spans="1:14" outlineLevel="1" x14ac:dyDescent="0.2">
      <c r="A105" s="125"/>
      <c r="B105" s="300"/>
      <c r="C105" s="5" t="s">
        <v>88</v>
      </c>
      <c r="D105" s="282">
        <f t="shared" ref="D105:I105" si="43">D103+D104</f>
        <v>0</v>
      </c>
      <c r="E105" s="282">
        <f t="shared" si="43"/>
        <v>0</v>
      </c>
      <c r="F105" s="282">
        <f t="shared" si="43"/>
        <v>0</v>
      </c>
      <c r="G105" s="282">
        <f t="shared" si="43"/>
        <v>0</v>
      </c>
      <c r="H105" s="282">
        <f t="shared" si="43"/>
        <v>0</v>
      </c>
      <c r="I105" s="282">
        <f t="shared" si="43"/>
        <v>0</v>
      </c>
      <c r="J105" s="125"/>
      <c r="K105" s="125"/>
      <c r="L105" s="125"/>
      <c r="M105" s="125"/>
      <c r="N105" s="125"/>
    </row>
    <row r="106" spans="1:14" outlineLevel="1" x14ac:dyDescent="0.2">
      <c r="A106" s="125"/>
      <c r="B106" s="300"/>
      <c r="C106" s="125"/>
      <c r="D106" s="125"/>
      <c r="E106" s="125"/>
      <c r="F106" s="125"/>
      <c r="G106" s="125"/>
      <c r="H106" s="125"/>
      <c r="I106" s="125"/>
      <c r="J106" s="125"/>
      <c r="K106" s="125"/>
      <c r="L106" s="125"/>
      <c r="M106" s="125"/>
      <c r="N106" s="125"/>
    </row>
    <row r="107" spans="1:14" ht="15.75" outlineLevel="1" x14ac:dyDescent="0.2">
      <c r="A107" s="125"/>
      <c r="B107" s="300"/>
      <c r="C107" s="655"/>
      <c r="D107" s="630">
        <f>FirstYear</f>
        <v>2021</v>
      </c>
      <c r="E107" s="630">
        <f>D107+1</f>
        <v>2022</v>
      </c>
      <c r="F107" s="630">
        <f>E107+1</f>
        <v>2023</v>
      </c>
      <c r="G107" s="630">
        <f>F107+1</f>
        <v>2024</v>
      </c>
      <c r="H107" s="630">
        <f>G107+1</f>
        <v>2025</v>
      </c>
      <c r="I107" s="630">
        <f>H107+1</f>
        <v>2026</v>
      </c>
      <c r="J107" s="125"/>
      <c r="K107" s="125"/>
      <c r="L107" s="125"/>
      <c r="M107" s="125"/>
      <c r="N107" s="125"/>
    </row>
    <row r="108" spans="1:14" outlineLevel="1" x14ac:dyDescent="0.2">
      <c r="A108" s="125"/>
      <c r="B108" s="298">
        <v>1</v>
      </c>
      <c r="C108" s="294" t="s">
        <v>87</v>
      </c>
      <c r="D108" s="282">
        <f t="shared" ref="D108:I108" si="44">INDEX(RPBSScriptsNew,$B100,D101)*INDEX(DPMQCoPayNewPub,$B100,$B108)</f>
        <v>0</v>
      </c>
      <c r="E108" s="282">
        <f t="shared" si="44"/>
        <v>0</v>
      </c>
      <c r="F108" s="282">
        <f t="shared" si="44"/>
        <v>0</v>
      </c>
      <c r="G108" s="282">
        <f t="shared" si="44"/>
        <v>0</v>
      </c>
      <c r="H108" s="282">
        <f t="shared" si="44"/>
        <v>0</v>
      </c>
      <c r="I108" s="282">
        <f t="shared" si="44"/>
        <v>0</v>
      </c>
      <c r="J108" s="125"/>
      <c r="K108" s="125"/>
      <c r="L108" s="125"/>
      <c r="M108" s="125"/>
      <c r="N108" s="125"/>
    </row>
    <row r="109" spans="1:14" outlineLevel="1" x14ac:dyDescent="0.2">
      <c r="A109" s="125"/>
      <c r="B109" s="298">
        <v>5</v>
      </c>
      <c r="C109" s="5" t="s">
        <v>111</v>
      </c>
      <c r="D109" s="282">
        <f t="shared" ref="D109:I109" si="45">INDEX(RPBSScriptsNew,$B100,D101)*(INDEX(DPMQCoPayNewPub,$B100,$B109)/INDEX(CoPayCountNew,$B100))</f>
        <v>0</v>
      </c>
      <c r="E109" s="282">
        <f t="shared" si="45"/>
        <v>0</v>
      </c>
      <c r="F109" s="282">
        <f t="shared" si="45"/>
        <v>0</v>
      </c>
      <c r="G109" s="282">
        <f t="shared" si="45"/>
        <v>0</v>
      </c>
      <c r="H109" s="282">
        <f t="shared" si="45"/>
        <v>0</v>
      </c>
      <c r="I109" s="282">
        <f t="shared" si="45"/>
        <v>0</v>
      </c>
      <c r="J109" s="125"/>
      <c r="K109" s="125"/>
      <c r="L109" s="125"/>
      <c r="M109" s="125"/>
      <c r="N109" s="125"/>
    </row>
    <row r="110" spans="1:14" outlineLevel="1" x14ac:dyDescent="0.2">
      <c r="A110" s="125"/>
      <c r="B110" s="300"/>
      <c r="C110" s="5" t="s">
        <v>89</v>
      </c>
      <c r="D110" s="282">
        <f t="shared" ref="D110:I110" si="46">D108+D109</f>
        <v>0</v>
      </c>
      <c r="E110" s="282">
        <f t="shared" si="46"/>
        <v>0</v>
      </c>
      <c r="F110" s="282">
        <f t="shared" si="46"/>
        <v>0</v>
      </c>
      <c r="G110" s="282">
        <f t="shared" si="46"/>
        <v>0</v>
      </c>
      <c r="H110" s="282">
        <f t="shared" si="46"/>
        <v>0</v>
      </c>
      <c r="I110" s="282">
        <f t="shared" si="46"/>
        <v>0</v>
      </c>
      <c r="J110" s="125"/>
      <c r="K110" s="125"/>
      <c r="L110" s="125"/>
      <c r="M110" s="125"/>
      <c r="N110" s="125"/>
    </row>
    <row r="111" spans="1:14" x14ac:dyDescent="0.2">
      <c r="A111" s="125"/>
      <c r="B111" s="300"/>
      <c r="C111" s="658"/>
      <c r="D111" s="658"/>
      <c r="E111" s="658"/>
      <c r="F111" s="36"/>
      <c r="G111" s="36"/>
      <c r="H111" s="36"/>
      <c r="I111" s="36"/>
      <c r="J111" s="36"/>
      <c r="K111" s="36"/>
      <c r="L111" s="36"/>
      <c r="M111" s="36"/>
      <c r="N111" s="36"/>
    </row>
    <row r="112" spans="1:14" ht="15" x14ac:dyDescent="0.2">
      <c r="A112" s="125"/>
      <c r="B112" s="298">
        <v>8</v>
      </c>
      <c r="C112" s="147" t="str">
        <f>INDEX(PBSScriptsNew,B112,1)</f>
        <v>** NOT USED **</v>
      </c>
      <c r="D112" s="139"/>
      <c r="E112" s="139"/>
      <c r="F112" s="139"/>
      <c r="G112" s="139"/>
      <c r="H112" s="139"/>
      <c r="I112" s="139"/>
      <c r="J112" s="133"/>
      <c r="K112" s="132"/>
      <c r="L112" s="821" t="str">
        <f>IF(C112&lt;&gt;MsgNotUsed,"Co-payment group " &amp; INDEX(DPMQCoPayNewPub,B112,3),"")</f>
        <v/>
      </c>
      <c r="M112" s="821"/>
      <c r="N112" s="633"/>
    </row>
    <row r="113" spans="1:14" outlineLevel="1" x14ac:dyDescent="0.2">
      <c r="A113" s="125"/>
      <c r="B113" s="242">
        <f>INDEX(SANew,B112,5)</f>
        <v>0</v>
      </c>
      <c r="C113" s="658"/>
      <c r="D113" s="697">
        <v>2</v>
      </c>
      <c r="E113" s="697">
        <v>3</v>
      </c>
      <c r="F113" s="650">
        <v>4</v>
      </c>
      <c r="G113" s="650">
        <v>5</v>
      </c>
      <c r="H113" s="650">
        <v>6</v>
      </c>
      <c r="I113" s="650">
        <v>7</v>
      </c>
      <c r="J113" s="125"/>
      <c r="K113" s="36"/>
      <c r="L113" s="36"/>
      <c r="M113" s="36"/>
      <c r="N113" s="36"/>
    </row>
    <row r="114" spans="1:14" outlineLevel="1" x14ac:dyDescent="0.2">
      <c r="A114" s="125"/>
      <c r="B114" s="148"/>
      <c r="C114" s="125"/>
      <c r="D114" s="630">
        <f>FirstYear</f>
        <v>2021</v>
      </c>
      <c r="E114" s="630">
        <f>D114+1</f>
        <v>2022</v>
      </c>
      <c r="F114" s="630">
        <f>E114+1</f>
        <v>2023</v>
      </c>
      <c r="G114" s="630">
        <f>F114+1</f>
        <v>2024</v>
      </c>
      <c r="H114" s="630">
        <f>G114+1</f>
        <v>2025</v>
      </c>
      <c r="I114" s="630">
        <f>H114+1</f>
        <v>2026</v>
      </c>
      <c r="J114" s="125"/>
      <c r="K114" s="125"/>
      <c r="L114" s="125"/>
      <c r="M114" s="125"/>
      <c r="N114" s="125"/>
    </row>
    <row r="115" spans="1:14" outlineLevel="1" x14ac:dyDescent="0.2">
      <c r="A115" s="125"/>
      <c r="B115" s="298">
        <v>1</v>
      </c>
      <c r="C115" s="294" t="s">
        <v>86</v>
      </c>
      <c r="D115" s="282">
        <f t="shared" ref="D115:I115" si="47">INDEX(PBSScriptsNew,$B112,D113)*INDEX(DPMQCoPayNewPub,$B112,$B115)</f>
        <v>0</v>
      </c>
      <c r="E115" s="282">
        <f t="shared" si="47"/>
        <v>0</v>
      </c>
      <c r="F115" s="282">
        <f t="shared" si="47"/>
        <v>0</v>
      </c>
      <c r="G115" s="282">
        <f t="shared" si="47"/>
        <v>0</v>
      </c>
      <c r="H115" s="282">
        <f t="shared" si="47"/>
        <v>0</v>
      </c>
      <c r="I115" s="282">
        <f t="shared" si="47"/>
        <v>0</v>
      </c>
      <c r="J115" s="125"/>
      <c r="K115" s="125"/>
      <c r="L115" s="125"/>
      <c r="M115" s="125"/>
      <c r="N115" s="125"/>
    </row>
    <row r="116" spans="1:14" outlineLevel="1" x14ac:dyDescent="0.2">
      <c r="A116" s="125"/>
      <c r="B116" s="298">
        <v>4</v>
      </c>
      <c r="C116" s="5" t="s">
        <v>111</v>
      </c>
      <c r="D116" s="282">
        <f t="shared" ref="D116:I116" si="48">INDEX(PBSScriptsNew,$B112,D113)*(INDEX(DPMQCoPayNewPub,$B112,$B116)/INDEX(CoPayCountNew,$B112))</f>
        <v>0</v>
      </c>
      <c r="E116" s="282">
        <f t="shared" si="48"/>
        <v>0</v>
      </c>
      <c r="F116" s="282">
        <f t="shared" si="48"/>
        <v>0</v>
      </c>
      <c r="G116" s="282">
        <f t="shared" si="48"/>
        <v>0</v>
      </c>
      <c r="H116" s="282">
        <f t="shared" si="48"/>
        <v>0</v>
      </c>
      <c r="I116" s="282">
        <f t="shared" si="48"/>
        <v>0</v>
      </c>
      <c r="J116" s="125"/>
      <c r="K116" s="811" t="str">
        <f>IF(B113&lt;&gt;0,MsgNote&amp;IF(B113="Yes",INDEX(CoPayMethod,1),INDEX(CoPayMethod,2)),"")</f>
        <v/>
      </c>
      <c r="L116" s="811"/>
      <c r="M116" s="811"/>
      <c r="N116" s="628"/>
    </row>
    <row r="117" spans="1:14" outlineLevel="1" x14ac:dyDescent="0.2">
      <c r="A117" s="125"/>
      <c r="B117" s="300"/>
      <c r="C117" s="5" t="s">
        <v>88</v>
      </c>
      <c r="D117" s="282">
        <f t="shared" ref="D117:I117" si="49">D115+D116</f>
        <v>0</v>
      </c>
      <c r="E117" s="282">
        <f t="shared" si="49"/>
        <v>0</v>
      </c>
      <c r="F117" s="282">
        <f t="shared" si="49"/>
        <v>0</v>
      </c>
      <c r="G117" s="282">
        <f t="shared" si="49"/>
        <v>0</v>
      </c>
      <c r="H117" s="282">
        <f t="shared" si="49"/>
        <v>0</v>
      </c>
      <c r="I117" s="282">
        <f t="shared" si="49"/>
        <v>0</v>
      </c>
      <c r="J117" s="125"/>
      <c r="K117" s="125"/>
      <c r="L117" s="125"/>
      <c r="M117" s="125"/>
      <c r="N117" s="125"/>
    </row>
    <row r="118" spans="1:14" outlineLevel="1" x14ac:dyDescent="0.2">
      <c r="A118" s="125"/>
      <c r="B118" s="300"/>
      <c r="C118" s="125"/>
      <c r="D118" s="125"/>
      <c r="E118" s="125"/>
      <c r="F118" s="125"/>
      <c r="G118" s="125"/>
      <c r="H118" s="125"/>
      <c r="I118" s="125"/>
      <c r="J118" s="125"/>
      <c r="K118" s="125"/>
      <c r="L118" s="125"/>
      <c r="M118" s="125"/>
      <c r="N118" s="125"/>
    </row>
    <row r="119" spans="1:14" ht="15.75" outlineLevel="1" x14ac:dyDescent="0.2">
      <c r="A119" s="125"/>
      <c r="B119" s="300"/>
      <c r="C119" s="655"/>
      <c r="D119" s="630">
        <f>FirstYear</f>
        <v>2021</v>
      </c>
      <c r="E119" s="630">
        <f>D119+1</f>
        <v>2022</v>
      </c>
      <c r="F119" s="630">
        <f>E119+1</f>
        <v>2023</v>
      </c>
      <c r="G119" s="630">
        <f>F119+1</f>
        <v>2024</v>
      </c>
      <c r="H119" s="630">
        <f>G119+1</f>
        <v>2025</v>
      </c>
      <c r="I119" s="630">
        <f>H119+1</f>
        <v>2026</v>
      </c>
      <c r="J119" s="125"/>
      <c r="K119" s="125"/>
      <c r="L119" s="125"/>
      <c r="M119" s="125"/>
      <c r="N119" s="125"/>
    </row>
    <row r="120" spans="1:14" outlineLevel="1" x14ac:dyDescent="0.2">
      <c r="A120" s="125"/>
      <c r="B120" s="298">
        <v>1</v>
      </c>
      <c r="C120" s="294" t="s">
        <v>87</v>
      </c>
      <c r="D120" s="282">
        <f t="shared" ref="D120:I120" si="50">INDEX(RPBSScriptsNew,$B112,D113)*INDEX(DPMQCoPayNewPub,$B112,$B120)</f>
        <v>0</v>
      </c>
      <c r="E120" s="282">
        <f t="shared" si="50"/>
        <v>0</v>
      </c>
      <c r="F120" s="282">
        <f t="shared" si="50"/>
        <v>0</v>
      </c>
      <c r="G120" s="282">
        <f t="shared" si="50"/>
        <v>0</v>
      </c>
      <c r="H120" s="282">
        <f t="shared" si="50"/>
        <v>0</v>
      </c>
      <c r="I120" s="282">
        <f t="shared" si="50"/>
        <v>0</v>
      </c>
      <c r="J120" s="125"/>
      <c r="K120" s="125"/>
      <c r="L120" s="125"/>
      <c r="M120" s="125"/>
      <c r="N120" s="125"/>
    </row>
    <row r="121" spans="1:14" outlineLevel="1" x14ac:dyDescent="0.2">
      <c r="A121" s="125"/>
      <c r="B121" s="298">
        <v>5</v>
      </c>
      <c r="C121" s="5" t="s">
        <v>111</v>
      </c>
      <c r="D121" s="282">
        <f t="shared" ref="D121:I121" si="51">INDEX(RPBSScriptsNew,$B112,D113)*(INDEX(DPMQCoPayNewPub,$B112,$B121)/INDEX(CoPayCountNew,$B112))</f>
        <v>0</v>
      </c>
      <c r="E121" s="282">
        <f t="shared" si="51"/>
        <v>0</v>
      </c>
      <c r="F121" s="282">
        <f t="shared" si="51"/>
        <v>0</v>
      </c>
      <c r="G121" s="282">
        <f t="shared" si="51"/>
        <v>0</v>
      </c>
      <c r="H121" s="282">
        <f t="shared" si="51"/>
        <v>0</v>
      </c>
      <c r="I121" s="282">
        <f t="shared" si="51"/>
        <v>0</v>
      </c>
      <c r="J121" s="125"/>
      <c r="K121" s="125"/>
      <c r="L121" s="125"/>
      <c r="M121" s="125"/>
      <c r="N121" s="125"/>
    </row>
    <row r="122" spans="1:14" outlineLevel="1" x14ac:dyDescent="0.2">
      <c r="A122" s="125"/>
      <c r="B122" s="300"/>
      <c r="C122" s="5" t="s">
        <v>89</v>
      </c>
      <c r="D122" s="282">
        <f t="shared" ref="D122:I122" si="52">D120+D121</f>
        <v>0</v>
      </c>
      <c r="E122" s="282">
        <f t="shared" si="52"/>
        <v>0</v>
      </c>
      <c r="F122" s="282">
        <f t="shared" si="52"/>
        <v>0</v>
      </c>
      <c r="G122" s="282">
        <f t="shared" si="52"/>
        <v>0</v>
      </c>
      <c r="H122" s="282">
        <f t="shared" si="52"/>
        <v>0</v>
      </c>
      <c r="I122" s="282">
        <f t="shared" si="52"/>
        <v>0</v>
      </c>
      <c r="J122" s="125"/>
      <c r="K122" s="125"/>
      <c r="L122" s="125"/>
      <c r="M122" s="125"/>
      <c r="N122" s="125"/>
    </row>
    <row r="123" spans="1:14" x14ac:dyDescent="0.2">
      <c r="A123" s="125"/>
      <c r="B123" s="300"/>
      <c r="C123" s="658"/>
      <c r="D123" s="658"/>
      <c r="E123" s="658"/>
      <c r="F123" s="36"/>
      <c r="G123" s="36"/>
      <c r="H123" s="36"/>
      <c r="I123" s="36"/>
      <c r="J123" s="36"/>
      <c r="K123" s="36"/>
      <c r="L123" s="36"/>
      <c r="M123" s="36"/>
      <c r="N123" s="36"/>
    </row>
    <row r="124" spans="1:14" ht="15" x14ac:dyDescent="0.2">
      <c r="A124" s="125"/>
      <c r="B124" s="298">
        <v>9</v>
      </c>
      <c r="C124" s="147" t="str">
        <f>INDEX(PBSScriptsNew,B124,1)</f>
        <v>** NOT USED **</v>
      </c>
      <c r="D124" s="139"/>
      <c r="E124" s="139"/>
      <c r="F124" s="139"/>
      <c r="G124" s="139"/>
      <c r="H124" s="139"/>
      <c r="I124" s="139"/>
      <c r="J124" s="133"/>
      <c r="K124" s="132"/>
      <c r="L124" s="821" t="str">
        <f>IF(C124&lt;&gt;MsgNotUsed,"Co-payment group " &amp; INDEX(DPMQCoPayNewPub,B124,3),"")</f>
        <v/>
      </c>
      <c r="M124" s="821"/>
      <c r="N124" s="633"/>
    </row>
    <row r="125" spans="1:14" outlineLevel="1" x14ac:dyDescent="0.2">
      <c r="A125" s="125"/>
      <c r="B125" s="242">
        <f>INDEX(SANew,B124,5)</f>
        <v>0</v>
      </c>
      <c r="C125" s="658"/>
      <c r="D125" s="697">
        <v>2</v>
      </c>
      <c r="E125" s="697">
        <v>3</v>
      </c>
      <c r="F125" s="650">
        <v>4</v>
      </c>
      <c r="G125" s="650">
        <v>5</v>
      </c>
      <c r="H125" s="650">
        <v>6</v>
      </c>
      <c r="I125" s="650">
        <v>7</v>
      </c>
      <c r="J125" s="125"/>
      <c r="K125" s="36"/>
      <c r="L125" s="36"/>
      <c r="M125" s="36"/>
      <c r="N125" s="36"/>
    </row>
    <row r="126" spans="1:14" outlineLevel="1" x14ac:dyDescent="0.2">
      <c r="A126" s="125"/>
      <c r="B126" s="148"/>
      <c r="C126" s="125"/>
      <c r="D126" s="630">
        <f>FirstYear</f>
        <v>2021</v>
      </c>
      <c r="E126" s="630">
        <f>D126+1</f>
        <v>2022</v>
      </c>
      <c r="F126" s="630">
        <f>E126+1</f>
        <v>2023</v>
      </c>
      <c r="G126" s="630">
        <f>F126+1</f>
        <v>2024</v>
      </c>
      <c r="H126" s="630">
        <f>G126+1</f>
        <v>2025</v>
      </c>
      <c r="I126" s="630">
        <f>H126+1</f>
        <v>2026</v>
      </c>
      <c r="J126" s="125"/>
      <c r="K126" s="125"/>
      <c r="L126" s="125"/>
      <c r="M126" s="125"/>
      <c r="N126" s="125"/>
    </row>
    <row r="127" spans="1:14" outlineLevel="1" x14ac:dyDescent="0.2">
      <c r="A127" s="125"/>
      <c r="B127" s="298">
        <v>1</v>
      </c>
      <c r="C127" s="294" t="s">
        <v>86</v>
      </c>
      <c r="D127" s="282">
        <f t="shared" ref="D127:I127" si="53">INDEX(PBSScriptsNew,$B124,D125)*INDEX(DPMQCoPayNewPub,$B124,$B127)</f>
        <v>0</v>
      </c>
      <c r="E127" s="282">
        <f t="shared" si="53"/>
        <v>0</v>
      </c>
      <c r="F127" s="282">
        <f t="shared" si="53"/>
        <v>0</v>
      </c>
      <c r="G127" s="282">
        <f t="shared" si="53"/>
        <v>0</v>
      </c>
      <c r="H127" s="282">
        <f t="shared" si="53"/>
        <v>0</v>
      </c>
      <c r="I127" s="282">
        <f t="shared" si="53"/>
        <v>0</v>
      </c>
      <c r="J127" s="125"/>
      <c r="K127" s="125"/>
      <c r="L127" s="125"/>
      <c r="M127" s="125"/>
      <c r="N127" s="125"/>
    </row>
    <row r="128" spans="1:14" outlineLevel="1" x14ac:dyDescent="0.2">
      <c r="A128" s="125"/>
      <c r="B128" s="298">
        <v>4</v>
      </c>
      <c r="C128" s="5" t="s">
        <v>111</v>
      </c>
      <c r="D128" s="282">
        <f t="shared" ref="D128:I128" si="54">INDEX(PBSScriptsNew,$B124,D125)*(INDEX(DPMQCoPayNewPub,$B124,$B128)/INDEX(CoPayCountNew,$B124))</f>
        <v>0</v>
      </c>
      <c r="E128" s="282">
        <f t="shared" si="54"/>
        <v>0</v>
      </c>
      <c r="F128" s="282">
        <f t="shared" si="54"/>
        <v>0</v>
      </c>
      <c r="G128" s="282">
        <f t="shared" si="54"/>
        <v>0</v>
      </c>
      <c r="H128" s="282">
        <f t="shared" si="54"/>
        <v>0</v>
      </c>
      <c r="I128" s="282">
        <f t="shared" si="54"/>
        <v>0</v>
      </c>
      <c r="J128" s="125"/>
      <c r="K128" s="811" t="str">
        <f>IF(B125&lt;&gt;0,MsgNote&amp;IF(B125="Yes",INDEX(CoPayMethod,1),INDEX(CoPayMethod,2)),"")</f>
        <v/>
      </c>
      <c r="L128" s="811"/>
      <c r="M128" s="811"/>
      <c r="N128" s="628"/>
    </row>
    <row r="129" spans="1:14" outlineLevel="1" x14ac:dyDescent="0.2">
      <c r="A129" s="125"/>
      <c r="B129" s="300"/>
      <c r="C129" s="5" t="s">
        <v>88</v>
      </c>
      <c r="D129" s="282">
        <f t="shared" ref="D129:I129" si="55">D127+D128</f>
        <v>0</v>
      </c>
      <c r="E129" s="282">
        <f t="shared" si="55"/>
        <v>0</v>
      </c>
      <c r="F129" s="282">
        <f t="shared" si="55"/>
        <v>0</v>
      </c>
      <c r="G129" s="282">
        <f t="shared" si="55"/>
        <v>0</v>
      </c>
      <c r="H129" s="282">
        <f t="shared" si="55"/>
        <v>0</v>
      </c>
      <c r="I129" s="282">
        <f t="shared" si="55"/>
        <v>0</v>
      </c>
      <c r="J129" s="125"/>
      <c r="K129" s="125"/>
      <c r="L129" s="125"/>
      <c r="M129" s="125"/>
      <c r="N129" s="125"/>
    </row>
    <row r="130" spans="1:14" outlineLevel="1" x14ac:dyDescent="0.2">
      <c r="A130" s="125"/>
      <c r="B130" s="300"/>
      <c r="C130" s="125"/>
      <c r="D130" s="125"/>
      <c r="E130" s="125"/>
      <c r="F130" s="125"/>
      <c r="G130" s="125"/>
      <c r="H130" s="125"/>
      <c r="I130" s="125"/>
      <c r="J130" s="125"/>
      <c r="K130" s="125"/>
      <c r="L130" s="125"/>
      <c r="M130" s="125"/>
      <c r="N130" s="125"/>
    </row>
    <row r="131" spans="1:14" ht="15.75" outlineLevel="1" x14ac:dyDescent="0.2">
      <c r="A131" s="125"/>
      <c r="B131" s="300"/>
      <c r="C131" s="655"/>
      <c r="D131" s="630">
        <f>FirstYear</f>
        <v>2021</v>
      </c>
      <c r="E131" s="630">
        <f>D131+1</f>
        <v>2022</v>
      </c>
      <c r="F131" s="630">
        <f>E131+1</f>
        <v>2023</v>
      </c>
      <c r="G131" s="630">
        <f>F131+1</f>
        <v>2024</v>
      </c>
      <c r="H131" s="630">
        <f>G131+1</f>
        <v>2025</v>
      </c>
      <c r="I131" s="630">
        <f>H131+1</f>
        <v>2026</v>
      </c>
      <c r="J131" s="125"/>
      <c r="K131" s="125"/>
      <c r="L131" s="125"/>
      <c r="M131" s="125"/>
      <c r="N131" s="125"/>
    </row>
    <row r="132" spans="1:14" outlineLevel="1" x14ac:dyDescent="0.2">
      <c r="A132" s="125"/>
      <c r="B132" s="298">
        <v>1</v>
      </c>
      <c r="C132" s="294" t="s">
        <v>87</v>
      </c>
      <c r="D132" s="282">
        <f t="shared" ref="D132:I132" si="56">INDEX(RPBSScriptsNew,$B124,D125)*INDEX(DPMQCoPayNewPub,$B124,$B132)</f>
        <v>0</v>
      </c>
      <c r="E132" s="282">
        <f t="shared" si="56"/>
        <v>0</v>
      </c>
      <c r="F132" s="282">
        <f t="shared" si="56"/>
        <v>0</v>
      </c>
      <c r="G132" s="282">
        <f t="shared" si="56"/>
        <v>0</v>
      </c>
      <c r="H132" s="282">
        <f t="shared" si="56"/>
        <v>0</v>
      </c>
      <c r="I132" s="282">
        <f t="shared" si="56"/>
        <v>0</v>
      </c>
      <c r="J132" s="125"/>
      <c r="K132" s="125"/>
      <c r="L132" s="125"/>
      <c r="M132" s="125"/>
      <c r="N132" s="125"/>
    </row>
    <row r="133" spans="1:14" outlineLevel="1" x14ac:dyDescent="0.2">
      <c r="A133" s="125"/>
      <c r="B133" s="298">
        <v>5</v>
      </c>
      <c r="C133" s="5" t="s">
        <v>111</v>
      </c>
      <c r="D133" s="282">
        <f t="shared" ref="D133:I133" si="57">INDEX(RPBSScriptsNew,$B124,D125)*(INDEX(DPMQCoPayNewPub,$B124,$B133)/INDEX(CoPayCountNew,$B124))</f>
        <v>0</v>
      </c>
      <c r="E133" s="282">
        <f t="shared" si="57"/>
        <v>0</v>
      </c>
      <c r="F133" s="282">
        <f t="shared" si="57"/>
        <v>0</v>
      </c>
      <c r="G133" s="282">
        <f t="shared" si="57"/>
        <v>0</v>
      </c>
      <c r="H133" s="282">
        <f t="shared" si="57"/>
        <v>0</v>
      </c>
      <c r="I133" s="282">
        <f t="shared" si="57"/>
        <v>0</v>
      </c>
      <c r="J133" s="125"/>
      <c r="K133" s="125"/>
      <c r="L133" s="125"/>
      <c r="M133" s="125"/>
      <c r="N133" s="125"/>
    </row>
    <row r="134" spans="1:14" outlineLevel="1" x14ac:dyDescent="0.2">
      <c r="A134" s="125"/>
      <c r="B134" s="300"/>
      <c r="C134" s="5" t="s">
        <v>89</v>
      </c>
      <c r="D134" s="282">
        <f t="shared" ref="D134:I134" si="58">D132+D133</f>
        <v>0</v>
      </c>
      <c r="E134" s="282">
        <f t="shared" si="58"/>
        <v>0</v>
      </c>
      <c r="F134" s="282">
        <f t="shared" si="58"/>
        <v>0</v>
      </c>
      <c r="G134" s="282">
        <f t="shared" si="58"/>
        <v>0</v>
      </c>
      <c r="H134" s="282">
        <f t="shared" si="58"/>
        <v>0</v>
      </c>
      <c r="I134" s="282">
        <f t="shared" si="58"/>
        <v>0</v>
      </c>
      <c r="J134" s="125"/>
      <c r="K134" s="125"/>
      <c r="L134" s="125"/>
      <c r="M134" s="125"/>
      <c r="N134" s="125"/>
    </row>
    <row r="135" spans="1:14" x14ac:dyDescent="0.2">
      <c r="A135" s="125"/>
      <c r="B135" s="300"/>
      <c r="C135" s="658"/>
      <c r="D135" s="658"/>
      <c r="E135" s="658"/>
      <c r="F135" s="36"/>
      <c r="G135" s="36"/>
      <c r="H135" s="36"/>
      <c r="I135" s="36"/>
      <c r="J135" s="36"/>
      <c r="K135" s="36"/>
      <c r="L135" s="36"/>
      <c r="M135" s="36"/>
      <c r="N135" s="36"/>
    </row>
    <row r="136" spans="1:14" ht="15" x14ac:dyDescent="0.2">
      <c r="A136" s="125"/>
      <c r="B136" s="298">
        <v>10</v>
      </c>
      <c r="C136" s="147" t="str">
        <f>INDEX(PBSScriptsNew,B136,1)</f>
        <v>** NOT USED **</v>
      </c>
      <c r="D136" s="139"/>
      <c r="E136" s="139"/>
      <c r="F136" s="139"/>
      <c r="G136" s="139"/>
      <c r="H136" s="139"/>
      <c r="I136" s="139"/>
      <c r="J136" s="133"/>
      <c r="K136" s="132"/>
      <c r="L136" s="821" t="str">
        <f>IF(C136&lt;&gt;MsgNotUsed,"Co-payment group " &amp; INDEX(DPMQCoPayNewPub,B136,3),"")</f>
        <v/>
      </c>
      <c r="M136" s="821"/>
      <c r="N136" s="633"/>
    </row>
    <row r="137" spans="1:14" outlineLevel="1" x14ac:dyDescent="0.2">
      <c r="A137" s="125"/>
      <c r="B137" s="242">
        <f>INDEX(SANew,B136,5)</f>
        <v>0</v>
      </c>
      <c r="C137" s="658"/>
      <c r="D137" s="697">
        <v>2</v>
      </c>
      <c r="E137" s="697">
        <v>3</v>
      </c>
      <c r="F137" s="650">
        <v>4</v>
      </c>
      <c r="G137" s="650">
        <v>5</v>
      </c>
      <c r="H137" s="650">
        <v>6</v>
      </c>
      <c r="I137" s="650">
        <v>7</v>
      </c>
      <c r="J137" s="125"/>
      <c r="K137" s="36"/>
      <c r="L137" s="36"/>
      <c r="M137" s="36"/>
      <c r="N137" s="36"/>
    </row>
    <row r="138" spans="1:14" outlineLevel="1" x14ac:dyDescent="0.2">
      <c r="A138" s="125"/>
      <c r="B138" s="148"/>
      <c r="C138" s="125"/>
      <c r="D138" s="630">
        <f>FirstYear</f>
        <v>2021</v>
      </c>
      <c r="E138" s="630">
        <f>D138+1</f>
        <v>2022</v>
      </c>
      <c r="F138" s="630">
        <f>E138+1</f>
        <v>2023</v>
      </c>
      <c r="G138" s="630">
        <f>F138+1</f>
        <v>2024</v>
      </c>
      <c r="H138" s="630">
        <f>G138+1</f>
        <v>2025</v>
      </c>
      <c r="I138" s="630">
        <f>H138+1</f>
        <v>2026</v>
      </c>
      <c r="J138" s="125"/>
      <c r="K138" s="125"/>
      <c r="L138" s="125"/>
      <c r="M138" s="125"/>
      <c r="N138" s="125"/>
    </row>
    <row r="139" spans="1:14" outlineLevel="1" x14ac:dyDescent="0.2">
      <c r="A139" s="125"/>
      <c r="B139" s="298">
        <v>1</v>
      </c>
      <c r="C139" s="294" t="s">
        <v>86</v>
      </c>
      <c r="D139" s="282">
        <f t="shared" ref="D139:I139" si="59">INDEX(PBSScriptsNew,$B136,D137)*INDEX(DPMQCoPayNewPub,$B136,$B139)</f>
        <v>0</v>
      </c>
      <c r="E139" s="282">
        <f t="shared" si="59"/>
        <v>0</v>
      </c>
      <c r="F139" s="282">
        <f t="shared" si="59"/>
        <v>0</v>
      </c>
      <c r="G139" s="282">
        <f t="shared" si="59"/>
        <v>0</v>
      </c>
      <c r="H139" s="282">
        <f t="shared" si="59"/>
        <v>0</v>
      </c>
      <c r="I139" s="282">
        <f t="shared" si="59"/>
        <v>0</v>
      </c>
      <c r="J139" s="125"/>
      <c r="K139" s="125"/>
      <c r="L139" s="125"/>
      <c r="M139" s="125"/>
      <c r="N139" s="125"/>
    </row>
    <row r="140" spans="1:14" outlineLevel="1" x14ac:dyDescent="0.2">
      <c r="A140" s="125"/>
      <c r="B140" s="298">
        <v>4</v>
      </c>
      <c r="C140" s="5" t="s">
        <v>111</v>
      </c>
      <c r="D140" s="282">
        <f t="shared" ref="D140:I140" si="60">INDEX(PBSScriptsNew,$B136,D137)*(INDEX(DPMQCoPayNewPub,$B136,$B140)/INDEX(CoPayCountNew,$B136))</f>
        <v>0</v>
      </c>
      <c r="E140" s="282">
        <f t="shared" si="60"/>
        <v>0</v>
      </c>
      <c r="F140" s="282">
        <f t="shared" si="60"/>
        <v>0</v>
      </c>
      <c r="G140" s="282">
        <f t="shared" si="60"/>
        <v>0</v>
      </c>
      <c r="H140" s="282">
        <f t="shared" si="60"/>
        <v>0</v>
      </c>
      <c r="I140" s="282">
        <f t="shared" si="60"/>
        <v>0</v>
      </c>
      <c r="J140" s="125"/>
      <c r="K140" s="811" t="str">
        <f>IF(B137&lt;&gt;0,MsgNote&amp;IF(B137="Yes",INDEX(CoPayMethod,1),INDEX(CoPayMethod,2)),"")</f>
        <v/>
      </c>
      <c r="L140" s="811"/>
      <c r="M140" s="811"/>
      <c r="N140" s="628"/>
    </row>
    <row r="141" spans="1:14" outlineLevel="1" x14ac:dyDescent="0.2">
      <c r="A141" s="125"/>
      <c r="B141" s="300"/>
      <c r="C141" s="5" t="s">
        <v>88</v>
      </c>
      <c r="D141" s="282">
        <f t="shared" ref="D141:I141" si="61">D139+D140</f>
        <v>0</v>
      </c>
      <c r="E141" s="282">
        <f t="shared" si="61"/>
        <v>0</v>
      </c>
      <c r="F141" s="282">
        <f t="shared" si="61"/>
        <v>0</v>
      </c>
      <c r="G141" s="282">
        <f t="shared" si="61"/>
        <v>0</v>
      </c>
      <c r="H141" s="282">
        <f t="shared" si="61"/>
        <v>0</v>
      </c>
      <c r="I141" s="282">
        <f t="shared" si="61"/>
        <v>0</v>
      </c>
      <c r="J141" s="125"/>
      <c r="K141" s="125"/>
      <c r="L141" s="125"/>
      <c r="M141" s="125"/>
      <c r="N141" s="125"/>
    </row>
    <row r="142" spans="1:14" outlineLevel="1" x14ac:dyDescent="0.2">
      <c r="A142" s="125"/>
      <c r="B142" s="300"/>
      <c r="C142" s="125"/>
      <c r="D142" s="125"/>
      <c r="E142" s="125"/>
      <c r="F142" s="125"/>
      <c r="G142" s="125"/>
      <c r="H142" s="125"/>
      <c r="I142" s="125"/>
      <c r="J142" s="125"/>
      <c r="K142" s="125"/>
      <c r="L142" s="125"/>
      <c r="M142" s="125"/>
      <c r="N142" s="125"/>
    </row>
    <row r="143" spans="1:14" ht="15.75" outlineLevel="1" x14ac:dyDescent="0.2">
      <c r="A143" s="125"/>
      <c r="B143" s="300"/>
      <c r="C143" s="655"/>
      <c r="D143" s="630">
        <f>FirstYear</f>
        <v>2021</v>
      </c>
      <c r="E143" s="630">
        <f>D143+1</f>
        <v>2022</v>
      </c>
      <c r="F143" s="630">
        <f>E143+1</f>
        <v>2023</v>
      </c>
      <c r="G143" s="630">
        <f>F143+1</f>
        <v>2024</v>
      </c>
      <c r="H143" s="630">
        <f>G143+1</f>
        <v>2025</v>
      </c>
      <c r="I143" s="630">
        <f>H143+1</f>
        <v>2026</v>
      </c>
      <c r="J143" s="125"/>
      <c r="K143" s="125"/>
      <c r="L143" s="125"/>
      <c r="M143" s="125"/>
      <c r="N143" s="125"/>
    </row>
    <row r="144" spans="1:14" outlineLevel="1" x14ac:dyDescent="0.2">
      <c r="A144" s="125"/>
      <c r="B144" s="298">
        <v>1</v>
      </c>
      <c r="C144" s="294" t="s">
        <v>87</v>
      </c>
      <c r="D144" s="282">
        <f t="shared" ref="D144:I144" si="62">INDEX(RPBSScriptsNew,$B136,D137)*INDEX(DPMQCoPayNewPub,$B136,$B144)</f>
        <v>0</v>
      </c>
      <c r="E144" s="282">
        <f t="shared" si="62"/>
        <v>0</v>
      </c>
      <c r="F144" s="282">
        <f t="shared" si="62"/>
        <v>0</v>
      </c>
      <c r="G144" s="282">
        <f t="shared" si="62"/>
        <v>0</v>
      </c>
      <c r="H144" s="282">
        <f t="shared" si="62"/>
        <v>0</v>
      </c>
      <c r="I144" s="282">
        <f t="shared" si="62"/>
        <v>0</v>
      </c>
      <c r="J144" s="125"/>
      <c r="K144" s="125"/>
      <c r="L144" s="125"/>
      <c r="M144" s="125"/>
      <c r="N144" s="125"/>
    </row>
    <row r="145" spans="1:14" outlineLevel="1" x14ac:dyDescent="0.2">
      <c r="A145" s="125"/>
      <c r="B145" s="298">
        <v>5</v>
      </c>
      <c r="C145" s="5" t="s">
        <v>111</v>
      </c>
      <c r="D145" s="282">
        <f t="shared" ref="D145:I145" si="63">INDEX(RPBSScriptsNew,$B136,D137)*(INDEX(DPMQCoPayNewPub,$B136,$B145)/INDEX(CoPayCountNew,$B136))</f>
        <v>0</v>
      </c>
      <c r="E145" s="282">
        <f t="shared" si="63"/>
        <v>0</v>
      </c>
      <c r="F145" s="282">
        <f t="shared" si="63"/>
        <v>0</v>
      </c>
      <c r="G145" s="282">
        <f t="shared" si="63"/>
        <v>0</v>
      </c>
      <c r="H145" s="282">
        <f t="shared" si="63"/>
        <v>0</v>
      </c>
      <c r="I145" s="282">
        <f t="shared" si="63"/>
        <v>0</v>
      </c>
      <c r="J145" s="125"/>
      <c r="K145" s="125"/>
      <c r="L145" s="125"/>
      <c r="M145" s="125"/>
      <c r="N145" s="125"/>
    </row>
    <row r="146" spans="1:14" outlineLevel="1" x14ac:dyDescent="0.2">
      <c r="A146" s="125"/>
      <c r="B146" s="300"/>
      <c r="C146" s="5" t="s">
        <v>89</v>
      </c>
      <c r="D146" s="282">
        <f t="shared" ref="D146:I146" si="64">D144+D145</f>
        <v>0</v>
      </c>
      <c r="E146" s="282">
        <f t="shared" si="64"/>
        <v>0</v>
      </c>
      <c r="F146" s="282">
        <f t="shared" si="64"/>
        <v>0</v>
      </c>
      <c r="G146" s="282">
        <f t="shared" si="64"/>
        <v>0</v>
      </c>
      <c r="H146" s="282">
        <f t="shared" si="64"/>
        <v>0</v>
      </c>
      <c r="I146" s="282">
        <f t="shared" si="64"/>
        <v>0</v>
      </c>
      <c r="J146" s="125"/>
      <c r="K146" s="125"/>
      <c r="L146" s="125"/>
      <c r="M146" s="125"/>
      <c r="N146" s="125"/>
    </row>
    <row r="147" spans="1:14" x14ac:dyDescent="0.2">
      <c r="A147" s="125"/>
      <c r="B147" s="300"/>
      <c r="C147" s="658"/>
      <c r="D147" s="658"/>
      <c r="E147" s="658"/>
      <c r="F147" s="36"/>
      <c r="G147" s="36"/>
      <c r="H147" s="36"/>
      <c r="I147" s="36"/>
      <c r="J147" s="36"/>
      <c r="K147" s="36"/>
      <c r="L147" s="36"/>
      <c r="M147" s="36"/>
      <c r="N147" s="36"/>
    </row>
    <row r="148" spans="1:14" ht="15" x14ac:dyDescent="0.2">
      <c r="A148" s="125"/>
      <c r="B148" s="298">
        <v>11</v>
      </c>
      <c r="C148" s="147" t="str">
        <f>INDEX(PBSScriptsNew,B148,1)</f>
        <v>** NOT USED **</v>
      </c>
      <c r="D148" s="139"/>
      <c r="E148" s="139"/>
      <c r="F148" s="139"/>
      <c r="G148" s="139"/>
      <c r="H148" s="139"/>
      <c r="I148" s="139"/>
      <c r="J148" s="133"/>
      <c r="K148" s="132"/>
      <c r="L148" s="821" t="str">
        <f>IF(C148&lt;&gt;MsgNotUsed,"Co-payment group " &amp; INDEX(DPMQCoPayNewPub,B148,3),"")</f>
        <v/>
      </c>
      <c r="M148" s="821"/>
      <c r="N148" s="633"/>
    </row>
    <row r="149" spans="1:14" outlineLevel="1" x14ac:dyDescent="0.2">
      <c r="A149" s="125"/>
      <c r="B149" s="242">
        <f>INDEX(SANew,B148,5)</f>
        <v>0</v>
      </c>
      <c r="C149" s="658"/>
      <c r="D149" s="697">
        <v>2</v>
      </c>
      <c r="E149" s="697">
        <v>3</v>
      </c>
      <c r="F149" s="650">
        <v>4</v>
      </c>
      <c r="G149" s="650">
        <v>5</v>
      </c>
      <c r="H149" s="650">
        <v>6</v>
      </c>
      <c r="I149" s="650">
        <v>7</v>
      </c>
      <c r="J149" s="125"/>
      <c r="K149" s="36"/>
      <c r="L149" s="36"/>
      <c r="M149" s="36"/>
      <c r="N149" s="36"/>
    </row>
    <row r="150" spans="1:14" outlineLevel="1" x14ac:dyDescent="0.2">
      <c r="A150" s="125"/>
      <c r="B150" s="148"/>
      <c r="C150" s="125"/>
      <c r="D150" s="630">
        <f>FirstYear</f>
        <v>2021</v>
      </c>
      <c r="E150" s="630">
        <f>D150+1</f>
        <v>2022</v>
      </c>
      <c r="F150" s="630">
        <f>E150+1</f>
        <v>2023</v>
      </c>
      <c r="G150" s="630">
        <f>F150+1</f>
        <v>2024</v>
      </c>
      <c r="H150" s="630">
        <f>G150+1</f>
        <v>2025</v>
      </c>
      <c r="I150" s="630">
        <f>H150+1</f>
        <v>2026</v>
      </c>
      <c r="J150" s="125"/>
      <c r="K150" s="125"/>
      <c r="L150" s="125"/>
      <c r="M150" s="125"/>
      <c r="N150" s="125"/>
    </row>
    <row r="151" spans="1:14" outlineLevel="1" x14ac:dyDescent="0.2">
      <c r="A151" s="125"/>
      <c r="B151" s="298">
        <v>1</v>
      </c>
      <c r="C151" s="294" t="s">
        <v>86</v>
      </c>
      <c r="D151" s="282">
        <f t="shared" ref="D151:I151" si="65">INDEX(PBSScriptsNew,$B148,D149)*INDEX(DPMQCoPayNewPub,$B148,$B151)</f>
        <v>0</v>
      </c>
      <c r="E151" s="282">
        <f t="shared" si="65"/>
        <v>0</v>
      </c>
      <c r="F151" s="282">
        <f t="shared" si="65"/>
        <v>0</v>
      </c>
      <c r="G151" s="282">
        <f t="shared" si="65"/>
        <v>0</v>
      </c>
      <c r="H151" s="282">
        <f t="shared" si="65"/>
        <v>0</v>
      </c>
      <c r="I151" s="282">
        <f t="shared" si="65"/>
        <v>0</v>
      </c>
      <c r="J151" s="125"/>
      <c r="K151" s="125"/>
      <c r="L151" s="125"/>
      <c r="M151" s="125"/>
      <c r="N151" s="125"/>
    </row>
    <row r="152" spans="1:14" outlineLevel="1" x14ac:dyDescent="0.2">
      <c r="A152" s="125"/>
      <c r="B152" s="298">
        <v>4</v>
      </c>
      <c r="C152" s="5" t="s">
        <v>111</v>
      </c>
      <c r="D152" s="282">
        <f t="shared" ref="D152:I152" si="66">INDEX(PBSScriptsNew,$B148,D149)*(INDEX(DPMQCoPayNewPub,$B148,$B152)/INDEX(CoPayCountNew,$B148))</f>
        <v>0</v>
      </c>
      <c r="E152" s="282">
        <f t="shared" si="66"/>
        <v>0</v>
      </c>
      <c r="F152" s="282">
        <f t="shared" si="66"/>
        <v>0</v>
      </c>
      <c r="G152" s="282">
        <f t="shared" si="66"/>
        <v>0</v>
      </c>
      <c r="H152" s="282">
        <f t="shared" si="66"/>
        <v>0</v>
      </c>
      <c r="I152" s="282">
        <f t="shared" si="66"/>
        <v>0</v>
      </c>
      <c r="J152" s="125"/>
      <c r="K152" s="811" t="str">
        <f>IF(B149&lt;&gt;0,MsgNote&amp;IF(B149="Yes",INDEX(CoPayMethod,1),INDEX(CoPayMethod,2)),"")</f>
        <v/>
      </c>
      <c r="L152" s="811"/>
      <c r="M152" s="811"/>
      <c r="N152" s="628"/>
    </row>
    <row r="153" spans="1:14" outlineLevel="1" x14ac:dyDescent="0.2">
      <c r="A153" s="125"/>
      <c r="B153" s="300"/>
      <c r="C153" s="5" t="s">
        <v>88</v>
      </c>
      <c r="D153" s="282">
        <f t="shared" ref="D153:I153" si="67">D151+D152</f>
        <v>0</v>
      </c>
      <c r="E153" s="282">
        <f t="shared" si="67"/>
        <v>0</v>
      </c>
      <c r="F153" s="282">
        <f t="shared" si="67"/>
        <v>0</v>
      </c>
      <c r="G153" s="282">
        <f t="shared" si="67"/>
        <v>0</v>
      </c>
      <c r="H153" s="282">
        <f t="shared" si="67"/>
        <v>0</v>
      </c>
      <c r="I153" s="282">
        <f t="shared" si="67"/>
        <v>0</v>
      </c>
      <c r="J153" s="125"/>
      <c r="K153" s="125"/>
      <c r="L153" s="125"/>
      <c r="M153" s="125"/>
      <c r="N153" s="125"/>
    </row>
    <row r="154" spans="1:14" outlineLevel="1" x14ac:dyDescent="0.2">
      <c r="A154" s="125"/>
      <c r="B154" s="300"/>
      <c r="C154" s="125"/>
      <c r="D154" s="125"/>
      <c r="E154" s="125"/>
      <c r="F154" s="125"/>
      <c r="G154" s="125"/>
      <c r="H154" s="125"/>
      <c r="I154" s="125"/>
      <c r="J154" s="125"/>
      <c r="K154" s="125"/>
      <c r="L154" s="125"/>
      <c r="M154" s="125"/>
      <c r="N154" s="125"/>
    </row>
    <row r="155" spans="1:14" ht="15.75" outlineLevel="1" x14ac:dyDescent="0.2">
      <c r="A155" s="125"/>
      <c r="B155" s="300"/>
      <c r="C155" s="655"/>
      <c r="D155" s="630">
        <f>FirstYear</f>
        <v>2021</v>
      </c>
      <c r="E155" s="630">
        <f>D155+1</f>
        <v>2022</v>
      </c>
      <c r="F155" s="630">
        <f>E155+1</f>
        <v>2023</v>
      </c>
      <c r="G155" s="630">
        <f>F155+1</f>
        <v>2024</v>
      </c>
      <c r="H155" s="630">
        <f>G155+1</f>
        <v>2025</v>
      </c>
      <c r="I155" s="630">
        <f>H155+1</f>
        <v>2026</v>
      </c>
      <c r="J155" s="125"/>
      <c r="K155" s="125"/>
      <c r="L155" s="125"/>
      <c r="M155" s="125"/>
      <c r="N155" s="125"/>
    </row>
    <row r="156" spans="1:14" outlineLevel="1" x14ac:dyDescent="0.2">
      <c r="A156" s="125"/>
      <c r="B156" s="298">
        <v>1</v>
      </c>
      <c r="C156" s="294" t="s">
        <v>87</v>
      </c>
      <c r="D156" s="282">
        <f t="shared" ref="D156:I156" si="68">INDEX(RPBSScriptsNew,$B148,D149)*INDEX(DPMQCoPayNewPub,$B148,$B156)</f>
        <v>0</v>
      </c>
      <c r="E156" s="282">
        <f t="shared" si="68"/>
        <v>0</v>
      </c>
      <c r="F156" s="282">
        <f t="shared" si="68"/>
        <v>0</v>
      </c>
      <c r="G156" s="282">
        <f t="shared" si="68"/>
        <v>0</v>
      </c>
      <c r="H156" s="282">
        <f t="shared" si="68"/>
        <v>0</v>
      </c>
      <c r="I156" s="282">
        <f t="shared" si="68"/>
        <v>0</v>
      </c>
      <c r="J156" s="125"/>
      <c r="K156" s="125"/>
      <c r="L156" s="125"/>
      <c r="M156" s="125"/>
      <c r="N156" s="125"/>
    </row>
    <row r="157" spans="1:14" outlineLevel="1" x14ac:dyDescent="0.2">
      <c r="A157" s="125"/>
      <c r="B157" s="298">
        <v>5</v>
      </c>
      <c r="C157" s="5" t="s">
        <v>111</v>
      </c>
      <c r="D157" s="282">
        <f t="shared" ref="D157:I157" si="69">INDEX(RPBSScriptsNew,$B148,D149)*(INDEX(DPMQCoPayNewPub,$B148,$B157)/INDEX(CoPayCountNew,$B148))</f>
        <v>0</v>
      </c>
      <c r="E157" s="282">
        <f t="shared" si="69"/>
        <v>0</v>
      </c>
      <c r="F157" s="282">
        <f t="shared" si="69"/>
        <v>0</v>
      </c>
      <c r="G157" s="282">
        <f t="shared" si="69"/>
        <v>0</v>
      </c>
      <c r="H157" s="282">
        <f t="shared" si="69"/>
        <v>0</v>
      </c>
      <c r="I157" s="282">
        <f t="shared" si="69"/>
        <v>0</v>
      </c>
      <c r="J157" s="125"/>
      <c r="K157" s="125"/>
      <c r="L157" s="125"/>
      <c r="M157" s="125"/>
      <c r="N157" s="125"/>
    </row>
    <row r="158" spans="1:14" outlineLevel="1" x14ac:dyDescent="0.2">
      <c r="A158" s="125"/>
      <c r="B158" s="300"/>
      <c r="C158" s="5" t="s">
        <v>89</v>
      </c>
      <c r="D158" s="282">
        <f t="shared" ref="D158:I158" si="70">D156+D157</f>
        <v>0</v>
      </c>
      <c r="E158" s="282">
        <f t="shared" si="70"/>
        <v>0</v>
      </c>
      <c r="F158" s="282">
        <f t="shared" si="70"/>
        <v>0</v>
      </c>
      <c r="G158" s="282">
        <f t="shared" si="70"/>
        <v>0</v>
      </c>
      <c r="H158" s="282">
        <f t="shared" si="70"/>
        <v>0</v>
      </c>
      <c r="I158" s="282">
        <f t="shared" si="70"/>
        <v>0</v>
      </c>
      <c r="J158" s="125"/>
      <c r="K158" s="125"/>
      <c r="L158" s="125"/>
      <c r="M158" s="125"/>
      <c r="N158" s="125"/>
    </row>
    <row r="159" spans="1:14" x14ac:dyDescent="0.2">
      <c r="A159" s="125"/>
      <c r="B159" s="300"/>
      <c r="C159" s="658"/>
      <c r="D159" s="658"/>
      <c r="E159" s="658"/>
      <c r="F159" s="36"/>
      <c r="G159" s="36"/>
      <c r="H159" s="36"/>
      <c r="I159" s="36"/>
      <c r="J159" s="36"/>
      <c r="K159" s="36"/>
      <c r="L159" s="36"/>
      <c r="M159" s="36"/>
      <c r="N159" s="36"/>
    </row>
    <row r="160" spans="1:14" ht="15" x14ac:dyDescent="0.2">
      <c r="A160" s="125"/>
      <c r="B160" s="298">
        <v>12</v>
      </c>
      <c r="C160" s="147" t="str">
        <f>INDEX(PBSScriptsNew,B160,1)</f>
        <v>** NOT USED **</v>
      </c>
      <c r="D160" s="139"/>
      <c r="E160" s="139"/>
      <c r="F160" s="139"/>
      <c r="G160" s="139"/>
      <c r="H160" s="139"/>
      <c r="I160" s="139"/>
      <c r="J160" s="133"/>
      <c r="K160" s="132"/>
      <c r="L160" s="821" t="str">
        <f>IF(C160&lt;&gt;MsgNotUsed,"Co-payment group " &amp; INDEX(DPMQCoPayNewPub,B160,3),"")</f>
        <v/>
      </c>
      <c r="M160" s="821"/>
      <c r="N160" s="633"/>
    </row>
    <row r="161" spans="1:14" outlineLevel="1" x14ac:dyDescent="0.2">
      <c r="A161" s="125"/>
      <c r="B161" s="242">
        <f>INDEX(SANew,B160,5)</f>
        <v>0</v>
      </c>
      <c r="C161" s="658"/>
      <c r="D161" s="697">
        <v>2</v>
      </c>
      <c r="E161" s="697">
        <v>3</v>
      </c>
      <c r="F161" s="650">
        <v>4</v>
      </c>
      <c r="G161" s="650">
        <v>5</v>
      </c>
      <c r="H161" s="650">
        <v>6</v>
      </c>
      <c r="I161" s="650">
        <v>7</v>
      </c>
      <c r="J161" s="125"/>
      <c r="K161" s="36"/>
      <c r="L161" s="36"/>
      <c r="M161" s="36"/>
      <c r="N161" s="36"/>
    </row>
    <row r="162" spans="1:14" outlineLevel="1" x14ac:dyDescent="0.2">
      <c r="A162" s="125"/>
      <c r="B162" s="148"/>
      <c r="C162" s="125"/>
      <c r="D162" s="630">
        <f>FirstYear</f>
        <v>2021</v>
      </c>
      <c r="E162" s="630">
        <f>D162+1</f>
        <v>2022</v>
      </c>
      <c r="F162" s="630">
        <f>E162+1</f>
        <v>2023</v>
      </c>
      <c r="G162" s="630">
        <f>F162+1</f>
        <v>2024</v>
      </c>
      <c r="H162" s="630">
        <f>G162+1</f>
        <v>2025</v>
      </c>
      <c r="I162" s="630">
        <f>H162+1</f>
        <v>2026</v>
      </c>
      <c r="J162" s="125"/>
      <c r="K162" s="125"/>
      <c r="L162" s="125"/>
      <c r="M162" s="125"/>
      <c r="N162" s="125"/>
    </row>
    <row r="163" spans="1:14" outlineLevel="1" x14ac:dyDescent="0.2">
      <c r="A163" s="125"/>
      <c r="B163" s="298">
        <v>1</v>
      </c>
      <c r="C163" s="294" t="s">
        <v>86</v>
      </c>
      <c r="D163" s="282">
        <f t="shared" ref="D163:I163" si="71">INDEX(PBSScriptsNew,$B160,D161)*INDEX(DPMQCoPayNewPub,$B160,$B163)</f>
        <v>0</v>
      </c>
      <c r="E163" s="282">
        <f t="shared" si="71"/>
        <v>0</v>
      </c>
      <c r="F163" s="282">
        <f t="shared" si="71"/>
        <v>0</v>
      </c>
      <c r="G163" s="282">
        <f t="shared" si="71"/>
        <v>0</v>
      </c>
      <c r="H163" s="282">
        <f t="shared" si="71"/>
        <v>0</v>
      </c>
      <c r="I163" s="282">
        <f t="shared" si="71"/>
        <v>0</v>
      </c>
      <c r="J163" s="125"/>
      <c r="K163" s="125"/>
      <c r="L163" s="125"/>
      <c r="M163" s="125"/>
      <c r="N163" s="125"/>
    </row>
    <row r="164" spans="1:14" outlineLevel="1" x14ac:dyDescent="0.2">
      <c r="A164" s="125"/>
      <c r="B164" s="298">
        <v>4</v>
      </c>
      <c r="C164" s="5" t="s">
        <v>111</v>
      </c>
      <c r="D164" s="282">
        <f t="shared" ref="D164:I164" si="72">INDEX(PBSScriptsNew,$B160,D161)*(INDEX(DPMQCoPayNewPub,$B160,$B164)/INDEX(CoPayCountNew,$B160))</f>
        <v>0</v>
      </c>
      <c r="E164" s="282">
        <f t="shared" si="72"/>
        <v>0</v>
      </c>
      <c r="F164" s="282">
        <f t="shared" si="72"/>
        <v>0</v>
      </c>
      <c r="G164" s="282">
        <f t="shared" si="72"/>
        <v>0</v>
      </c>
      <c r="H164" s="282">
        <f t="shared" si="72"/>
        <v>0</v>
      </c>
      <c r="I164" s="282">
        <f t="shared" si="72"/>
        <v>0</v>
      </c>
      <c r="J164" s="125"/>
      <c r="K164" s="811" t="str">
        <f>IF(B161&lt;&gt;0,MsgNote&amp;IF(B161="Yes",INDEX(CoPayMethod,1),INDEX(CoPayMethod,2)),"")</f>
        <v/>
      </c>
      <c r="L164" s="811"/>
      <c r="M164" s="811"/>
      <c r="N164" s="628"/>
    </row>
    <row r="165" spans="1:14" outlineLevel="1" x14ac:dyDescent="0.2">
      <c r="A165" s="125"/>
      <c r="B165" s="300"/>
      <c r="C165" s="5" t="s">
        <v>88</v>
      </c>
      <c r="D165" s="282">
        <f t="shared" ref="D165:I165" si="73">D163+D164</f>
        <v>0</v>
      </c>
      <c r="E165" s="282">
        <f t="shared" si="73"/>
        <v>0</v>
      </c>
      <c r="F165" s="282">
        <f t="shared" si="73"/>
        <v>0</v>
      </c>
      <c r="G165" s="282">
        <f t="shared" si="73"/>
        <v>0</v>
      </c>
      <c r="H165" s="282">
        <f t="shared" si="73"/>
        <v>0</v>
      </c>
      <c r="I165" s="282">
        <f t="shared" si="73"/>
        <v>0</v>
      </c>
      <c r="J165" s="125"/>
      <c r="K165" s="125"/>
      <c r="L165" s="125"/>
      <c r="M165" s="125"/>
      <c r="N165" s="125"/>
    </row>
    <row r="166" spans="1:14" outlineLevel="1" x14ac:dyDescent="0.2">
      <c r="A166" s="125"/>
      <c r="B166" s="300"/>
      <c r="C166" s="125"/>
      <c r="D166" s="125"/>
      <c r="E166" s="125"/>
      <c r="F166" s="125"/>
      <c r="G166" s="125"/>
      <c r="H166" s="125"/>
      <c r="I166" s="125"/>
      <c r="J166" s="125"/>
      <c r="K166" s="125"/>
      <c r="L166" s="125"/>
      <c r="M166" s="125"/>
      <c r="N166" s="125"/>
    </row>
    <row r="167" spans="1:14" ht="15.75" outlineLevel="1" x14ac:dyDescent="0.2">
      <c r="A167" s="125"/>
      <c r="B167" s="300"/>
      <c r="C167" s="655"/>
      <c r="D167" s="630">
        <f>FirstYear</f>
        <v>2021</v>
      </c>
      <c r="E167" s="630">
        <f>D167+1</f>
        <v>2022</v>
      </c>
      <c r="F167" s="630">
        <f>E167+1</f>
        <v>2023</v>
      </c>
      <c r="G167" s="630">
        <f>F167+1</f>
        <v>2024</v>
      </c>
      <c r="H167" s="630">
        <f>G167+1</f>
        <v>2025</v>
      </c>
      <c r="I167" s="630">
        <f>H167+1</f>
        <v>2026</v>
      </c>
      <c r="J167" s="125"/>
      <c r="K167" s="125"/>
      <c r="L167" s="125"/>
      <c r="M167" s="125"/>
      <c r="N167" s="125"/>
    </row>
    <row r="168" spans="1:14" outlineLevel="1" x14ac:dyDescent="0.2">
      <c r="A168" s="125"/>
      <c r="B168" s="298">
        <v>1</v>
      </c>
      <c r="C168" s="294" t="s">
        <v>87</v>
      </c>
      <c r="D168" s="282">
        <f t="shared" ref="D168:I168" si="74">INDEX(RPBSScriptsNew,$B160,D161)*INDEX(DPMQCoPayNewPub,$B160,$B168)</f>
        <v>0</v>
      </c>
      <c r="E168" s="282">
        <f t="shared" si="74"/>
        <v>0</v>
      </c>
      <c r="F168" s="282">
        <f t="shared" si="74"/>
        <v>0</v>
      </c>
      <c r="G168" s="282">
        <f t="shared" si="74"/>
        <v>0</v>
      </c>
      <c r="H168" s="282">
        <f t="shared" si="74"/>
        <v>0</v>
      </c>
      <c r="I168" s="282">
        <f t="shared" si="74"/>
        <v>0</v>
      </c>
      <c r="J168" s="125"/>
      <c r="K168" s="125"/>
      <c r="L168" s="125"/>
      <c r="M168" s="125"/>
      <c r="N168" s="125"/>
    </row>
    <row r="169" spans="1:14" outlineLevel="1" x14ac:dyDescent="0.2">
      <c r="A169" s="125"/>
      <c r="B169" s="298">
        <v>5</v>
      </c>
      <c r="C169" s="5" t="s">
        <v>111</v>
      </c>
      <c r="D169" s="282">
        <f t="shared" ref="D169:I169" si="75">INDEX(RPBSScriptsNew,$B160,D161)*(INDEX(DPMQCoPayNewPub,$B160,$B169)/INDEX(CoPayCountNew,$B160))</f>
        <v>0</v>
      </c>
      <c r="E169" s="282">
        <f t="shared" si="75"/>
        <v>0</v>
      </c>
      <c r="F169" s="282">
        <f t="shared" si="75"/>
        <v>0</v>
      </c>
      <c r="G169" s="282">
        <f t="shared" si="75"/>
        <v>0</v>
      </c>
      <c r="H169" s="282">
        <f t="shared" si="75"/>
        <v>0</v>
      </c>
      <c r="I169" s="282">
        <f t="shared" si="75"/>
        <v>0</v>
      </c>
      <c r="J169" s="125"/>
      <c r="K169" s="125"/>
      <c r="L169" s="125"/>
      <c r="M169" s="125"/>
      <c r="N169" s="125"/>
    </row>
    <row r="170" spans="1:14" outlineLevel="1" x14ac:dyDescent="0.2">
      <c r="A170" s="125"/>
      <c r="B170" s="300"/>
      <c r="C170" s="5" t="s">
        <v>89</v>
      </c>
      <c r="D170" s="282">
        <f t="shared" ref="D170:I170" si="76">D168+D169</f>
        <v>0</v>
      </c>
      <c r="E170" s="282">
        <f t="shared" si="76"/>
        <v>0</v>
      </c>
      <c r="F170" s="282">
        <f t="shared" si="76"/>
        <v>0</v>
      </c>
      <c r="G170" s="282">
        <f t="shared" si="76"/>
        <v>0</v>
      </c>
      <c r="H170" s="282">
        <f t="shared" si="76"/>
        <v>0</v>
      </c>
      <c r="I170" s="282">
        <f t="shared" si="76"/>
        <v>0</v>
      </c>
      <c r="J170" s="125"/>
      <c r="K170" s="125"/>
      <c r="L170" s="125"/>
      <c r="M170" s="125"/>
      <c r="N170" s="125"/>
    </row>
    <row r="171" spans="1:14" x14ac:dyDescent="0.2">
      <c r="A171" s="125"/>
      <c r="B171" s="300"/>
      <c r="C171" s="658"/>
      <c r="D171" s="658"/>
      <c r="E171" s="658"/>
      <c r="F171" s="36"/>
      <c r="G171" s="36"/>
      <c r="H171" s="36"/>
      <c r="I171" s="36"/>
      <c r="J171" s="36"/>
      <c r="K171" s="36"/>
      <c r="L171" s="36"/>
      <c r="M171" s="36"/>
      <c r="N171" s="36"/>
    </row>
    <row r="172" spans="1:14" ht="15" x14ac:dyDescent="0.2">
      <c r="A172" s="125"/>
      <c r="B172" s="298">
        <v>13</v>
      </c>
      <c r="C172" s="147" t="str">
        <f>INDEX(PBSScriptsNew,B172,1)</f>
        <v>** NOT USED **</v>
      </c>
      <c r="D172" s="139"/>
      <c r="E172" s="139"/>
      <c r="F172" s="139"/>
      <c r="G172" s="139"/>
      <c r="H172" s="139"/>
      <c r="I172" s="139"/>
      <c r="J172" s="133"/>
      <c r="K172" s="132"/>
      <c r="L172" s="821" t="str">
        <f>IF(C172&lt;&gt;MsgNotUsed,"Co-payment group " &amp; INDEX(DPMQCoPayNewPub,B172,3),"")</f>
        <v/>
      </c>
      <c r="M172" s="821"/>
      <c r="N172" s="633"/>
    </row>
    <row r="173" spans="1:14" outlineLevel="1" x14ac:dyDescent="0.2">
      <c r="A173" s="125"/>
      <c r="B173" s="242">
        <f>INDEX(SANew,B172,5)</f>
        <v>0</v>
      </c>
      <c r="C173" s="658"/>
      <c r="D173" s="697">
        <v>2</v>
      </c>
      <c r="E173" s="697">
        <v>3</v>
      </c>
      <c r="F173" s="650">
        <v>4</v>
      </c>
      <c r="G173" s="650">
        <v>5</v>
      </c>
      <c r="H173" s="650">
        <v>6</v>
      </c>
      <c r="I173" s="650">
        <v>7</v>
      </c>
      <c r="J173" s="125"/>
      <c r="K173" s="36"/>
      <c r="L173" s="36"/>
      <c r="M173" s="36"/>
      <c r="N173" s="36"/>
    </row>
    <row r="174" spans="1:14" outlineLevel="1" x14ac:dyDescent="0.2">
      <c r="A174" s="125"/>
      <c r="B174" s="148"/>
      <c r="C174" s="125"/>
      <c r="D174" s="630">
        <f>FirstYear</f>
        <v>2021</v>
      </c>
      <c r="E174" s="630">
        <f>D174+1</f>
        <v>2022</v>
      </c>
      <c r="F174" s="630">
        <f>E174+1</f>
        <v>2023</v>
      </c>
      <c r="G174" s="630">
        <f>F174+1</f>
        <v>2024</v>
      </c>
      <c r="H174" s="630">
        <f>G174+1</f>
        <v>2025</v>
      </c>
      <c r="I174" s="630">
        <f>H174+1</f>
        <v>2026</v>
      </c>
      <c r="J174" s="125"/>
      <c r="K174" s="125"/>
      <c r="L174" s="125"/>
      <c r="M174" s="125"/>
      <c r="N174" s="125"/>
    </row>
    <row r="175" spans="1:14" outlineLevel="1" x14ac:dyDescent="0.2">
      <c r="A175" s="125"/>
      <c r="B175" s="298">
        <v>1</v>
      </c>
      <c r="C175" s="294" t="s">
        <v>86</v>
      </c>
      <c r="D175" s="282">
        <f t="shared" ref="D175:I175" si="77">INDEX(PBSScriptsNew,$B172,D173)*INDEX(DPMQCoPayNewPub,$B172,$B175)</f>
        <v>0</v>
      </c>
      <c r="E175" s="282">
        <f t="shared" si="77"/>
        <v>0</v>
      </c>
      <c r="F175" s="282">
        <f t="shared" si="77"/>
        <v>0</v>
      </c>
      <c r="G175" s="282">
        <f t="shared" si="77"/>
        <v>0</v>
      </c>
      <c r="H175" s="282">
        <f t="shared" si="77"/>
        <v>0</v>
      </c>
      <c r="I175" s="282">
        <f t="shared" si="77"/>
        <v>0</v>
      </c>
      <c r="J175" s="125"/>
      <c r="K175" s="125"/>
      <c r="L175" s="125"/>
      <c r="M175" s="125"/>
      <c r="N175" s="125"/>
    </row>
    <row r="176" spans="1:14" outlineLevel="1" x14ac:dyDescent="0.2">
      <c r="A176" s="125"/>
      <c r="B176" s="298">
        <v>4</v>
      </c>
      <c r="C176" s="5" t="s">
        <v>111</v>
      </c>
      <c r="D176" s="282">
        <f t="shared" ref="D176:I176" si="78">INDEX(PBSScriptsNew,$B172,D173)*(INDEX(DPMQCoPayNewPub,$B172,$B176)/INDEX(CoPayCountNew,$B172))</f>
        <v>0</v>
      </c>
      <c r="E176" s="282">
        <f t="shared" si="78"/>
        <v>0</v>
      </c>
      <c r="F176" s="282">
        <f t="shared" si="78"/>
        <v>0</v>
      </c>
      <c r="G176" s="282">
        <f t="shared" si="78"/>
        <v>0</v>
      </c>
      <c r="H176" s="282">
        <f t="shared" si="78"/>
        <v>0</v>
      </c>
      <c r="I176" s="282">
        <f t="shared" si="78"/>
        <v>0</v>
      </c>
      <c r="J176" s="125"/>
      <c r="K176" s="811" t="str">
        <f>IF(B173&lt;&gt;0,MsgNote&amp;IF(B173="Yes",INDEX(CoPayMethod,1),INDEX(CoPayMethod,2)),"")</f>
        <v/>
      </c>
      <c r="L176" s="811"/>
      <c r="M176" s="811"/>
      <c r="N176" s="628"/>
    </row>
    <row r="177" spans="1:14" outlineLevel="1" x14ac:dyDescent="0.2">
      <c r="A177" s="125"/>
      <c r="B177" s="300"/>
      <c r="C177" s="5" t="s">
        <v>88</v>
      </c>
      <c r="D177" s="282">
        <f t="shared" ref="D177:I177" si="79">D175+D176</f>
        <v>0</v>
      </c>
      <c r="E177" s="282">
        <f t="shared" si="79"/>
        <v>0</v>
      </c>
      <c r="F177" s="282">
        <f t="shared" si="79"/>
        <v>0</v>
      </c>
      <c r="G177" s="282">
        <f t="shared" si="79"/>
        <v>0</v>
      </c>
      <c r="H177" s="282">
        <f t="shared" si="79"/>
        <v>0</v>
      </c>
      <c r="I177" s="282">
        <f t="shared" si="79"/>
        <v>0</v>
      </c>
      <c r="J177" s="125"/>
      <c r="K177" s="125"/>
      <c r="L177" s="125"/>
      <c r="M177" s="125"/>
      <c r="N177" s="125"/>
    </row>
    <row r="178" spans="1:14" outlineLevel="1" x14ac:dyDescent="0.2">
      <c r="A178" s="125"/>
      <c r="B178" s="300"/>
      <c r="C178" s="125"/>
      <c r="D178" s="125"/>
      <c r="E178" s="125"/>
      <c r="F178" s="125"/>
      <c r="G178" s="125"/>
      <c r="H178" s="125"/>
      <c r="I178" s="125"/>
      <c r="J178" s="125"/>
      <c r="K178" s="125"/>
      <c r="L178" s="125"/>
      <c r="M178" s="125"/>
      <c r="N178" s="125"/>
    </row>
    <row r="179" spans="1:14" ht="15.75" outlineLevel="1" x14ac:dyDescent="0.2">
      <c r="A179" s="125"/>
      <c r="B179" s="300"/>
      <c r="C179" s="655"/>
      <c r="D179" s="630">
        <f>FirstYear</f>
        <v>2021</v>
      </c>
      <c r="E179" s="630">
        <f>D179+1</f>
        <v>2022</v>
      </c>
      <c r="F179" s="630">
        <f>E179+1</f>
        <v>2023</v>
      </c>
      <c r="G179" s="630">
        <f>F179+1</f>
        <v>2024</v>
      </c>
      <c r="H179" s="630">
        <f>G179+1</f>
        <v>2025</v>
      </c>
      <c r="I179" s="630">
        <f>H179+1</f>
        <v>2026</v>
      </c>
      <c r="J179" s="125"/>
      <c r="K179" s="125"/>
      <c r="L179" s="125"/>
      <c r="M179" s="125"/>
      <c r="N179" s="125"/>
    </row>
    <row r="180" spans="1:14" outlineLevel="1" x14ac:dyDescent="0.2">
      <c r="A180" s="125"/>
      <c r="B180" s="298">
        <v>1</v>
      </c>
      <c r="C180" s="294" t="s">
        <v>87</v>
      </c>
      <c r="D180" s="282">
        <f t="shared" ref="D180:I180" si="80">INDEX(RPBSScriptsNew,$B172,D173)*INDEX(DPMQCoPayNewPub,$B172,$B180)</f>
        <v>0</v>
      </c>
      <c r="E180" s="282">
        <f t="shared" si="80"/>
        <v>0</v>
      </c>
      <c r="F180" s="282">
        <f t="shared" si="80"/>
        <v>0</v>
      </c>
      <c r="G180" s="282">
        <f t="shared" si="80"/>
        <v>0</v>
      </c>
      <c r="H180" s="282">
        <f t="shared" si="80"/>
        <v>0</v>
      </c>
      <c r="I180" s="282">
        <f t="shared" si="80"/>
        <v>0</v>
      </c>
      <c r="J180" s="125"/>
      <c r="K180" s="125"/>
      <c r="L180" s="125"/>
      <c r="M180" s="125"/>
      <c r="N180" s="125"/>
    </row>
    <row r="181" spans="1:14" outlineLevel="1" x14ac:dyDescent="0.2">
      <c r="A181" s="125"/>
      <c r="B181" s="298">
        <v>5</v>
      </c>
      <c r="C181" s="5" t="s">
        <v>111</v>
      </c>
      <c r="D181" s="282">
        <f t="shared" ref="D181:I181" si="81">INDEX(RPBSScriptsNew,$B172,D173)*(INDEX(DPMQCoPayNewPub,$B172,$B181)/INDEX(CoPayCountNew,$B172))</f>
        <v>0</v>
      </c>
      <c r="E181" s="282">
        <f t="shared" si="81"/>
        <v>0</v>
      </c>
      <c r="F181" s="282">
        <f t="shared" si="81"/>
        <v>0</v>
      </c>
      <c r="G181" s="282">
        <f t="shared" si="81"/>
        <v>0</v>
      </c>
      <c r="H181" s="282">
        <f t="shared" si="81"/>
        <v>0</v>
      </c>
      <c r="I181" s="282">
        <f t="shared" si="81"/>
        <v>0</v>
      </c>
      <c r="J181" s="125"/>
      <c r="K181" s="125"/>
      <c r="L181" s="125"/>
      <c r="M181" s="125"/>
      <c r="N181" s="125"/>
    </row>
    <row r="182" spans="1:14" outlineLevel="1" x14ac:dyDescent="0.2">
      <c r="A182" s="125"/>
      <c r="B182" s="300"/>
      <c r="C182" s="5" t="s">
        <v>89</v>
      </c>
      <c r="D182" s="282">
        <f t="shared" ref="D182:I182" si="82">D180+D181</f>
        <v>0</v>
      </c>
      <c r="E182" s="282">
        <f t="shared" si="82"/>
        <v>0</v>
      </c>
      <c r="F182" s="282">
        <f t="shared" si="82"/>
        <v>0</v>
      </c>
      <c r="G182" s="282">
        <f t="shared" si="82"/>
        <v>0</v>
      </c>
      <c r="H182" s="282">
        <f t="shared" si="82"/>
        <v>0</v>
      </c>
      <c r="I182" s="282">
        <f t="shared" si="82"/>
        <v>0</v>
      </c>
      <c r="J182" s="125"/>
      <c r="K182" s="125"/>
      <c r="L182" s="125"/>
      <c r="M182" s="125"/>
      <c r="N182" s="125"/>
    </row>
    <row r="183" spans="1:14" x14ac:dyDescent="0.2">
      <c r="A183" s="125"/>
      <c r="B183" s="300"/>
      <c r="C183" s="658"/>
      <c r="D183" s="658"/>
      <c r="E183" s="658"/>
      <c r="F183" s="36"/>
      <c r="G183" s="36"/>
      <c r="H183" s="36"/>
      <c r="I183" s="36"/>
      <c r="J183" s="36"/>
      <c r="K183" s="36"/>
      <c r="L183" s="36"/>
      <c r="M183" s="36"/>
      <c r="N183" s="36"/>
    </row>
    <row r="184" spans="1:14" ht="15" x14ac:dyDescent="0.2">
      <c r="A184" s="125"/>
      <c r="B184" s="298">
        <v>14</v>
      </c>
      <c r="C184" s="147" t="str">
        <f>INDEX(PBSScriptsNew,B184,1)</f>
        <v>** NOT USED **</v>
      </c>
      <c r="D184" s="139"/>
      <c r="E184" s="139"/>
      <c r="F184" s="139"/>
      <c r="G184" s="139"/>
      <c r="H184" s="139"/>
      <c r="I184" s="139"/>
      <c r="J184" s="133"/>
      <c r="K184" s="132"/>
      <c r="L184" s="821" t="str">
        <f>IF(C184&lt;&gt;MsgNotUsed,"Co-payment group " &amp; INDEX(DPMQCoPayNewPub,B184,3),"")</f>
        <v/>
      </c>
      <c r="M184" s="821"/>
      <c r="N184" s="633"/>
    </row>
    <row r="185" spans="1:14" outlineLevel="1" x14ac:dyDescent="0.2">
      <c r="A185" s="125"/>
      <c r="B185" s="242">
        <f>INDEX(SANew,B184,5)</f>
        <v>0</v>
      </c>
      <c r="C185" s="658"/>
      <c r="D185" s="697">
        <v>2</v>
      </c>
      <c r="E185" s="697">
        <v>3</v>
      </c>
      <c r="F185" s="650">
        <v>4</v>
      </c>
      <c r="G185" s="650">
        <v>5</v>
      </c>
      <c r="H185" s="650">
        <v>6</v>
      </c>
      <c r="I185" s="650">
        <v>7</v>
      </c>
      <c r="J185" s="125"/>
      <c r="K185" s="36"/>
      <c r="L185" s="36"/>
      <c r="M185" s="36"/>
      <c r="N185" s="36"/>
    </row>
    <row r="186" spans="1:14" outlineLevel="1" x14ac:dyDescent="0.2">
      <c r="A186" s="125"/>
      <c r="B186" s="148"/>
      <c r="C186" s="125"/>
      <c r="D186" s="630">
        <f>FirstYear</f>
        <v>2021</v>
      </c>
      <c r="E186" s="630">
        <f>D186+1</f>
        <v>2022</v>
      </c>
      <c r="F186" s="630">
        <f>E186+1</f>
        <v>2023</v>
      </c>
      <c r="G186" s="630">
        <f>F186+1</f>
        <v>2024</v>
      </c>
      <c r="H186" s="630">
        <f>G186+1</f>
        <v>2025</v>
      </c>
      <c r="I186" s="630">
        <f>H186+1</f>
        <v>2026</v>
      </c>
      <c r="J186" s="125"/>
      <c r="K186" s="125"/>
      <c r="L186" s="125"/>
      <c r="M186" s="125"/>
      <c r="N186" s="125"/>
    </row>
    <row r="187" spans="1:14" outlineLevel="1" x14ac:dyDescent="0.2">
      <c r="A187" s="125"/>
      <c r="B187" s="298">
        <v>1</v>
      </c>
      <c r="C187" s="294" t="s">
        <v>86</v>
      </c>
      <c r="D187" s="282">
        <f t="shared" ref="D187:I187" si="83">INDEX(PBSScriptsNew,$B184,D185)*INDEX(DPMQCoPayNewPub,$B184,$B187)</f>
        <v>0</v>
      </c>
      <c r="E187" s="282">
        <f t="shared" si="83"/>
        <v>0</v>
      </c>
      <c r="F187" s="282">
        <f t="shared" si="83"/>
        <v>0</v>
      </c>
      <c r="G187" s="282">
        <f t="shared" si="83"/>
        <v>0</v>
      </c>
      <c r="H187" s="282">
        <f t="shared" si="83"/>
        <v>0</v>
      </c>
      <c r="I187" s="282">
        <f t="shared" si="83"/>
        <v>0</v>
      </c>
      <c r="J187" s="125"/>
      <c r="K187" s="125"/>
      <c r="L187" s="125"/>
      <c r="M187" s="125"/>
      <c r="N187" s="125"/>
    </row>
    <row r="188" spans="1:14" outlineLevel="1" x14ac:dyDescent="0.2">
      <c r="A188" s="125"/>
      <c r="B188" s="298">
        <v>4</v>
      </c>
      <c r="C188" s="5" t="s">
        <v>111</v>
      </c>
      <c r="D188" s="282">
        <f t="shared" ref="D188:I188" si="84">INDEX(PBSScriptsNew,$B184,D185)*(INDEX(DPMQCoPayNewPub,$B184,$B188)/INDEX(CoPayCountNew,$B184))</f>
        <v>0</v>
      </c>
      <c r="E188" s="282">
        <f t="shared" si="84"/>
        <v>0</v>
      </c>
      <c r="F188" s="282">
        <f t="shared" si="84"/>
        <v>0</v>
      </c>
      <c r="G188" s="282">
        <f t="shared" si="84"/>
        <v>0</v>
      </c>
      <c r="H188" s="282">
        <f t="shared" si="84"/>
        <v>0</v>
      </c>
      <c r="I188" s="282">
        <f t="shared" si="84"/>
        <v>0</v>
      </c>
      <c r="J188" s="125"/>
      <c r="K188" s="811" t="str">
        <f>IF(B185&lt;&gt;0,MsgNote&amp;IF(B185="Yes",INDEX(CoPayMethod,1),INDEX(CoPayMethod,2)),"")</f>
        <v/>
      </c>
      <c r="L188" s="811"/>
      <c r="M188" s="811"/>
      <c r="N188" s="628"/>
    </row>
    <row r="189" spans="1:14" outlineLevel="1" x14ac:dyDescent="0.2">
      <c r="A189" s="125"/>
      <c r="B189" s="300"/>
      <c r="C189" s="5" t="s">
        <v>88</v>
      </c>
      <c r="D189" s="282">
        <f t="shared" ref="D189:I189" si="85">D187+D188</f>
        <v>0</v>
      </c>
      <c r="E189" s="282">
        <f t="shared" si="85"/>
        <v>0</v>
      </c>
      <c r="F189" s="282">
        <f t="shared" si="85"/>
        <v>0</v>
      </c>
      <c r="G189" s="282">
        <f t="shared" si="85"/>
        <v>0</v>
      </c>
      <c r="H189" s="282">
        <f t="shared" si="85"/>
        <v>0</v>
      </c>
      <c r="I189" s="282">
        <f t="shared" si="85"/>
        <v>0</v>
      </c>
      <c r="J189" s="125"/>
      <c r="K189" s="125"/>
      <c r="L189" s="125"/>
      <c r="M189" s="125"/>
      <c r="N189" s="125"/>
    </row>
    <row r="190" spans="1:14" outlineLevel="1" x14ac:dyDescent="0.2">
      <c r="A190" s="125"/>
      <c r="B190" s="300"/>
      <c r="C190" s="125"/>
      <c r="D190" s="125"/>
      <c r="E190" s="125"/>
      <c r="F190" s="125"/>
      <c r="G190" s="125"/>
      <c r="H190" s="125"/>
      <c r="I190" s="125"/>
      <c r="J190" s="125"/>
      <c r="K190" s="125"/>
      <c r="L190" s="125"/>
      <c r="M190" s="125"/>
      <c r="N190" s="125"/>
    </row>
    <row r="191" spans="1:14" ht="15.75" outlineLevel="1" x14ac:dyDescent="0.2">
      <c r="A191" s="125"/>
      <c r="B191" s="300"/>
      <c r="C191" s="655"/>
      <c r="D191" s="630">
        <f>FirstYear</f>
        <v>2021</v>
      </c>
      <c r="E191" s="630">
        <f>D191+1</f>
        <v>2022</v>
      </c>
      <c r="F191" s="630">
        <f>E191+1</f>
        <v>2023</v>
      </c>
      <c r="G191" s="630">
        <f>F191+1</f>
        <v>2024</v>
      </c>
      <c r="H191" s="630">
        <f>G191+1</f>
        <v>2025</v>
      </c>
      <c r="I191" s="630">
        <f>H191+1</f>
        <v>2026</v>
      </c>
      <c r="J191" s="125"/>
      <c r="K191" s="125"/>
      <c r="L191" s="125"/>
      <c r="M191" s="125"/>
      <c r="N191" s="125"/>
    </row>
    <row r="192" spans="1:14" outlineLevel="1" x14ac:dyDescent="0.2">
      <c r="A192" s="125"/>
      <c r="B192" s="298">
        <v>1</v>
      </c>
      <c r="C192" s="294" t="s">
        <v>87</v>
      </c>
      <c r="D192" s="282">
        <f t="shared" ref="D192:I192" si="86">INDEX(RPBSScriptsNew,$B184,D185)*INDEX(DPMQCoPayNewPub,$B184,$B192)</f>
        <v>0</v>
      </c>
      <c r="E192" s="282">
        <f t="shared" si="86"/>
        <v>0</v>
      </c>
      <c r="F192" s="282">
        <f t="shared" si="86"/>
        <v>0</v>
      </c>
      <c r="G192" s="282">
        <f t="shared" si="86"/>
        <v>0</v>
      </c>
      <c r="H192" s="282">
        <f t="shared" si="86"/>
        <v>0</v>
      </c>
      <c r="I192" s="282">
        <f t="shared" si="86"/>
        <v>0</v>
      </c>
      <c r="J192" s="125"/>
      <c r="K192" s="125"/>
      <c r="L192" s="125"/>
      <c r="M192" s="125"/>
      <c r="N192" s="125"/>
    </row>
    <row r="193" spans="1:14" outlineLevel="1" x14ac:dyDescent="0.2">
      <c r="A193" s="125"/>
      <c r="B193" s="298">
        <v>5</v>
      </c>
      <c r="C193" s="5" t="s">
        <v>111</v>
      </c>
      <c r="D193" s="282">
        <f t="shared" ref="D193:I193" si="87">INDEX(RPBSScriptsNew,$B184,D185)*(INDEX(DPMQCoPayNewPub,$B184,$B193)/INDEX(CoPayCountNew,$B184))</f>
        <v>0</v>
      </c>
      <c r="E193" s="282">
        <f t="shared" si="87"/>
        <v>0</v>
      </c>
      <c r="F193" s="282">
        <f t="shared" si="87"/>
        <v>0</v>
      </c>
      <c r="G193" s="282">
        <f t="shared" si="87"/>
        <v>0</v>
      </c>
      <c r="H193" s="282">
        <f t="shared" si="87"/>
        <v>0</v>
      </c>
      <c r="I193" s="282">
        <f t="shared" si="87"/>
        <v>0</v>
      </c>
      <c r="J193" s="125"/>
      <c r="K193" s="125"/>
      <c r="L193" s="125"/>
      <c r="M193" s="125"/>
      <c r="N193" s="125"/>
    </row>
    <row r="194" spans="1:14" outlineLevel="1" x14ac:dyDescent="0.2">
      <c r="A194" s="125"/>
      <c r="B194" s="300"/>
      <c r="C194" s="5" t="s">
        <v>89</v>
      </c>
      <c r="D194" s="282">
        <f t="shared" ref="D194:I194" si="88">D192+D193</f>
        <v>0</v>
      </c>
      <c r="E194" s="282">
        <f t="shared" si="88"/>
        <v>0</v>
      </c>
      <c r="F194" s="282">
        <f t="shared" si="88"/>
        <v>0</v>
      </c>
      <c r="G194" s="282">
        <f t="shared" si="88"/>
        <v>0</v>
      </c>
      <c r="H194" s="282">
        <f t="shared" si="88"/>
        <v>0</v>
      </c>
      <c r="I194" s="282">
        <f t="shared" si="88"/>
        <v>0</v>
      </c>
      <c r="J194" s="125"/>
      <c r="K194" s="125"/>
      <c r="L194" s="125"/>
      <c r="M194" s="125"/>
      <c r="N194" s="125"/>
    </row>
    <row r="195" spans="1:14" x14ac:dyDescent="0.2">
      <c r="A195" s="125"/>
      <c r="B195" s="300"/>
      <c r="C195" s="658"/>
      <c r="D195" s="658"/>
      <c r="E195" s="658"/>
      <c r="F195" s="36"/>
      <c r="G195" s="36"/>
      <c r="H195" s="36"/>
      <c r="I195" s="36"/>
      <c r="J195" s="36"/>
      <c r="K195" s="36"/>
      <c r="L195" s="36"/>
      <c r="M195" s="36"/>
      <c r="N195" s="36"/>
    </row>
    <row r="196" spans="1:14" ht="15" x14ac:dyDescent="0.2">
      <c r="A196" s="125"/>
      <c r="B196" s="298">
        <v>15</v>
      </c>
      <c r="C196" s="147" t="str">
        <f>INDEX(PBSScriptsNew,B196,1)</f>
        <v>** NOT USED **</v>
      </c>
      <c r="D196" s="139"/>
      <c r="E196" s="139"/>
      <c r="F196" s="139"/>
      <c r="G196" s="139"/>
      <c r="H196" s="139"/>
      <c r="I196" s="139"/>
      <c r="J196" s="133"/>
      <c r="K196" s="132"/>
      <c r="L196" s="821" t="str">
        <f>IF(C196&lt;&gt;MsgNotUsed,"Co-payment group " &amp; INDEX(DPMQCoPayNewPub,B196,3),"")</f>
        <v/>
      </c>
      <c r="M196" s="821"/>
      <c r="N196" s="633"/>
    </row>
    <row r="197" spans="1:14" outlineLevel="1" x14ac:dyDescent="0.2">
      <c r="A197" s="125"/>
      <c r="B197" s="242">
        <f>INDEX(SANew,B196,5)</f>
        <v>0</v>
      </c>
      <c r="C197" s="658"/>
      <c r="D197" s="697">
        <v>2</v>
      </c>
      <c r="E197" s="697">
        <v>3</v>
      </c>
      <c r="F197" s="650">
        <v>4</v>
      </c>
      <c r="G197" s="650">
        <v>5</v>
      </c>
      <c r="H197" s="650">
        <v>6</v>
      </c>
      <c r="I197" s="650">
        <v>7</v>
      </c>
      <c r="J197" s="125"/>
      <c r="K197" s="36"/>
      <c r="L197" s="36"/>
      <c r="M197" s="36"/>
      <c r="N197" s="36"/>
    </row>
    <row r="198" spans="1:14" outlineLevel="1" x14ac:dyDescent="0.2">
      <c r="A198" s="125"/>
      <c r="B198" s="148"/>
      <c r="C198" s="125"/>
      <c r="D198" s="630">
        <f>FirstYear</f>
        <v>2021</v>
      </c>
      <c r="E198" s="630">
        <f>D198+1</f>
        <v>2022</v>
      </c>
      <c r="F198" s="630">
        <f>E198+1</f>
        <v>2023</v>
      </c>
      <c r="G198" s="630">
        <f>F198+1</f>
        <v>2024</v>
      </c>
      <c r="H198" s="630">
        <f>G198+1</f>
        <v>2025</v>
      </c>
      <c r="I198" s="630">
        <f>H198+1</f>
        <v>2026</v>
      </c>
      <c r="J198" s="125"/>
      <c r="K198" s="125"/>
      <c r="L198" s="125"/>
      <c r="M198" s="125"/>
      <c r="N198" s="125"/>
    </row>
    <row r="199" spans="1:14" outlineLevel="1" x14ac:dyDescent="0.2">
      <c r="A199" s="125"/>
      <c r="B199" s="298">
        <v>1</v>
      </c>
      <c r="C199" s="294" t="s">
        <v>86</v>
      </c>
      <c r="D199" s="282">
        <f t="shared" ref="D199:I199" si="89">INDEX(PBSScriptsNew,$B196,D197)*INDEX(DPMQCoPayNewPub,$B196,$B199)</f>
        <v>0</v>
      </c>
      <c r="E199" s="282">
        <f t="shared" si="89"/>
        <v>0</v>
      </c>
      <c r="F199" s="282">
        <f t="shared" si="89"/>
        <v>0</v>
      </c>
      <c r="G199" s="282">
        <f t="shared" si="89"/>
        <v>0</v>
      </c>
      <c r="H199" s="282">
        <f t="shared" si="89"/>
        <v>0</v>
      </c>
      <c r="I199" s="282">
        <f t="shared" si="89"/>
        <v>0</v>
      </c>
      <c r="J199" s="125"/>
      <c r="K199" s="125"/>
      <c r="L199" s="125"/>
      <c r="M199" s="125"/>
      <c r="N199" s="125"/>
    </row>
    <row r="200" spans="1:14" outlineLevel="1" x14ac:dyDescent="0.2">
      <c r="A200" s="125"/>
      <c r="B200" s="298">
        <v>4</v>
      </c>
      <c r="C200" s="5" t="s">
        <v>111</v>
      </c>
      <c r="D200" s="282">
        <f t="shared" ref="D200:I200" si="90">INDEX(PBSScriptsNew,$B196,D197)*(INDEX(DPMQCoPayNewPub,$B196,$B200)/INDEX(CoPayCountNew,$B196))</f>
        <v>0</v>
      </c>
      <c r="E200" s="282">
        <f t="shared" si="90"/>
        <v>0</v>
      </c>
      <c r="F200" s="282">
        <f t="shared" si="90"/>
        <v>0</v>
      </c>
      <c r="G200" s="282">
        <f t="shared" si="90"/>
        <v>0</v>
      </c>
      <c r="H200" s="282">
        <f t="shared" si="90"/>
        <v>0</v>
      </c>
      <c r="I200" s="282">
        <f t="shared" si="90"/>
        <v>0</v>
      </c>
      <c r="J200" s="125"/>
      <c r="K200" s="811" t="str">
        <f>IF(B197&lt;&gt;0,MsgNote&amp;IF(B197="Yes",INDEX(CoPayMethod,1),INDEX(CoPayMethod,2)),"")</f>
        <v/>
      </c>
      <c r="L200" s="811"/>
      <c r="M200" s="811"/>
      <c r="N200" s="628"/>
    </row>
    <row r="201" spans="1:14" outlineLevel="1" x14ac:dyDescent="0.2">
      <c r="A201" s="125"/>
      <c r="B201" s="300"/>
      <c r="C201" s="5" t="s">
        <v>88</v>
      </c>
      <c r="D201" s="282">
        <f t="shared" ref="D201:I201" si="91">D199+D200</f>
        <v>0</v>
      </c>
      <c r="E201" s="282">
        <f t="shared" si="91"/>
        <v>0</v>
      </c>
      <c r="F201" s="282">
        <f t="shared" si="91"/>
        <v>0</v>
      </c>
      <c r="G201" s="282">
        <f t="shared" si="91"/>
        <v>0</v>
      </c>
      <c r="H201" s="282">
        <f t="shared" si="91"/>
        <v>0</v>
      </c>
      <c r="I201" s="282">
        <f t="shared" si="91"/>
        <v>0</v>
      </c>
      <c r="J201" s="125"/>
      <c r="K201" s="125"/>
      <c r="L201" s="125"/>
      <c r="M201" s="125"/>
      <c r="N201" s="125"/>
    </row>
    <row r="202" spans="1:14" outlineLevel="1" x14ac:dyDescent="0.2">
      <c r="A202" s="125"/>
      <c r="B202" s="300"/>
      <c r="C202" s="125"/>
      <c r="D202" s="125"/>
      <c r="E202" s="125"/>
      <c r="F202" s="125"/>
      <c r="G202" s="125"/>
      <c r="H202" s="125"/>
      <c r="I202" s="125"/>
      <c r="J202" s="125"/>
      <c r="K202" s="125"/>
      <c r="L202" s="125"/>
      <c r="M202" s="125"/>
      <c r="N202" s="125"/>
    </row>
    <row r="203" spans="1:14" ht="15.75" outlineLevel="1" x14ac:dyDescent="0.2">
      <c r="A203" s="125"/>
      <c r="B203" s="300"/>
      <c r="C203" s="655"/>
      <c r="D203" s="630">
        <f>FirstYear</f>
        <v>2021</v>
      </c>
      <c r="E203" s="630">
        <f>D203+1</f>
        <v>2022</v>
      </c>
      <c r="F203" s="630">
        <f>E203+1</f>
        <v>2023</v>
      </c>
      <c r="G203" s="630">
        <f>F203+1</f>
        <v>2024</v>
      </c>
      <c r="H203" s="630">
        <f>G203+1</f>
        <v>2025</v>
      </c>
      <c r="I203" s="630">
        <f>H203+1</f>
        <v>2026</v>
      </c>
      <c r="J203" s="125"/>
      <c r="K203" s="125"/>
      <c r="L203" s="125"/>
      <c r="M203" s="125"/>
      <c r="N203" s="125"/>
    </row>
    <row r="204" spans="1:14" outlineLevel="1" x14ac:dyDescent="0.2">
      <c r="A204" s="125"/>
      <c r="B204" s="298">
        <v>1</v>
      </c>
      <c r="C204" s="294" t="s">
        <v>87</v>
      </c>
      <c r="D204" s="282">
        <f t="shared" ref="D204:I204" si="92">INDEX(RPBSScriptsNew,$B196,D197)*INDEX(DPMQCoPayNewPub,$B196,$B204)</f>
        <v>0</v>
      </c>
      <c r="E204" s="282">
        <f t="shared" si="92"/>
        <v>0</v>
      </c>
      <c r="F204" s="282">
        <f t="shared" si="92"/>
        <v>0</v>
      </c>
      <c r="G204" s="282">
        <f t="shared" si="92"/>
        <v>0</v>
      </c>
      <c r="H204" s="282">
        <f t="shared" si="92"/>
        <v>0</v>
      </c>
      <c r="I204" s="282">
        <f t="shared" si="92"/>
        <v>0</v>
      </c>
      <c r="J204" s="125"/>
      <c r="K204" s="125"/>
      <c r="L204" s="125"/>
      <c r="M204" s="125"/>
      <c r="N204" s="125"/>
    </row>
    <row r="205" spans="1:14" outlineLevel="1" x14ac:dyDescent="0.2">
      <c r="A205" s="125"/>
      <c r="B205" s="298">
        <v>5</v>
      </c>
      <c r="C205" s="5" t="s">
        <v>111</v>
      </c>
      <c r="D205" s="282">
        <f t="shared" ref="D205:I205" si="93">INDEX(RPBSScriptsNew,$B196,D197)*(INDEX(DPMQCoPayNewPub,$B196,$B205)/INDEX(CoPayCountNew,$B196))</f>
        <v>0</v>
      </c>
      <c r="E205" s="282">
        <f t="shared" si="93"/>
        <v>0</v>
      </c>
      <c r="F205" s="282">
        <f t="shared" si="93"/>
        <v>0</v>
      </c>
      <c r="G205" s="282">
        <f t="shared" si="93"/>
        <v>0</v>
      </c>
      <c r="H205" s="282">
        <f t="shared" si="93"/>
        <v>0</v>
      </c>
      <c r="I205" s="282">
        <f t="shared" si="93"/>
        <v>0</v>
      </c>
      <c r="J205" s="125"/>
      <c r="K205" s="125"/>
      <c r="L205" s="125"/>
      <c r="M205" s="125"/>
      <c r="N205" s="125"/>
    </row>
    <row r="206" spans="1:14" outlineLevel="1" x14ac:dyDescent="0.2">
      <c r="A206" s="125"/>
      <c r="B206" s="300"/>
      <c r="C206" s="5" t="s">
        <v>89</v>
      </c>
      <c r="D206" s="282">
        <f t="shared" ref="D206:I206" si="94">D204+D205</f>
        <v>0</v>
      </c>
      <c r="E206" s="282">
        <f t="shared" si="94"/>
        <v>0</v>
      </c>
      <c r="F206" s="282">
        <f t="shared" si="94"/>
        <v>0</v>
      </c>
      <c r="G206" s="282">
        <f t="shared" si="94"/>
        <v>0</v>
      </c>
      <c r="H206" s="282">
        <f t="shared" si="94"/>
        <v>0</v>
      </c>
      <c r="I206" s="282">
        <f t="shared" si="94"/>
        <v>0</v>
      </c>
      <c r="J206" s="125"/>
      <c r="K206" s="125"/>
      <c r="L206" s="125"/>
      <c r="M206" s="125"/>
      <c r="N206" s="125"/>
    </row>
    <row r="207" spans="1:14" x14ac:dyDescent="0.2">
      <c r="A207" s="125"/>
      <c r="B207" s="300"/>
      <c r="C207" s="658"/>
      <c r="D207" s="658"/>
      <c r="E207" s="658"/>
      <c r="F207" s="36"/>
      <c r="G207" s="36"/>
      <c r="H207" s="36"/>
      <c r="I207" s="36"/>
      <c r="J207" s="36"/>
      <c r="K207" s="36"/>
      <c r="L207" s="36"/>
      <c r="M207" s="36"/>
      <c r="N207" s="36"/>
    </row>
    <row r="208" spans="1:14" ht="15" x14ac:dyDescent="0.2">
      <c r="A208" s="125"/>
      <c r="B208" s="298">
        <v>16</v>
      </c>
      <c r="C208" s="147" t="str">
        <f>INDEX(PBSScriptsNew,B208,1)</f>
        <v>** NOT USED **</v>
      </c>
      <c r="D208" s="139"/>
      <c r="E208" s="139"/>
      <c r="F208" s="139"/>
      <c r="G208" s="139"/>
      <c r="H208" s="139"/>
      <c r="I208" s="139"/>
      <c r="J208" s="133"/>
      <c r="K208" s="132"/>
      <c r="L208" s="821" t="str">
        <f>IF(C208&lt;&gt;MsgNotUsed,"Co-payment group " &amp; INDEX(DPMQCoPayNewPub,B208,3),"")</f>
        <v/>
      </c>
      <c r="M208" s="821"/>
      <c r="N208" s="633"/>
    </row>
    <row r="209" spans="1:14" outlineLevel="1" x14ac:dyDescent="0.2">
      <c r="A209" s="125"/>
      <c r="B209" s="242">
        <f>INDEX(SANew,B208,5)</f>
        <v>0</v>
      </c>
      <c r="C209" s="658"/>
      <c r="D209" s="697">
        <v>2</v>
      </c>
      <c r="E209" s="697">
        <v>3</v>
      </c>
      <c r="F209" s="650">
        <v>4</v>
      </c>
      <c r="G209" s="650">
        <v>5</v>
      </c>
      <c r="H209" s="650">
        <v>6</v>
      </c>
      <c r="I209" s="650">
        <v>7</v>
      </c>
      <c r="J209" s="125"/>
      <c r="K209" s="36"/>
      <c r="L209" s="36"/>
      <c r="M209" s="36"/>
      <c r="N209" s="36"/>
    </row>
    <row r="210" spans="1:14" outlineLevel="1" x14ac:dyDescent="0.2">
      <c r="A210" s="125"/>
      <c r="B210" s="148"/>
      <c r="C210" s="125"/>
      <c r="D210" s="630">
        <f>FirstYear</f>
        <v>2021</v>
      </c>
      <c r="E210" s="630">
        <f>D210+1</f>
        <v>2022</v>
      </c>
      <c r="F210" s="630">
        <f>E210+1</f>
        <v>2023</v>
      </c>
      <c r="G210" s="630">
        <f>F210+1</f>
        <v>2024</v>
      </c>
      <c r="H210" s="630">
        <f>G210+1</f>
        <v>2025</v>
      </c>
      <c r="I210" s="630">
        <f>H210+1</f>
        <v>2026</v>
      </c>
      <c r="J210" s="125"/>
      <c r="K210" s="125"/>
      <c r="L210" s="125"/>
      <c r="M210" s="125"/>
      <c r="N210" s="125"/>
    </row>
    <row r="211" spans="1:14" outlineLevel="1" x14ac:dyDescent="0.2">
      <c r="A211" s="125"/>
      <c r="B211" s="298">
        <v>1</v>
      </c>
      <c r="C211" s="294" t="s">
        <v>86</v>
      </c>
      <c r="D211" s="282">
        <f t="shared" ref="D211:I211" si="95">INDEX(PBSScriptsNew,$B208,D209)*INDEX(DPMQCoPayNewPub,$B208,$B211)</f>
        <v>0</v>
      </c>
      <c r="E211" s="282">
        <f t="shared" si="95"/>
        <v>0</v>
      </c>
      <c r="F211" s="282">
        <f t="shared" si="95"/>
        <v>0</v>
      </c>
      <c r="G211" s="282">
        <f t="shared" si="95"/>
        <v>0</v>
      </c>
      <c r="H211" s="282">
        <f t="shared" si="95"/>
        <v>0</v>
      </c>
      <c r="I211" s="282">
        <f t="shared" si="95"/>
        <v>0</v>
      </c>
      <c r="J211" s="125"/>
      <c r="K211" s="125"/>
      <c r="L211" s="125"/>
      <c r="M211" s="125"/>
      <c r="N211" s="125"/>
    </row>
    <row r="212" spans="1:14" outlineLevel="1" x14ac:dyDescent="0.2">
      <c r="A212" s="125"/>
      <c r="B212" s="298">
        <v>4</v>
      </c>
      <c r="C212" s="5" t="s">
        <v>111</v>
      </c>
      <c r="D212" s="282">
        <f t="shared" ref="D212:I212" si="96">INDEX(PBSScriptsNew,$B208,D209)*(INDEX(DPMQCoPayNewPub,$B208,$B212)/INDEX(CoPayCountNew,$B208))</f>
        <v>0</v>
      </c>
      <c r="E212" s="282">
        <f t="shared" si="96"/>
        <v>0</v>
      </c>
      <c r="F212" s="282">
        <f t="shared" si="96"/>
        <v>0</v>
      </c>
      <c r="G212" s="282">
        <f t="shared" si="96"/>
        <v>0</v>
      </c>
      <c r="H212" s="282">
        <f t="shared" si="96"/>
        <v>0</v>
      </c>
      <c r="I212" s="282">
        <f t="shared" si="96"/>
        <v>0</v>
      </c>
      <c r="J212" s="125"/>
      <c r="K212" s="811" t="str">
        <f>IF(B209&lt;&gt;0,MsgNote&amp;IF(B209="Yes",INDEX(CoPayMethod,1),INDEX(CoPayMethod,2)),"")</f>
        <v/>
      </c>
      <c r="L212" s="811"/>
      <c r="M212" s="811"/>
      <c r="N212" s="628"/>
    </row>
    <row r="213" spans="1:14" outlineLevel="1" x14ac:dyDescent="0.2">
      <c r="A213" s="125"/>
      <c r="B213" s="300"/>
      <c r="C213" s="5" t="s">
        <v>88</v>
      </c>
      <c r="D213" s="282">
        <f t="shared" ref="D213:I213" si="97">D211+D212</f>
        <v>0</v>
      </c>
      <c r="E213" s="282">
        <f t="shared" si="97"/>
        <v>0</v>
      </c>
      <c r="F213" s="282">
        <f t="shared" si="97"/>
        <v>0</v>
      </c>
      <c r="G213" s="282">
        <f t="shared" si="97"/>
        <v>0</v>
      </c>
      <c r="H213" s="282">
        <f t="shared" si="97"/>
        <v>0</v>
      </c>
      <c r="I213" s="282">
        <f t="shared" si="97"/>
        <v>0</v>
      </c>
      <c r="J213" s="125"/>
      <c r="K213" s="125"/>
      <c r="L213" s="125"/>
      <c r="M213" s="125"/>
      <c r="N213" s="125"/>
    </row>
    <row r="214" spans="1:14" outlineLevel="1" x14ac:dyDescent="0.2">
      <c r="A214" s="125"/>
      <c r="B214" s="300"/>
      <c r="C214" s="125"/>
      <c r="D214" s="125"/>
      <c r="E214" s="125"/>
      <c r="F214" s="125"/>
      <c r="G214" s="125"/>
      <c r="H214" s="125"/>
      <c r="I214" s="125"/>
      <c r="J214" s="125"/>
      <c r="K214" s="125"/>
      <c r="L214" s="125"/>
      <c r="M214" s="125"/>
      <c r="N214" s="125"/>
    </row>
    <row r="215" spans="1:14" ht="15.75" outlineLevel="1" x14ac:dyDescent="0.2">
      <c r="A215" s="125"/>
      <c r="B215" s="300"/>
      <c r="C215" s="655"/>
      <c r="D215" s="630">
        <f>FirstYear</f>
        <v>2021</v>
      </c>
      <c r="E215" s="630">
        <f>D215+1</f>
        <v>2022</v>
      </c>
      <c r="F215" s="630">
        <f>E215+1</f>
        <v>2023</v>
      </c>
      <c r="G215" s="630">
        <f>F215+1</f>
        <v>2024</v>
      </c>
      <c r="H215" s="630">
        <f>G215+1</f>
        <v>2025</v>
      </c>
      <c r="I215" s="630">
        <f>H215+1</f>
        <v>2026</v>
      </c>
      <c r="J215" s="125"/>
      <c r="K215" s="125"/>
      <c r="L215" s="125"/>
      <c r="M215" s="125"/>
      <c r="N215" s="125"/>
    </row>
    <row r="216" spans="1:14" outlineLevel="1" x14ac:dyDescent="0.2">
      <c r="A216" s="125"/>
      <c r="B216" s="298">
        <v>1</v>
      </c>
      <c r="C216" s="294" t="s">
        <v>87</v>
      </c>
      <c r="D216" s="282">
        <f t="shared" ref="D216:I216" si="98">INDEX(RPBSScriptsNew,$B208,D209)*INDEX(DPMQCoPayNewPub,$B208,$B216)</f>
        <v>0</v>
      </c>
      <c r="E216" s="282">
        <f t="shared" si="98"/>
        <v>0</v>
      </c>
      <c r="F216" s="282">
        <f t="shared" si="98"/>
        <v>0</v>
      </c>
      <c r="G216" s="282">
        <f t="shared" si="98"/>
        <v>0</v>
      </c>
      <c r="H216" s="282">
        <f t="shared" si="98"/>
        <v>0</v>
      </c>
      <c r="I216" s="282">
        <f t="shared" si="98"/>
        <v>0</v>
      </c>
      <c r="J216" s="125"/>
      <c r="K216" s="125"/>
      <c r="L216" s="125"/>
      <c r="M216" s="125"/>
      <c r="N216" s="125"/>
    </row>
    <row r="217" spans="1:14" outlineLevel="1" x14ac:dyDescent="0.2">
      <c r="A217" s="125"/>
      <c r="B217" s="298">
        <v>5</v>
      </c>
      <c r="C217" s="5" t="s">
        <v>111</v>
      </c>
      <c r="D217" s="282">
        <f t="shared" ref="D217:I217" si="99">INDEX(RPBSScriptsNew,$B208,D209)*(INDEX(DPMQCoPayNewPub,$B208,$B217)/INDEX(CoPayCountNew,$B208))</f>
        <v>0</v>
      </c>
      <c r="E217" s="282">
        <f t="shared" si="99"/>
        <v>0</v>
      </c>
      <c r="F217" s="282">
        <f t="shared" si="99"/>
        <v>0</v>
      </c>
      <c r="G217" s="282">
        <f t="shared" si="99"/>
        <v>0</v>
      </c>
      <c r="H217" s="282">
        <f t="shared" si="99"/>
        <v>0</v>
      </c>
      <c r="I217" s="282">
        <f t="shared" si="99"/>
        <v>0</v>
      </c>
      <c r="J217" s="125"/>
      <c r="K217" s="125"/>
      <c r="L217" s="125"/>
      <c r="M217" s="125"/>
      <c r="N217" s="125"/>
    </row>
    <row r="218" spans="1:14" outlineLevel="1" x14ac:dyDescent="0.2">
      <c r="A218" s="125"/>
      <c r="B218" s="300"/>
      <c r="C218" s="5" t="s">
        <v>89</v>
      </c>
      <c r="D218" s="282">
        <f t="shared" ref="D218:I218" si="100">D216+D217</f>
        <v>0</v>
      </c>
      <c r="E218" s="282">
        <f t="shared" si="100"/>
        <v>0</v>
      </c>
      <c r="F218" s="282">
        <f t="shared" si="100"/>
        <v>0</v>
      </c>
      <c r="G218" s="282">
        <f t="shared" si="100"/>
        <v>0</v>
      </c>
      <c r="H218" s="282">
        <f t="shared" si="100"/>
        <v>0</v>
      </c>
      <c r="I218" s="282">
        <f t="shared" si="100"/>
        <v>0</v>
      </c>
      <c r="J218" s="125"/>
      <c r="K218" s="125"/>
      <c r="L218" s="125"/>
      <c r="M218" s="125"/>
      <c r="N218" s="125"/>
    </row>
    <row r="219" spans="1:14" x14ac:dyDescent="0.2">
      <c r="A219" s="125"/>
      <c r="B219" s="300"/>
      <c r="C219" s="658"/>
      <c r="D219" s="658"/>
      <c r="E219" s="658"/>
      <c r="F219" s="36"/>
      <c r="G219" s="36"/>
      <c r="H219" s="36"/>
      <c r="I219" s="36"/>
      <c r="J219" s="36"/>
      <c r="K219" s="36"/>
      <c r="L219" s="36"/>
      <c r="M219" s="36"/>
      <c r="N219" s="36"/>
    </row>
    <row r="220" spans="1:14" ht="15" x14ac:dyDescent="0.2">
      <c r="A220" s="125"/>
      <c r="B220" s="298">
        <v>17</v>
      </c>
      <c r="C220" s="147" t="str">
        <f>INDEX(PBSScriptsNew,B220,1)</f>
        <v>** NOT USED **</v>
      </c>
      <c r="D220" s="139"/>
      <c r="E220" s="139"/>
      <c r="F220" s="139"/>
      <c r="G220" s="139"/>
      <c r="H220" s="139"/>
      <c r="I220" s="139"/>
      <c r="J220" s="133"/>
      <c r="K220" s="132"/>
      <c r="L220" s="821" t="str">
        <f>IF(C220&lt;&gt;MsgNotUsed,"Co-payment group " &amp; INDEX(DPMQCoPayNewPub,B220,3),"")</f>
        <v/>
      </c>
      <c r="M220" s="821"/>
      <c r="N220" s="633"/>
    </row>
    <row r="221" spans="1:14" outlineLevel="1" x14ac:dyDescent="0.2">
      <c r="A221" s="125"/>
      <c r="B221" s="242">
        <f>INDEX(SANew,B220,5)</f>
        <v>0</v>
      </c>
      <c r="C221" s="658"/>
      <c r="D221" s="697">
        <v>2</v>
      </c>
      <c r="E221" s="697">
        <v>3</v>
      </c>
      <c r="F221" s="650">
        <v>4</v>
      </c>
      <c r="G221" s="650">
        <v>5</v>
      </c>
      <c r="H221" s="650">
        <v>6</v>
      </c>
      <c r="I221" s="650">
        <v>7</v>
      </c>
      <c r="J221" s="125"/>
      <c r="K221" s="36"/>
      <c r="L221" s="36"/>
      <c r="M221" s="36"/>
      <c r="N221" s="36"/>
    </row>
    <row r="222" spans="1:14" outlineLevel="1" x14ac:dyDescent="0.2">
      <c r="A222" s="125"/>
      <c r="B222" s="148"/>
      <c r="C222" s="125"/>
      <c r="D222" s="630">
        <f>FirstYear</f>
        <v>2021</v>
      </c>
      <c r="E222" s="630">
        <f>D222+1</f>
        <v>2022</v>
      </c>
      <c r="F222" s="630">
        <f>E222+1</f>
        <v>2023</v>
      </c>
      <c r="G222" s="630">
        <f>F222+1</f>
        <v>2024</v>
      </c>
      <c r="H222" s="630">
        <f>G222+1</f>
        <v>2025</v>
      </c>
      <c r="I222" s="630">
        <f>H222+1</f>
        <v>2026</v>
      </c>
      <c r="J222" s="125"/>
      <c r="K222" s="125"/>
      <c r="L222" s="125"/>
      <c r="M222" s="125"/>
      <c r="N222" s="125"/>
    </row>
    <row r="223" spans="1:14" outlineLevel="1" x14ac:dyDescent="0.2">
      <c r="A223" s="125"/>
      <c r="B223" s="298">
        <v>1</v>
      </c>
      <c r="C223" s="294" t="s">
        <v>86</v>
      </c>
      <c r="D223" s="282">
        <f t="shared" ref="D223:I223" si="101">INDEX(PBSScriptsNew,$B220,D221)*INDEX(DPMQCoPayNewPub,$B220,$B223)</f>
        <v>0</v>
      </c>
      <c r="E223" s="282">
        <f t="shared" si="101"/>
        <v>0</v>
      </c>
      <c r="F223" s="282">
        <f t="shared" si="101"/>
        <v>0</v>
      </c>
      <c r="G223" s="282">
        <f t="shared" si="101"/>
        <v>0</v>
      </c>
      <c r="H223" s="282">
        <f t="shared" si="101"/>
        <v>0</v>
      </c>
      <c r="I223" s="282">
        <f t="shared" si="101"/>
        <v>0</v>
      </c>
      <c r="J223" s="125"/>
      <c r="K223" s="125"/>
      <c r="L223" s="125"/>
      <c r="M223" s="125"/>
      <c r="N223" s="125"/>
    </row>
    <row r="224" spans="1:14" outlineLevel="1" x14ac:dyDescent="0.2">
      <c r="A224" s="125"/>
      <c r="B224" s="298">
        <v>4</v>
      </c>
      <c r="C224" s="5" t="s">
        <v>111</v>
      </c>
      <c r="D224" s="282">
        <f t="shared" ref="D224:I224" si="102">INDEX(PBSScriptsNew,$B220,D221)*(INDEX(DPMQCoPayNewPub,$B220,$B224)/INDEX(CoPayCountNew,$B220))</f>
        <v>0</v>
      </c>
      <c r="E224" s="282">
        <f t="shared" si="102"/>
        <v>0</v>
      </c>
      <c r="F224" s="282">
        <f t="shared" si="102"/>
        <v>0</v>
      </c>
      <c r="G224" s="282">
        <f t="shared" si="102"/>
        <v>0</v>
      </c>
      <c r="H224" s="282">
        <f t="shared" si="102"/>
        <v>0</v>
      </c>
      <c r="I224" s="282">
        <f t="shared" si="102"/>
        <v>0</v>
      </c>
      <c r="J224" s="125"/>
      <c r="K224" s="811" t="str">
        <f>IF(B221&lt;&gt;0,MsgNote&amp;IF(B221="Yes",INDEX(CoPayMethod,1),INDEX(CoPayMethod,2)),"")</f>
        <v/>
      </c>
      <c r="L224" s="811"/>
      <c r="M224" s="811"/>
      <c r="N224" s="628"/>
    </row>
    <row r="225" spans="1:14" outlineLevel="1" x14ac:dyDescent="0.2">
      <c r="A225" s="125"/>
      <c r="B225" s="300"/>
      <c r="C225" s="5" t="s">
        <v>88</v>
      </c>
      <c r="D225" s="282">
        <f t="shared" ref="D225:I225" si="103">D223+D224</f>
        <v>0</v>
      </c>
      <c r="E225" s="282">
        <f t="shared" si="103"/>
        <v>0</v>
      </c>
      <c r="F225" s="282">
        <f t="shared" si="103"/>
        <v>0</v>
      </c>
      <c r="G225" s="282">
        <f t="shared" si="103"/>
        <v>0</v>
      </c>
      <c r="H225" s="282">
        <f t="shared" si="103"/>
        <v>0</v>
      </c>
      <c r="I225" s="282">
        <f t="shared" si="103"/>
        <v>0</v>
      </c>
      <c r="J225" s="125"/>
      <c r="K225" s="125"/>
      <c r="L225" s="125"/>
      <c r="M225" s="125"/>
      <c r="N225" s="125"/>
    </row>
    <row r="226" spans="1:14" outlineLevel="1" x14ac:dyDescent="0.2">
      <c r="A226" s="125"/>
      <c r="B226" s="300"/>
      <c r="C226" s="125"/>
      <c r="D226" s="125"/>
      <c r="E226" s="125"/>
      <c r="F226" s="125"/>
      <c r="G226" s="125"/>
      <c r="H226" s="125"/>
      <c r="I226" s="125"/>
      <c r="J226" s="125"/>
      <c r="K226" s="125"/>
      <c r="L226" s="125"/>
      <c r="M226" s="125"/>
      <c r="N226" s="125"/>
    </row>
    <row r="227" spans="1:14" ht="15.75" outlineLevel="1" x14ac:dyDescent="0.2">
      <c r="A227" s="125"/>
      <c r="B227" s="300"/>
      <c r="C227" s="655"/>
      <c r="D227" s="630">
        <f>FirstYear</f>
        <v>2021</v>
      </c>
      <c r="E227" s="630">
        <f>D227+1</f>
        <v>2022</v>
      </c>
      <c r="F227" s="630">
        <f>E227+1</f>
        <v>2023</v>
      </c>
      <c r="G227" s="630">
        <f>F227+1</f>
        <v>2024</v>
      </c>
      <c r="H227" s="630">
        <f>G227+1</f>
        <v>2025</v>
      </c>
      <c r="I227" s="630">
        <f>H227+1</f>
        <v>2026</v>
      </c>
      <c r="J227" s="125"/>
      <c r="K227" s="125"/>
      <c r="L227" s="125"/>
      <c r="M227" s="125"/>
      <c r="N227" s="125"/>
    </row>
    <row r="228" spans="1:14" outlineLevel="1" x14ac:dyDescent="0.2">
      <c r="A228" s="125"/>
      <c r="B228" s="298">
        <v>1</v>
      </c>
      <c r="C228" s="294" t="s">
        <v>87</v>
      </c>
      <c r="D228" s="282">
        <f t="shared" ref="D228:I228" si="104">INDEX(RPBSScriptsNew,$B220,D221)*INDEX(DPMQCoPayNewPub,$B220,$B228)</f>
        <v>0</v>
      </c>
      <c r="E228" s="282">
        <f t="shared" si="104"/>
        <v>0</v>
      </c>
      <c r="F228" s="282">
        <f t="shared" si="104"/>
        <v>0</v>
      </c>
      <c r="G228" s="282">
        <f t="shared" si="104"/>
        <v>0</v>
      </c>
      <c r="H228" s="282">
        <f t="shared" si="104"/>
        <v>0</v>
      </c>
      <c r="I228" s="282">
        <f t="shared" si="104"/>
        <v>0</v>
      </c>
      <c r="J228" s="125"/>
      <c r="K228" s="125"/>
      <c r="L228" s="125"/>
      <c r="M228" s="125"/>
      <c r="N228" s="125"/>
    </row>
    <row r="229" spans="1:14" outlineLevel="1" x14ac:dyDescent="0.2">
      <c r="A229" s="125"/>
      <c r="B229" s="298">
        <v>5</v>
      </c>
      <c r="C229" s="5" t="s">
        <v>111</v>
      </c>
      <c r="D229" s="282">
        <f t="shared" ref="D229:I229" si="105">INDEX(RPBSScriptsNew,$B220,D221)*(INDEX(DPMQCoPayNewPub,$B220,$B229)/INDEX(CoPayCountNew,$B220))</f>
        <v>0</v>
      </c>
      <c r="E229" s="282">
        <f t="shared" si="105"/>
        <v>0</v>
      </c>
      <c r="F229" s="282">
        <f t="shared" si="105"/>
        <v>0</v>
      </c>
      <c r="G229" s="282">
        <f t="shared" si="105"/>
        <v>0</v>
      </c>
      <c r="H229" s="282">
        <f t="shared" si="105"/>
        <v>0</v>
      </c>
      <c r="I229" s="282">
        <f t="shared" si="105"/>
        <v>0</v>
      </c>
      <c r="J229" s="125"/>
      <c r="K229" s="125"/>
      <c r="L229" s="125"/>
      <c r="M229" s="125"/>
      <c r="N229" s="125"/>
    </row>
    <row r="230" spans="1:14" outlineLevel="1" x14ac:dyDescent="0.2">
      <c r="A230" s="125"/>
      <c r="B230" s="300"/>
      <c r="C230" s="5" t="s">
        <v>89</v>
      </c>
      <c r="D230" s="282">
        <f t="shared" ref="D230:I230" si="106">D228+D229</f>
        <v>0</v>
      </c>
      <c r="E230" s="282">
        <f t="shared" si="106"/>
        <v>0</v>
      </c>
      <c r="F230" s="282">
        <f t="shared" si="106"/>
        <v>0</v>
      </c>
      <c r="G230" s="282">
        <f t="shared" si="106"/>
        <v>0</v>
      </c>
      <c r="H230" s="282">
        <f t="shared" si="106"/>
        <v>0</v>
      </c>
      <c r="I230" s="282">
        <f t="shared" si="106"/>
        <v>0</v>
      </c>
      <c r="J230" s="125"/>
      <c r="K230" s="125"/>
      <c r="L230" s="125"/>
      <c r="M230" s="125"/>
      <c r="N230" s="125"/>
    </row>
    <row r="231" spans="1:14" x14ac:dyDescent="0.2">
      <c r="A231" s="125"/>
      <c r="B231" s="300"/>
      <c r="C231" s="658"/>
      <c r="D231" s="658"/>
      <c r="E231" s="658"/>
      <c r="F231" s="36"/>
      <c r="G231" s="36"/>
      <c r="H231" s="36"/>
      <c r="I231" s="36"/>
      <c r="J231" s="36"/>
      <c r="K231" s="36"/>
      <c r="L231" s="36"/>
      <c r="M231" s="36"/>
      <c r="N231" s="36"/>
    </row>
    <row r="232" spans="1:14" ht="15" x14ac:dyDescent="0.2">
      <c r="A232" s="125"/>
      <c r="B232" s="298">
        <v>18</v>
      </c>
      <c r="C232" s="147" t="str">
        <f>INDEX(PBSScriptsNew,B232,1)</f>
        <v>** NOT USED **</v>
      </c>
      <c r="D232" s="139"/>
      <c r="E232" s="139"/>
      <c r="F232" s="139"/>
      <c r="G232" s="139"/>
      <c r="H232" s="139"/>
      <c r="I232" s="139"/>
      <c r="J232" s="133"/>
      <c r="K232" s="132"/>
      <c r="L232" s="821" t="str">
        <f>IF(C232&lt;&gt;MsgNotUsed,"Co-payment group " &amp; INDEX(DPMQCoPayNewPub,B232,3),"")</f>
        <v/>
      </c>
      <c r="M232" s="821"/>
      <c r="N232" s="633"/>
    </row>
    <row r="233" spans="1:14" outlineLevel="1" x14ac:dyDescent="0.2">
      <c r="A233" s="125"/>
      <c r="B233" s="242">
        <f>INDEX(SANew,B232,5)</f>
        <v>0</v>
      </c>
      <c r="C233" s="658"/>
      <c r="D233" s="697">
        <v>2</v>
      </c>
      <c r="E233" s="697">
        <v>3</v>
      </c>
      <c r="F233" s="650">
        <v>4</v>
      </c>
      <c r="G233" s="650">
        <v>5</v>
      </c>
      <c r="H233" s="650">
        <v>6</v>
      </c>
      <c r="I233" s="650">
        <v>7</v>
      </c>
      <c r="J233" s="125"/>
      <c r="K233" s="36"/>
      <c r="L233" s="36"/>
      <c r="M233" s="36"/>
      <c r="N233" s="36"/>
    </row>
    <row r="234" spans="1:14" outlineLevel="1" x14ac:dyDescent="0.2">
      <c r="A234" s="125"/>
      <c r="B234" s="148"/>
      <c r="C234" s="125"/>
      <c r="D234" s="630">
        <f>FirstYear</f>
        <v>2021</v>
      </c>
      <c r="E234" s="630">
        <f>D234+1</f>
        <v>2022</v>
      </c>
      <c r="F234" s="630">
        <f>E234+1</f>
        <v>2023</v>
      </c>
      <c r="G234" s="630">
        <f>F234+1</f>
        <v>2024</v>
      </c>
      <c r="H234" s="630">
        <f>G234+1</f>
        <v>2025</v>
      </c>
      <c r="I234" s="630">
        <f>H234+1</f>
        <v>2026</v>
      </c>
      <c r="J234" s="125"/>
      <c r="K234" s="125"/>
      <c r="L234" s="125"/>
      <c r="M234" s="125"/>
      <c r="N234" s="125"/>
    </row>
    <row r="235" spans="1:14" outlineLevel="1" x14ac:dyDescent="0.2">
      <c r="A235" s="125"/>
      <c r="B235" s="298">
        <v>1</v>
      </c>
      <c r="C235" s="294" t="s">
        <v>86</v>
      </c>
      <c r="D235" s="282">
        <f t="shared" ref="D235:I235" si="107">INDEX(PBSScriptsNew,$B232,D233)*INDEX(DPMQCoPayNewPub,$B232,$B235)</f>
        <v>0</v>
      </c>
      <c r="E235" s="282">
        <f t="shared" si="107"/>
        <v>0</v>
      </c>
      <c r="F235" s="282">
        <f t="shared" si="107"/>
        <v>0</v>
      </c>
      <c r="G235" s="282">
        <f t="shared" si="107"/>
        <v>0</v>
      </c>
      <c r="H235" s="282">
        <f t="shared" si="107"/>
        <v>0</v>
      </c>
      <c r="I235" s="282">
        <f t="shared" si="107"/>
        <v>0</v>
      </c>
      <c r="J235" s="125"/>
      <c r="K235" s="125"/>
      <c r="L235" s="125"/>
      <c r="M235" s="125"/>
      <c r="N235" s="125"/>
    </row>
    <row r="236" spans="1:14" outlineLevel="1" x14ac:dyDescent="0.2">
      <c r="A236" s="125"/>
      <c r="B236" s="298">
        <v>4</v>
      </c>
      <c r="C236" s="5" t="s">
        <v>111</v>
      </c>
      <c r="D236" s="282">
        <f t="shared" ref="D236:I236" si="108">INDEX(PBSScriptsNew,$B232,D233)*(INDEX(DPMQCoPayNewPub,$B232,$B236)/INDEX(CoPayCountNew,$B232))</f>
        <v>0</v>
      </c>
      <c r="E236" s="282">
        <f t="shared" si="108"/>
        <v>0</v>
      </c>
      <c r="F236" s="282">
        <f t="shared" si="108"/>
        <v>0</v>
      </c>
      <c r="G236" s="282">
        <f t="shared" si="108"/>
        <v>0</v>
      </c>
      <c r="H236" s="282">
        <f t="shared" si="108"/>
        <v>0</v>
      </c>
      <c r="I236" s="282">
        <f t="shared" si="108"/>
        <v>0</v>
      </c>
      <c r="J236" s="125"/>
      <c r="K236" s="811" t="str">
        <f>IF(B233&lt;&gt;0,MsgNote&amp;IF(B233="Yes",INDEX(CoPayMethod,1),INDEX(CoPayMethod,2)),"")</f>
        <v/>
      </c>
      <c r="L236" s="811"/>
      <c r="M236" s="811"/>
      <c r="N236" s="628"/>
    </row>
    <row r="237" spans="1:14" outlineLevel="1" x14ac:dyDescent="0.2">
      <c r="A237" s="125"/>
      <c r="B237" s="300"/>
      <c r="C237" s="5" t="s">
        <v>88</v>
      </c>
      <c r="D237" s="282">
        <f t="shared" ref="D237:I237" si="109">D235+D236</f>
        <v>0</v>
      </c>
      <c r="E237" s="282">
        <f t="shared" si="109"/>
        <v>0</v>
      </c>
      <c r="F237" s="282">
        <f t="shared" si="109"/>
        <v>0</v>
      </c>
      <c r="G237" s="282">
        <f t="shared" si="109"/>
        <v>0</v>
      </c>
      <c r="H237" s="282">
        <f t="shared" si="109"/>
        <v>0</v>
      </c>
      <c r="I237" s="282">
        <f t="shared" si="109"/>
        <v>0</v>
      </c>
      <c r="J237" s="125"/>
      <c r="K237" s="125"/>
      <c r="L237" s="125"/>
      <c r="M237" s="125"/>
      <c r="N237" s="125"/>
    </row>
    <row r="238" spans="1:14" outlineLevel="1" x14ac:dyDescent="0.2">
      <c r="A238" s="125"/>
      <c r="B238" s="300"/>
      <c r="C238" s="125"/>
      <c r="D238" s="125"/>
      <c r="E238" s="125"/>
      <c r="F238" s="125"/>
      <c r="G238" s="125"/>
      <c r="H238" s="125"/>
      <c r="I238" s="125"/>
      <c r="J238" s="125"/>
      <c r="K238" s="125"/>
      <c r="L238" s="125"/>
      <c r="M238" s="125"/>
      <c r="N238" s="125"/>
    </row>
    <row r="239" spans="1:14" ht="15.75" outlineLevel="1" x14ac:dyDescent="0.2">
      <c r="A239" s="125"/>
      <c r="B239" s="300"/>
      <c r="C239" s="655"/>
      <c r="D239" s="630">
        <f>FirstYear</f>
        <v>2021</v>
      </c>
      <c r="E239" s="630">
        <f>D239+1</f>
        <v>2022</v>
      </c>
      <c r="F239" s="630">
        <f>E239+1</f>
        <v>2023</v>
      </c>
      <c r="G239" s="630">
        <f>F239+1</f>
        <v>2024</v>
      </c>
      <c r="H239" s="630">
        <f>G239+1</f>
        <v>2025</v>
      </c>
      <c r="I239" s="630">
        <f>H239+1</f>
        <v>2026</v>
      </c>
      <c r="J239" s="125"/>
      <c r="K239" s="125"/>
      <c r="L239" s="125"/>
      <c r="M239" s="125"/>
      <c r="N239" s="125"/>
    </row>
    <row r="240" spans="1:14" outlineLevel="1" x14ac:dyDescent="0.2">
      <c r="A240" s="125"/>
      <c r="B240" s="298">
        <v>1</v>
      </c>
      <c r="C240" s="294" t="s">
        <v>87</v>
      </c>
      <c r="D240" s="282">
        <f t="shared" ref="D240:I240" si="110">INDEX(RPBSScriptsNew,$B232,D233)*INDEX(DPMQCoPayNewPub,$B232,$B240)</f>
        <v>0</v>
      </c>
      <c r="E240" s="282">
        <f t="shared" si="110"/>
        <v>0</v>
      </c>
      <c r="F240" s="282">
        <f t="shared" si="110"/>
        <v>0</v>
      </c>
      <c r="G240" s="282">
        <f t="shared" si="110"/>
        <v>0</v>
      </c>
      <c r="H240" s="282">
        <f t="shared" si="110"/>
        <v>0</v>
      </c>
      <c r="I240" s="282">
        <f t="shared" si="110"/>
        <v>0</v>
      </c>
      <c r="J240" s="125"/>
      <c r="K240" s="125"/>
      <c r="L240" s="125"/>
      <c r="M240" s="125"/>
      <c r="N240" s="125"/>
    </row>
    <row r="241" spans="1:14" outlineLevel="1" x14ac:dyDescent="0.2">
      <c r="A241" s="125"/>
      <c r="B241" s="298">
        <v>5</v>
      </c>
      <c r="C241" s="5" t="s">
        <v>111</v>
      </c>
      <c r="D241" s="282">
        <f t="shared" ref="D241:I241" si="111">INDEX(RPBSScriptsNew,$B232,D233)*(INDEX(DPMQCoPayNewPub,$B232,$B241)/INDEX(CoPayCountNew,$B232))</f>
        <v>0</v>
      </c>
      <c r="E241" s="282">
        <f t="shared" si="111"/>
        <v>0</v>
      </c>
      <c r="F241" s="282">
        <f t="shared" si="111"/>
        <v>0</v>
      </c>
      <c r="G241" s="282">
        <f t="shared" si="111"/>
        <v>0</v>
      </c>
      <c r="H241" s="282">
        <f t="shared" si="111"/>
        <v>0</v>
      </c>
      <c r="I241" s="282">
        <f t="shared" si="111"/>
        <v>0</v>
      </c>
      <c r="J241" s="125"/>
      <c r="K241" s="125"/>
      <c r="L241" s="125"/>
      <c r="M241" s="125"/>
      <c r="N241" s="125"/>
    </row>
    <row r="242" spans="1:14" outlineLevel="1" x14ac:dyDescent="0.2">
      <c r="A242" s="125"/>
      <c r="B242" s="300"/>
      <c r="C242" s="5" t="s">
        <v>89</v>
      </c>
      <c r="D242" s="282">
        <f t="shared" ref="D242:I242" si="112">D240+D241</f>
        <v>0</v>
      </c>
      <c r="E242" s="282">
        <f t="shared" si="112"/>
        <v>0</v>
      </c>
      <c r="F242" s="282">
        <f t="shared" si="112"/>
        <v>0</v>
      </c>
      <c r="G242" s="282">
        <f t="shared" si="112"/>
        <v>0</v>
      </c>
      <c r="H242" s="282">
        <f t="shared" si="112"/>
        <v>0</v>
      </c>
      <c r="I242" s="282">
        <f t="shared" si="112"/>
        <v>0</v>
      </c>
      <c r="J242" s="125"/>
      <c r="K242" s="125"/>
      <c r="L242" s="125"/>
      <c r="M242" s="125"/>
      <c r="N242" s="125"/>
    </row>
    <row r="243" spans="1:14" x14ac:dyDescent="0.2">
      <c r="A243" s="125"/>
      <c r="B243" s="300"/>
      <c r="C243" s="658"/>
      <c r="D243" s="658"/>
      <c r="E243" s="658"/>
      <c r="F243" s="36"/>
      <c r="G243" s="36"/>
      <c r="H243" s="36"/>
      <c r="I243" s="36"/>
      <c r="J243" s="36"/>
      <c r="K243" s="36"/>
      <c r="L243" s="36"/>
      <c r="M243" s="36"/>
      <c r="N243" s="36"/>
    </row>
    <row r="244" spans="1:14" ht="15" x14ac:dyDescent="0.2">
      <c r="A244" s="125"/>
      <c r="B244" s="298">
        <v>19</v>
      </c>
      <c r="C244" s="147" t="str">
        <f>INDEX(PBSScriptsNew,B244,1)</f>
        <v>** NOT USED **</v>
      </c>
      <c r="D244" s="139"/>
      <c r="E244" s="139"/>
      <c r="F244" s="139"/>
      <c r="G244" s="139"/>
      <c r="H244" s="139"/>
      <c r="I244" s="139"/>
      <c r="J244" s="133"/>
      <c r="K244" s="132"/>
      <c r="L244" s="821" t="str">
        <f>IF(C244&lt;&gt;MsgNotUsed,"Co-payment group " &amp; INDEX(DPMQCoPayNewPub,B244,3),"")</f>
        <v/>
      </c>
      <c r="M244" s="821"/>
      <c r="N244" s="633"/>
    </row>
    <row r="245" spans="1:14" outlineLevel="1" x14ac:dyDescent="0.2">
      <c r="A245" s="125"/>
      <c r="B245" s="242">
        <f>INDEX(SANew,B244,5)</f>
        <v>0</v>
      </c>
      <c r="C245" s="658"/>
      <c r="D245" s="697">
        <v>2</v>
      </c>
      <c r="E245" s="697">
        <v>3</v>
      </c>
      <c r="F245" s="650">
        <v>4</v>
      </c>
      <c r="G245" s="650">
        <v>5</v>
      </c>
      <c r="H245" s="650">
        <v>6</v>
      </c>
      <c r="I245" s="650">
        <v>7</v>
      </c>
      <c r="J245" s="125"/>
      <c r="K245" s="36"/>
      <c r="L245" s="36"/>
      <c r="M245" s="36"/>
      <c r="N245" s="36"/>
    </row>
    <row r="246" spans="1:14" outlineLevel="1" x14ac:dyDescent="0.2">
      <c r="A246" s="125"/>
      <c r="B246" s="148"/>
      <c r="C246" s="125"/>
      <c r="D246" s="630">
        <f>FirstYear</f>
        <v>2021</v>
      </c>
      <c r="E246" s="630">
        <f>D246+1</f>
        <v>2022</v>
      </c>
      <c r="F246" s="630">
        <f>E246+1</f>
        <v>2023</v>
      </c>
      <c r="G246" s="630">
        <f>F246+1</f>
        <v>2024</v>
      </c>
      <c r="H246" s="630">
        <f>G246+1</f>
        <v>2025</v>
      </c>
      <c r="I246" s="630">
        <f>H246+1</f>
        <v>2026</v>
      </c>
      <c r="J246" s="125"/>
      <c r="K246" s="125"/>
      <c r="L246" s="125"/>
      <c r="M246" s="125"/>
      <c r="N246" s="125"/>
    </row>
    <row r="247" spans="1:14" outlineLevel="1" x14ac:dyDescent="0.2">
      <c r="A247" s="125"/>
      <c r="B247" s="298">
        <v>1</v>
      </c>
      <c r="C247" s="294" t="s">
        <v>86</v>
      </c>
      <c r="D247" s="282">
        <f t="shared" ref="D247:I247" si="113">INDEX(PBSScriptsNew,$B244,D245)*INDEX(DPMQCoPayNewPub,$B244,$B247)</f>
        <v>0</v>
      </c>
      <c r="E247" s="282">
        <f t="shared" si="113"/>
        <v>0</v>
      </c>
      <c r="F247" s="282">
        <f t="shared" si="113"/>
        <v>0</v>
      </c>
      <c r="G247" s="282">
        <f t="shared" si="113"/>
        <v>0</v>
      </c>
      <c r="H247" s="282">
        <f t="shared" si="113"/>
        <v>0</v>
      </c>
      <c r="I247" s="282">
        <f t="shared" si="113"/>
        <v>0</v>
      </c>
      <c r="J247" s="125"/>
      <c r="K247" s="125"/>
      <c r="L247" s="125"/>
      <c r="M247" s="125"/>
      <c r="N247" s="125"/>
    </row>
    <row r="248" spans="1:14" outlineLevel="1" x14ac:dyDescent="0.2">
      <c r="A248" s="125"/>
      <c r="B248" s="298">
        <v>4</v>
      </c>
      <c r="C248" s="5" t="s">
        <v>111</v>
      </c>
      <c r="D248" s="282">
        <f t="shared" ref="D248:I248" si="114">INDEX(PBSScriptsNew,$B244,D245)*(INDEX(DPMQCoPayNewPub,$B244,$B248)/INDEX(CoPayCountNew,$B244))</f>
        <v>0</v>
      </c>
      <c r="E248" s="282">
        <f t="shared" si="114"/>
        <v>0</v>
      </c>
      <c r="F248" s="282">
        <f t="shared" si="114"/>
        <v>0</v>
      </c>
      <c r="G248" s="282">
        <f t="shared" si="114"/>
        <v>0</v>
      </c>
      <c r="H248" s="282">
        <f t="shared" si="114"/>
        <v>0</v>
      </c>
      <c r="I248" s="282">
        <f t="shared" si="114"/>
        <v>0</v>
      </c>
      <c r="J248" s="125"/>
      <c r="K248" s="811" t="str">
        <f>IF(B245&lt;&gt;0,MsgNote&amp;IF(B245="Yes",INDEX(CoPayMethod,1),INDEX(CoPayMethod,2)),"")</f>
        <v/>
      </c>
      <c r="L248" s="811"/>
      <c r="M248" s="811"/>
      <c r="N248" s="628"/>
    </row>
    <row r="249" spans="1:14" outlineLevel="1" x14ac:dyDescent="0.2">
      <c r="A249" s="125"/>
      <c r="B249" s="300"/>
      <c r="C249" s="5" t="s">
        <v>88</v>
      </c>
      <c r="D249" s="282">
        <f t="shared" ref="D249:I249" si="115">D247+D248</f>
        <v>0</v>
      </c>
      <c r="E249" s="282">
        <f t="shared" si="115"/>
        <v>0</v>
      </c>
      <c r="F249" s="282">
        <f t="shared" si="115"/>
        <v>0</v>
      </c>
      <c r="G249" s="282">
        <f t="shared" si="115"/>
        <v>0</v>
      </c>
      <c r="H249" s="282">
        <f t="shared" si="115"/>
        <v>0</v>
      </c>
      <c r="I249" s="282">
        <f t="shared" si="115"/>
        <v>0</v>
      </c>
      <c r="J249" s="125"/>
      <c r="K249" s="125"/>
      <c r="L249" s="125"/>
      <c r="M249" s="125"/>
      <c r="N249" s="125"/>
    </row>
    <row r="250" spans="1:14" outlineLevel="1" x14ac:dyDescent="0.2">
      <c r="A250" s="125"/>
      <c r="B250" s="300"/>
      <c r="C250" s="125"/>
      <c r="D250" s="125"/>
      <c r="E250" s="125"/>
      <c r="F250" s="125"/>
      <c r="G250" s="125"/>
      <c r="H250" s="125"/>
      <c r="I250" s="125"/>
      <c r="J250" s="125"/>
      <c r="K250" s="125"/>
      <c r="L250" s="125"/>
      <c r="M250" s="125"/>
      <c r="N250" s="125"/>
    </row>
    <row r="251" spans="1:14" ht="15.75" outlineLevel="1" x14ac:dyDescent="0.2">
      <c r="A251" s="125"/>
      <c r="B251" s="300"/>
      <c r="C251" s="655"/>
      <c r="D251" s="630">
        <f>FirstYear</f>
        <v>2021</v>
      </c>
      <c r="E251" s="630">
        <f>D251+1</f>
        <v>2022</v>
      </c>
      <c r="F251" s="630">
        <f>E251+1</f>
        <v>2023</v>
      </c>
      <c r="G251" s="630">
        <f>F251+1</f>
        <v>2024</v>
      </c>
      <c r="H251" s="630">
        <f>G251+1</f>
        <v>2025</v>
      </c>
      <c r="I251" s="630">
        <f>H251+1</f>
        <v>2026</v>
      </c>
      <c r="J251" s="125"/>
      <c r="K251" s="125"/>
      <c r="L251" s="125"/>
      <c r="M251" s="125"/>
      <c r="N251" s="125"/>
    </row>
    <row r="252" spans="1:14" outlineLevel="1" x14ac:dyDescent="0.2">
      <c r="A252" s="125"/>
      <c r="B252" s="298">
        <v>1</v>
      </c>
      <c r="C252" s="294" t="s">
        <v>87</v>
      </c>
      <c r="D252" s="282">
        <f t="shared" ref="D252:I252" si="116">INDEX(RPBSScriptsNew,$B244,D245)*INDEX(DPMQCoPayNewPub,$B244,$B252)</f>
        <v>0</v>
      </c>
      <c r="E252" s="282">
        <f t="shared" si="116"/>
        <v>0</v>
      </c>
      <c r="F252" s="282">
        <f t="shared" si="116"/>
        <v>0</v>
      </c>
      <c r="G252" s="282">
        <f t="shared" si="116"/>
        <v>0</v>
      </c>
      <c r="H252" s="282">
        <f t="shared" si="116"/>
        <v>0</v>
      </c>
      <c r="I252" s="282">
        <f t="shared" si="116"/>
        <v>0</v>
      </c>
      <c r="J252" s="125"/>
      <c r="K252" s="125"/>
      <c r="L252" s="125"/>
      <c r="M252" s="125"/>
      <c r="N252" s="125"/>
    </row>
    <row r="253" spans="1:14" outlineLevel="1" x14ac:dyDescent="0.2">
      <c r="A253" s="125"/>
      <c r="B253" s="298">
        <v>5</v>
      </c>
      <c r="C253" s="5" t="s">
        <v>111</v>
      </c>
      <c r="D253" s="282">
        <f t="shared" ref="D253:I253" si="117">INDEX(RPBSScriptsNew,$B244,D245)*(INDEX(DPMQCoPayNewPub,$B244,$B253)/INDEX(CoPayCountNew,$B244))</f>
        <v>0</v>
      </c>
      <c r="E253" s="282">
        <f t="shared" si="117"/>
        <v>0</v>
      </c>
      <c r="F253" s="282">
        <f t="shared" si="117"/>
        <v>0</v>
      </c>
      <c r="G253" s="282">
        <f t="shared" si="117"/>
        <v>0</v>
      </c>
      <c r="H253" s="282">
        <f t="shared" si="117"/>
        <v>0</v>
      </c>
      <c r="I253" s="282">
        <f t="shared" si="117"/>
        <v>0</v>
      </c>
      <c r="J253" s="125"/>
      <c r="K253" s="125"/>
      <c r="L253" s="125"/>
      <c r="M253" s="125"/>
      <c r="N253" s="125"/>
    </row>
    <row r="254" spans="1:14" outlineLevel="1" x14ac:dyDescent="0.2">
      <c r="A254" s="125"/>
      <c r="B254" s="300"/>
      <c r="C254" s="5" t="s">
        <v>89</v>
      </c>
      <c r="D254" s="282">
        <f t="shared" ref="D254:I254" si="118">D252+D253</f>
        <v>0</v>
      </c>
      <c r="E254" s="282">
        <f t="shared" si="118"/>
        <v>0</v>
      </c>
      <c r="F254" s="282">
        <f t="shared" si="118"/>
        <v>0</v>
      </c>
      <c r="G254" s="282">
        <f t="shared" si="118"/>
        <v>0</v>
      </c>
      <c r="H254" s="282">
        <f t="shared" si="118"/>
        <v>0</v>
      </c>
      <c r="I254" s="282">
        <f t="shared" si="118"/>
        <v>0</v>
      </c>
      <c r="J254" s="125"/>
      <c r="K254" s="125"/>
      <c r="L254" s="125"/>
      <c r="M254" s="125"/>
      <c r="N254" s="125"/>
    </row>
    <row r="255" spans="1:14" x14ac:dyDescent="0.2">
      <c r="A255" s="125"/>
      <c r="B255" s="300"/>
      <c r="C255" s="658"/>
      <c r="D255" s="658"/>
      <c r="E255" s="658"/>
      <c r="F255" s="36"/>
      <c r="G255" s="36"/>
      <c r="H255" s="36"/>
      <c r="I255" s="36"/>
      <c r="J255" s="36"/>
      <c r="K255" s="36"/>
      <c r="L255" s="36"/>
      <c r="M255" s="36"/>
      <c r="N255" s="36"/>
    </row>
    <row r="256" spans="1:14" ht="15" x14ac:dyDescent="0.2">
      <c r="A256" s="125"/>
      <c r="B256" s="298">
        <v>20</v>
      </c>
      <c r="C256" s="147" t="str">
        <f>INDEX(PBSScriptsNew,B256,1)</f>
        <v>** NOT USED **</v>
      </c>
      <c r="D256" s="139"/>
      <c r="E256" s="139"/>
      <c r="F256" s="139"/>
      <c r="G256" s="139"/>
      <c r="H256" s="139"/>
      <c r="I256" s="139"/>
      <c r="J256" s="133"/>
      <c r="K256" s="132"/>
      <c r="L256" s="821" t="str">
        <f>IF(C256&lt;&gt;MsgNotUsed,"Co-payment group " &amp; INDEX(DPMQCoPayNewPub,B256,3),"")</f>
        <v/>
      </c>
      <c r="M256" s="821"/>
      <c r="N256" s="633"/>
    </row>
    <row r="257" spans="1:14" outlineLevel="1" x14ac:dyDescent="0.2">
      <c r="A257" s="125"/>
      <c r="B257" s="242">
        <f>INDEX(SANew,B256,5)</f>
        <v>0</v>
      </c>
      <c r="C257" s="658"/>
      <c r="D257" s="697">
        <v>2</v>
      </c>
      <c r="E257" s="697">
        <v>3</v>
      </c>
      <c r="F257" s="650">
        <v>4</v>
      </c>
      <c r="G257" s="650">
        <v>5</v>
      </c>
      <c r="H257" s="650">
        <v>6</v>
      </c>
      <c r="I257" s="650">
        <v>7</v>
      </c>
      <c r="J257" s="125"/>
      <c r="K257" s="36"/>
      <c r="L257" s="36"/>
      <c r="M257" s="36"/>
      <c r="N257" s="36"/>
    </row>
    <row r="258" spans="1:14" outlineLevel="1" x14ac:dyDescent="0.2">
      <c r="A258" s="125"/>
      <c r="B258" s="148"/>
      <c r="C258" s="125"/>
      <c r="D258" s="630">
        <f>FirstYear</f>
        <v>2021</v>
      </c>
      <c r="E258" s="630">
        <f>D258+1</f>
        <v>2022</v>
      </c>
      <c r="F258" s="630">
        <f>E258+1</f>
        <v>2023</v>
      </c>
      <c r="G258" s="630">
        <f>F258+1</f>
        <v>2024</v>
      </c>
      <c r="H258" s="630">
        <f>G258+1</f>
        <v>2025</v>
      </c>
      <c r="I258" s="630">
        <f>H258+1</f>
        <v>2026</v>
      </c>
      <c r="J258" s="125"/>
      <c r="K258" s="125"/>
      <c r="L258" s="125"/>
      <c r="M258" s="125"/>
      <c r="N258" s="125"/>
    </row>
    <row r="259" spans="1:14" outlineLevel="1" x14ac:dyDescent="0.2">
      <c r="A259" s="125"/>
      <c r="B259" s="298">
        <v>1</v>
      </c>
      <c r="C259" s="294" t="s">
        <v>86</v>
      </c>
      <c r="D259" s="282">
        <f t="shared" ref="D259:I259" si="119">INDEX(PBSScriptsNew,$B256,D257)*INDEX(DPMQCoPayNewPub,$B256,$B259)</f>
        <v>0</v>
      </c>
      <c r="E259" s="282">
        <f t="shared" si="119"/>
        <v>0</v>
      </c>
      <c r="F259" s="282">
        <f t="shared" si="119"/>
        <v>0</v>
      </c>
      <c r="G259" s="282">
        <f t="shared" si="119"/>
        <v>0</v>
      </c>
      <c r="H259" s="282">
        <f t="shared" si="119"/>
        <v>0</v>
      </c>
      <c r="I259" s="282">
        <f t="shared" si="119"/>
        <v>0</v>
      </c>
      <c r="J259" s="125"/>
      <c r="K259" s="125"/>
      <c r="L259" s="125"/>
      <c r="M259" s="125"/>
      <c r="N259" s="125"/>
    </row>
    <row r="260" spans="1:14" outlineLevel="1" x14ac:dyDescent="0.2">
      <c r="A260" s="125"/>
      <c r="B260" s="298">
        <v>4</v>
      </c>
      <c r="C260" s="5" t="s">
        <v>111</v>
      </c>
      <c r="D260" s="282">
        <f t="shared" ref="D260:I260" si="120">INDEX(PBSScriptsNew,$B256,D257)*(INDEX(DPMQCoPayNewPub,$B256,$B260)/INDEX(CoPayCountNew,$B256))</f>
        <v>0</v>
      </c>
      <c r="E260" s="282">
        <f t="shared" si="120"/>
        <v>0</v>
      </c>
      <c r="F260" s="282">
        <f t="shared" si="120"/>
        <v>0</v>
      </c>
      <c r="G260" s="282">
        <f t="shared" si="120"/>
        <v>0</v>
      </c>
      <c r="H260" s="282">
        <f t="shared" si="120"/>
        <v>0</v>
      </c>
      <c r="I260" s="282">
        <f t="shared" si="120"/>
        <v>0</v>
      </c>
      <c r="J260" s="125"/>
      <c r="K260" s="811" t="str">
        <f>IF(B257&lt;&gt;0,MsgNote&amp;IF(B257="Yes",INDEX(CoPayMethod,1),INDEX(CoPayMethod,2)),"")</f>
        <v/>
      </c>
      <c r="L260" s="811"/>
      <c r="M260" s="811"/>
      <c r="N260" s="628"/>
    </row>
    <row r="261" spans="1:14" outlineLevel="1" x14ac:dyDescent="0.2">
      <c r="A261" s="125"/>
      <c r="B261" s="300"/>
      <c r="C261" s="5" t="s">
        <v>88</v>
      </c>
      <c r="D261" s="282">
        <f t="shared" ref="D261:I261" si="121">D259+D260</f>
        <v>0</v>
      </c>
      <c r="E261" s="282">
        <f t="shared" si="121"/>
        <v>0</v>
      </c>
      <c r="F261" s="282">
        <f t="shared" si="121"/>
        <v>0</v>
      </c>
      <c r="G261" s="282">
        <f t="shared" si="121"/>
        <v>0</v>
      </c>
      <c r="H261" s="282">
        <f t="shared" si="121"/>
        <v>0</v>
      </c>
      <c r="I261" s="282">
        <f t="shared" si="121"/>
        <v>0</v>
      </c>
      <c r="J261" s="125"/>
      <c r="K261" s="125"/>
      <c r="L261" s="125"/>
      <c r="M261" s="125"/>
      <c r="N261" s="125"/>
    </row>
    <row r="262" spans="1:14" outlineLevel="1" x14ac:dyDescent="0.2">
      <c r="A262" s="125"/>
      <c r="B262" s="300"/>
      <c r="C262" s="125"/>
      <c r="D262" s="125"/>
      <c r="E262" s="125"/>
      <c r="F262" s="125"/>
      <c r="G262" s="125"/>
      <c r="H262" s="125"/>
      <c r="I262" s="125"/>
      <c r="J262" s="125"/>
      <c r="K262" s="125"/>
      <c r="L262" s="125"/>
      <c r="M262" s="125"/>
      <c r="N262" s="125"/>
    </row>
    <row r="263" spans="1:14" ht="15.75" outlineLevel="1" x14ac:dyDescent="0.2">
      <c r="A263" s="125"/>
      <c r="B263" s="300"/>
      <c r="C263" s="655"/>
      <c r="D263" s="630">
        <f>FirstYear</f>
        <v>2021</v>
      </c>
      <c r="E263" s="630">
        <f>D263+1</f>
        <v>2022</v>
      </c>
      <c r="F263" s="630">
        <f>E263+1</f>
        <v>2023</v>
      </c>
      <c r="G263" s="630">
        <f>F263+1</f>
        <v>2024</v>
      </c>
      <c r="H263" s="630">
        <f>G263+1</f>
        <v>2025</v>
      </c>
      <c r="I263" s="630">
        <f>H263+1</f>
        <v>2026</v>
      </c>
      <c r="J263" s="125"/>
      <c r="K263" s="125"/>
      <c r="L263" s="125"/>
      <c r="M263" s="125"/>
      <c r="N263" s="125"/>
    </row>
    <row r="264" spans="1:14" outlineLevel="1" x14ac:dyDescent="0.2">
      <c r="A264" s="125"/>
      <c r="B264" s="298">
        <v>1</v>
      </c>
      <c r="C264" s="294" t="s">
        <v>87</v>
      </c>
      <c r="D264" s="282">
        <f t="shared" ref="D264:I264" si="122">INDEX(RPBSScriptsNew,$B256,D257)*INDEX(DPMQCoPayNewPub,$B256,$B264)</f>
        <v>0</v>
      </c>
      <c r="E264" s="282">
        <f t="shared" si="122"/>
        <v>0</v>
      </c>
      <c r="F264" s="282">
        <f t="shared" si="122"/>
        <v>0</v>
      </c>
      <c r="G264" s="282">
        <f t="shared" si="122"/>
        <v>0</v>
      </c>
      <c r="H264" s="282">
        <f t="shared" si="122"/>
        <v>0</v>
      </c>
      <c r="I264" s="282">
        <f t="shared" si="122"/>
        <v>0</v>
      </c>
      <c r="J264" s="125"/>
      <c r="K264" s="125"/>
      <c r="L264" s="125"/>
      <c r="M264" s="125"/>
      <c r="N264" s="125"/>
    </row>
    <row r="265" spans="1:14" outlineLevel="1" x14ac:dyDescent="0.2">
      <c r="A265" s="125"/>
      <c r="B265" s="298">
        <v>5</v>
      </c>
      <c r="C265" s="5" t="s">
        <v>111</v>
      </c>
      <c r="D265" s="282">
        <f t="shared" ref="D265:I265" si="123">INDEX(RPBSScriptsNew,$B256,D257)*(INDEX(DPMQCoPayNewPub,$B256,$B265)/INDEX(CoPayCountNew,$B256))</f>
        <v>0</v>
      </c>
      <c r="E265" s="282">
        <f t="shared" si="123"/>
        <v>0</v>
      </c>
      <c r="F265" s="282">
        <f t="shared" si="123"/>
        <v>0</v>
      </c>
      <c r="G265" s="282">
        <f t="shared" si="123"/>
        <v>0</v>
      </c>
      <c r="H265" s="282">
        <f t="shared" si="123"/>
        <v>0</v>
      </c>
      <c r="I265" s="282">
        <f t="shared" si="123"/>
        <v>0</v>
      </c>
      <c r="J265" s="125"/>
      <c r="K265" s="125"/>
      <c r="L265" s="125"/>
      <c r="M265" s="125"/>
      <c r="N265" s="125"/>
    </row>
    <row r="266" spans="1:14" outlineLevel="1" x14ac:dyDescent="0.2">
      <c r="A266" s="125"/>
      <c r="B266" s="300"/>
      <c r="C266" s="5" t="s">
        <v>89</v>
      </c>
      <c r="D266" s="282">
        <f t="shared" ref="D266:I266" si="124">D264+D265</f>
        <v>0</v>
      </c>
      <c r="E266" s="282">
        <f t="shared" si="124"/>
        <v>0</v>
      </c>
      <c r="F266" s="282">
        <f t="shared" si="124"/>
        <v>0</v>
      </c>
      <c r="G266" s="282">
        <f t="shared" si="124"/>
        <v>0</v>
      </c>
      <c r="H266" s="282">
        <f t="shared" si="124"/>
        <v>0</v>
      </c>
      <c r="I266" s="282">
        <f t="shared" si="124"/>
        <v>0</v>
      </c>
      <c r="J266" s="125"/>
      <c r="K266" s="125"/>
      <c r="L266" s="125"/>
      <c r="M266" s="125"/>
      <c r="N266" s="125"/>
    </row>
    <row r="267" spans="1:14" outlineLevel="1" x14ac:dyDescent="0.2">
      <c r="A267" s="125"/>
      <c r="B267" s="300"/>
      <c r="C267" s="658"/>
      <c r="D267" s="658"/>
      <c r="E267" s="658"/>
      <c r="F267" s="36"/>
      <c r="G267" s="36"/>
      <c r="H267" s="36"/>
      <c r="I267" s="36"/>
      <c r="J267" s="36"/>
      <c r="K267" s="36"/>
      <c r="L267" s="36"/>
      <c r="M267" s="36"/>
      <c r="N267" s="36"/>
    </row>
    <row r="268" spans="1:14" s="416" customFormat="1" x14ac:dyDescent="0.2">
      <c r="A268" s="125"/>
      <c r="B268" s="125"/>
      <c r="C268" s="125"/>
      <c r="D268" s="125"/>
      <c r="E268" s="125"/>
      <c r="F268" s="125"/>
      <c r="G268" s="125"/>
      <c r="H268" s="125"/>
      <c r="I268" s="125"/>
      <c r="J268" s="125"/>
      <c r="K268" s="125"/>
      <c r="L268" s="125"/>
      <c r="M268" s="125"/>
      <c r="N268" s="125"/>
    </row>
    <row r="269" spans="1:14" ht="15.75" x14ac:dyDescent="0.2">
      <c r="A269" s="125"/>
      <c r="B269" s="125"/>
      <c r="C269" s="123" t="s">
        <v>918</v>
      </c>
      <c r="D269" s="123"/>
      <c r="E269" s="123"/>
      <c r="F269" s="142"/>
      <c r="G269" s="127"/>
      <c r="H269" s="127"/>
      <c r="I269" s="127"/>
      <c r="J269" s="127"/>
      <c r="K269" s="127"/>
      <c r="L269" s="127"/>
      <c r="M269" s="127"/>
      <c r="N269" s="127"/>
    </row>
    <row r="270" spans="1:14" ht="15.75" x14ac:dyDescent="0.2">
      <c r="A270" s="125"/>
      <c r="B270" s="125"/>
      <c r="C270" s="655"/>
      <c r="D270" s="655"/>
      <c r="E270" s="655"/>
      <c r="F270" s="656"/>
      <c r="G270" s="125"/>
      <c r="H270" s="125"/>
      <c r="I270" s="125"/>
      <c r="J270" s="125"/>
      <c r="K270" s="125"/>
      <c r="L270" s="125"/>
      <c r="M270" s="125"/>
      <c r="N270" s="125"/>
    </row>
    <row r="271" spans="1:14" x14ac:dyDescent="0.2">
      <c r="A271" s="125"/>
      <c r="B271" s="125"/>
      <c r="C271" s="162" t="s">
        <v>826</v>
      </c>
      <c r="D271" s="162"/>
      <c r="E271" s="162"/>
      <c r="F271" s="656"/>
      <c r="G271" s="125"/>
      <c r="H271" s="125"/>
      <c r="I271" s="125"/>
      <c r="J271" s="125"/>
      <c r="K271" s="125"/>
      <c r="L271" s="125"/>
      <c r="M271" s="125"/>
      <c r="N271" s="125"/>
    </row>
    <row r="272" spans="1:14" x14ac:dyDescent="0.2">
      <c r="A272" s="125"/>
      <c r="B272" s="125"/>
      <c r="C272" s="162"/>
      <c r="D272" s="162"/>
      <c r="E272" s="162"/>
      <c r="F272" s="656"/>
      <c r="G272" s="125"/>
      <c r="H272" s="863" t="str">
        <f>IF(S294&gt;0,"DPMA / DPMQ","")</f>
        <v/>
      </c>
      <c r="I272" s="863"/>
      <c r="J272" s="863"/>
      <c r="K272" s="125"/>
      <c r="L272" s="125"/>
      <c r="M272" s="125"/>
      <c r="N272" s="125"/>
    </row>
    <row r="273" spans="1:20" ht="25.5" x14ac:dyDescent="0.2">
      <c r="A273" s="125"/>
      <c r="B273" s="125"/>
      <c r="C273" s="830" t="s">
        <v>813</v>
      </c>
      <c r="D273" s="864"/>
      <c r="E273" s="865"/>
      <c r="F273" s="82" t="s">
        <v>112</v>
      </c>
      <c r="G273" s="82" t="s">
        <v>932</v>
      </c>
      <c r="H273" s="67" t="str">
        <f>IF(S294&gt;0,"Public","DPMA / DPMQ")</f>
        <v>DPMA / DPMQ</v>
      </c>
      <c r="I273" s="67" t="str">
        <f>IF(S294&gt;0,"Private","")</f>
        <v/>
      </c>
      <c r="J273" s="67" t="str">
        <f>IF(S294&gt;0,"Weighted","DPMA / DPMQ")</f>
        <v>DPMA / DPMQ</v>
      </c>
      <c r="K273" s="528" t="s">
        <v>756</v>
      </c>
      <c r="L273" s="67" t="s">
        <v>756</v>
      </c>
      <c r="M273" s="82" t="s">
        <v>428</v>
      </c>
      <c r="N273" s="82" t="s">
        <v>429</v>
      </c>
      <c r="P273" s="758" t="s">
        <v>1190</v>
      </c>
      <c r="Q273" s="758" t="s">
        <v>428</v>
      </c>
      <c r="R273" s="758" t="s">
        <v>429</v>
      </c>
    </row>
    <row r="274" spans="1:20" x14ac:dyDescent="0.2">
      <c r="A274" s="125"/>
      <c r="B274" s="58">
        <v>1</v>
      </c>
      <c r="C274" s="860" t="str">
        <f t="shared" ref="C274:C293" si="125">INDEX(PBSScriptsNew,B274,1)</f>
        <v>** NOT USED **</v>
      </c>
      <c r="D274" s="861"/>
      <c r="E274" s="862"/>
      <c r="F274" s="287"/>
      <c r="G274" s="151"/>
      <c r="H274" s="287"/>
      <c r="I274" s="287"/>
      <c r="J274" s="288">
        <f>IF(AND(ISBLANK(H274),COUNT(I274)=1),I274,IF(AND(COUNT(H274)=1,ISBLANK(I274)),H274,IF(COUNT(H274:I274)=2,H274*S274+I274*T274,0)))</f>
        <v>0</v>
      </c>
      <c r="K274" s="531"/>
      <c r="L274" s="471" t="str">
        <f t="shared" ref="L274:L293" si="126">IF(AND(C274&lt;&gt;MsgNotUsed,ISERROR(P274)=FALSE),IF(K274&lt;&gt;"",K274,P274),"")</f>
        <v/>
      </c>
      <c r="M274" s="288">
        <f>IF(J274&gt;Q274,-Q274,-J274)</f>
        <v>0</v>
      </c>
      <c r="N274" s="288">
        <f>IF(J274&gt;R274,-R274,-J274)</f>
        <v>0</v>
      </c>
      <c r="P274" s="760" t="str">
        <f t="shared" ref="P274:P293" si="127">IF(C274&lt;&gt;MsgNotUsed,VLOOKUP(C274,CoPayBandLink,5,FALSE),"")</f>
        <v/>
      </c>
      <c r="Q274" s="757">
        <f t="shared" ref="Q274:Q293" si="128">IFERROR(INDEX(CoPayPBS,L274),0)</f>
        <v>0</v>
      </c>
      <c r="R274" s="757">
        <f t="shared" ref="R274:R293" si="129">IFERROR(INDEX(CoPayRPBS,L274),0)</f>
        <v>0</v>
      </c>
      <c r="S274" s="549">
        <f t="shared" ref="S274:S293" si="130">IFERROR(INDEX(ServiceSplitPublic,L274),0)</f>
        <v>0</v>
      </c>
      <c r="T274" s="549">
        <f t="shared" ref="T274:T293" si="131">IFERROR(INDEX(ServiceSplitPrivate,L274),0)</f>
        <v>0</v>
      </c>
    </row>
    <row r="275" spans="1:20" x14ac:dyDescent="0.2">
      <c r="A275" s="125"/>
      <c r="B275" s="58">
        <v>2</v>
      </c>
      <c r="C275" s="860" t="str">
        <f t="shared" si="125"/>
        <v>** NOT USED **</v>
      </c>
      <c r="D275" s="861"/>
      <c r="E275" s="862"/>
      <c r="F275" s="287"/>
      <c r="G275" s="151"/>
      <c r="H275" s="287"/>
      <c r="I275" s="287"/>
      <c r="J275" s="288">
        <f t="shared" ref="J275:J293" si="132">IF(AND(ISBLANK(H275),COUNT(I275)=1),I275,IF(AND(COUNT(H275)=1,ISBLANK(I275)),H275,IF(COUNT(H275:I275)=2,H275*S275+I275*T275,0)))</f>
        <v>0</v>
      </c>
      <c r="K275" s="531"/>
      <c r="L275" s="471" t="str">
        <f t="shared" si="126"/>
        <v/>
      </c>
      <c r="M275" s="288">
        <f t="shared" ref="M275:M293" si="133">IF(J275&gt;Q275,-Q275,-J275)</f>
        <v>0</v>
      </c>
      <c r="N275" s="288">
        <f t="shared" ref="N275:N293" si="134">IF(J275&gt;R275,-R275,-J275)</f>
        <v>0</v>
      </c>
      <c r="P275" s="760" t="str">
        <f t="shared" si="127"/>
        <v/>
      </c>
      <c r="Q275" s="757">
        <f t="shared" si="128"/>
        <v>0</v>
      </c>
      <c r="R275" s="757">
        <f t="shared" si="129"/>
        <v>0</v>
      </c>
      <c r="S275" s="549">
        <f t="shared" si="130"/>
        <v>0</v>
      </c>
      <c r="T275" s="549">
        <f t="shared" si="131"/>
        <v>0</v>
      </c>
    </row>
    <row r="276" spans="1:20" x14ac:dyDescent="0.2">
      <c r="A276" s="125"/>
      <c r="B276" s="58">
        <v>3</v>
      </c>
      <c r="C276" s="860" t="str">
        <f t="shared" si="125"/>
        <v>** NOT USED **</v>
      </c>
      <c r="D276" s="861"/>
      <c r="E276" s="862"/>
      <c r="F276" s="287"/>
      <c r="G276" s="151"/>
      <c r="H276" s="287"/>
      <c r="I276" s="287"/>
      <c r="J276" s="288">
        <f t="shared" si="132"/>
        <v>0</v>
      </c>
      <c r="K276" s="531"/>
      <c r="L276" s="471" t="str">
        <f t="shared" si="126"/>
        <v/>
      </c>
      <c r="M276" s="288">
        <f t="shared" si="133"/>
        <v>0</v>
      </c>
      <c r="N276" s="288">
        <f t="shared" si="134"/>
        <v>0</v>
      </c>
      <c r="P276" s="760" t="str">
        <f t="shared" si="127"/>
        <v/>
      </c>
      <c r="Q276" s="757">
        <f t="shared" si="128"/>
        <v>0</v>
      </c>
      <c r="R276" s="757">
        <f t="shared" si="129"/>
        <v>0</v>
      </c>
      <c r="S276" s="549">
        <f t="shared" si="130"/>
        <v>0</v>
      </c>
      <c r="T276" s="549">
        <f t="shared" si="131"/>
        <v>0</v>
      </c>
    </row>
    <row r="277" spans="1:20" x14ac:dyDescent="0.2">
      <c r="A277" s="125"/>
      <c r="B277" s="58">
        <v>4</v>
      </c>
      <c r="C277" s="860" t="str">
        <f t="shared" si="125"/>
        <v>** NOT USED **</v>
      </c>
      <c r="D277" s="861"/>
      <c r="E277" s="862"/>
      <c r="F277" s="287"/>
      <c r="G277" s="151"/>
      <c r="H277" s="287"/>
      <c r="I277" s="287"/>
      <c r="J277" s="288">
        <f t="shared" si="132"/>
        <v>0</v>
      </c>
      <c r="K277" s="531"/>
      <c r="L277" s="471" t="str">
        <f t="shared" si="126"/>
        <v/>
      </c>
      <c r="M277" s="288">
        <f t="shared" si="133"/>
        <v>0</v>
      </c>
      <c r="N277" s="288">
        <f t="shared" si="134"/>
        <v>0</v>
      </c>
      <c r="P277" s="760" t="str">
        <f t="shared" si="127"/>
        <v/>
      </c>
      <c r="Q277" s="757">
        <f t="shared" si="128"/>
        <v>0</v>
      </c>
      <c r="R277" s="757">
        <f t="shared" si="129"/>
        <v>0</v>
      </c>
      <c r="S277" s="549">
        <f t="shared" si="130"/>
        <v>0</v>
      </c>
      <c r="T277" s="549">
        <f t="shared" si="131"/>
        <v>0</v>
      </c>
    </row>
    <row r="278" spans="1:20" x14ac:dyDescent="0.2">
      <c r="A278" s="125"/>
      <c r="B278" s="58">
        <v>5</v>
      </c>
      <c r="C278" s="860" t="str">
        <f t="shared" si="125"/>
        <v>** NOT USED **</v>
      </c>
      <c r="D278" s="861"/>
      <c r="E278" s="862"/>
      <c r="F278" s="287"/>
      <c r="G278" s="151"/>
      <c r="H278" s="287"/>
      <c r="I278" s="287"/>
      <c r="J278" s="288">
        <f t="shared" si="132"/>
        <v>0</v>
      </c>
      <c r="K278" s="531"/>
      <c r="L278" s="471" t="str">
        <f t="shared" si="126"/>
        <v/>
      </c>
      <c r="M278" s="288">
        <f t="shared" si="133"/>
        <v>0</v>
      </c>
      <c r="N278" s="288">
        <f t="shared" si="134"/>
        <v>0</v>
      </c>
      <c r="P278" s="760" t="str">
        <f t="shared" si="127"/>
        <v/>
      </c>
      <c r="Q278" s="757">
        <f t="shared" si="128"/>
        <v>0</v>
      </c>
      <c r="R278" s="757">
        <f t="shared" si="129"/>
        <v>0</v>
      </c>
      <c r="S278" s="549">
        <f t="shared" si="130"/>
        <v>0</v>
      </c>
      <c r="T278" s="549">
        <f t="shared" si="131"/>
        <v>0</v>
      </c>
    </row>
    <row r="279" spans="1:20" x14ac:dyDescent="0.2">
      <c r="A279" s="125"/>
      <c r="B279" s="58">
        <v>6</v>
      </c>
      <c r="C279" s="860" t="str">
        <f t="shared" si="125"/>
        <v>** NOT USED **</v>
      </c>
      <c r="D279" s="861"/>
      <c r="E279" s="862"/>
      <c r="F279" s="287"/>
      <c r="G279" s="151"/>
      <c r="H279" s="287"/>
      <c r="I279" s="287"/>
      <c r="J279" s="288">
        <f t="shared" si="132"/>
        <v>0</v>
      </c>
      <c r="K279" s="531"/>
      <c r="L279" s="471" t="str">
        <f t="shared" si="126"/>
        <v/>
      </c>
      <c r="M279" s="288">
        <f t="shared" si="133"/>
        <v>0</v>
      </c>
      <c r="N279" s="288">
        <f t="shared" si="134"/>
        <v>0</v>
      </c>
      <c r="P279" s="760" t="str">
        <f t="shared" si="127"/>
        <v/>
      </c>
      <c r="Q279" s="757">
        <f t="shared" si="128"/>
        <v>0</v>
      </c>
      <c r="R279" s="757">
        <f t="shared" si="129"/>
        <v>0</v>
      </c>
      <c r="S279" s="549">
        <f t="shared" si="130"/>
        <v>0</v>
      </c>
      <c r="T279" s="549">
        <f t="shared" si="131"/>
        <v>0</v>
      </c>
    </row>
    <row r="280" spans="1:20" x14ac:dyDescent="0.2">
      <c r="A280" s="125"/>
      <c r="B280" s="58">
        <v>7</v>
      </c>
      <c r="C280" s="860" t="str">
        <f t="shared" si="125"/>
        <v>** NOT USED **</v>
      </c>
      <c r="D280" s="861"/>
      <c r="E280" s="862"/>
      <c r="F280" s="287"/>
      <c r="G280" s="151"/>
      <c r="H280" s="287"/>
      <c r="I280" s="287"/>
      <c r="J280" s="288">
        <f t="shared" si="132"/>
        <v>0</v>
      </c>
      <c r="K280" s="531"/>
      <c r="L280" s="471" t="str">
        <f t="shared" si="126"/>
        <v/>
      </c>
      <c r="M280" s="288">
        <f t="shared" si="133"/>
        <v>0</v>
      </c>
      <c r="N280" s="288">
        <f t="shared" si="134"/>
        <v>0</v>
      </c>
      <c r="P280" s="760" t="str">
        <f t="shared" si="127"/>
        <v/>
      </c>
      <c r="Q280" s="757">
        <f t="shared" si="128"/>
        <v>0</v>
      </c>
      <c r="R280" s="757">
        <f t="shared" si="129"/>
        <v>0</v>
      </c>
      <c r="S280" s="549">
        <f t="shared" si="130"/>
        <v>0</v>
      </c>
      <c r="T280" s="549">
        <f t="shared" si="131"/>
        <v>0</v>
      </c>
    </row>
    <row r="281" spans="1:20" x14ac:dyDescent="0.2">
      <c r="A281" s="125"/>
      <c r="B281" s="58">
        <v>8</v>
      </c>
      <c r="C281" s="860" t="str">
        <f t="shared" si="125"/>
        <v>** NOT USED **</v>
      </c>
      <c r="D281" s="861"/>
      <c r="E281" s="862"/>
      <c r="F281" s="287"/>
      <c r="G281" s="151"/>
      <c r="H281" s="287"/>
      <c r="I281" s="287"/>
      <c r="J281" s="288">
        <f t="shared" si="132"/>
        <v>0</v>
      </c>
      <c r="K281" s="531"/>
      <c r="L281" s="471" t="str">
        <f t="shared" si="126"/>
        <v/>
      </c>
      <c r="M281" s="288">
        <f t="shared" si="133"/>
        <v>0</v>
      </c>
      <c r="N281" s="288">
        <f t="shared" si="134"/>
        <v>0</v>
      </c>
      <c r="P281" s="760" t="str">
        <f t="shared" si="127"/>
        <v/>
      </c>
      <c r="Q281" s="757">
        <f t="shared" si="128"/>
        <v>0</v>
      </c>
      <c r="R281" s="757">
        <f t="shared" si="129"/>
        <v>0</v>
      </c>
      <c r="S281" s="549">
        <f t="shared" si="130"/>
        <v>0</v>
      </c>
      <c r="T281" s="549">
        <f t="shared" si="131"/>
        <v>0</v>
      </c>
    </row>
    <row r="282" spans="1:20" x14ac:dyDescent="0.2">
      <c r="A282" s="125"/>
      <c r="B282" s="58">
        <v>9</v>
      </c>
      <c r="C282" s="860" t="str">
        <f t="shared" si="125"/>
        <v>** NOT USED **</v>
      </c>
      <c r="D282" s="861"/>
      <c r="E282" s="862"/>
      <c r="F282" s="287"/>
      <c r="G282" s="151"/>
      <c r="H282" s="287"/>
      <c r="I282" s="287"/>
      <c r="J282" s="288">
        <f t="shared" si="132"/>
        <v>0</v>
      </c>
      <c r="K282" s="531"/>
      <c r="L282" s="471" t="str">
        <f t="shared" si="126"/>
        <v/>
      </c>
      <c r="M282" s="288">
        <f t="shared" si="133"/>
        <v>0</v>
      </c>
      <c r="N282" s="288">
        <f t="shared" si="134"/>
        <v>0</v>
      </c>
      <c r="P282" s="760" t="str">
        <f t="shared" si="127"/>
        <v/>
      </c>
      <c r="Q282" s="757">
        <f t="shared" si="128"/>
        <v>0</v>
      </c>
      <c r="R282" s="757">
        <f t="shared" si="129"/>
        <v>0</v>
      </c>
      <c r="S282" s="549">
        <f t="shared" si="130"/>
        <v>0</v>
      </c>
      <c r="T282" s="549">
        <f t="shared" si="131"/>
        <v>0</v>
      </c>
    </row>
    <row r="283" spans="1:20" x14ac:dyDescent="0.2">
      <c r="A283" s="125"/>
      <c r="B283" s="58">
        <v>10</v>
      </c>
      <c r="C283" s="860" t="str">
        <f t="shared" si="125"/>
        <v>** NOT USED **</v>
      </c>
      <c r="D283" s="861"/>
      <c r="E283" s="862"/>
      <c r="F283" s="287"/>
      <c r="G283" s="151"/>
      <c r="H283" s="287"/>
      <c r="I283" s="287"/>
      <c r="J283" s="288">
        <f t="shared" si="132"/>
        <v>0</v>
      </c>
      <c r="K283" s="531"/>
      <c r="L283" s="471" t="str">
        <f t="shared" si="126"/>
        <v/>
      </c>
      <c r="M283" s="288">
        <f t="shared" si="133"/>
        <v>0</v>
      </c>
      <c r="N283" s="288">
        <f t="shared" si="134"/>
        <v>0</v>
      </c>
      <c r="P283" s="760" t="str">
        <f t="shared" si="127"/>
        <v/>
      </c>
      <c r="Q283" s="757">
        <f t="shared" si="128"/>
        <v>0</v>
      </c>
      <c r="R283" s="757">
        <f t="shared" si="129"/>
        <v>0</v>
      </c>
      <c r="S283" s="549">
        <f t="shared" si="130"/>
        <v>0</v>
      </c>
      <c r="T283" s="549">
        <f t="shared" si="131"/>
        <v>0</v>
      </c>
    </row>
    <row r="284" spans="1:20" x14ac:dyDescent="0.2">
      <c r="A284" s="125"/>
      <c r="B284" s="58">
        <v>11</v>
      </c>
      <c r="C284" s="860" t="str">
        <f t="shared" si="125"/>
        <v>** NOT USED **</v>
      </c>
      <c r="D284" s="861"/>
      <c r="E284" s="862"/>
      <c r="F284" s="287"/>
      <c r="G284" s="151"/>
      <c r="H284" s="287"/>
      <c r="I284" s="287"/>
      <c r="J284" s="288">
        <f t="shared" si="132"/>
        <v>0</v>
      </c>
      <c r="K284" s="531"/>
      <c r="L284" s="471" t="str">
        <f t="shared" si="126"/>
        <v/>
      </c>
      <c r="M284" s="288">
        <f t="shared" si="133"/>
        <v>0</v>
      </c>
      <c r="N284" s="288">
        <f t="shared" si="134"/>
        <v>0</v>
      </c>
      <c r="P284" s="760" t="str">
        <f t="shared" si="127"/>
        <v/>
      </c>
      <c r="Q284" s="757">
        <f t="shared" si="128"/>
        <v>0</v>
      </c>
      <c r="R284" s="757">
        <f t="shared" si="129"/>
        <v>0</v>
      </c>
      <c r="S284" s="549">
        <f t="shared" si="130"/>
        <v>0</v>
      </c>
      <c r="T284" s="549">
        <f t="shared" si="131"/>
        <v>0</v>
      </c>
    </row>
    <row r="285" spans="1:20" x14ac:dyDescent="0.2">
      <c r="A285" s="125"/>
      <c r="B285" s="58">
        <v>12</v>
      </c>
      <c r="C285" s="860" t="str">
        <f t="shared" si="125"/>
        <v>** NOT USED **</v>
      </c>
      <c r="D285" s="861"/>
      <c r="E285" s="862"/>
      <c r="F285" s="287"/>
      <c r="G285" s="151"/>
      <c r="H285" s="287"/>
      <c r="I285" s="287"/>
      <c r="J285" s="288">
        <f t="shared" si="132"/>
        <v>0</v>
      </c>
      <c r="K285" s="531"/>
      <c r="L285" s="471" t="str">
        <f t="shared" si="126"/>
        <v/>
      </c>
      <c r="M285" s="288">
        <f t="shared" si="133"/>
        <v>0</v>
      </c>
      <c r="N285" s="288">
        <f t="shared" si="134"/>
        <v>0</v>
      </c>
      <c r="P285" s="760" t="str">
        <f t="shared" si="127"/>
        <v/>
      </c>
      <c r="Q285" s="757">
        <f t="shared" si="128"/>
        <v>0</v>
      </c>
      <c r="R285" s="757">
        <f t="shared" si="129"/>
        <v>0</v>
      </c>
      <c r="S285" s="549">
        <f t="shared" si="130"/>
        <v>0</v>
      </c>
      <c r="T285" s="549">
        <f t="shared" si="131"/>
        <v>0</v>
      </c>
    </row>
    <row r="286" spans="1:20" x14ac:dyDescent="0.2">
      <c r="A286" s="125"/>
      <c r="B286" s="58">
        <v>13</v>
      </c>
      <c r="C286" s="860" t="str">
        <f t="shared" si="125"/>
        <v>** NOT USED **</v>
      </c>
      <c r="D286" s="861"/>
      <c r="E286" s="862"/>
      <c r="F286" s="287"/>
      <c r="G286" s="151"/>
      <c r="H286" s="287"/>
      <c r="I286" s="287"/>
      <c r="J286" s="288">
        <f t="shared" si="132"/>
        <v>0</v>
      </c>
      <c r="K286" s="531"/>
      <c r="L286" s="471" t="str">
        <f t="shared" si="126"/>
        <v/>
      </c>
      <c r="M286" s="288">
        <f t="shared" si="133"/>
        <v>0</v>
      </c>
      <c r="N286" s="288">
        <f t="shared" si="134"/>
        <v>0</v>
      </c>
      <c r="P286" s="760" t="str">
        <f t="shared" si="127"/>
        <v/>
      </c>
      <c r="Q286" s="757">
        <f t="shared" si="128"/>
        <v>0</v>
      </c>
      <c r="R286" s="757">
        <f t="shared" si="129"/>
        <v>0</v>
      </c>
      <c r="S286" s="549">
        <f t="shared" si="130"/>
        <v>0</v>
      </c>
      <c r="T286" s="549">
        <f t="shared" si="131"/>
        <v>0</v>
      </c>
    </row>
    <row r="287" spans="1:20" x14ac:dyDescent="0.2">
      <c r="A287" s="125"/>
      <c r="B287" s="58">
        <v>14</v>
      </c>
      <c r="C287" s="860" t="str">
        <f t="shared" si="125"/>
        <v>** NOT USED **</v>
      </c>
      <c r="D287" s="861"/>
      <c r="E287" s="862"/>
      <c r="F287" s="287"/>
      <c r="G287" s="151"/>
      <c r="H287" s="287"/>
      <c r="I287" s="287"/>
      <c r="J287" s="288">
        <f t="shared" si="132"/>
        <v>0</v>
      </c>
      <c r="K287" s="531"/>
      <c r="L287" s="471" t="str">
        <f t="shared" si="126"/>
        <v/>
      </c>
      <c r="M287" s="288">
        <f t="shared" si="133"/>
        <v>0</v>
      </c>
      <c r="N287" s="288">
        <f t="shared" si="134"/>
        <v>0</v>
      </c>
      <c r="P287" s="760" t="str">
        <f t="shared" si="127"/>
        <v/>
      </c>
      <c r="Q287" s="757">
        <f t="shared" si="128"/>
        <v>0</v>
      </c>
      <c r="R287" s="757">
        <f t="shared" si="129"/>
        <v>0</v>
      </c>
      <c r="S287" s="549">
        <f t="shared" si="130"/>
        <v>0</v>
      </c>
      <c r="T287" s="549">
        <f t="shared" si="131"/>
        <v>0</v>
      </c>
    </row>
    <row r="288" spans="1:20" x14ac:dyDescent="0.2">
      <c r="A288" s="125"/>
      <c r="B288" s="58">
        <v>15</v>
      </c>
      <c r="C288" s="860" t="str">
        <f t="shared" si="125"/>
        <v>** NOT USED **</v>
      </c>
      <c r="D288" s="861"/>
      <c r="E288" s="862"/>
      <c r="F288" s="287"/>
      <c r="G288" s="151"/>
      <c r="H288" s="287"/>
      <c r="I288" s="287"/>
      <c r="J288" s="288">
        <f t="shared" si="132"/>
        <v>0</v>
      </c>
      <c r="K288" s="531"/>
      <c r="L288" s="471" t="str">
        <f t="shared" si="126"/>
        <v/>
      </c>
      <c r="M288" s="288">
        <f t="shared" si="133"/>
        <v>0</v>
      </c>
      <c r="N288" s="288">
        <f t="shared" si="134"/>
        <v>0</v>
      </c>
      <c r="P288" s="760" t="str">
        <f t="shared" si="127"/>
        <v/>
      </c>
      <c r="Q288" s="757">
        <f t="shared" si="128"/>
        <v>0</v>
      </c>
      <c r="R288" s="757">
        <f t="shared" si="129"/>
        <v>0</v>
      </c>
      <c r="S288" s="549">
        <f t="shared" si="130"/>
        <v>0</v>
      </c>
      <c r="T288" s="549">
        <f t="shared" si="131"/>
        <v>0</v>
      </c>
    </row>
    <row r="289" spans="1:20" x14ac:dyDescent="0.2">
      <c r="A289" s="125"/>
      <c r="B289" s="58">
        <v>16</v>
      </c>
      <c r="C289" s="860" t="str">
        <f t="shared" si="125"/>
        <v>** NOT USED **</v>
      </c>
      <c r="D289" s="861"/>
      <c r="E289" s="862"/>
      <c r="F289" s="287"/>
      <c r="G289" s="151"/>
      <c r="H289" s="287"/>
      <c r="I289" s="287"/>
      <c r="J289" s="288">
        <f t="shared" si="132"/>
        <v>0</v>
      </c>
      <c r="K289" s="531"/>
      <c r="L289" s="471" t="str">
        <f t="shared" si="126"/>
        <v/>
      </c>
      <c r="M289" s="288">
        <f t="shared" si="133"/>
        <v>0</v>
      </c>
      <c r="N289" s="288">
        <f t="shared" si="134"/>
        <v>0</v>
      </c>
      <c r="P289" s="760" t="str">
        <f t="shared" si="127"/>
        <v/>
      </c>
      <c r="Q289" s="757">
        <f t="shared" si="128"/>
        <v>0</v>
      </c>
      <c r="R289" s="757">
        <f t="shared" si="129"/>
        <v>0</v>
      </c>
      <c r="S289" s="549">
        <f t="shared" si="130"/>
        <v>0</v>
      </c>
      <c r="T289" s="549">
        <f t="shared" si="131"/>
        <v>0</v>
      </c>
    </row>
    <row r="290" spans="1:20" x14ac:dyDescent="0.2">
      <c r="A290" s="125"/>
      <c r="B290" s="58">
        <v>17</v>
      </c>
      <c r="C290" s="860" t="str">
        <f t="shared" si="125"/>
        <v>** NOT USED **</v>
      </c>
      <c r="D290" s="861"/>
      <c r="E290" s="862"/>
      <c r="F290" s="287"/>
      <c r="G290" s="151"/>
      <c r="H290" s="287"/>
      <c r="I290" s="287"/>
      <c r="J290" s="288">
        <f t="shared" si="132"/>
        <v>0</v>
      </c>
      <c r="K290" s="531"/>
      <c r="L290" s="471" t="str">
        <f t="shared" si="126"/>
        <v/>
      </c>
      <c r="M290" s="288">
        <f t="shared" si="133"/>
        <v>0</v>
      </c>
      <c r="N290" s="288">
        <f t="shared" si="134"/>
        <v>0</v>
      </c>
      <c r="P290" s="760" t="str">
        <f t="shared" si="127"/>
        <v/>
      </c>
      <c r="Q290" s="757">
        <f t="shared" si="128"/>
        <v>0</v>
      </c>
      <c r="R290" s="757">
        <f t="shared" si="129"/>
        <v>0</v>
      </c>
      <c r="S290" s="549">
        <f t="shared" si="130"/>
        <v>0</v>
      </c>
      <c r="T290" s="549">
        <f t="shared" si="131"/>
        <v>0</v>
      </c>
    </row>
    <row r="291" spans="1:20" x14ac:dyDescent="0.2">
      <c r="A291" s="125"/>
      <c r="B291" s="58">
        <v>18</v>
      </c>
      <c r="C291" s="860" t="str">
        <f t="shared" si="125"/>
        <v>** NOT USED **</v>
      </c>
      <c r="D291" s="861"/>
      <c r="E291" s="862"/>
      <c r="F291" s="287"/>
      <c r="G291" s="151"/>
      <c r="H291" s="287"/>
      <c r="I291" s="287"/>
      <c r="J291" s="288">
        <f t="shared" si="132"/>
        <v>0</v>
      </c>
      <c r="K291" s="531"/>
      <c r="L291" s="471" t="str">
        <f t="shared" si="126"/>
        <v/>
      </c>
      <c r="M291" s="288">
        <f t="shared" si="133"/>
        <v>0</v>
      </c>
      <c r="N291" s="288">
        <f t="shared" si="134"/>
        <v>0</v>
      </c>
      <c r="P291" s="760" t="str">
        <f t="shared" si="127"/>
        <v/>
      </c>
      <c r="Q291" s="757">
        <f t="shared" si="128"/>
        <v>0</v>
      </c>
      <c r="R291" s="757">
        <f t="shared" si="129"/>
        <v>0</v>
      </c>
      <c r="S291" s="549">
        <f t="shared" si="130"/>
        <v>0</v>
      </c>
      <c r="T291" s="549">
        <f t="shared" si="131"/>
        <v>0</v>
      </c>
    </row>
    <row r="292" spans="1:20" x14ac:dyDescent="0.2">
      <c r="A292" s="125"/>
      <c r="B292" s="58">
        <v>19</v>
      </c>
      <c r="C292" s="860" t="str">
        <f t="shared" si="125"/>
        <v>** NOT USED **</v>
      </c>
      <c r="D292" s="861"/>
      <c r="E292" s="862"/>
      <c r="F292" s="287"/>
      <c r="G292" s="151"/>
      <c r="H292" s="287"/>
      <c r="I292" s="287"/>
      <c r="J292" s="288">
        <f t="shared" si="132"/>
        <v>0</v>
      </c>
      <c r="K292" s="531"/>
      <c r="L292" s="471" t="str">
        <f t="shared" si="126"/>
        <v/>
      </c>
      <c r="M292" s="288">
        <f t="shared" si="133"/>
        <v>0</v>
      </c>
      <c r="N292" s="288">
        <f t="shared" si="134"/>
        <v>0</v>
      </c>
      <c r="P292" s="760" t="str">
        <f t="shared" si="127"/>
        <v/>
      </c>
      <c r="Q292" s="757">
        <f t="shared" si="128"/>
        <v>0</v>
      </c>
      <c r="R292" s="757">
        <f t="shared" si="129"/>
        <v>0</v>
      </c>
      <c r="S292" s="549">
        <f t="shared" si="130"/>
        <v>0</v>
      </c>
      <c r="T292" s="549">
        <f t="shared" si="131"/>
        <v>0</v>
      </c>
    </row>
    <row r="293" spans="1:20" x14ac:dyDescent="0.2">
      <c r="A293" s="125"/>
      <c r="B293" s="58">
        <v>20</v>
      </c>
      <c r="C293" s="860" t="str">
        <f t="shared" si="125"/>
        <v>** NOT USED **</v>
      </c>
      <c r="D293" s="861"/>
      <c r="E293" s="862"/>
      <c r="F293" s="287"/>
      <c r="G293" s="151"/>
      <c r="H293" s="287"/>
      <c r="I293" s="287"/>
      <c r="J293" s="288">
        <f t="shared" si="132"/>
        <v>0</v>
      </c>
      <c r="K293" s="531"/>
      <c r="L293" s="471" t="str">
        <f t="shared" si="126"/>
        <v/>
      </c>
      <c r="M293" s="288">
        <f t="shared" si="133"/>
        <v>0</v>
      </c>
      <c r="N293" s="288">
        <f t="shared" si="134"/>
        <v>0</v>
      </c>
      <c r="P293" s="760" t="str">
        <f t="shared" si="127"/>
        <v/>
      </c>
      <c r="Q293" s="757">
        <f t="shared" si="128"/>
        <v>0</v>
      </c>
      <c r="R293" s="757">
        <f t="shared" si="129"/>
        <v>0</v>
      </c>
      <c r="S293" s="549">
        <f t="shared" si="130"/>
        <v>0</v>
      </c>
      <c r="T293" s="549">
        <f t="shared" si="131"/>
        <v>0</v>
      </c>
    </row>
    <row r="294" spans="1:20" x14ac:dyDescent="0.2">
      <c r="A294" s="125"/>
      <c r="B294" s="125"/>
      <c r="C294" s="125"/>
      <c r="D294" s="125"/>
      <c r="E294" s="125"/>
      <c r="F294" s="125"/>
      <c r="G294" s="125"/>
      <c r="H294" s="125"/>
      <c r="I294" s="125"/>
      <c r="J294" s="125"/>
      <c r="K294" s="125"/>
      <c r="L294" s="125"/>
      <c r="M294" s="125"/>
      <c r="N294" s="125"/>
      <c r="O294" s="615"/>
      <c r="S294" s="759">
        <f>SUM(S274:S293)</f>
        <v>0</v>
      </c>
    </row>
    <row r="295" spans="1:20" x14ac:dyDescent="0.2">
      <c r="A295" s="125"/>
      <c r="B295" s="125"/>
      <c r="C295" s="162"/>
      <c r="D295" s="162"/>
      <c r="E295" s="162"/>
      <c r="F295" s="656"/>
      <c r="G295" s="125"/>
      <c r="H295" s="125"/>
      <c r="I295" s="125"/>
      <c r="J295" s="125"/>
      <c r="K295" s="125"/>
      <c r="L295" s="125"/>
      <c r="M295" s="125"/>
      <c r="N295" s="125"/>
      <c r="O295" s="615"/>
    </row>
    <row r="296" spans="1:20" ht="15.75" x14ac:dyDescent="0.2">
      <c r="A296" s="125"/>
      <c r="B296" s="125"/>
      <c r="C296" s="123" t="s">
        <v>864</v>
      </c>
      <c r="D296" s="123"/>
      <c r="E296" s="123"/>
      <c r="F296" s="156"/>
      <c r="G296" s="126"/>
      <c r="H296" s="126"/>
      <c r="I296" s="126"/>
      <c r="J296" s="126"/>
      <c r="K296" s="126"/>
      <c r="L296" s="126"/>
      <c r="M296" s="127"/>
      <c r="N296" s="127"/>
    </row>
    <row r="297" spans="1:20" x14ac:dyDescent="0.2">
      <c r="A297" s="615"/>
      <c r="B297" s="615"/>
      <c r="C297" s="698"/>
      <c r="D297" s="698"/>
      <c r="E297" s="698"/>
      <c r="F297" s="698"/>
      <c r="G297" s="698"/>
      <c r="H297" s="698"/>
      <c r="I297" s="698"/>
      <c r="J297" s="698"/>
      <c r="K297" s="698"/>
      <c r="L297" s="698"/>
      <c r="M297" s="698"/>
      <c r="N297" s="698"/>
    </row>
    <row r="298" spans="1:20" x14ac:dyDescent="0.2">
      <c r="A298" s="615"/>
      <c r="B298" s="615"/>
      <c r="C298" s="698" t="s">
        <v>874</v>
      </c>
      <c r="D298" s="698"/>
      <c r="E298" s="698"/>
      <c r="F298" s="698"/>
      <c r="G298" s="698"/>
      <c r="H298" s="698"/>
      <c r="I298" s="698"/>
      <c r="J298" s="698"/>
      <c r="K298" s="698"/>
      <c r="L298" s="698"/>
      <c r="M298" s="698"/>
      <c r="N298" s="698"/>
    </row>
    <row r="299" spans="1:20" ht="12.75" customHeight="1" x14ac:dyDescent="0.2">
      <c r="A299" s="615"/>
      <c r="B299" s="615"/>
      <c r="C299" s="615"/>
      <c r="D299" s="615"/>
      <c r="E299" s="615"/>
      <c r="F299" s="615"/>
      <c r="G299" s="615"/>
      <c r="H299" s="615"/>
      <c r="I299" s="615"/>
      <c r="J299" s="615"/>
      <c r="K299" s="615"/>
      <c r="L299" s="615"/>
      <c r="M299" s="615"/>
      <c r="N299" s="615"/>
    </row>
    <row r="300" spans="1:20" ht="12.75" customHeight="1" x14ac:dyDescent="0.2">
      <c r="A300" s="615"/>
    </row>
  </sheetData>
  <mergeCells count="63">
    <mergeCell ref="L1:N1"/>
    <mergeCell ref="K128:M128"/>
    <mergeCell ref="K32:M32"/>
    <mergeCell ref="K56:M56"/>
    <mergeCell ref="K68:M68"/>
    <mergeCell ref="K44:M44"/>
    <mergeCell ref="L28:M28"/>
    <mergeCell ref="L40:M40"/>
    <mergeCell ref="L52:M52"/>
    <mergeCell ref="L64:M64"/>
    <mergeCell ref="L76:M76"/>
    <mergeCell ref="C273:E273"/>
    <mergeCell ref="C274:E274"/>
    <mergeCell ref="C275:E275"/>
    <mergeCell ref="C276:E276"/>
    <mergeCell ref="C278:E278"/>
    <mergeCell ref="H272:J272"/>
    <mergeCell ref="K140:M140"/>
    <mergeCell ref="K80:M80"/>
    <mergeCell ref="K92:M92"/>
    <mergeCell ref="K104:M104"/>
    <mergeCell ref="K116:M116"/>
    <mergeCell ref="L88:M88"/>
    <mergeCell ref="L100:M100"/>
    <mergeCell ref="L112:M112"/>
    <mergeCell ref="L124:M124"/>
    <mergeCell ref="L136:M136"/>
    <mergeCell ref="L148:M148"/>
    <mergeCell ref="L160:M160"/>
    <mergeCell ref="L172:M172"/>
    <mergeCell ref="L184:M184"/>
    <mergeCell ref="L196:M196"/>
    <mergeCell ref="C285:E285"/>
    <mergeCell ref="C286:E286"/>
    <mergeCell ref="C287:E287"/>
    <mergeCell ref="C283:E283"/>
    <mergeCell ref="C277:E277"/>
    <mergeCell ref="C279:E279"/>
    <mergeCell ref="C280:E280"/>
    <mergeCell ref="C281:E281"/>
    <mergeCell ref="C282:E282"/>
    <mergeCell ref="C284:E284"/>
    <mergeCell ref="C293:E293"/>
    <mergeCell ref="K152:M152"/>
    <mergeCell ref="K164:M164"/>
    <mergeCell ref="K176:M176"/>
    <mergeCell ref="K188:M188"/>
    <mergeCell ref="K200:M200"/>
    <mergeCell ref="K212:M212"/>
    <mergeCell ref="K224:M224"/>
    <mergeCell ref="K236:M236"/>
    <mergeCell ref="K248:M248"/>
    <mergeCell ref="K260:M260"/>
    <mergeCell ref="C288:E288"/>
    <mergeCell ref="C289:E289"/>
    <mergeCell ref="C290:E290"/>
    <mergeCell ref="C291:E291"/>
    <mergeCell ref="C292:E292"/>
    <mergeCell ref="L208:M208"/>
    <mergeCell ref="L220:M220"/>
    <mergeCell ref="L232:M232"/>
    <mergeCell ref="L244:M244"/>
    <mergeCell ref="L256:M256"/>
  </mergeCells>
  <conditionalFormatting sqref="H272:J272">
    <cfRule type="notContainsBlanks" dxfId="159" priority="248">
      <formula>LEN(TRIM(H272))&gt;0</formula>
    </cfRule>
  </conditionalFormatting>
  <conditionalFormatting sqref="I273">
    <cfRule type="expression" dxfId="158" priority="46">
      <formula>$S$294=0</formula>
    </cfRule>
  </conditionalFormatting>
  <conditionalFormatting sqref="K32:N32">
    <cfRule type="notContainsBlanks" dxfId="157" priority="23">
      <formula>LEN(TRIM(K32))&gt;0</formula>
    </cfRule>
  </conditionalFormatting>
  <conditionalFormatting sqref="K44:N44">
    <cfRule type="notContainsBlanks" dxfId="156" priority="22">
      <formula>LEN(TRIM(K44))&gt;0</formula>
    </cfRule>
  </conditionalFormatting>
  <conditionalFormatting sqref="K56:N56">
    <cfRule type="notContainsBlanks" dxfId="155" priority="21">
      <formula>LEN(TRIM(K56))&gt;0</formula>
    </cfRule>
  </conditionalFormatting>
  <conditionalFormatting sqref="K68:N68">
    <cfRule type="notContainsBlanks" dxfId="154" priority="20">
      <formula>LEN(TRIM(K68))&gt;0</formula>
    </cfRule>
  </conditionalFormatting>
  <conditionalFormatting sqref="K80:N80">
    <cfRule type="notContainsBlanks" dxfId="153" priority="19">
      <formula>LEN(TRIM(K80))&gt;0</formula>
    </cfRule>
  </conditionalFormatting>
  <conditionalFormatting sqref="K92:N92">
    <cfRule type="notContainsBlanks" dxfId="152" priority="18">
      <formula>LEN(TRIM(K92))&gt;0</formula>
    </cfRule>
  </conditionalFormatting>
  <conditionalFormatting sqref="K104:N104">
    <cfRule type="notContainsBlanks" dxfId="151" priority="17">
      <formula>LEN(TRIM(K104))&gt;0</formula>
    </cfRule>
  </conditionalFormatting>
  <conditionalFormatting sqref="K116:N116">
    <cfRule type="notContainsBlanks" dxfId="150" priority="16">
      <formula>LEN(TRIM(K116))&gt;0</formula>
    </cfRule>
  </conditionalFormatting>
  <conditionalFormatting sqref="K128:N128">
    <cfRule type="notContainsBlanks" dxfId="149" priority="15">
      <formula>LEN(TRIM(K128))&gt;0</formula>
    </cfRule>
  </conditionalFormatting>
  <conditionalFormatting sqref="K140:N140">
    <cfRule type="notContainsBlanks" dxfId="148" priority="14">
      <formula>LEN(TRIM(K140))&gt;0</formula>
    </cfRule>
  </conditionalFormatting>
  <conditionalFormatting sqref="K152:N152">
    <cfRule type="notContainsBlanks" dxfId="147" priority="13">
      <formula>LEN(TRIM(K152))&gt;0</formula>
    </cfRule>
  </conditionalFormatting>
  <conditionalFormatting sqref="K164:N164">
    <cfRule type="notContainsBlanks" dxfId="146" priority="12">
      <formula>LEN(TRIM(K164))&gt;0</formula>
    </cfRule>
  </conditionalFormatting>
  <conditionalFormatting sqref="K176:N176">
    <cfRule type="notContainsBlanks" dxfId="145" priority="11">
      <formula>LEN(TRIM(K176))&gt;0</formula>
    </cfRule>
  </conditionalFormatting>
  <conditionalFormatting sqref="K188:N188">
    <cfRule type="notContainsBlanks" dxfId="144" priority="10">
      <formula>LEN(TRIM(K188))&gt;0</formula>
    </cfRule>
  </conditionalFormatting>
  <conditionalFormatting sqref="K200:N200">
    <cfRule type="notContainsBlanks" dxfId="143" priority="9">
      <formula>LEN(TRIM(K200))&gt;0</formula>
    </cfRule>
  </conditionalFormatting>
  <conditionalFormatting sqref="K212:N212">
    <cfRule type="notContainsBlanks" dxfId="142" priority="8">
      <formula>LEN(TRIM(K212))&gt;0</formula>
    </cfRule>
  </conditionalFormatting>
  <conditionalFormatting sqref="K224:N224">
    <cfRule type="notContainsBlanks" dxfId="141" priority="7">
      <formula>LEN(TRIM(K224))&gt;0</formula>
    </cfRule>
  </conditionalFormatting>
  <conditionalFormatting sqref="K236:N236">
    <cfRule type="notContainsBlanks" dxfId="140" priority="6">
      <formula>LEN(TRIM(K236))&gt;0</formula>
    </cfRule>
  </conditionalFormatting>
  <conditionalFormatting sqref="K248:N248">
    <cfRule type="notContainsBlanks" dxfId="139" priority="5">
      <formula>LEN(TRIM(K248))&gt;0</formula>
    </cfRule>
  </conditionalFormatting>
  <conditionalFormatting sqref="K260:N260">
    <cfRule type="notContainsBlanks" dxfId="138" priority="4">
      <formula>LEN(TRIM(K260))&gt;0</formula>
    </cfRule>
  </conditionalFormatting>
  <conditionalFormatting sqref="F274:I293">
    <cfRule type="expression" dxfId="137" priority="44">
      <formula>$C274=MsgNotUsed</formula>
    </cfRule>
  </conditionalFormatting>
  <conditionalFormatting sqref="I274:I293">
    <cfRule type="expression" dxfId="136" priority="1">
      <formula>$S274=0</formula>
    </cfRule>
  </conditionalFormatting>
  <dataValidations count="2">
    <dataValidation allowBlank="1" showErrorMessage="1" sqref="D67:I69 D31:I34 D132:I134 D264:I266 D60:I62 D139:I141 D72:I74 D48:I50 D127:I129 D79:I81 D84:I86 D103:I105 D91:I93 D96:I98 D108:I110 D115:I117 D120:I122 D15:I17 D55:I57 D36:I38 F58:I58 D43:I45 D259:I261 J58:N62 D144:I146 D151:I153 D156:I158 D163:I165 D168:I170 D175:I177 D180:I182 D187:I189 D192:I194 D199:I201 D204:I206 D211:I213 D216:I218 D223:I225 D228:I230 D235:I237 D240:I242 D247:I249 D252:I254 D20:I22 D24:I24"/>
    <dataValidation type="list" allowBlank="1" showInputMessage="1" showErrorMessage="1" sqref="K274:K293">
      <formula1>CoPayBands</formula1>
    </dataValidation>
  </dataValidations>
  <pageMargins left="0.11811023622047245" right="0.11811023622047245" top="0.19685039370078741" bottom="0.15748031496062992" header="0.31496062992125984" footer="0.31496062992125984"/>
  <pageSetup paperSize="9" scale="47" orientation="landscape" horizontalDpi="300" verticalDpi="300" r:id="rId1"/>
  <ignoredErrors>
    <ignoredError sqref="J274:J293" formulaRange="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24</vt:i4>
      </vt:variant>
      <vt:variant>
        <vt:lpstr>Named Ranges</vt:lpstr>
      </vt:variant>
      <vt:variant>
        <vt:i4>187</vt:i4>
      </vt:variant>
    </vt:vector>
  </HeadingPairs>
  <TitlesOfParts>
    <vt:vector size="211" baseType="lpstr">
      <vt:lpstr>0. Title</vt:lpstr>
      <vt:lpstr>1. Overview</vt:lpstr>
      <vt:lpstr>2a. Patients - incident</vt:lpstr>
      <vt:lpstr>2b. Patients - prevalent</vt:lpstr>
      <vt:lpstr>2c. Patients - GF</vt:lpstr>
      <vt:lpstr>2d. Patients - DTG</vt:lpstr>
      <vt:lpstr>2e. Scripts - market</vt:lpstr>
      <vt:lpstr>3a. Scripts - proposed</vt:lpstr>
      <vt:lpstr>3b. Impact - proposed (pub)</vt:lpstr>
      <vt:lpstr>3c. Impact - proposed (eff)</vt:lpstr>
      <vt:lpstr>4a. Scripts - affected</vt:lpstr>
      <vt:lpstr>4b. Impact - affected (pub)</vt:lpstr>
      <vt:lpstr>4c. Impact - affected (eff)</vt:lpstr>
      <vt:lpstr>5. Impact - net</vt:lpstr>
      <vt:lpstr>6. Net changes - SA</vt:lpstr>
      <vt:lpstr>7. Net changes - MBS</vt:lpstr>
      <vt:lpstr>8. ABS population</vt:lpstr>
      <vt:lpstr>9. AIHW population</vt:lpstr>
      <vt:lpstr>10. Registry population</vt:lpstr>
      <vt:lpstr>11. Persistent population</vt:lpstr>
      <vt:lpstr>12. Copies of data -&gt;</vt:lpstr>
      <vt:lpstr>Template</vt:lpstr>
      <vt:lpstr>References</vt:lpstr>
      <vt:lpstr>ChangeLog</vt:lpstr>
      <vt:lpstr>ABSRate</vt:lpstr>
      <vt:lpstr>ABSRateCode</vt:lpstr>
      <vt:lpstr>ABSValues</vt:lpstr>
      <vt:lpstr>Authority</vt:lpstr>
      <vt:lpstr>AuthorityCode</vt:lpstr>
      <vt:lpstr>CalculationMethod</vt:lpstr>
      <vt:lpstr>CalculationMethodCode</vt:lpstr>
      <vt:lpstr>CalendarYear</vt:lpstr>
      <vt:lpstr>CoDep</vt:lpstr>
      <vt:lpstr>ComplexAuthCount</vt:lpstr>
      <vt:lpstr>CoPayBandChanged</vt:lpstr>
      <vt:lpstr>CoPayBandLink</vt:lpstr>
      <vt:lpstr>CoPayBandMS</vt:lpstr>
      <vt:lpstr>CoPayBandMSAdditional</vt:lpstr>
      <vt:lpstr>CoPayBands</vt:lpstr>
      <vt:lpstr>CoPayC0</vt:lpstr>
      <vt:lpstr>CoPayC1</vt:lpstr>
      <vt:lpstr>CoPayCountChanged</vt:lpstr>
      <vt:lpstr>CoPayCountNew</vt:lpstr>
      <vt:lpstr>CoPayG1</vt:lpstr>
      <vt:lpstr>CoPayG2</vt:lpstr>
      <vt:lpstr>CoPayMethod</vt:lpstr>
      <vt:lpstr>CoPayPBS</vt:lpstr>
      <vt:lpstr>CoPayR0</vt:lpstr>
      <vt:lpstr>CoPayR1</vt:lpstr>
      <vt:lpstr>CoPayRPBS</vt:lpstr>
      <vt:lpstr>CostType</vt:lpstr>
      <vt:lpstr>CostTypeCode</vt:lpstr>
      <vt:lpstr>CostTypePBS</vt:lpstr>
      <vt:lpstr>CostTypePBSCode</vt:lpstr>
      <vt:lpstr>DataSource</vt:lpstr>
      <vt:lpstr>DisplaceType</vt:lpstr>
      <vt:lpstr>DisplaceTypeCode</vt:lpstr>
      <vt:lpstr>DPMQCoPayChangedEff</vt:lpstr>
      <vt:lpstr>DPMQCoPayChangedPub</vt:lpstr>
      <vt:lpstr>DPMQCoPayNewEff</vt:lpstr>
      <vt:lpstr>DPMQCoPayNewPub</vt:lpstr>
      <vt:lpstr>EconomicAnalysis</vt:lpstr>
      <vt:lpstr>Electronic</vt:lpstr>
      <vt:lpstr>EPISource</vt:lpstr>
      <vt:lpstr>EPISourceCode</vt:lpstr>
      <vt:lpstr>EpiType</vt:lpstr>
      <vt:lpstr>EpiTypeCode</vt:lpstr>
      <vt:lpstr>ErrorMessages</vt:lpstr>
      <vt:lpstr>FirstYear</vt:lpstr>
      <vt:lpstr>Gender</vt:lpstr>
      <vt:lpstr>GenderCode</vt:lpstr>
      <vt:lpstr>Indication</vt:lpstr>
      <vt:lpstr>List</vt:lpstr>
      <vt:lpstr>ListingType</vt:lpstr>
      <vt:lpstr>MarketImpact</vt:lpstr>
      <vt:lpstr>MarketImpactCode</vt:lpstr>
      <vt:lpstr>MarketImpactType</vt:lpstr>
      <vt:lpstr>MaxQ</vt:lpstr>
      <vt:lpstr>MBSBasis</vt:lpstr>
      <vt:lpstr>MBSBasisCode</vt:lpstr>
      <vt:lpstr>MBSDecCalc</vt:lpstr>
      <vt:lpstr>MBSDecItems</vt:lpstr>
      <vt:lpstr>MBSDecNames</vt:lpstr>
      <vt:lpstr>MBSDecPopSplit</vt:lpstr>
      <vt:lpstr>MBSDecRate</vt:lpstr>
      <vt:lpstr>MBSIncCalc</vt:lpstr>
      <vt:lpstr>MBSIncItems</vt:lpstr>
      <vt:lpstr>MBSIncNames</vt:lpstr>
      <vt:lpstr>MBSIncPopSplit</vt:lpstr>
      <vt:lpstr>MBSIncRate</vt:lpstr>
      <vt:lpstr>MBSItemsAll</vt:lpstr>
      <vt:lpstr>MBSPBSDec</vt:lpstr>
      <vt:lpstr>MBSPBSInc</vt:lpstr>
      <vt:lpstr>MBSRebateRate</vt:lpstr>
      <vt:lpstr>MBSRPBSDec</vt:lpstr>
      <vt:lpstr>MBSRPBSInc</vt:lpstr>
      <vt:lpstr>MedicineBrand</vt:lpstr>
      <vt:lpstr>MedicineName</vt:lpstr>
      <vt:lpstr>MsgConfirm</vt:lpstr>
      <vt:lpstr>MsgError</vt:lpstr>
      <vt:lpstr>MsgNote</vt:lpstr>
      <vt:lpstr>MsgNotRequired</vt:lpstr>
      <vt:lpstr>MsgNotUsed</vt:lpstr>
      <vt:lpstr>MsgWarn</vt:lpstr>
      <vt:lpstr>NamesEpiAdditional</vt:lpstr>
      <vt:lpstr>NamesLinkNew</vt:lpstr>
      <vt:lpstr>NamesMS</vt:lpstr>
      <vt:lpstr>NamesMSAdditional</vt:lpstr>
      <vt:lpstr>NamesNew</vt:lpstr>
      <vt:lpstr>NamesOverallChanged</vt:lpstr>
      <vt:lpstr>NamesOverallChangedCode</vt:lpstr>
      <vt:lpstr>NewAdjunct</vt:lpstr>
      <vt:lpstr>Pathway</vt:lpstr>
      <vt:lpstr>PathwayCode</vt:lpstr>
      <vt:lpstr>PBACMeetingDate</vt:lpstr>
      <vt:lpstr>PBSScriptsChanged</vt:lpstr>
      <vt:lpstr>PBSScriptsNew</vt:lpstr>
      <vt:lpstr>PBSScriptsOld</vt:lpstr>
      <vt:lpstr>'11. Persistent population'!PRate01</vt:lpstr>
      <vt:lpstr>'11. Persistent population'!PRate02</vt:lpstr>
      <vt:lpstr>'11. Persistent population'!PRate03</vt:lpstr>
      <vt:lpstr>'11. Persistent population'!PRate04</vt:lpstr>
      <vt:lpstr>'11. Persistent population'!PRate05</vt:lpstr>
      <vt:lpstr>'11. Persistent population'!PRate06</vt:lpstr>
      <vt:lpstr>'11. Persistent population'!PRate07</vt:lpstr>
      <vt:lpstr>'11. Persistent population'!PRate08</vt:lpstr>
      <vt:lpstr>'11. Persistent population'!PRate09</vt:lpstr>
      <vt:lpstr>'11. Persistent population'!PRate10</vt:lpstr>
      <vt:lpstr>'1. Overview'!Print_Area</vt:lpstr>
      <vt:lpstr>Programme</vt:lpstr>
      <vt:lpstr>ProgrammeCode</vt:lpstr>
      <vt:lpstr>PxGrandfathered</vt:lpstr>
      <vt:lpstr>PxIncident</vt:lpstr>
      <vt:lpstr>PxPopMaxCount</vt:lpstr>
      <vt:lpstr>PxPopNames</vt:lpstr>
      <vt:lpstr>PxPopNumbers</vt:lpstr>
      <vt:lpstr>PxPopSource</vt:lpstr>
      <vt:lpstr>PxPopSourceCode</vt:lpstr>
      <vt:lpstr>PxPopValid</vt:lpstr>
      <vt:lpstr>PxPrevalent</vt:lpstr>
      <vt:lpstr>PxTxCount</vt:lpstr>
      <vt:lpstr>PxTxNames</vt:lpstr>
      <vt:lpstr>PxTxPhase1</vt:lpstr>
      <vt:lpstr>PxTxPhase1Adj</vt:lpstr>
      <vt:lpstr>PxTxPhase2</vt:lpstr>
      <vt:lpstr>PxTxPhase2Adj</vt:lpstr>
      <vt:lpstr>PxTxSource</vt:lpstr>
      <vt:lpstr>PxTxSourceCode</vt:lpstr>
      <vt:lpstr>PxTxValid</vt:lpstr>
      <vt:lpstr>Reporting</vt:lpstr>
      <vt:lpstr>RestrictionCount</vt:lpstr>
      <vt:lpstr>RPBSScriptsChanged</vt:lpstr>
      <vt:lpstr>RPBSScriptsNew</vt:lpstr>
      <vt:lpstr>RPBSScriptsOld</vt:lpstr>
      <vt:lpstr>RSAFlag</vt:lpstr>
      <vt:lpstr>RSAJoinFlag</vt:lpstr>
      <vt:lpstr>SAChanged</vt:lpstr>
      <vt:lpstr>SANew</vt:lpstr>
      <vt:lpstr>ScheduleType</vt:lpstr>
      <vt:lpstr>ScheduleTypeCode</vt:lpstr>
      <vt:lpstr>ScriptsMSAdditional</vt:lpstr>
      <vt:lpstr>'2e. Scripts - market'!ScriptsOldTotal</vt:lpstr>
      <vt:lpstr>ScriptSource</vt:lpstr>
      <vt:lpstr>ScriptSourceCode</vt:lpstr>
      <vt:lpstr>ScriptSplit</vt:lpstr>
      <vt:lpstr>ScriptSplitCode</vt:lpstr>
      <vt:lpstr>ScriptSplitType</vt:lpstr>
      <vt:lpstr>ServiceSplitPBS</vt:lpstr>
      <vt:lpstr>ServiceSplitPrivate</vt:lpstr>
      <vt:lpstr>ServiceSplitPublic</vt:lpstr>
      <vt:lpstr>ServiceSplitRPBS</vt:lpstr>
      <vt:lpstr>SPAChangeFlag</vt:lpstr>
      <vt:lpstr>SPANewFlag</vt:lpstr>
      <vt:lpstr>SubmissionCategory</vt:lpstr>
      <vt:lpstr>SubmissionCategoryCode</vt:lpstr>
      <vt:lpstr>SubmissionType</vt:lpstr>
      <vt:lpstr>SubmissionTypeCode</vt:lpstr>
      <vt:lpstr>Switch</vt:lpstr>
      <vt:lpstr>TimeUnit</vt:lpstr>
      <vt:lpstr>TimeUnitCode</vt:lpstr>
      <vt:lpstr>TimeUnitCount</vt:lpstr>
      <vt:lpstr>TPAll</vt:lpstr>
      <vt:lpstr>TPCont</vt:lpstr>
      <vt:lpstr>TPInit</vt:lpstr>
      <vt:lpstr>TPLong</vt:lpstr>
      <vt:lpstr>TPLongCode</vt:lpstr>
      <vt:lpstr>TPShort</vt:lpstr>
      <vt:lpstr>TPShortCode</vt:lpstr>
      <vt:lpstr>TPShortReverse</vt:lpstr>
      <vt:lpstr>TxDuration</vt:lpstr>
      <vt:lpstr>TxPhase1</vt:lpstr>
      <vt:lpstr>TxPhase1Code</vt:lpstr>
      <vt:lpstr>TxPhase1Px</vt:lpstr>
      <vt:lpstr>TxPhase1PxTotal</vt:lpstr>
      <vt:lpstr>TxPhase1PxUnitsTx</vt:lpstr>
      <vt:lpstr>TxPhase1Rx</vt:lpstr>
      <vt:lpstr>TxPhase1RxTotal</vt:lpstr>
      <vt:lpstr>TxPhase1Tx</vt:lpstr>
      <vt:lpstr>TxPhase2</vt:lpstr>
      <vt:lpstr>TxPhase2Code</vt:lpstr>
      <vt:lpstr>TxPhase2Px</vt:lpstr>
      <vt:lpstr>TxPhase2PxTotal</vt:lpstr>
      <vt:lpstr>TxPhase2PxUnitsTx</vt:lpstr>
      <vt:lpstr>TxPhase2Rx</vt:lpstr>
      <vt:lpstr>TxPhase2RxTotal</vt:lpstr>
      <vt:lpstr>TxPhase2Source</vt:lpstr>
      <vt:lpstr>TxPhase2SourceCode</vt:lpstr>
      <vt:lpstr>TXPhase2Tx</vt:lpstr>
      <vt:lpstr>TxPhaseLinkNew</vt:lpstr>
      <vt:lpstr>TxPhaseNew</vt:lpstr>
      <vt:lpstr>WarningMessages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PBAC UCM Release 3</dc:title>
  <dc:creator>Deane, Christopher</dc:creator>
  <cp:lastModifiedBy>Deane, Christopher</cp:lastModifiedBy>
  <dcterms:created xsi:type="dcterms:W3CDTF">2019-05-17T08:51:59Z</dcterms:created>
  <dcterms:modified xsi:type="dcterms:W3CDTF">2021-08-03T04:38:49Z</dcterms:modified>
</cp:coreProperties>
</file>